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3.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5.xml" ContentType="application/vnd.openxmlformats-officedocument.drawing+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up\OneDrive - SGH\Pulpit\vba\OneDrive_1_24.10.2022\"/>
    </mc:Choice>
  </mc:AlternateContent>
  <xr:revisionPtr revIDLastSave="0" documentId="13_ncr:1_{2E8F3024-E98A-4E83-B7D2-2E01327CC028}" xr6:coauthVersionLast="47" xr6:coauthVersionMax="47" xr10:uidLastSave="{00000000-0000-0000-0000-000000000000}"/>
  <bookViews>
    <workbookView xWindow="4045" yWindow="2644" windowWidth="18851" windowHeight="9766" tabRatio="845" firstSheet="7" activeTab="7" xr2:uid="{00000000-000D-0000-FFFF-FFFF00000000}"/>
  </bookViews>
  <sheets>
    <sheet name="Kody PKD" sheetId="46" r:id="rId1"/>
    <sheet name="ReMap" sheetId="41" r:id="rId2"/>
    <sheet name="NODE_NAMES" sheetId="42" r:id="rId3"/>
    <sheet name="definicje" sheetId="27" r:id="rId4"/>
    <sheet name="dane" sheetId="47" r:id="rId5"/>
    <sheet name="Formuły" sheetId="52" r:id="rId6"/>
    <sheet name="Check wartości" sheetId="51" r:id="rId7"/>
    <sheet name="Input" sheetId="30" r:id="rId8"/>
    <sheet name="Strona tytułowa" sheetId="48" r:id="rId9"/>
    <sheet name="Spis tresci" sheetId="49" r:id="rId10"/>
    <sheet name="oświadczenie" sheetId="21" r:id="rId11"/>
    <sheet name="wstęp" sheetId="29" r:id="rId12"/>
    <sheet name="introduction" sheetId="53" r:id="rId13"/>
    <sheet name="_aktywa" sheetId="3" r:id="rId14"/>
    <sheet name="_pasywa" sheetId="4" r:id="rId15"/>
    <sheet name="rzis" sheetId="5" r:id="rId16"/>
    <sheet name="kapitał" sheetId="6" r:id="rId17"/>
    <sheet name="przepływy" sheetId="7" r:id="rId18"/>
    <sheet name="NotaPodatkowa" sheetId="17" r:id="rId19"/>
    <sheet name="Noty" sheetId="54" r:id="rId20"/>
    <sheet name="Notes" sheetId="44" r:id="rId21"/>
    <sheet name="TB_Exact" sheetId="36" r:id="rId22"/>
    <sheet name="TB_wymiary_Exact" sheetId="50" r:id="rId23"/>
    <sheet name="Salda" sheetId="39" r:id="rId24"/>
  </sheets>
  <functionGroups builtInGroupCount="19"/>
  <definedNames>
    <definedName name="_xlnm._FilterDatabase" localSheetId="13" hidden="1">_aktywa!$K$2:$K$95</definedName>
    <definedName name="_xlnm._FilterDatabase" localSheetId="14" hidden="1">_pasywa!$K$2:$K$67</definedName>
    <definedName name="_xlnm._FilterDatabase" localSheetId="4" hidden="1">dane!$A$2:$W$658</definedName>
    <definedName name="_xlnm._FilterDatabase" localSheetId="5" hidden="1">Formuły!$A$1:$B$214</definedName>
    <definedName name="_xlnm._FilterDatabase" localSheetId="12" hidden="1">introduction!$K$2:$K$406</definedName>
    <definedName name="_xlnm._FilterDatabase" localSheetId="16" hidden="1">kapitał!$K$2:$K$64</definedName>
    <definedName name="_xlnm._FilterDatabase" localSheetId="0" hidden="1">'Kody PKD'!$A$1:$C$657</definedName>
    <definedName name="_xlnm._FilterDatabase" localSheetId="18" hidden="1">NotaPodatkowa!$M$7:$M$22</definedName>
    <definedName name="_xlnm._FilterDatabase" localSheetId="20" hidden="1">Notes!$J$2:$J$1767</definedName>
    <definedName name="_xlnm._FilterDatabase" localSheetId="19" hidden="1">Noty!$J$2:$J$1767</definedName>
    <definedName name="_xlnm._FilterDatabase" localSheetId="10" hidden="1">oświadczenie!$K$3:$K$54</definedName>
    <definedName name="_xlnm._FilterDatabase" localSheetId="17" hidden="1">przepływy!$K$2:$K$69</definedName>
    <definedName name="_xlnm._FilterDatabase" localSheetId="1" hidden="1">ReMap!$A$3:$BI$327</definedName>
    <definedName name="_xlnm._FilterDatabase" localSheetId="15" hidden="1">rzis!$K$6:$K$108</definedName>
    <definedName name="_xlnm._FilterDatabase" localSheetId="9" hidden="1">'Spis tresci'!$K$6:$K$13</definedName>
    <definedName name="_xlnm._FilterDatabase" localSheetId="21" hidden="1">TB_Exact!$AU$8:$AU$182</definedName>
    <definedName name="_xlnm._FilterDatabase" localSheetId="22" hidden="1">TB_wymiary_Exact!$B$8:$H$8</definedName>
    <definedName name="_xlnm._FilterDatabase" localSheetId="11" hidden="1">wstęp!$K$2:$K$406</definedName>
    <definedName name="Aktywa_A_1_1_KwotaA">_aktywa!$F$10</definedName>
    <definedName name="Aktywa_A_1_1_KwotaB">_aktywa!$H$10</definedName>
    <definedName name="Aktywa_A_1_1_KwotaC">_aktywa!$J$10</definedName>
    <definedName name="Aktywa_A_1_2_KwotaA">_aktywa!$F$11</definedName>
    <definedName name="Aktywa_A_1_2_KwotaB">_aktywa!$H$11</definedName>
    <definedName name="Aktywa_A_1_2_KwotaC">_aktywa!$J$11</definedName>
    <definedName name="Aktywa_A_1_3_KwotaA">_aktywa!$F$12</definedName>
    <definedName name="Aktywa_A_1_3_KwotaB">_aktywa!$H$12</definedName>
    <definedName name="Aktywa_A_1_3_KwotaC">_aktywa!$J$12</definedName>
    <definedName name="Aktywa_A_1_4_KwotaA">_aktywa!$F$13</definedName>
    <definedName name="Aktywa_A_1_4_KwotaB">_aktywa!$H$13</definedName>
    <definedName name="Aktywa_A_1_4_KwotaC">_aktywa!$J$13</definedName>
    <definedName name="Aktywa_A_1_KwotaA">_aktywa!$F$9</definedName>
    <definedName name="Aktywa_A_1_KwotaB">_aktywa!$H$9</definedName>
    <definedName name="Aktywa_A_1_KwotaC">_aktywa!$J$9</definedName>
    <definedName name="Aktywa_A_2_1_A_KwotaA">_aktywa!$F$16</definedName>
    <definedName name="Aktywa_A_2_1_A_KwotaB">_aktywa!$H$16</definedName>
    <definedName name="Aktywa_A_2_1_A_KwotaC">_aktywa!$J$16</definedName>
    <definedName name="Aktywa_A_2_1_B_KwotaA">_aktywa!$F$17</definedName>
    <definedName name="Aktywa_A_2_1_B_KwotaB">_aktywa!$H$17</definedName>
    <definedName name="Aktywa_A_2_1_B_KwotaC">_aktywa!$J$17</definedName>
    <definedName name="Aktywa_A_2_1_C_KwotaA">_aktywa!$F$18</definedName>
    <definedName name="Aktywa_A_2_1_C_KwotaB">_aktywa!$H$18</definedName>
    <definedName name="Aktywa_A_2_1_C_KwotaC">_aktywa!$J$18</definedName>
    <definedName name="Aktywa_A_2_1_D_KwotaA">_aktywa!$F$19</definedName>
    <definedName name="Aktywa_A_2_1_D_KwotaB">_aktywa!$H$19</definedName>
    <definedName name="Aktywa_A_2_1_D_KwotaC">_aktywa!$J$19</definedName>
    <definedName name="Aktywa_A_2_1_E_KwotaA">_aktywa!$F$20</definedName>
    <definedName name="Aktywa_A_2_1_E_KwotaB">_aktywa!$H$20</definedName>
    <definedName name="Aktywa_A_2_1_E_KwotaC">_aktywa!$J$20</definedName>
    <definedName name="Aktywa_A_2_1_KwotaA">_aktywa!$F$15</definedName>
    <definedName name="Aktywa_A_2_1_KwotaB">_aktywa!$H$15</definedName>
    <definedName name="Aktywa_A_2_1_KwotaC">_aktywa!$J$15</definedName>
    <definedName name="Aktywa_A_2_2_KwotaA">_aktywa!$F$21</definedName>
    <definedName name="Aktywa_A_2_2_KwotaB">_aktywa!$H$21</definedName>
    <definedName name="Aktywa_A_2_2_KwotaC">_aktywa!$J$21</definedName>
    <definedName name="Aktywa_A_2_3_KwotaA">_aktywa!$F$22</definedName>
    <definedName name="Aktywa_A_2_3_KwotaB">_aktywa!$H$22</definedName>
    <definedName name="Aktywa_A_2_3_KwotaC">_aktywa!$J$22</definedName>
    <definedName name="Aktywa_A_2_KwotaA">_aktywa!$F$14</definedName>
    <definedName name="Aktywa_A_2_KwotaB">_aktywa!$H$14</definedName>
    <definedName name="Aktywa_A_2_KwotaC">_aktywa!$J$14</definedName>
    <definedName name="Aktywa_A_3_1_KwotaA">_aktywa!$F$24</definedName>
    <definedName name="Aktywa_A_3_1_KwotaB">_aktywa!$H$24</definedName>
    <definedName name="Aktywa_A_3_1_KwotaC">_aktywa!$J$24</definedName>
    <definedName name="Aktywa_A_3_2_KwotaA">_aktywa!$F$25</definedName>
    <definedName name="Aktywa_A_3_2_KwotaB">_aktywa!$H$25</definedName>
    <definedName name="Aktywa_A_3_2_KwotaC">_aktywa!$J$25</definedName>
    <definedName name="Aktywa_A_3_3_KwotaA">_aktywa!$F$26</definedName>
    <definedName name="Aktywa_A_3_3_KwotaB">_aktywa!$H$26</definedName>
    <definedName name="Aktywa_A_3_3_KwotaC">_aktywa!$J$26</definedName>
    <definedName name="Aktywa_A_3_KwotaA">_aktywa!$F$23</definedName>
    <definedName name="Aktywa_A_3_KwotaB">_aktywa!$H$23</definedName>
    <definedName name="Aktywa_A_3_KwotaC">_aktywa!$J$23</definedName>
    <definedName name="Aktywa_A_4_1_KwotaA">_aktywa!$F$28</definedName>
    <definedName name="Aktywa_A_4_1_KwotaB">_aktywa!$H$28</definedName>
    <definedName name="Aktywa_A_4_1_KwotaC">_aktywa!$J$28</definedName>
    <definedName name="Aktywa_A_4_2_KwotaA">_aktywa!$F$29</definedName>
    <definedName name="Aktywa_A_4_2_KwotaB">_aktywa!$H$29</definedName>
    <definedName name="Aktywa_A_4_2_KwotaC">_aktywa!$J$29</definedName>
    <definedName name="Aktywa_A_4_3_A_1_KwotaA">_aktywa!$F$32</definedName>
    <definedName name="Aktywa_A_4_3_A_1_KwotaB">_aktywa!$H$32</definedName>
    <definedName name="Aktywa_A_4_3_A_1_KwotaC">_aktywa!$J$32</definedName>
    <definedName name="Aktywa_A_4_3_A_2_KwotaA">_aktywa!$F$33</definedName>
    <definedName name="Aktywa_A_4_3_A_2_KwotaB">_aktywa!$H$33</definedName>
    <definedName name="Aktywa_A_4_3_A_2_KwotaC">_aktywa!$J$33</definedName>
    <definedName name="Aktywa_A_4_3_A_3_KwotaA">_aktywa!$F$34</definedName>
    <definedName name="Aktywa_A_4_3_A_3_KwotaB">_aktywa!$H$34</definedName>
    <definedName name="Aktywa_A_4_3_A_3_KwotaC">_aktywa!$J$34</definedName>
    <definedName name="Aktywa_A_4_3_A_4_KwotaA">_aktywa!$F$35</definedName>
    <definedName name="Aktywa_A_4_3_A_4_KwotaB">_aktywa!$H$35</definedName>
    <definedName name="Aktywa_A_4_3_A_4_KwotaC">_aktywa!$J$35</definedName>
    <definedName name="Aktywa_A_4_3_A_KwotaA">_aktywa!$F$31</definedName>
    <definedName name="Aktywa_A_4_3_A_KwotaB">_aktywa!$H$31</definedName>
    <definedName name="Aktywa_A_4_3_A_KwotaC">_aktywa!$J$31</definedName>
    <definedName name="Aktywa_A_4_3_B_1_KwotaA">_aktywa!$F$37</definedName>
    <definedName name="Aktywa_A_4_3_B_1_KwotaB">_aktywa!$H$37</definedName>
    <definedName name="Aktywa_A_4_3_B_1_KwotaC">_aktywa!$J$37</definedName>
    <definedName name="Aktywa_A_4_3_B_2_KwotaA">_aktywa!$F$38</definedName>
    <definedName name="Aktywa_A_4_3_B_2_KwotaB">_aktywa!$H$38</definedName>
    <definedName name="Aktywa_A_4_3_B_2_KwotaC">_aktywa!$J$38</definedName>
    <definedName name="Aktywa_A_4_3_B_3_KwotaA">_aktywa!$F$39</definedName>
    <definedName name="Aktywa_A_4_3_B_3_KwotaB">_aktywa!$H$39</definedName>
    <definedName name="Aktywa_A_4_3_B_3_KwotaC">_aktywa!$J$39</definedName>
    <definedName name="Aktywa_A_4_3_B_4_KwotaA">_aktywa!$F$40</definedName>
    <definedName name="Aktywa_A_4_3_B_4_KwotaB">_aktywa!$H$40</definedName>
    <definedName name="Aktywa_A_4_3_B_4_KwotaC">_aktywa!$J$40</definedName>
    <definedName name="Aktywa_A_4_3_B_KwotaA">_aktywa!$F$36</definedName>
    <definedName name="Aktywa_A_4_3_B_KwotaB">_aktywa!$H$36</definedName>
    <definedName name="Aktywa_A_4_3_B_KwotaC">_aktywa!$J$36</definedName>
    <definedName name="Aktywa_A_4_3_C_1_KwotaA">_aktywa!$F$42</definedName>
    <definedName name="Aktywa_A_4_3_C_1_KwotaB">_aktywa!$H$42</definedName>
    <definedName name="Aktywa_A_4_3_C_1_KwotaC">_aktywa!$J$42</definedName>
    <definedName name="Aktywa_A_4_3_C_2_KwotaA">_aktywa!$F$43</definedName>
    <definedName name="Aktywa_A_4_3_C_2_KwotaB">_aktywa!$H$43</definedName>
    <definedName name="Aktywa_A_4_3_C_2_KwotaC">_aktywa!$J$43</definedName>
    <definedName name="Aktywa_A_4_3_C_3_KwotaA">_aktywa!$F$44</definedName>
    <definedName name="Aktywa_A_4_3_C_3_KwotaB">_aktywa!$H$44</definedName>
    <definedName name="Aktywa_A_4_3_C_3_KwotaC">_aktywa!$J$44</definedName>
    <definedName name="Aktywa_A_4_3_C_4_KwotaA">_aktywa!$F$45</definedName>
    <definedName name="Aktywa_A_4_3_C_4_KwotaB">_aktywa!$H$45</definedName>
    <definedName name="Aktywa_A_4_3_C_4_KwotaC">_aktywa!$J$45</definedName>
    <definedName name="Aktywa_A_4_3_C_KwotaA">_aktywa!$F$41</definedName>
    <definedName name="Aktywa_A_4_3_C_KwotaB">_aktywa!$H$41</definedName>
    <definedName name="Aktywa_A_4_3_C_KwotaC">_aktywa!$J$41</definedName>
    <definedName name="Aktywa_A_4_3_KwotaA">_aktywa!$F$30</definedName>
    <definedName name="Aktywa_A_4_3_KwotaB">_aktywa!$H$30</definedName>
    <definedName name="Aktywa_A_4_3_KwotaC">_aktywa!$J$30</definedName>
    <definedName name="Aktywa_A_4_4_KwotaA">_aktywa!$F$46</definedName>
    <definedName name="Aktywa_A_4_4_KwotaB">_aktywa!$H$46</definedName>
    <definedName name="Aktywa_A_4_4_KwotaC">_aktywa!$J$46</definedName>
    <definedName name="Aktywa_A_4_KwotaA">_aktywa!$F$27</definedName>
    <definedName name="Aktywa_A_4_KwotaB">_aktywa!$H$27</definedName>
    <definedName name="Aktywa_A_4_KwotaC">_aktywa!$J$27</definedName>
    <definedName name="Aktywa_A_5_1_KwotaA">_aktywa!$F$48</definedName>
    <definedName name="Aktywa_A_5_1_KwotaB">_aktywa!$H$48</definedName>
    <definedName name="Aktywa_A_5_1_KwotaC">_aktywa!$J$48</definedName>
    <definedName name="Aktywa_A_5_2_KwotaA">_aktywa!$F$49</definedName>
    <definedName name="Aktywa_A_5_2_KwotaB">_aktywa!$H$49</definedName>
    <definedName name="Aktywa_A_5_2_KwotaC">_aktywa!$J$49</definedName>
    <definedName name="Aktywa_A_5_KwotaA">_aktywa!$F$47</definedName>
    <definedName name="Aktywa_A_5_KwotaB">_aktywa!$H$47</definedName>
    <definedName name="Aktywa_A_5_KwotaC">_aktywa!$J$47</definedName>
    <definedName name="Aktywa_A_KwotaA">_aktywa!$F$8</definedName>
    <definedName name="Aktywa_A_KwotaB">_aktywa!$H$8</definedName>
    <definedName name="Aktywa_A_KwotaC">_aktywa!$J$8</definedName>
    <definedName name="Aktywa_B_1_1_KwotaA">_aktywa!$F$52</definedName>
    <definedName name="Aktywa_B_1_1_KwotaB">_aktywa!$H$52</definedName>
    <definedName name="Aktywa_B_1_1_KwotaC">_aktywa!$J$52</definedName>
    <definedName name="Aktywa_B_1_2_KwotaA">_aktywa!$F$53</definedName>
    <definedName name="Aktywa_B_1_2_KwotaB">_aktywa!$H$53</definedName>
    <definedName name="Aktywa_B_1_2_KwotaC">_aktywa!$J$53</definedName>
    <definedName name="Aktywa_B_1_3_KwotaA">_aktywa!$F$54</definedName>
    <definedName name="Aktywa_B_1_3_KwotaB">_aktywa!$H$54</definedName>
    <definedName name="Aktywa_B_1_3_KwotaC">_aktywa!$J$54</definedName>
    <definedName name="Aktywa_B_1_4_KwotaA">_aktywa!$F$55</definedName>
    <definedName name="Aktywa_B_1_4_KwotaB">_aktywa!$H$55</definedName>
    <definedName name="Aktywa_B_1_4_KwotaC">_aktywa!$J$55</definedName>
    <definedName name="Aktywa_B_1_5_KwotaA">_aktywa!$F$56</definedName>
    <definedName name="Aktywa_B_1_5_KwotaB">_aktywa!$H$56</definedName>
    <definedName name="Aktywa_B_1_5_KwotaC">_aktywa!$J$56</definedName>
    <definedName name="Aktywa_B_1_KwotaA">_aktywa!$F$51</definedName>
    <definedName name="Aktywa_B_1_KwotaB">_aktywa!$H$51</definedName>
    <definedName name="Aktywa_B_1_KwotaC">_aktywa!$J$51</definedName>
    <definedName name="Aktywa_B_2_1_A_1_KwotaA">_aktywa!$F$60</definedName>
    <definedName name="Aktywa_B_2_1_A_1_KwotaB">_aktywa!$H$60</definedName>
    <definedName name="Aktywa_B_2_1_A_1_KwotaC">_aktywa!$J$60</definedName>
    <definedName name="Aktywa_B_2_1_A_2_KwotaA">_aktywa!$F$61</definedName>
    <definedName name="Aktywa_B_2_1_A_2_KwotaB">_aktywa!$H$61</definedName>
    <definedName name="Aktywa_B_2_1_A_2_KwotaC">_aktywa!$J$61</definedName>
    <definedName name="Aktywa_B_2_1_A_KwotaA">_aktywa!$F$59</definedName>
    <definedName name="Aktywa_B_2_1_A_KwotaB">_aktywa!$H$59</definedName>
    <definedName name="Aktywa_B_2_1_A_KwotaC">_aktywa!$J$59</definedName>
    <definedName name="Aktywa_B_2_1_B_KwotaA">_aktywa!$F$62</definedName>
    <definedName name="Aktywa_B_2_1_B_KwotaB">_aktywa!$H$62</definedName>
    <definedName name="Aktywa_B_2_1_B_KwotaC">_aktywa!$J$62</definedName>
    <definedName name="Aktywa_B_2_1_KwotaA">_aktywa!$F$58</definedName>
    <definedName name="Aktywa_B_2_1_KwotaB">_aktywa!$H$58</definedName>
    <definedName name="Aktywa_B_2_1_KwotaC">_aktywa!$J$58</definedName>
    <definedName name="Aktywa_B_2_2_A_1_KwotaA">_aktywa!$F$65</definedName>
    <definedName name="Aktywa_B_2_2_A_1_KwotaB">_aktywa!$H$65</definedName>
    <definedName name="Aktywa_B_2_2_A_1_KwotaC">_aktywa!$J$65</definedName>
    <definedName name="Aktywa_B_2_2_A_2_KwotaA">_aktywa!$F$66</definedName>
    <definedName name="Aktywa_B_2_2_A_2_KwotaB">_aktywa!$H$66</definedName>
    <definedName name="Aktywa_B_2_2_A_2_KwotaC">_aktywa!$J$66</definedName>
    <definedName name="Aktywa_B_2_2_A_KwotaA">_aktywa!$F$64</definedName>
    <definedName name="Aktywa_B_2_2_A_KwotaB">_aktywa!$H$64</definedName>
    <definedName name="Aktywa_B_2_2_A_KwotaC">_aktywa!$J$64</definedName>
    <definedName name="Aktywa_B_2_2_B_KwotaA">_aktywa!$F$67</definedName>
    <definedName name="Aktywa_B_2_2_B_KwotaB">_aktywa!$H$67</definedName>
    <definedName name="Aktywa_B_2_2_B_KwotaC">_aktywa!$J$67</definedName>
    <definedName name="Aktywa_B_2_2_KwotaA">_aktywa!$F$63</definedName>
    <definedName name="Aktywa_B_2_2_KwotaB">_aktywa!$H$63</definedName>
    <definedName name="Aktywa_B_2_2_KwotaC">_aktywa!$J$63</definedName>
    <definedName name="Aktywa_B_2_3_A_1_KwotaA">_aktywa!$F$70</definedName>
    <definedName name="Aktywa_B_2_3_A_1_KwotaB">_aktywa!$H$70</definedName>
    <definedName name="Aktywa_B_2_3_A_1_KwotaC">_aktywa!$J$70</definedName>
    <definedName name="Aktywa_B_2_3_A_2_KwotaA">_aktywa!$F$71</definedName>
    <definedName name="Aktywa_B_2_3_A_2_KwotaB">_aktywa!$H$71</definedName>
    <definedName name="Aktywa_B_2_3_A_2_KwotaC">_aktywa!$J$71</definedName>
    <definedName name="Aktywa_B_2_3_A_KwotaA">_aktywa!$F$69</definedName>
    <definedName name="Aktywa_B_2_3_A_KwotaB">_aktywa!$H$69</definedName>
    <definedName name="Aktywa_B_2_3_A_KwotaC">_aktywa!$J$69</definedName>
    <definedName name="Aktywa_B_2_3_B_KwotaA">_aktywa!$F$72</definedName>
    <definedName name="Aktywa_B_2_3_B_KwotaB">_aktywa!$H$72</definedName>
    <definedName name="Aktywa_B_2_3_B_KwotaC">_aktywa!$J$72</definedName>
    <definedName name="Aktywa_B_2_3_C_KwotaA">_aktywa!$F$73</definedName>
    <definedName name="Aktywa_B_2_3_C_KwotaB">_aktywa!$H$73</definedName>
    <definedName name="Aktywa_B_2_3_C_KwotaC">_aktywa!$J$73</definedName>
    <definedName name="Aktywa_B_2_3_D_KwotaA">_aktywa!$F$74</definedName>
    <definedName name="Aktywa_B_2_3_D_KwotaB">_aktywa!$H$74</definedName>
    <definedName name="Aktywa_B_2_3_D_KwotaC">_aktywa!$J$74</definedName>
    <definedName name="Aktywa_B_2_3_KwotaA">_aktywa!$F$68</definedName>
    <definedName name="Aktywa_B_2_3_KwotaB">_aktywa!$H$68</definedName>
    <definedName name="Aktywa_B_2_3_KwotaC">_aktywa!$J$68</definedName>
    <definedName name="Aktywa_B_2_KwotaA">_aktywa!$F$57</definedName>
    <definedName name="Aktywa_B_2_KwotaB">_aktywa!$H$57</definedName>
    <definedName name="Aktywa_B_2_KwotaC">_aktywa!$J$57</definedName>
    <definedName name="Aktywa_B_3_1_A_1_KwotaA">_aktywa!$F$78</definedName>
    <definedName name="Aktywa_B_3_1_A_1_KwotaB">_aktywa!$H$78</definedName>
    <definedName name="Aktywa_B_3_1_A_1_KwotaC">_aktywa!$J$78</definedName>
    <definedName name="Aktywa_B_3_1_A_2_KwotaA">_aktywa!$F$79</definedName>
    <definedName name="Aktywa_B_3_1_A_2_KwotaB">_aktywa!$H$79</definedName>
    <definedName name="Aktywa_B_3_1_A_2_KwotaC">_aktywa!$J$79</definedName>
    <definedName name="Aktywa_B_3_1_A_3_KwotaA">_aktywa!$F$80</definedName>
    <definedName name="Aktywa_B_3_1_A_3_KwotaB">_aktywa!$H$80</definedName>
    <definedName name="Aktywa_B_3_1_A_3_KwotaC">_aktywa!$J$80</definedName>
    <definedName name="Aktywa_B_3_1_A_4_KwotaA">_aktywa!$F$81</definedName>
    <definedName name="Aktywa_B_3_1_A_4_KwotaB">_aktywa!$H$81</definedName>
    <definedName name="Aktywa_B_3_1_A_4_KwotaC">_aktywa!$J$81</definedName>
    <definedName name="Aktywa_B_3_1_A_KwotaA">_aktywa!$F$77</definedName>
    <definedName name="Aktywa_B_3_1_A_KwotaB">_aktywa!$H$77</definedName>
    <definedName name="Aktywa_B_3_1_A_KwotaC">_aktywa!$J$77</definedName>
    <definedName name="Aktywa_B_3_1_B_1_KwotaA">_aktywa!$F$83</definedName>
    <definedName name="Aktywa_B_3_1_B_1_KwotaB">_aktywa!$H$83</definedName>
    <definedName name="Aktywa_B_3_1_B_1_KwotaC">_aktywa!$J$83</definedName>
    <definedName name="Aktywa_B_3_1_B_2_KwotaA">_aktywa!$F$84</definedName>
    <definedName name="Aktywa_B_3_1_B_2_KwotaB">_aktywa!$H$84</definedName>
    <definedName name="Aktywa_B_3_1_B_2_KwotaC">_aktywa!$J$84</definedName>
    <definedName name="Aktywa_B_3_1_B_3_KwotaA">_aktywa!$F$85</definedName>
    <definedName name="Aktywa_B_3_1_B_3_KwotaB">_aktywa!$H$85</definedName>
    <definedName name="Aktywa_B_3_1_B_3_KwotaC">_aktywa!$J$85</definedName>
    <definedName name="Aktywa_B_3_1_B_4_KwotaA">_aktywa!$F$86</definedName>
    <definedName name="Aktywa_B_3_1_B_4_KwotaB">_aktywa!$H$86</definedName>
    <definedName name="Aktywa_B_3_1_B_4_KwotaC">_aktywa!$J$86</definedName>
    <definedName name="Aktywa_B_3_1_B_KwotaA">_aktywa!$F$82</definedName>
    <definedName name="Aktywa_B_3_1_B_KwotaB">_aktywa!$H$82</definedName>
    <definedName name="Aktywa_B_3_1_B_KwotaC">_aktywa!$J$82</definedName>
    <definedName name="Aktywa_B_3_1_C_1_KwotaA">_aktywa!$F$88</definedName>
    <definedName name="Aktywa_B_3_1_C_1_KwotaB">_aktywa!$H$88</definedName>
    <definedName name="Aktywa_B_3_1_C_1_KwotaC">_aktywa!$J$88</definedName>
    <definedName name="Aktywa_B_3_1_C_2_KwotaA">_aktywa!$F$89</definedName>
    <definedName name="Aktywa_B_3_1_C_2_KwotaB">_aktywa!$H$89</definedName>
    <definedName name="Aktywa_B_3_1_C_2_KwotaC">_aktywa!$J$89</definedName>
    <definedName name="Aktywa_B_3_1_C_3_KwotaA">_aktywa!$F$90</definedName>
    <definedName name="Aktywa_B_3_1_C_3_KwotaB">_aktywa!$H$90</definedName>
    <definedName name="Aktywa_B_3_1_C_3_KwotaC">_aktywa!$J$90</definedName>
    <definedName name="Aktywa_B_3_1_C_KwotaA">_aktywa!$F$87</definedName>
    <definedName name="Aktywa_B_3_1_C_KwotaB">_aktywa!$H$87</definedName>
    <definedName name="Aktywa_B_3_1_C_KwotaC">_aktywa!$J$87</definedName>
    <definedName name="Aktywa_B_3_1_KwotaA">_aktywa!$F$76</definedName>
    <definedName name="Aktywa_B_3_1_KwotaB">_aktywa!$H$76</definedName>
    <definedName name="Aktywa_B_3_1_KwotaC">_aktywa!$J$76</definedName>
    <definedName name="Aktywa_B_3_2_KwotaA">_aktywa!$F$91</definedName>
    <definedName name="Aktywa_B_3_2_KwotaB">_aktywa!$H$91</definedName>
    <definedName name="Aktywa_B_3_2_KwotaC">_aktywa!$J$91</definedName>
    <definedName name="Aktywa_B_3_KwotaA">_aktywa!$F$75</definedName>
    <definedName name="Aktywa_B_3_KwotaB">_aktywa!$H$75</definedName>
    <definedName name="Aktywa_B_3_KwotaC">_aktywa!$J$75</definedName>
    <definedName name="Aktywa_B_4_KwotaA">_aktywa!$F$92</definedName>
    <definedName name="Aktywa_B_4_KwotaB">_aktywa!$H$92</definedName>
    <definedName name="Aktywa_B_4_KwotaC">_aktywa!$J$92</definedName>
    <definedName name="Aktywa_B_KwotaA">_aktywa!$F$50</definedName>
    <definedName name="Aktywa_B_KwotaB">_aktywa!$H$50</definedName>
    <definedName name="Aktywa_B_KwotaC">_aktywa!$J$50</definedName>
    <definedName name="Aktywa_C_KwotaA">_aktywa!$F$93</definedName>
    <definedName name="Aktywa_C_KwotaB">_aktywa!$H$93</definedName>
    <definedName name="Aktywa_C_KwotaC">_aktywa!$J$93</definedName>
    <definedName name="Aktywa_D_KwotaA">_aktywa!$F$94</definedName>
    <definedName name="Aktywa_D_KwotaB">_aktywa!$H$94</definedName>
    <definedName name="Aktywa_D_KwotaC">_aktywa!$J$94</definedName>
    <definedName name="Aktywa_KwotaA">_aktywa!$F$95</definedName>
    <definedName name="Aktywa_KwotaB">_aktywa!$H$95</definedName>
    <definedName name="Aktywa_KwotaC">_aktywa!$J$95</definedName>
    <definedName name="CFPosr_A_1_KwotaA">przepływy!$F$9</definedName>
    <definedName name="CFPosr_A_1_KwotaB">przepływy!$H$9</definedName>
    <definedName name="CFPosr_A_1_KwotaC">przepływy!$J$9</definedName>
    <definedName name="CFPosr_A_2_1_KwotaA">przepływy!$F$11</definedName>
    <definedName name="CFPosr_A_2_1_KwotaB">przepływy!$H$11</definedName>
    <definedName name="CFPosr_A_2_1_KwotaC">przepływy!$J$11</definedName>
    <definedName name="CFPosr_A_2_10_KwotaA">przepływy!$F$20</definedName>
    <definedName name="CFPosr_A_2_10_KwotaB">przepływy!$H$20</definedName>
    <definedName name="CFPosr_A_2_10_KwotaC">przepływy!$J$20</definedName>
    <definedName name="CFPosr_A_2_2_KwotaA">przepływy!$F$12</definedName>
    <definedName name="CFPosr_A_2_2_KwotaB">przepływy!$H$12</definedName>
    <definedName name="CFPosr_A_2_2_KwotaC">przepływy!$J$12</definedName>
    <definedName name="CFPosr_A_2_3_KwotaA">przepływy!$F$13</definedName>
    <definedName name="CFPosr_A_2_3_KwotaB">przepływy!$H$13</definedName>
    <definedName name="CFPosr_A_2_3_KwotaC">przepływy!$J$13</definedName>
    <definedName name="CFPosr_A_2_4_KwotaA">przepływy!$F$14</definedName>
    <definedName name="CFPosr_A_2_4_KwotaB">przepływy!$H$14</definedName>
    <definedName name="CFPosr_A_2_4_KwotaC">przepływy!$J$14</definedName>
    <definedName name="CFPosr_A_2_5_KwotaA">przepływy!$F$15</definedName>
    <definedName name="CFPosr_A_2_5_KwotaB">przepływy!$H$15</definedName>
    <definedName name="CFPosr_A_2_5_KwotaC">przepływy!$J$15</definedName>
    <definedName name="CFPosr_A_2_6_KwotaA">przepływy!$F$16</definedName>
    <definedName name="CFPosr_A_2_6_KwotaB">przepływy!$H$16</definedName>
    <definedName name="CFPosr_A_2_6_KwotaC">przepływy!$J$16</definedName>
    <definedName name="CFPosr_A_2_7_KwotaA">przepływy!$F$17</definedName>
    <definedName name="CFPosr_A_2_7_KwotaB">przepływy!$H$17</definedName>
    <definedName name="CFPosr_A_2_7_KwotaC">przepływy!$J$17</definedName>
    <definedName name="CFPosr_A_2_8_KwotaA">przepływy!$F$18</definedName>
    <definedName name="CFPosr_A_2_8_KwotaB">przepływy!$H$18</definedName>
    <definedName name="CFPosr_A_2_8_KwotaC">przepływy!$J$18</definedName>
    <definedName name="CFPosr_A_2_9_KwotaA">przepływy!$F$19</definedName>
    <definedName name="CFPosr_A_2_9_KwotaB">przepływy!$H$19</definedName>
    <definedName name="CFPosr_A_2_9_KwotaC">przepływy!$J$19</definedName>
    <definedName name="CFPosr_A_2_KwotaA">przepływy!$F$10</definedName>
    <definedName name="CFPosr_A_2_KwotaB">przepływy!$H$10</definedName>
    <definedName name="CFPosr_A_2_KwotaC">przepływy!$J$10</definedName>
    <definedName name="CFPosr_A_3_KwotaA">przepływy!$F$21</definedName>
    <definedName name="CFPosr_A_3_KwotaB">przepływy!$H$21</definedName>
    <definedName name="CFPosr_A_3_KwotaC">przepływy!$J$21</definedName>
    <definedName name="CFPosr_A_KwotaA">przepływy!$F$8</definedName>
    <definedName name="CFPosr_A_KwotaB">przepływy!$H$8</definedName>
    <definedName name="CFPosr_A_KwotaC">przepływy!$J$8</definedName>
    <definedName name="CFPosr_B_1_1_KwotaA">przepływy!$F$24</definedName>
    <definedName name="CFPosr_B_1_1_KwotaB">przepływy!$H$24</definedName>
    <definedName name="CFPosr_B_1_1_KwotaC">przepływy!$J$24</definedName>
    <definedName name="CFPosr_B_1_2_KwotaA">przepływy!$F$25</definedName>
    <definedName name="CFPosr_B_1_2_KwotaB">przepływy!$H$25</definedName>
    <definedName name="CFPosr_B_1_2_KwotaC">przepływy!$J$25</definedName>
    <definedName name="CFPosr_B_1_3_A_KwotaA">przepływy!$F$27</definedName>
    <definedName name="CFPosr_B_1_3_A_KwotaB">przepływy!$H$27</definedName>
    <definedName name="CFPosr_B_1_3_A_KwotaC">przepływy!$J$27</definedName>
    <definedName name="CFPosr_B_1_3_B_1_KwotaA">przepływy!$F$29</definedName>
    <definedName name="CFPosr_B_1_3_B_1_KwotaB">przepływy!$H$29</definedName>
    <definedName name="CFPosr_B_1_3_B_1_KwotaC">przepływy!$J$29</definedName>
    <definedName name="CFPosr_B_1_3_B_2_KwotaA">przepływy!$F$30</definedName>
    <definedName name="CFPosr_B_1_3_B_2_KwotaB">przepływy!$H$30</definedName>
    <definedName name="CFPosr_B_1_3_B_2_KwotaC">przepływy!$J$30</definedName>
    <definedName name="CFPosr_B_1_3_B_3_KwotaA">przepływy!$F$31</definedName>
    <definedName name="CFPosr_B_1_3_B_3_KwotaB">przepływy!$H$31</definedName>
    <definedName name="CFPosr_B_1_3_B_3_KwotaC">przepływy!$J$31</definedName>
    <definedName name="CFPosr_B_1_3_B_4_KwotaA">przepływy!$F$32</definedName>
    <definedName name="CFPosr_B_1_3_B_4_KwotaB">przepływy!$H$32</definedName>
    <definedName name="CFPosr_B_1_3_B_4_KwotaC">przepływy!$J$32</definedName>
    <definedName name="CFPosr_B_1_3_B_5_KwotaA">przepływy!$F$33</definedName>
    <definedName name="CFPosr_B_1_3_B_5_KwotaB">przepływy!$H$33</definedName>
    <definedName name="CFPosr_B_1_3_B_5_KwotaC">przepływy!$J$33</definedName>
    <definedName name="CFPosr_B_1_3_B_KwotaA">przepływy!$F$28</definedName>
    <definedName name="CFPosr_B_1_3_B_KwotaB">przepływy!$H$28</definedName>
    <definedName name="CFPosr_B_1_3_B_KwotaC">przepływy!$J$28</definedName>
    <definedName name="CFPosr_B_1_3_KwotaA">przepływy!$F$26</definedName>
    <definedName name="CFPosr_B_1_3_KwotaB">przepływy!$H$26</definedName>
    <definedName name="CFPosr_B_1_3_KwotaC">przepływy!$J$26</definedName>
    <definedName name="CFPosr_B_1_4_KwotaA">przepływy!$F$34</definedName>
    <definedName name="CFPosr_B_1_4_KwotaB">przepływy!$H$34</definedName>
    <definedName name="CFPosr_B_1_4_KwotaC">przepływy!$J$34</definedName>
    <definedName name="CFPosr_B_1_KwotaA">przepływy!$F$23</definedName>
    <definedName name="CFPosr_B_1_KwotaB">przepływy!$H$23</definedName>
    <definedName name="CFPosr_B_1_KwotaC">przepływy!$J$23</definedName>
    <definedName name="CFPosr_B_2_1_KwotaA">przepływy!$F$36</definedName>
    <definedName name="CFPosr_B_2_1_KwotaB">przepływy!$H$36</definedName>
    <definedName name="CFPosr_B_2_1_KwotaC">przepływy!$J$36</definedName>
    <definedName name="CFPosr_B_2_2_KwotaA">przepływy!$F$37</definedName>
    <definedName name="CFPosr_B_2_2_KwotaB">przepływy!$H$37</definedName>
    <definedName name="CFPosr_B_2_2_KwotaC">przepływy!$J$37</definedName>
    <definedName name="CFPosr_B_2_3_A_KwotaA">przepływy!$F$39</definedName>
    <definedName name="CFPosr_B_2_3_A_KwotaB">przepływy!$H$39</definedName>
    <definedName name="CFPosr_B_2_3_A_KwotaC">przepływy!$J$39</definedName>
    <definedName name="CFPosr_B_2_3_B_1_KwotaA">przepływy!$F$41</definedName>
    <definedName name="CFPosr_B_2_3_B_1_KwotaB">przepływy!$H$41</definedName>
    <definedName name="CFPosr_B_2_3_B_1_KwotaC">przepływy!$J$41</definedName>
    <definedName name="CFPosr_B_2_3_B_2_KwotaA">przepływy!$F$42</definedName>
    <definedName name="CFPosr_B_2_3_B_2_KwotaB">przepływy!$H$42</definedName>
    <definedName name="CFPosr_B_2_3_B_2_KwotaC">przepływy!$J$42</definedName>
    <definedName name="CFPosr_B_2_3_B_KwotaA">przepływy!$F$40</definedName>
    <definedName name="CFPosr_B_2_3_B_KwotaB">przepływy!$H$40</definedName>
    <definedName name="CFPosr_B_2_3_B_KwotaC">przepływy!$J$40</definedName>
    <definedName name="CFPosr_B_2_3_KwotaA">przepływy!$F$38</definedName>
    <definedName name="CFPosr_B_2_3_KwotaB">przepływy!$H$38</definedName>
    <definedName name="CFPosr_B_2_3_KwotaC">przepływy!$J$38</definedName>
    <definedName name="CFPosr_B_2_4_KwotaA">przepływy!$F$43</definedName>
    <definedName name="CFPosr_B_2_4_KwotaB">przepływy!$H$43</definedName>
    <definedName name="CFPosr_B_2_4_KwotaC">przepływy!$J$43</definedName>
    <definedName name="CFPosr_B_2_KwotaA">przepływy!$F$35</definedName>
    <definedName name="CFPosr_B_2_KwotaB">przepływy!$H$35</definedName>
    <definedName name="CFPosr_B_2_KwotaC">przepływy!$J$35</definedName>
    <definedName name="CFPosr_B_3_KwotaA">przepływy!$F$44</definedName>
    <definedName name="CFPosr_B_3_KwotaB">przepływy!$H$44</definedName>
    <definedName name="CFPosr_B_3_KwotaC">przepływy!$J$44</definedName>
    <definedName name="CFPosr_B_KwotaA">przepływy!$F$22</definedName>
    <definedName name="CFPosr_B_KwotaB">przepływy!$H$22</definedName>
    <definedName name="CFPosr_B_KwotaC">przepływy!$J$22</definedName>
    <definedName name="CFPosr_C_1_1_KwotaA">przepływy!$F$47</definedName>
    <definedName name="CFPosr_C_1_1_KwotaB">przepływy!$H$47</definedName>
    <definedName name="CFPosr_C_1_1_KwotaC">przepływy!$J$47</definedName>
    <definedName name="CFPosr_C_1_2_KwotaA">przepływy!$F$48</definedName>
    <definedName name="CFPosr_C_1_2_KwotaB">przepływy!$H$48</definedName>
    <definedName name="CFPosr_C_1_2_KwotaC">przepływy!$J$48</definedName>
    <definedName name="CFPosr_C_1_3_KwotaA">przepływy!$F$49</definedName>
    <definedName name="CFPosr_C_1_3_KwotaB">przepływy!$H$49</definedName>
    <definedName name="CFPosr_C_1_3_KwotaC">przepływy!$J$49</definedName>
    <definedName name="CFPosr_C_1_4_KwotaA">przepływy!$F$50</definedName>
    <definedName name="CFPosr_C_1_4_KwotaB">przepływy!$H$50</definedName>
    <definedName name="CFPosr_C_1_4_KwotaC">przepływy!$J$50</definedName>
    <definedName name="CFPosr_C_1_KwotaA">przepływy!$F$46</definedName>
    <definedName name="CFPosr_C_1_KwotaB">przepływy!$H$46</definedName>
    <definedName name="CFPosr_C_1_KwotaC">przepływy!$J$46</definedName>
    <definedName name="CFPosr_C_2_1_KwotaA">przepływy!$F$52</definedName>
    <definedName name="CFPosr_C_2_1_KwotaB">przepływy!$H$52</definedName>
    <definedName name="CFPosr_C_2_1_KwotaC">przepływy!$J$52</definedName>
    <definedName name="CFPosr_C_2_2_KwotaA">przepływy!$F$53</definedName>
    <definedName name="CFPosr_C_2_2_KwotaB">przepływy!$H$53</definedName>
    <definedName name="CFPosr_C_2_2_KwotaC">przepływy!$J$53</definedName>
    <definedName name="CFPosr_C_2_3_KwotaA">przepływy!$F$54</definedName>
    <definedName name="CFPosr_C_2_3_KwotaB">przepływy!$H$54</definedName>
    <definedName name="CFPosr_C_2_3_KwotaC">przepływy!$J$54</definedName>
    <definedName name="CFPosr_C_2_4_KwotaA">przepływy!$F$55</definedName>
    <definedName name="CFPosr_C_2_4_KwotaB">przepływy!$H$55</definedName>
    <definedName name="CFPosr_C_2_4_KwotaC">przepływy!$J$55</definedName>
    <definedName name="CFPosr_C_2_5_KwotaA">przepływy!$F$56</definedName>
    <definedName name="CFPosr_C_2_5_KwotaB">przepływy!$H$56</definedName>
    <definedName name="CFPosr_C_2_5_KwotaC">przepływy!$J$56</definedName>
    <definedName name="CFPosr_C_2_6_KwotaA">przepływy!$F$57</definedName>
    <definedName name="CFPosr_C_2_6_KwotaB">przepływy!$H$57</definedName>
    <definedName name="CFPosr_C_2_6_KwotaC">przepływy!$J$57</definedName>
    <definedName name="CFPosr_C_2_7_KwotaA">przepływy!$F$58</definedName>
    <definedName name="CFPosr_C_2_7_KwotaB">przepływy!$H$58</definedName>
    <definedName name="CFPosr_C_2_7_KwotaC">przepływy!$J$58</definedName>
    <definedName name="CFPosr_C_2_8_KwotaA">przepływy!$F$59</definedName>
    <definedName name="CFPosr_C_2_8_KwotaB">przepływy!$H$59</definedName>
    <definedName name="CFPosr_C_2_8_KwotaC">przepływy!$J$59</definedName>
    <definedName name="CFPosr_C_2_9_KwotaA">przepływy!$F$60</definedName>
    <definedName name="CFPosr_C_2_9_KwotaB">przepływy!$H$60</definedName>
    <definedName name="CFPosr_C_2_9_KwotaC">przepływy!$J$60</definedName>
    <definedName name="CFPosr_C_2_KwotaA">przepływy!$F$51</definedName>
    <definedName name="CFPosr_C_2_KwotaB">przepływy!$H$51</definedName>
    <definedName name="CFPosr_C_2_KwotaC">przepływy!$J$51</definedName>
    <definedName name="CFPosr_C_3_KwotaA">przepływy!$F$61</definedName>
    <definedName name="CFPosr_C_3_KwotaB">przepływy!$H$61</definedName>
    <definedName name="CFPosr_C_3_KwotaC">przepływy!$J$61</definedName>
    <definedName name="CFPosr_C_KwotaA">przepływy!$F$45</definedName>
    <definedName name="CFPosr_C_KwotaB">przepływy!$H$45</definedName>
    <definedName name="CFPosr_C_KwotaC">przepływy!$J$45</definedName>
    <definedName name="CFPosr_D_KwotaA">przepływy!$F$62</definedName>
    <definedName name="CFPosr_D_KwotaB">przepływy!$H$62</definedName>
    <definedName name="CFPosr_D_KwotaC">przepływy!$J$62</definedName>
    <definedName name="CFPosr_E_1_KwotaA">przepływy!$F$64</definedName>
    <definedName name="CFPosr_E_1_KwotaB">przepływy!$H$64</definedName>
    <definedName name="CFPosr_E_1_KwotaC">przepływy!$J$64</definedName>
    <definedName name="CFPosr_E_KwotaA">przepływy!$F$63</definedName>
    <definedName name="CFPosr_E_KwotaB">przepływy!$H$63</definedName>
    <definedName name="CFPosr_E_KwotaC">przepływy!$J$63</definedName>
    <definedName name="CFPosr_F_KwotaA">przepływy!$F$65</definedName>
    <definedName name="CFPosr_F_KwotaB">przepływy!$H$65</definedName>
    <definedName name="CFPosr_F_KwotaC">przepływy!$J$65</definedName>
    <definedName name="CFPosr_G_1_KwotaA">przepływy!$F$67</definedName>
    <definedName name="CFPosr_G_1_KwotaB">przepływy!$H$67</definedName>
    <definedName name="CFPosr_G_1_KwotaC">przepływy!$J$67</definedName>
    <definedName name="CFPosr_G_KwotaA">przepływy!$F$66</definedName>
    <definedName name="CFPosr_G_KwotaB">przepływy!$H$66</definedName>
    <definedName name="CFPosr_G_KwotaC">przepływy!$J$66</definedName>
    <definedName name="DaneLaczne">Input!$C$23</definedName>
    <definedName name="DanePrzeksztalcone">Input!$P$65</definedName>
    <definedName name="DataDo">Input!$R$7</definedName>
    <definedName name="DataDoZakonczenie">Input!$C$17</definedName>
    <definedName name="DataOd">Input!$R$6</definedName>
    <definedName name="DataOdZakonczenie">Input!$C$16</definedName>
    <definedName name="DataSporzadzenia">Input!$R$13</definedName>
    <definedName name="ExactAddinConnection" hidden="1">"888"</definedName>
    <definedName name="ExactAddinConnection.100" hidden="1">"plwaes01;719;michal.lewczuk;1"</definedName>
    <definedName name="ExactAddinConnection.101" hidden="1">"plwaes01;101;michal.lewczuk;1"</definedName>
    <definedName name="ExactAddinConnection.144" hidden="1">"plwaes01;400;mle;1"</definedName>
    <definedName name="ExactAddinConnection.236" hidden="1">"plwaes01;236;mle;1"</definedName>
    <definedName name="ExactAddinConnection.263" hidden="1">"plwaes01;263;mle;1"</definedName>
    <definedName name="ExactAddinConnection.315" hidden="1">"plwaes01;753;mle;1"</definedName>
    <definedName name="ExactAddinConnection.379" hidden="1">"plwaes01;379;mle;1"</definedName>
    <definedName name="ExactAddinConnection.570" hidden="1">"plwaes01;570;mle;1"</definedName>
    <definedName name="ExactAddinConnection.707" hidden="1">"plwaes01;719;michal.lewczuk;1"</definedName>
    <definedName name="ExactAddinConnection.709" hidden="1">"plwaes01;423;SWL;1"</definedName>
    <definedName name="ExactAddinConnection.710" hidden="1">"plwaes01;189;mle;1"</definedName>
    <definedName name="ExactAddinConnection.712" localSheetId="1" hidden="1">"plwaes01;720;mle;1"</definedName>
    <definedName name="ExactAddinConnection.712" localSheetId="9" hidden="1">"plwaes01;719;michal.lewczuk;1"</definedName>
    <definedName name="ExactAddinConnection.712" localSheetId="8" hidden="1">"plwaes01;719;michal.lewczuk;1"</definedName>
    <definedName name="ExactAddinConnection.712" localSheetId="11" hidden="1">"plwaes01;719;michal.lewczuk;1"</definedName>
    <definedName name="ExactAddinConnection.712" hidden="1">"plwaes01;720;mle;1"</definedName>
    <definedName name="ExactAddinConnection.718" hidden="1">"plwaes01;746;michal.lewczuk;1"</definedName>
    <definedName name="ExactAddinConnection.719" hidden="1">"plwaes01;400;mle;1"</definedName>
    <definedName name="ExactAddinConnection.746" hidden="1">"plwaes01;746;michal.lewczuk;1"</definedName>
    <definedName name="ExactAddinConnection.749" hidden="1">"plwaes01;713;jacek.bartosiewicz;1"</definedName>
    <definedName name="ExactAddinConnection.777" hidden="1">"plwaes01;777;exact;1"</definedName>
    <definedName name="ExactAddinConnection.790" hidden="1">"plwaes01;790;michal.lewczuk;1"</definedName>
    <definedName name="ExactAddinConnection.799" hidden="1">"plwaes01;799;anna.los;1"</definedName>
    <definedName name="ExactAddinConnection.888" localSheetId="9" hidden="1">"plwaes01;189;mle;1"</definedName>
    <definedName name="ExactAddinConnection.888" localSheetId="8" hidden="1">"plwaes01;189;mle;1"</definedName>
    <definedName name="ExactAddinConnection.888" hidden="1">"plwaes01;189;mle;1"</definedName>
    <definedName name="ExactAddinConnection.991" hidden="1">"plwaes01;991;michal.lewczuk;1"</definedName>
    <definedName name="ExactAddinConnection.996" hidden="1">"plwaes01;753;mle;1"</definedName>
    <definedName name="ExactAddinConnection.997" hidden="1">"plwaes01;346;mle;1"</definedName>
    <definedName name="ExactAddinConnection.999" hidden="1">"plwaes01;718;mle;1"</definedName>
    <definedName name="Gmina">Input!$C$33</definedName>
    <definedName name="Gmina_eng">Input!$D$33</definedName>
    <definedName name="Jezyk">Input!$P$63</definedName>
    <definedName name="Kapital_1_1_KwotaA">kapitał!$F$9</definedName>
    <definedName name="Kapital_1_1_KwotaB">kapitał!$H$9</definedName>
    <definedName name="Kapital_1_1_KwotaC">kapitał!$J$9</definedName>
    <definedName name="Kapital_1_2_KwotaA">kapitał!$F$10</definedName>
    <definedName name="Kapital_1_2_KwotaB">kapitał!$H$10</definedName>
    <definedName name="Kapital_1_2_KwotaC">kapitał!$J$10</definedName>
    <definedName name="Kapital_1_KwotaA">kapitał!$F$8</definedName>
    <definedName name="Kapital_1_KwotaB">kapitał!$H$8</definedName>
    <definedName name="Kapital_1_KwotaC">kapitał!$J$8</definedName>
    <definedName name="Kapital_1A_1_1_A_1_KwotaA">kapitał!$F$15</definedName>
    <definedName name="Kapital_1A_1_1_A_1_KwotaB">kapitał!$H$15</definedName>
    <definedName name="Kapital_1A_1_1_A_1_KwotaC">kapitał!$J$15</definedName>
    <definedName name="Kapital_1A_1_1_A_KwotaA">kapitał!$F$14</definedName>
    <definedName name="Kapital_1A_1_1_A_KwotaB">kapitał!$H$14</definedName>
    <definedName name="Kapital_1A_1_1_A_KwotaC">kapitał!$J$14</definedName>
    <definedName name="Kapital_1A_1_1_B_1_KwotaA">kapitał!$F$17</definedName>
    <definedName name="Kapital_1A_1_1_B_1_KwotaB">kapitał!$H$17</definedName>
    <definedName name="Kapital_1A_1_1_B_1_KwotaC">kapitał!$J$17</definedName>
    <definedName name="Kapital_1A_1_1_B_KwotaA">kapitał!$F$16</definedName>
    <definedName name="Kapital_1A_1_1_B_KwotaB">kapitał!$H$16</definedName>
    <definedName name="Kapital_1A_1_1_B_KwotaC">kapitał!$J$16</definedName>
    <definedName name="Kapital_1A_1_1_KwotaA">kapitał!$F$13</definedName>
    <definedName name="Kapital_1A_1_1_KwotaB">kapitał!$H$13</definedName>
    <definedName name="Kapital_1A_1_1_KwotaC">kapitał!$J$13</definedName>
    <definedName name="Kapital_1A_1_2_KwotaA">kapitał!$F$18</definedName>
    <definedName name="Kapital_1A_1_2_KwotaB">kapitał!$H$18</definedName>
    <definedName name="Kapital_1A_1_2_KwotaC">kapitał!$J$18</definedName>
    <definedName name="Kapital_1A_1_KwotaA">kapitał!$F$12</definedName>
    <definedName name="Kapital_1A_1_KwotaB">kapitał!$H$12</definedName>
    <definedName name="Kapital_1A_1_KwotaC">kapitał!$J$12</definedName>
    <definedName name="Kapital_1A_2_1_A_1_KwotaA">kapitał!$F$22</definedName>
    <definedName name="Kapital_1A_2_1_A_1_KwotaB">kapitał!$H$22</definedName>
    <definedName name="Kapital_1A_2_1_A_1_KwotaC">kapitał!$J$22</definedName>
    <definedName name="Kapital_1A_2_1_A_2_KwotaA">kapitał!$F$23</definedName>
    <definedName name="Kapital_1A_2_1_A_2_KwotaB">kapitał!$H$23</definedName>
    <definedName name="Kapital_1A_2_1_A_2_KwotaC">kapitał!$J$23</definedName>
    <definedName name="Kapital_1A_2_1_A_3_KwotaA">kapitał!$F$24</definedName>
    <definedName name="Kapital_1A_2_1_A_3_KwotaB">kapitał!$H$24</definedName>
    <definedName name="Kapital_1A_2_1_A_3_KwotaC">kapitał!$J$24</definedName>
    <definedName name="Kapital_1A_2_1_A_KwotaA">kapitał!$F$21</definedName>
    <definedName name="Kapital_1A_2_1_A_KwotaB">kapitał!$H$21</definedName>
    <definedName name="Kapital_1A_2_1_A_KwotaC">kapitał!$J$21</definedName>
    <definedName name="Kapital_1A_2_1_B_1_KwotaA">kapitał!$F$26</definedName>
    <definedName name="Kapital_1A_2_1_B_1_KwotaB">kapitał!$H$26</definedName>
    <definedName name="Kapital_1A_2_1_B_1_KwotaC">kapitał!$J$26</definedName>
    <definedName name="Kapital_1A_2_1_B_KwotaA">kapitał!$F$25</definedName>
    <definedName name="Kapital_1A_2_1_B_KwotaB">kapitał!$H$25</definedName>
    <definedName name="Kapital_1A_2_1_B_KwotaC">kapitał!$J$25</definedName>
    <definedName name="Kapital_1A_2_1_KwotaA">kapitał!$F$20</definedName>
    <definedName name="Kapital_1A_2_1_KwotaB">kapitał!$H$20</definedName>
    <definedName name="Kapital_1A_2_1_KwotaC">kapitał!$J$20</definedName>
    <definedName name="Kapital_1A_2_2_KwotaA">kapitał!$F$27</definedName>
    <definedName name="Kapital_1A_2_2_KwotaB">kapitał!$H$27</definedName>
    <definedName name="Kapital_1A_2_2_KwotaC">kapitał!$J$27</definedName>
    <definedName name="Kapital_1A_2_KwotaA">kapitał!$F$19</definedName>
    <definedName name="Kapital_1A_2_KwotaB">kapitał!$H$19</definedName>
    <definedName name="Kapital_1A_2_KwotaC">kapitał!$J$19</definedName>
    <definedName name="Kapital_1A_3_1_A_KwotaA">kapitał!$F$30</definedName>
    <definedName name="Kapital_1A_3_1_A_KwotaB">kapitał!$H$30</definedName>
    <definedName name="Kapital_1A_3_1_A_KwotaC">kapitał!$J$30</definedName>
    <definedName name="Kapital_1A_3_1_B_1_KwotaA">kapitał!$F$32</definedName>
    <definedName name="Kapital_1A_3_1_B_1_KwotaB">kapitał!$H$32</definedName>
    <definedName name="Kapital_1A_3_1_B_1_KwotaC">kapitał!$J$32</definedName>
    <definedName name="Kapital_1A_3_1_B_KwotaA">kapitał!$F$31</definedName>
    <definedName name="Kapital_1A_3_1_B_KwotaB">kapitał!$H$31</definedName>
    <definedName name="Kapital_1A_3_1_B_KwotaC">kapitał!$J$31</definedName>
    <definedName name="Kapital_1A_3_1_KwotaA">kapitał!$F$29</definedName>
    <definedName name="Kapital_1A_3_1_KwotaB">kapitał!$H$29</definedName>
    <definedName name="Kapital_1A_3_1_KwotaC">kapitał!$J$29</definedName>
    <definedName name="Kapital_1A_3_2_KwotaA">kapitał!$F$33</definedName>
    <definedName name="Kapital_1A_3_2_KwotaB">kapitał!$H$33</definedName>
    <definedName name="Kapital_1A_3_2_KwotaC">kapitał!$J$33</definedName>
    <definedName name="Kapital_1A_3_KwotaA">kapitał!$F$28</definedName>
    <definedName name="Kapital_1A_3_KwotaB">kapitał!$H$28</definedName>
    <definedName name="Kapital_1A_3_KwotaC">kapitał!$J$28</definedName>
    <definedName name="Kapital_1A_4_1_A_KwotaA">kapitał!$F$36</definedName>
    <definedName name="Kapital_1A_4_1_A_KwotaB">kapitał!$H$36</definedName>
    <definedName name="Kapital_1A_4_1_A_KwotaC">kapitał!$J$36</definedName>
    <definedName name="Kapital_1A_4_1_B_KwotaA">kapitał!$F$37</definedName>
    <definedName name="Kapital_1A_4_1_B_KwotaB">kapitał!$H$37</definedName>
    <definedName name="Kapital_1A_4_1_B_KwotaC">kapitał!$J$37</definedName>
    <definedName name="Kapital_1A_4_1_KwotaA">kapitał!$F$35</definedName>
    <definedName name="Kapital_1A_4_1_KwotaB">kapitał!$H$35</definedName>
    <definedName name="Kapital_1A_4_1_KwotaC">kapitał!$J$35</definedName>
    <definedName name="Kapital_1A_4_2_KwotaA">kapitał!$F$38</definedName>
    <definedName name="Kapital_1A_4_2_KwotaB">kapitał!$H$38</definedName>
    <definedName name="Kapital_1A_4_2_KwotaC">kapitał!$J$38</definedName>
    <definedName name="Kapital_1A_4_KwotaA">kapitał!$F$34</definedName>
    <definedName name="Kapital_1A_4_KwotaB">kapitał!$H$34</definedName>
    <definedName name="Kapital_1A_4_KwotaC">kapitał!$J$34</definedName>
    <definedName name="Kapital_1A_5_1_1_KwotaA">kapitał!$F$41</definedName>
    <definedName name="Kapital_1A_5_1_1_KwotaB">kapitał!$H$41</definedName>
    <definedName name="Kapital_1A_5_1_1_KwotaC">kapitał!$J$41</definedName>
    <definedName name="Kapital_1A_5_1_2_KwotaA">kapitał!$F$42</definedName>
    <definedName name="Kapital_1A_5_1_2_KwotaB">kapitał!$H$42</definedName>
    <definedName name="Kapital_1A_5_1_2_KwotaC">kapitał!$J$42</definedName>
    <definedName name="Kapital_1A_5_1_KwotaA">kapitał!$F$40</definedName>
    <definedName name="Kapital_1A_5_1_KwotaB">kapitał!$H$40</definedName>
    <definedName name="Kapital_1A_5_1_KwotaC">kapitał!$J$40</definedName>
    <definedName name="Kapital_1A_5_2_A_1_KwotaA">kapitał!$F$45</definedName>
    <definedName name="Kapital_1A_5_2_A_1_KwotaB">kapitał!$H$45</definedName>
    <definedName name="Kapital_1A_5_2_A_1_KwotaC">kapitał!$J$45</definedName>
    <definedName name="Kapital_1A_5_2_A_KwotaA">kapitał!$F$44</definedName>
    <definedName name="Kapital_1A_5_2_A_KwotaB">kapitał!$H$44</definedName>
    <definedName name="Kapital_1A_5_2_A_KwotaC">kapitał!$J$44</definedName>
    <definedName name="Kapital_1A_5_2_B_KwotaA">kapitał!$F$46</definedName>
    <definedName name="Kapital_1A_5_2_B_KwotaB">kapitał!$H$46</definedName>
    <definedName name="Kapital_1A_5_2_B_KwotaC">kapitał!$J$46</definedName>
    <definedName name="Kapital_1A_5_2_KwotaA">kapitał!$F$43</definedName>
    <definedName name="Kapital_1A_5_2_KwotaB">kapitał!$H$43</definedName>
    <definedName name="Kapital_1A_5_2_KwotaC">kapitał!$J$43</definedName>
    <definedName name="Kapital_1A_5_3_KwotaA">kapitał!$F$47</definedName>
    <definedName name="Kapital_1A_5_3_KwotaB">kapitał!$H$47</definedName>
    <definedName name="Kapital_1A_5_3_KwotaC">kapitał!$J$47</definedName>
    <definedName name="Kapital_1A_5_4_1_KwotaA">kapitał!$F$49</definedName>
    <definedName name="Kapital_1A_5_4_1_KwotaB">kapitał!$H$49</definedName>
    <definedName name="Kapital_1A_5_4_1_KwotaC">kapitał!$J$49</definedName>
    <definedName name="Kapital_1A_5_4_2_KwotaA">kapitał!$F$50</definedName>
    <definedName name="Kapital_1A_5_4_2_KwotaB">kapitał!$H$50</definedName>
    <definedName name="Kapital_1A_5_4_2_KwotaC">kapitał!$J$50</definedName>
    <definedName name="Kapital_1A_5_4_KwotaA">kapitał!$F$48</definedName>
    <definedName name="Kapital_1A_5_4_KwotaB">kapitał!$H$48</definedName>
    <definedName name="Kapital_1A_5_4_KwotaC">kapitał!$J$48</definedName>
    <definedName name="Kapital_1A_5_5_A_1_KwotaA">kapitał!$F$53</definedName>
    <definedName name="Kapital_1A_5_5_A_1_KwotaB">kapitał!$H$53</definedName>
    <definedName name="Kapital_1A_5_5_A_1_KwotaC">kapitał!$J$53</definedName>
    <definedName name="Kapital_1A_5_5_A_KwotaA">kapitał!$F$52</definedName>
    <definedName name="Kapital_1A_5_5_A_KwotaB">kapitał!$H$52</definedName>
    <definedName name="Kapital_1A_5_5_A_KwotaC">kapitał!$J$52</definedName>
    <definedName name="Kapital_1A_5_5_B_KwotaA">kapitał!$F$54</definedName>
    <definedName name="Kapital_1A_5_5_B_KwotaB">kapitał!$H$54</definedName>
    <definedName name="Kapital_1A_5_5_B_KwotaC">kapitał!$J$54</definedName>
    <definedName name="Kapital_1A_5_5_KwotaA">kapitał!$F$51</definedName>
    <definedName name="Kapital_1A_5_5_KwotaB">kapitał!$H$51</definedName>
    <definedName name="Kapital_1A_5_5_KwotaC">kapitał!$J$51</definedName>
    <definedName name="Kapital_1A_5_6_KwotaA">kapitał!$F$55</definedName>
    <definedName name="Kapital_1A_5_6_KwotaB">kapitał!$H$55</definedName>
    <definedName name="Kapital_1A_5_6_KwotaC">kapitał!$J$55</definedName>
    <definedName name="Kapital_1A_5_7_KwotaA">kapitał!$F$56</definedName>
    <definedName name="Kapital_1A_5_7_KwotaB">kapitał!$H$56</definedName>
    <definedName name="Kapital_1A_5_7_KwotaC">kapitał!$J$56</definedName>
    <definedName name="Kapital_1A_5_KwotaA">kapitał!$F$39</definedName>
    <definedName name="Kapital_1A_5_KwotaB">kapitał!$H$39</definedName>
    <definedName name="Kapital_1A_5_KwotaC">kapitał!$J$39</definedName>
    <definedName name="Kapital_1A_6_A_KwotaA">kapitał!$F$58</definedName>
    <definedName name="Kapital_1A_6_A_KwotaB">kapitał!$H$58</definedName>
    <definedName name="Kapital_1A_6_A_KwotaC">kapitał!$J$58</definedName>
    <definedName name="Kapital_1A_6_B_KwotaA">kapitał!$F$59</definedName>
    <definedName name="Kapital_1A_6_B_KwotaB">kapitał!$H$59</definedName>
    <definedName name="Kapital_1A_6_B_KwotaC">kapitał!$J$59</definedName>
    <definedName name="Kapital_1A_6_C_KwotaA">kapitał!$F$60</definedName>
    <definedName name="Kapital_1A_6_C_KwotaB">kapitał!$H$60</definedName>
    <definedName name="Kapital_1A_6_C_KwotaC">kapitał!$J$60</definedName>
    <definedName name="Kapital_1A_6_KwotaA">kapitał!$F$57</definedName>
    <definedName name="Kapital_1A_6_KwotaB">kapitał!$H$57</definedName>
    <definedName name="Kapital_1A_6_KwotaC">kapitał!$J$57</definedName>
    <definedName name="Kapital_1A_KwotaA">kapitał!$F$11</definedName>
    <definedName name="Kapital_1A_KwotaB">kapitał!$H$11</definedName>
    <definedName name="Kapital_1A_KwotaC">kapitał!$J$11</definedName>
    <definedName name="Kapital_2_KwotaA">kapitał!$F$61</definedName>
    <definedName name="Kapital_2_KwotaB">kapitał!$H$61</definedName>
    <definedName name="Kapital_2_KwotaC">kapitał!$J$61</definedName>
    <definedName name="Kapital_3_KwotaA">kapitał!$F$62</definedName>
    <definedName name="Kapital_3_KwotaB">kapitał!$H$62</definedName>
    <definedName name="Kapital_3_KwotaC">kapitał!$J$62</definedName>
    <definedName name="Kapital_ZK_1_KwotaA">kapitał!$F$8</definedName>
    <definedName name="Kapital_ZK_1_KwotaB">kapitał!$H$8</definedName>
    <definedName name="Kapital_ZK_1_KwotaC">kapitał!$J$8</definedName>
    <definedName name="KodKraju">Input!$C$35</definedName>
    <definedName name="KodKraju_eng">Input!$D$35</definedName>
    <definedName name="KodKrajuZagr">Input!$E$35</definedName>
    <definedName name="KodPKD1">Input!$C$44</definedName>
    <definedName name="KodPKD10">Input!$C$53</definedName>
    <definedName name="KodPKD2">Input!$C$45</definedName>
    <definedName name="KodPKD3">Input!$C$46</definedName>
    <definedName name="KodPKD4">Input!$C$47</definedName>
    <definedName name="KodPKD5">Input!$C$48</definedName>
    <definedName name="KodPKD6">Input!$C$49</definedName>
    <definedName name="KodPKD7">Input!$C$50</definedName>
    <definedName name="KodPKD8">Input!$C$51</definedName>
    <definedName name="KodPKD9">Input!$C$52</definedName>
    <definedName name="KodPocztowy">Input!$C$39</definedName>
    <definedName name="KodPocztowy_eng">Input!$D$39</definedName>
    <definedName name="KodPocztowyZagr">Input!$E$39</definedName>
    <definedName name="KodSprawozdania">definicje!$B$21</definedName>
    <definedName name="KRS">Input!$C$41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etodaRozliczeniaPolaczenia">Input!$C$27</definedName>
    <definedName name="Miejscowosc">Input!$C$34</definedName>
    <definedName name="Miejscowosc_eng">Input!$D$34</definedName>
    <definedName name="MiejscowoscZagr">Input!$E$34</definedName>
    <definedName name="NazwaFirmy">Input!$C$2</definedName>
    <definedName name="NazwaPDF1">definicje!$J$3</definedName>
    <definedName name="NazwaPDF10">definicje!$J$12</definedName>
    <definedName name="NazwaPDF11">definicje!$J$13</definedName>
    <definedName name="NazwaPDF2">definicje!$J$4</definedName>
    <definedName name="NazwaPDF3">definicje!$J$5</definedName>
    <definedName name="NazwaPDF4">definicje!$J$6</definedName>
    <definedName name="NazwaPDF5">definicje!$J$7</definedName>
    <definedName name="NazwaPDF6">definicje!$J$8</definedName>
    <definedName name="NazwaPDF7">definicje!$J$9</definedName>
    <definedName name="NazwaPDF8">definicje!$J$10</definedName>
    <definedName name="NazwaPDF9">definicje!$J$11</definedName>
    <definedName name="NazwaSkrocona">Input!$P$2</definedName>
    <definedName name="NIP">Input!$C$42</definedName>
    <definedName name="NotaPodatkowa">Input!$P$67</definedName>
    <definedName name="NrDomu">Input!$C$37</definedName>
    <definedName name="NrDomu_eng">Input!$D$37</definedName>
    <definedName name="NrDomuZagr">Input!$E$37</definedName>
    <definedName name="NrLokalu">Input!$C$38</definedName>
    <definedName name="NrLokalu_eng">Input!$D$38</definedName>
    <definedName name="NrLokaluZagr">Input!$E$38</definedName>
    <definedName name="_xlnm.Print_Area" localSheetId="13">_aktywa!$A$2:$J$95</definedName>
    <definedName name="_xlnm.Print_Area" localSheetId="14">_pasywa!$A$2:$J$69</definedName>
    <definedName name="_xlnm.Print_Area" localSheetId="12">introduction!$A$2:$J$406</definedName>
    <definedName name="_xlnm.Print_Area" localSheetId="16">kapitał!$A$2:$J$64</definedName>
    <definedName name="_xlnm.Print_Area" localSheetId="18">NotaPodatkowa!$A$2:$L$23</definedName>
    <definedName name="_xlnm.Print_Area" localSheetId="20">Notes!$A$2:$I$1765</definedName>
    <definedName name="_xlnm.Print_Area" localSheetId="19">Noty!$A$2:$I$1765</definedName>
    <definedName name="_xlnm.Print_Area" localSheetId="10">oświadczenie!$A$1:$C$50</definedName>
    <definedName name="_xlnm.Print_Area" localSheetId="17">przepływy!$A$2:$J$69</definedName>
    <definedName name="_xlnm.Print_Area" localSheetId="15">rzis!$A$2:$J$108</definedName>
    <definedName name="_xlnm.Print_Area" localSheetId="9">'Spis tresci'!$A$1:$E$13</definedName>
    <definedName name="_xlnm.Print_Area" localSheetId="8">'Strona tytułowa'!$A$1:$C$4</definedName>
    <definedName name="_xlnm.Print_Area" localSheetId="11">wstęp!$A$2:$J$406</definedName>
    <definedName name="OkresDo">Input!$R$7</definedName>
    <definedName name="OkresOd">Input!$R$6</definedName>
    <definedName name="Opis1">definicje!$K$3</definedName>
    <definedName name="Opis10">definicje!$K$12</definedName>
    <definedName name="Opis11">definicje!$K$13</definedName>
    <definedName name="Opis2">definicje!$K$4</definedName>
    <definedName name="Opis3">definicje!$K$5</definedName>
    <definedName name="Opis4">definicje!$K$6</definedName>
    <definedName name="Opis5">definicje!$K$7</definedName>
    <definedName name="Opis6">definicje!$K$8</definedName>
    <definedName name="Opis7">definicje!$K$9</definedName>
    <definedName name="Opis8">definicje!$K$10</definedName>
    <definedName name="Opis9">definicje!$K$11</definedName>
    <definedName name="P_4">definicje!$O$2</definedName>
    <definedName name="P_7A">wstęp!$D$98:$J$352</definedName>
    <definedName name="P_7B">wstęp!$D$353:$J$387</definedName>
    <definedName name="P_7C">wstęp!$D$388:$J$399</definedName>
    <definedName name="P_7D">wstęp!$D$90:$J$97</definedName>
    <definedName name="P_8_Opis">wstęp!$F$403</definedName>
    <definedName name="P_8_Tekst">wstęp!$D$406</definedName>
    <definedName name="P_ID_1_RB_KwotaA">NotaPodatkowa!$E$10</definedName>
    <definedName name="P_ID_1_RB_KwotaB">NotaPodatkowa!$C$10</definedName>
    <definedName name="P_ID_1_RB_KwotaC">NotaPodatkowa!$D$10</definedName>
    <definedName name="P_ID_1_RP_KwotaA">NotaPodatkowa!$L$10</definedName>
    <definedName name="P_ID_1_RP_KwotaB">NotaPodatkowa!$J$10</definedName>
    <definedName name="P_ID_1_RP_KwotaC">NotaPodatkowa!$K$10</definedName>
    <definedName name="P_ID_10_RB_KwotaA">NotaPodatkowa!$E$21</definedName>
    <definedName name="P_ID_10_RB_KwotaB">NotaPodatkowa!$C$21</definedName>
    <definedName name="P_ID_10_RB_KwotaC">NotaPodatkowa!$D$21</definedName>
    <definedName name="P_ID_10_RP_KwotaA">NotaPodatkowa!$L$21</definedName>
    <definedName name="P_ID_10_RP_KwotaB">NotaPodatkowa!$J$21</definedName>
    <definedName name="P_ID_10_RP_KwotaC">NotaPodatkowa!$K$21</definedName>
    <definedName name="P_ID_11_RB_KwotaA">NotaPodatkowa!$E$22</definedName>
    <definedName name="P_ID_11_RB_KwotaB">NotaPodatkowa!$C$22</definedName>
    <definedName name="P_ID_11_RB_KwotaC">NotaPodatkowa!$D$22</definedName>
    <definedName name="P_ID_11_RP_KwotaA">NotaPodatkowa!$L$22</definedName>
    <definedName name="P_ID_11_RP_KwotaB">NotaPodatkowa!$J$22</definedName>
    <definedName name="P_ID_11_RP_KwotaC">NotaPodatkowa!$K$22</definedName>
    <definedName name="P_ID_2">NotaPodatkowa!$A$11</definedName>
    <definedName name="P_ID_2_RB_KwotaA">NotaPodatkowa!$E$11</definedName>
    <definedName name="P_ID_2_RB_KwotaB">NotaPodatkowa!$C$11</definedName>
    <definedName name="P_ID_2_RB_KwotaC">NotaPodatkowa!$D$11</definedName>
    <definedName name="P_ID_2_RP_KwotaA">NotaPodatkowa!$L$11</definedName>
    <definedName name="P_ID_2_RP_KwotaB">NotaPodatkowa!$J$11</definedName>
    <definedName name="P_ID_2_RP_KwotaC">NotaPodatkowa!$K$11</definedName>
    <definedName name="P_ID_3">NotaPodatkowa!$A$12</definedName>
    <definedName name="P_ID_3_RB_KwotaA">NotaPodatkowa!$E$12</definedName>
    <definedName name="P_ID_3_RB_KwotaB">NotaPodatkowa!$C$12</definedName>
    <definedName name="P_ID_3_RB_KwotaC">NotaPodatkowa!$D$12</definedName>
    <definedName name="P_ID_3_RP_KwotaA">NotaPodatkowa!$L$12</definedName>
    <definedName name="P_ID_3_RP_KwotaB">NotaPodatkowa!$J$12</definedName>
    <definedName name="P_ID_3_RP_KwotaC">NotaPodatkowa!$K$12</definedName>
    <definedName name="P_ID_4">NotaPodatkowa!$A$13</definedName>
    <definedName name="P_ID_4_RB_KwotaA">NotaPodatkowa!$E$13</definedName>
    <definedName name="P_ID_4_RB_KwotaB">NotaPodatkowa!$C$13</definedName>
    <definedName name="P_ID_4_RB_KwotaC">NotaPodatkowa!$D$13</definedName>
    <definedName name="P_ID_4_RP_KwotaA">NotaPodatkowa!$L$13</definedName>
    <definedName name="P_ID_4_RP_KwotaB">NotaPodatkowa!$J$13</definedName>
    <definedName name="P_ID_4_RP_KwotaC">NotaPodatkowa!$K$13</definedName>
    <definedName name="P_ID_5">NotaPodatkowa!$A$14</definedName>
    <definedName name="P_ID_5_RB_KwotaA">NotaPodatkowa!$E$14</definedName>
    <definedName name="P_ID_5_RB_KwotaB">NotaPodatkowa!$C$14</definedName>
    <definedName name="P_ID_5_RB_KwotaC">NotaPodatkowa!$D$14</definedName>
    <definedName name="P_ID_5_RP_KwotaA">NotaPodatkowa!$L$14</definedName>
    <definedName name="P_ID_5_RP_KwotaB">NotaPodatkowa!$J$14</definedName>
    <definedName name="P_ID_5_RP_KwotaC">NotaPodatkowa!$K$14</definedName>
    <definedName name="P_ID_6">NotaPodatkowa!$A$15</definedName>
    <definedName name="P_ID_6_RB_KwotaA">NotaPodatkowa!$E$15</definedName>
    <definedName name="P_ID_6_RB_KwotaB">NotaPodatkowa!$C$15</definedName>
    <definedName name="P_ID_6_RB_KwotaC">NotaPodatkowa!$D$15</definedName>
    <definedName name="P_ID_6_RP_KwotaA">NotaPodatkowa!$L$15</definedName>
    <definedName name="P_ID_6_RP_KwotaB">NotaPodatkowa!$J$15</definedName>
    <definedName name="P_ID_6_RP_KwotaC">NotaPodatkowa!$K$15</definedName>
    <definedName name="P_ID_7">NotaPodatkowa!$A$16</definedName>
    <definedName name="P_ID_7_RB_KwotaA">NotaPodatkowa!$E$16</definedName>
    <definedName name="P_ID_7_RB_KwotaB">NotaPodatkowa!$C$16</definedName>
    <definedName name="P_ID_7_RB_KwotaC">NotaPodatkowa!$D$16</definedName>
    <definedName name="P_ID_7_RP_KwotaA">NotaPodatkowa!$L$16</definedName>
    <definedName name="P_ID_7_RP_KwotaB">NotaPodatkowa!$J$16</definedName>
    <definedName name="P_ID_7_RP_KwotaC">NotaPodatkowa!$K$16</definedName>
    <definedName name="P_ID_8">NotaPodatkowa!$A$17</definedName>
    <definedName name="P_ID_8_RB_KwotaA">NotaPodatkowa!$E$17</definedName>
    <definedName name="P_ID_8_RB_KwotaB">NotaPodatkowa!$C$17</definedName>
    <definedName name="P_ID_8_RB_KwotaC">NotaPodatkowa!$D$17</definedName>
    <definedName name="P_ID_8_RP_KwotaA">NotaPodatkowa!$L$17</definedName>
    <definedName name="P_ID_8_RP_KwotaB">NotaPodatkowa!$J$17</definedName>
    <definedName name="P_ID_8_RP_KwotaC">NotaPodatkowa!$K$17</definedName>
    <definedName name="P_ID_9">NotaPodatkowa!$A$18</definedName>
    <definedName name="P_ID_9_RB_KwotaA">NotaPodatkowa!$E$18</definedName>
    <definedName name="P_ID_9_RB_KwotaB">NotaPodatkowa!$C$18</definedName>
    <definedName name="P_ID_9_RB_KwotaC">NotaPodatkowa!$D$18</definedName>
    <definedName name="P_ID_9_RP_KwotaA">NotaPodatkowa!$L$18</definedName>
    <definedName name="P_ID_9_RP_KwotaB">NotaPodatkowa!$J$18</definedName>
    <definedName name="P_ID_9_RP_KwotaC">NotaPodatkowa!$K$18</definedName>
    <definedName name="Pasywa_A_1_KwotaA">_pasywa!$F$9</definedName>
    <definedName name="Pasywa_A_1_KwotaB">_pasywa!$H$9</definedName>
    <definedName name="Pasywa_A_1_KwotaC">_pasywa!$J$9</definedName>
    <definedName name="Pasywa_A_2_1_KwotaA">_pasywa!$F$11</definedName>
    <definedName name="Pasywa_A_2_1_KwotaB">_pasywa!$H$11</definedName>
    <definedName name="Pasywa_A_2_1_KwotaC">_pasywa!$J$11</definedName>
    <definedName name="Pasywa_A_2_KwotaA">_pasywa!$F$10</definedName>
    <definedName name="Pasywa_A_2_KwotaB">_pasywa!$H$10</definedName>
    <definedName name="Pasywa_A_2_KwotaC">_pasywa!$J$10</definedName>
    <definedName name="Pasywa_A_3_1_KwotaA">_pasywa!$F$13</definedName>
    <definedName name="Pasywa_A_3_1_KwotaB">_pasywa!$H$13</definedName>
    <definedName name="Pasywa_A_3_1_KwotaC">_pasywa!$J$13</definedName>
    <definedName name="Pasywa_A_3_KwotaA">_pasywa!$F$12</definedName>
    <definedName name="Pasywa_A_3_KwotaB">_pasywa!$H$12</definedName>
    <definedName name="Pasywa_A_3_KwotaC">_pasywa!$J$12</definedName>
    <definedName name="Pasywa_A_4_1_KwotaA">_pasywa!$F$15</definedName>
    <definedName name="Pasywa_A_4_1_KwotaB">_pasywa!$H$15</definedName>
    <definedName name="Pasywa_A_4_1_KwotaC">_pasywa!$J$15</definedName>
    <definedName name="Pasywa_A_4_2_KwotaA">_pasywa!$F$16</definedName>
    <definedName name="Pasywa_A_4_2_KwotaB">_pasywa!$H$16</definedName>
    <definedName name="Pasywa_A_4_2_KwotaC">_pasywa!$J$16</definedName>
    <definedName name="Pasywa_A_4_KwotaA">_pasywa!$F$14</definedName>
    <definedName name="Pasywa_A_4_KwotaB">_pasywa!$H$14</definedName>
    <definedName name="Pasywa_A_4_KwotaC">_pasywa!$J$14</definedName>
    <definedName name="Pasywa_A_5_KwotaA">_pasywa!$F$17</definedName>
    <definedName name="Pasywa_A_5_KwotaB">_pasywa!$H$17</definedName>
    <definedName name="Pasywa_A_5_KwotaC">_pasywa!$J$17</definedName>
    <definedName name="Pasywa_A_6_KwotaA">_pasywa!$F$18</definedName>
    <definedName name="Pasywa_A_6_KwotaB">_pasywa!$H$18</definedName>
    <definedName name="Pasywa_A_6_KwotaC">_pasywa!$J$18</definedName>
    <definedName name="Pasywa_A_7_KwotaA">_pasywa!$F$19</definedName>
    <definedName name="Pasywa_A_7_KwotaB">_pasywa!$H$19</definedName>
    <definedName name="Pasywa_A_7_KwotaC">_pasywa!$J$19</definedName>
    <definedName name="Pasywa_A_KwotaA">_pasywa!$F$8</definedName>
    <definedName name="Pasywa_A_KwotaB">_pasywa!$H$8</definedName>
    <definedName name="Pasywa_A_KwotaC">_pasywa!$J$8</definedName>
    <definedName name="Pasywa_B_1_1_KwotaA">_pasywa!$F$22</definedName>
    <definedName name="Pasywa_B_1_1_KwotaB">_pasywa!$H$22</definedName>
    <definedName name="Pasywa_B_1_1_KwotaC">_pasywa!$J$22</definedName>
    <definedName name="Pasywa_B_1_2_1_KwotaA">_pasywa!$F$24</definedName>
    <definedName name="Pasywa_B_1_2_1_KwotaB">_pasywa!$H$24</definedName>
    <definedName name="Pasywa_B_1_2_1_KwotaC">_pasywa!$J$24</definedName>
    <definedName name="Pasywa_B_1_2_2_KwotaA">_pasywa!$F$25</definedName>
    <definedName name="Pasywa_B_1_2_2_KwotaB">_pasywa!$H$25</definedName>
    <definedName name="Pasywa_B_1_2_2_KwotaC">_pasywa!$J$25</definedName>
    <definedName name="Pasywa_B_1_2_KwotaA">_pasywa!$F$23</definedName>
    <definedName name="Pasywa_B_1_2_KwotaB">_pasywa!$H$23</definedName>
    <definedName name="Pasywa_B_1_2_KwotaC">_pasywa!$J$23</definedName>
    <definedName name="Pasywa_B_1_3_1_KwotaA">_pasywa!$F$27</definedName>
    <definedName name="Pasywa_B_1_3_1_KwotaB">_pasywa!$H$27</definedName>
    <definedName name="Pasywa_B_1_3_1_KwotaC">_pasywa!$J$27</definedName>
    <definedName name="Pasywa_B_1_3_2_KwotaA">_pasywa!$F$28</definedName>
    <definedName name="Pasywa_B_1_3_2_KwotaB">_pasywa!$H$28</definedName>
    <definedName name="Pasywa_B_1_3_2_KwotaC">_pasywa!$J$28</definedName>
    <definedName name="Pasywa_B_1_3_KwotaA">_pasywa!$F$26</definedName>
    <definedName name="Pasywa_B_1_3_KwotaB">_pasywa!$H$26</definedName>
    <definedName name="Pasywa_B_1_3_KwotaC">_pasywa!$J$26</definedName>
    <definedName name="Pasywa_B_1_KwotaA">_pasywa!$F$21</definedName>
    <definedName name="Pasywa_B_1_KwotaB">_pasywa!$H$21</definedName>
    <definedName name="Pasywa_B_1_KwotaC">_pasywa!$J$21</definedName>
    <definedName name="Pasywa_B_2_1_KwotaA">_pasywa!$F$30</definedName>
    <definedName name="Pasywa_B_2_1_KwotaB">_pasywa!$H$30</definedName>
    <definedName name="Pasywa_B_2_1_KwotaC">_pasywa!$J$30</definedName>
    <definedName name="Pasywa_B_2_2_KwotaA">_pasywa!$F$31</definedName>
    <definedName name="Pasywa_B_2_2_KwotaB">_pasywa!$H$31</definedName>
    <definedName name="Pasywa_B_2_2_KwotaC">_pasywa!$J$31</definedName>
    <definedName name="Pasywa_B_2_3_A_KwotaA">_pasywa!$F$33</definedName>
    <definedName name="Pasywa_B_2_3_A_KwotaB">_pasywa!$H$33</definedName>
    <definedName name="Pasywa_B_2_3_A_KwotaC">_pasywa!$J$33</definedName>
    <definedName name="Pasywa_B_2_3_B_KwotaA">_pasywa!$F$34</definedName>
    <definedName name="Pasywa_B_2_3_B_KwotaB">_pasywa!$H$34</definedName>
    <definedName name="Pasywa_B_2_3_B_KwotaC">_pasywa!$J$34</definedName>
    <definedName name="Pasywa_B_2_3_C_KwotaA">_pasywa!$F$35</definedName>
    <definedName name="Pasywa_B_2_3_C_KwotaB">_pasywa!$H$35</definedName>
    <definedName name="Pasywa_B_2_3_C_KwotaC">_pasywa!$J$35</definedName>
    <definedName name="Pasywa_B_2_3_D_KwotaA">_pasywa!$F$36</definedName>
    <definedName name="Pasywa_B_2_3_D_KwotaB">_pasywa!$H$36</definedName>
    <definedName name="Pasywa_B_2_3_D_KwotaC">_pasywa!$J$36</definedName>
    <definedName name="Pasywa_B_2_3_E_KwotaA">_pasywa!$F$37</definedName>
    <definedName name="Pasywa_B_2_3_E_KwotaB">_pasywa!$H$37</definedName>
    <definedName name="Pasywa_B_2_3_E_KwotaC">_pasywa!$J$37</definedName>
    <definedName name="Pasywa_B_2_3_KwotaA">_pasywa!$F$32</definedName>
    <definedName name="Pasywa_B_2_3_KwotaB">_pasywa!$H$32</definedName>
    <definedName name="Pasywa_B_2_3_KwotaC">_pasywa!$J$32</definedName>
    <definedName name="Pasywa_B_2_KwotaA">_pasywa!$F$29</definedName>
    <definedName name="Pasywa_B_2_KwotaB">_pasywa!$H$29</definedName>
    <definedName name="Pasywa_B_2_KwotaC">_pasywa!$J$29</definedName>
    <definedName name="Pasywa_B_3_1_A_1_KwotaA">_pasywa!$F$41</definedName>
    <definedName name="Pasywa_B_3_1_A_1_KwotaB">_pasywa!$H$41</definedName>
    <definedName name="Pasywa_B_3_1_A_1_KwotaC">_pasywa!$J$41</definedName>
    <definedName name="Pasywa_B_3_1_A_2_KwotaA">_pasywa!$F$42</definedName>
    <definedName name="Pasywa_B_3_1_A_2_KwotaB">_pasywa!$H$42</definedName>
    <definedName name="Pasywa_B_3_1_A_2_KwotaC">_pasywa!$J$42</definedName>
    <definedName name="Pasywa_B_3_1_A_KwotaA">_pasywa!$F$40</definedName>
    <definedName name="Pasywa_B_3_1_A_KwotaB">_pasywa!$H$40</definedName>
    <definedName name="Pasywa_B_3_1_A_KwotaC">_pasywa!$J$40</definedName>
    <definedName name="Pasywa_B_3_1_B_KwotaA">_pasywa!$F$43</definedName>
    <definedName name="Pasywa_B_3_1_B_KwotaB">_pasywa!$H$43</definedName>
    <definedName name="Pasywa_B_3_1_B_KwotaC">_pasywa!$J$43</definedName>
    <definedName name="Pasywa_B_3_1_KwotaA">_pasywa!$F$39</definedName>
    <definedName name="Pasywa_B_3_1_KwotaB">_pasywa!$H$39</definedName>
    <definedName name="Pasywa_B_3_1_KwotaC">_pasywa!$J$39</definedName>
    <definedName name="Pasywa_B_3_2_A_1_KwotaA">_pasywa!$F$46</definedName>
    <definedName name="Pasywa_B_3_2_A_1_KwotaB">_pasywa!$H$46</definedName>
    <definedName name="Pasywa_B_3_2_A_1_KwotaC">_pasywa!$J$46</definedName>
    <definedName name="Pasywa_B_3_2_A_2_KwotaA">_pasywa!$F$47</definedName>
    <definedName name="Pasywa_B_3_2_A_2_KwotaB">_pasywa!$H$47</definedName>
    <definedName name="Pasywa_B_3_2_A_2_KwotaC">_pasywa!$J$47</definedName>
    <definedName name="Pasywa_B_3_2_A_KwotaA">_pasywa!$F$45</definedName>
    <definedName name="Pasywa_B_3_2_A_KwotaB">_pasywa!$H$45</definedName>
    <definedName name="Pasywa_B_3_2_A_KwotaC">_pasywa!$J$45</definedName>
    <definedName name="Pasywa_B_3_2_B_KwotaA">_pasywa!$F$48</definedName>
    <definedName name="Pasywa_B_3_2_B_KwotaB">_pasywa!$H$48</definedName>
    <definedName name="Pasywa_B_3_2_B_KwotaC">_pasywa!$J$48</definedName>
    <definedName name="Pasywa_B_3_2_KwotaA">_pasywa!$F$44</definedName>
    <definedName name="Pasywa_B_3_2_KwotaB">_pasywa!$H$44</definedName>
    <definedName name="Pasywa_B_3_2_KwotaC">_pasywa!$J$44</definedName>
    <definedName name="Pasywa_B_3_3_A_KwotaA">_pasywa!$F$50</definedName>
    <definedName name="Pasywa_B_3_3_A_KwotaB">_pasywa!$H$50</definedName>
    <definedName name="Pasywa_B_3_3_A_KwotaC">_pasywa!$J$50</definedName>
    <definedName name="Pasywa_B_3_3_B_KwotaA">_pasywa!$F$51</definedName>
    <definedName name="Pasywa_B_3_3_B_KwotaB">_pasywa!$H$51</definedName>
    <definedName name="Pasywa_B_3_3_B_KwotaC">_pasywa!$J$51</definedName>
    <definedName name="Pasywa_B_3_3_C_KwotaA">_pasywa!$F$52</definedName>
    <definedName name="Pasywa_B_3_3_C_KwotaB">_pasywa!$H$52</definedName>
    <definedName name="Pasywa_B_3_3_C_KwotaC">_pasywa!$J$52</definedName>
    <definedName name="Pasywa_B_3_3_D_1_KwotaA">_pasywa!$F$54</definedName>
    <definedName name="Pasywa_B_3_3_D_1_KwotaB">_pasywa!$H$54</definedName>
    <definedName name="Pasywa_B_3_3_D_1_KwotaC">_pasywa!$J$54</definedName>
    <definedName name="Pasywa_B_3_3_D_2_KwotaA">_pasywa!$F$55</definedName>
    <definedName name="Pasywa_B_3_3_D_2_KwotaB">_pasywa!$H$55</definedName>
    <definedName name="Pasywa_B_3_3_D_2_KwotaC">_pasywa!$J$55</definedName>
    <definedName name="Pasywa_B_3_3_D_KwotaA">_pasywa!$F$53</definedName>
    <definedName name="Pasywa_B_3_3_D_KwotaB">_pasywa!$H$53</definedName>
    <definedName name="Pasywa_B_3_3_D_KwotaC">_pasywa!$J$53</definedName>
    <definedName name="Pasywa_B_3_3_E_KwotaA">_pasywa!$F$56</definedName>
    <definedName name="Pasywa_B_3_3_E_KwotaB">_pasywa!$H$56</definedName>
    <definedName name="Pasywa_B_3_3_E_KwotaC">_pasywa!$J$56</definedName>
    <definedName name="Pasywa_B_3_3_F_KwotaA">_pasywa!$F$57</definedName>
    <definedName name="Pasywa_B_3_3_F_KwotaB">_pasywa!$H$57</definedName>
    <definedName name="Pasywa_B_3_3_F_KwotaC">_pasywa!$J$57</definedName>
    <definedName name="Pasywa_B_3_3_G_KwotaA">_pasywa!$F$58</definedName>
    <definedName name="Pasywa_B_3_3_G_KwotaB">_pasywa!$H$58</definedName>
    <definedName name="Pasywa_B_3_3_G_KwotaC">_pasywa!$J$58</definedName>
    <definedName name="Pasywa_B_3_3_H_KwotaA">_pasywa!$F$59</definedName>
    <definedName name="Pasywa_B_3_3_H_KwotaB">_pasywa!$H$59</definedName>
    <definedName name="Pasywa_B_3_3_H_KwotaC">_pasywa!$J$59</definedName>
    <definedName name="Pasywa_B_3_3_I_KwotaA">_pasywa!$F$60</definedName>
    <definedName name="Pasywa_B_3_3_I_KwotaB">_pasywa!$H$60</definedName>
    <definedName name="Pasywa_B_3_3_I_KwotaC">_pasywa!$J$60</definedName>
    <definedName name="Pasywa_B_3_3_KwotaA">_pasywa!$F$49</definedName>
    <definedName name="Pasywa_B_3_3_KwotaB">_pasywa!$H$49</definedName>
    <definedName name="Pasywa_B_3_3_KwotaC">_pasywa!$J$49</definedName>
    <definedName name="Pasywa_B_3_4_KwotaA">_pasywa!$F$61</definedName>
    <definedName name="Pasywa_B_3_4_KwotaB">_pasywa!$H$61</definedName>
    <definedName name="Pasywa_B_3_4_KwotaC">_pasywa!$J$61</definedName>
    <definedName name="Pasywa_B_3_KwotaA">_pasywa!$F$38</definedName>
    <definedName name="Pasywa_B_3_KwotaB">_pasywa!$H$38</definedName>
    <definedName name="Pasywa_B_3_KwotaC">_pasywa!$J$38</definedName>
    <definedName name="Pasywa_B_4_1_KwotaA">_pasywa!$F$63</definedName>
    <definedName name="Pasywa_B_4_1_KwotaB">_pasywa!$H$63</definedName>
    <definedName name="Pasywa_B_4_1_KwotaC">_pasywa!$J$63</definedName>
    <definedName name="Pasywa_B_4_2_1_KwotaA">_pasywa!$F$65</definedName>
    <definedName name="Pasywa_B_4_2_1_KwotaB">_pasywa!$H$65</definedName>
    <definedName name="Pasywa_B_4_2_1_KwotaC">_pasywa!$J$65</definedName>
    <definedName name="Pasywa_B_4_2_2_KwotaA">_pasywa!$F$66</definedName>
    <definedName name="Pasywa_B_4_2_2_KwotaB">_pasywa!$H$66</definedName>
    <definedName name="Pasywa_B_4_2_2_KwotaC">_pasywa!$J$66</definedName>
    <definedName name="Pasywa_B_4_2_KwotaA">_pasywa!$F$64</definedName>
    <definedName name="Pasywa_B_4_2_KwotaB">_pasywa!$H$64</definedName>
    <definedName name="Pasywa_B_4_2_KwotaC">_pasywa!$J$64</definedName>
    <definedName name="Pasywa_B_4_KwotaA">_pasywa!$F$62</definedName>
    <definedName name="Pasywa_B_4_KwotaB">_pasywa!$H$62</definedName>
    <definedName name="Pasywa_B_4_KwotaC">_pasywa!$J$62</definedName>
    <definedName name="Pasywa_B_KwotaA">_pasywa!$F$20</definedName>
    <definedName name="Pasywa_B_KwotaB">_pasywa!$H$20</definedName>
    <definedName name="Pasywa_B_KwotaC">_pasywa!$J$20</definedName>
    <definedName name="Pasywa_KwotaA">_pasywa!$F$67</definedName>
    <definedName name="Pasywa_KwotaB">_pasywa!$H$67</definedName>
    <definedName name="Pasywa_KwotaC">_pasywa!$J$67</definedName>
    <definedName name="Poczta">Input!$C$40</definedName>
    <definedName name="Poczta_eng">Input!$D$40</definedName>
    <definedName name="Polaczenie">Input!$C$25</definedName>
    <definedName name="PolaczenieTermin">Input!$C$26</definedName>
    <definedName name="Powiat">Input!$C$32</definedName>
    <definedName name="Powiat_eng">Input!$D$32</definedName>
    <definedName name="Przeplyw">Input!$P$69</definedName>
    <definedName name="RokDoXML">Input!$P$16</definedName>
    <definedName name="RokObr">Input!$P$73</definedName>
    <definedName name="RzisKalkA_1_KwotaA">rzis!$F$66</definedName>
    <definedName name="RzisKalkA_1_KwotaB">rzis!$H$66</definedName>
    <definedName name="RzisKalkA_1_KwotaC">rzis!$J$66</definedName>
    <definedName name="RzisKalkA_2_KwotaA">rzis!$F$67</definedName>
    <definedName name="RzisKalkA_2_KwotaB">rzis!$H$67</definedName>
    <definedName name="RzisKalkA_2_KwotaC">rzis!$J$67</definedName>
    <definedName name="RzisKalkA_J_KwotaA">rzis!$F$65</definedName>
    <definedName name="RzisKalkA_J_KwotaB">rzis!$H$65</definedName>
    <definedName name="RzisKalkA_J_KwotaC">rzis!$J$65</definedName>
    <definedName name="RzisKalkA_KwotaA">rzis!$F$64</definedName>
    <definedName name="RzisKalkA_KwotaB">rzis!$H$64</definedName>
    <definedName name="RzisKalkA_KwotaC">rzis!$J$64</definedName>
    <definedName name="RzisKalkB_1_KwotaA">rzis!$F$70</definedName>
    <definedName name="RzisKalkB_1_KwotaB">rzis!$H$70</definedName>
    <definedName name="RzisKalkB_1_KwotaC">rzis!$J$70</definedName>
    <definedName name="RzisKalkB_2_KwotaA">rzis!$F$71</definedName>
    <definedName name="RzisKalkB_2_KwotaB">rzis!$H$71</definedName>
    <definedName name="RzisKalkB_2_KwotaC">rzis!$J$71</definedName>
    <definedName name="RzisKalkB_J_KwotaA">rzis!$F$69</definedName>
    <definedName name="RzisKalkB_J_KwotaB">rzis!$H$69</definedName>
    <definedName name="RzisKalkB_J_KwotaC">rzis!$J$69</definedName>
    <definedName name="RzisKalkB_KwotaA">rzis!$F$68</definedName>
    <definedName name="RzisKalkB_KwotaB">rzis!$H$68</definedName>
    <definedName name="RzisKalkB_KwotaC">rzis!$J$68</definedName>
    <definedName name="RzisKalkC_KwotaA">rzis!$F$72</definedName>
    <definedName name="RzisKalkC_KwotaB">rzis!$H$72</definedName>
    <definedName name="RzisKalkC_KwotaC">rzis!$J$72</definedName>
    <definedName name="RzisKalkD_KwotaA">rzis!$F$73</definedName>
    <definedName name="RzisKalkD_KwotaB">rzis!$H$73</definedName>
    <definedName name="RzisKalkD_KwotaC">rzis!$J$73</definedName>
    <definedName name="RzisKalkE_KwotaA">rzis!$F$74</definedName>
    <definedName name="RzisKalkE_KwotaB">rzis!$H$74</definedName>
    <definedName name="RzisKalkE_KwotaC">rzis!$J$74</definedName>
    <definedName name="RzisKalkF_KwotaA">rzis!$F$75</definedName>
    <definedName name="RzisKalkF_KwotaB">rzis!$H$75</definedName>
    <definedName name="RzisKalkF_KwotaC">rzis!$J$75</definedName>
    <definedName name="RzisKalkG_1_KwotaA">rzis!$F$77</definedName>
    <definedName name="RzisKalkG_1_KwotaB">rzis!$H$77</definedName>
    <definedName name="RzisKalkG_1_KwotaC">rzis!$J$77</definedName>
    <definedName name="RzisKalkG_2_KwotaA">rzis!$F$78</definedName>
    <definedName name="RzisKalkG_2_KwotaB">rzis!$H$78</definedName>
    <definedName name="RzisKalkG_2_KwotaC">rzis!$J$78</definedName>
    <definedName name="RzisKalkG_3_KwotaA">rzis!$F$79</definedName>
    <definedName name="RzisKalkG_3_KwotaB">rzis!$H$79</definedName>
    <definedName name="RzisKalkG_3_KwotaC">rzis!$J$79</definedName>
    <definedName name="RzisKalkG_4_KwotaA">rzis!$F$80</definedName>
    <definedName name="RzisKalkG_4_KwotaB">rzis!$H$80</definedName>
    <definedName name="RzisKalkG_4_KwotaC">rzis!$J$80</definedName>
    <definedName name="RzisKalkG_KwotaA">rzis!$F$76</definedName>
    <definedName name="RzisKalkG_KwotaB">rzis!$H$76</definedName>
    <definedName name="RzisKalkG_KwotaC">rzis!$J$76</definedName>
    <definedName name="RzisKalkH_1_KwotaA">rzis!$F$82</definedName>
    <definedName name="RzisKalkH_1_KwotaB">rzis!$H$82</definedName>
    <definedName name="RzisKalkH_1_KwotaC">rzis!$J$82</definedName>
    <definedName name="RzisKalkH_2_KwotaA">rzis!$F$83</definedName>
    <definedName name="RzisKalkH_2_KwotaB">rzis!$H$83</definedName>
    <definedName name="RzisKalkH_2_KwotaC">rzis!$J$83</definedName>
    <definedName name="RzisKalkH_3_KwotaA">rzis!$F$84</definedName>
    <definedName name="RzisKalkH_3_KwotaB">rzis!$H$84</definedName>
    <definedName name="RzisKalkH_3_KwotaC">rzis!$J$84</definedName>
    <definedName name="RzisKalkH_KwotaA">rzis!$F$81</definedName>
    <definedName name="RzisKalkH_KwotaB">rzis!$H$81</definedName>
    <definedName name="RzisKalkH_KwotaC">rzis!$J$81</definedName>
    <definedName name="RzisKalkI_KwotaA">rzis!$F$85</definedName>
    <definedName name="RzisKalkI_KwotaB">rzis!$H$85</definedName>
    <definedName name="RzisKalkI_KwotaC">rzis!$J$85</definedName>
    <definedName name="RzisKalkJ_1_1_1_KwotaA">rzis!$F$89</definedName>
    <definedName name="RzisKalkJ_1_1_1_KwotaB">rzis!$H$89</definedName>
    <definedName name="RzisKalkJ_1_1_1_KwotaC">rzis!$J$89</definedName>
    <definedName name="RzisKalkJ_1_1_KwotaA">rzis!$F$88</definedName>
    <definedName name="RzisKalkJ_1_1_KwotaB">rzis!$H$88</definedName>
    <definedName name="RzisKalkJ_1_1_KwotaC">rzis!$J$88</definedName>
    <definedName name="RzisKalkJ_1_2_1_KwotaA">rzis!$F$91</definedName>
    <definedName name="RzisKalkJ_1_2_1_KwotaB">rzis!$H$91</definedName>
    <definedName name="RzisKalkJ_1_2_1_KwotaC">rzis!$J$91</definedName>
    <definedName name="RzisKalkJ_1_2_KwotaA">rzis!$F$90</definedName>
    <definedName name="RzisKalkJ_1_2_KwotaB">rzis!$H$90</definedName>
    <definedName name="RzisKalkJ_1_2_KwotaC">rzis!$J$90</definedName>
    <definedName name="RzisKalkJ_1_KwotaA">rzis!$F$87</definedName>
    <definedName name="RzisKalkJ_1_KwotaB">rzis!$H$87</definedName>
    <definedName name="RzisKalkJ_1_KwotaC">rzis!$J$87</definedName>
    <definedName name="RzisKalkJ_2_J_KwotaA">rzis!$F$93</definedName>
    <definedName name="RzisKalkJ_2_J_KwotaB">rzis!$H$93</definedName>
    <definedName name="RzisKalkJ_2_J_KwotaC">rzis!$J$93</definedName>
    <definedName name="RzisKalkJ_2_KwotaA">rzis!$F$92</definedName>
    <definedName name="RzisKalkJ_2_KwotaB">rzis!$H$92</definedName>
    <definedName name="RzisKalkJ_2_KwotaC">rzis!$J$92</definedName>
    <definedName name="RzisKalkJ_3_J_KwotaA">rzis!$F$95</definedName>
    <definedName name="RzisKalkJ_3_J_KwotaB">rzis!$H$95</definedName>
    <definedName name="RzisKalkJ_3_J_KwotaC">rzis!$J$95</definedName>
    <definedName name="RzisKalkJ_3_KwotaA">rzis!$F$94</definedName>
    <definedName name="RzisKalkJ_3_KwotaB">rzis!$H$94</definedName>
    <definedName name="RzisKalkJ_3_KwotaC">rzis!$J$94</definedName>
    <definedName name="RzisKalkJ_4_KwotaA">rzis!$F$96</definedName>
    <definedName name="RzisKalkJ_4_KwotaB">rzis!$H$96</definedName>
    <definedName name="RzisKalkJ_4_KwotaC">rzis!$J$96</definedName>
    <definedName name="RzisKalkJ_5_KwotaA">rzis!$F$97</definedName>
    <definedName name="RzisKalkJ_5_KwotaB">rzis!$H$97</definedName>
    <definedName name="RzisKalkJ_5_KwotaC">rzis!$J$97</definedName>
    <definedName name="RzisKalkJ_KwotaA">rzis!$F$86</definedName>
    <definedName name="RzisKalkJ_KwotaB">rzis!$H$86</definedName>
    <definedName name="RzisKalkJ_KwotaC">rzis!$J$86</definedName>
    <definedName name="RzisKalkK_1_J_KwotaA">rzis!$F$100</definedName>
    <definedName name="RzisKalkK_1_J_KwotaB">rzis!$H$100</definedName>
    <definedName name="RzisKalkK_1_J_KwotaC">rzis!$J$100</definedName>
    <definedName name="RzisKalkK_1_KwotaA">rzis!$F$99</definedName>
    <definedName name="RzisKalkK_1_KwotaB">rzis!$H$99</definedName>
    <definedName name="RzisKalkK_1_KwotaC">rzis!$J$99</definedName>
    <definedName name="RzisKalkK_2_J_KwotaA">rzis!$F$102</definedName>
    <definedName name="RzisKalkK_2_J_KwotaB">rzis!$H$102</definedName>
    <definedName name="RzisKalkK_2_J_KwotaC">rzis!$J$102</definedName>
    <definedName name="RzisKalkK_2_KwotaA">rzis!$F$101</definedName>
    <definedName name="RzisKalkK_2_KwotaB">rzis!$H$101</definedName>
    <definedName name="RzisKalkK_2_KwotaC">rzis!$J$101</definedName>
    <definedName name="RzisKalkK_3_KwotaA">rzis!$F$103</definedName>
    <definedName name="RzisKalkK_3_KwotaB">rzis!$H$103</definedName>
    <definedName name="RzisKalkK_3_KwotaC">rzis!$J$103</definedName>
    <definedName name="RzisKalkK_4_KwotaA">rzis!$F$104</definedName>
    <definedName name="RzisKalkK_4_KwotaB">rzis!$H$104</definedName>
    <definedName name="RzisKalkK_4_KwotaC">rzis!$J$104</definedName>
    <definedName name="RzisKalkK_KwotaA">rzis!$F$98</definedName>
    <definedName name="RzisKalkK_KwotaB">rzis!$H$98</definedName>
    <definedName name="RzisKalkK_KwotaC">rzis!$J$98</definedName>
    <definedName name="RzisKalkL_KwotaA">rzis!$F$105</definedName>
    <definedName name="RzisKalkL_KwotaB">rzis!$H$105</definedName>
    <definedName name="RzisKalkL_KwotaC">rzis!$J$105</definedName>
    <definedName name="RzisKalkM_KwotaA">rzis!$F$106</definedName>
    <definedName name="RzisKalkM_KwotaB">rzis!$H$106</definedName>
    <definedName name="RzisKalkM_KwotaC">rzis!$J$106</definedName>
    <definedName name="RzisKalkN_KwotaA">rzis!$F$107</definedName>
    <definedName name="RzisKalkN_KwotaB">rzis!$H$107</definedName>
    <definedName name="RzisKalkN_KwotaC">rzis!$J$107</definedName>
    <definedName name="RzisKalkO_KwotaA">rzis!$F$108</definedName>
    <definedName name="RzisKalkO_KwotaB">rzis!$H$108</definedName>
    <definedName name="RzisKalkO_KwotaC">rzis!$J$108</definedName>
    <definedName name="RZISPorA_1_KwotaA">rzis!$F$10</definedName>
    <definedName name="RZISPorA_1_KwotaB">rzis!$H$10</definedName>
    <definedName name="RZISPorA_1_KwotaC">rzis!$J$10</definedName>
    <definedName name="RZISPorA_2_KwotaA">rzis!$F$11</definedName>
    <definedName name="RZISPorA_2_KwotaB">rzis!$H$11</definedName>
    <definedName name="RZISPorA_2_KwotaC">rzis!$J$11</definedName>
    <definedName name="RZISPorA_3_KwotaA">rzis!$F$12</definedName>
    <definedName name="RZISPorA_3_KwotaB">rzis!$H$12</definedName>
    <definedName name="RZISPorA_3_KwotaC">rzis!$J$12</definedName>
    <definedName name="RZISPorA_4_KwotaA">rzis!$F$13</definedName>
    <definedName name="RZISPorA_4_KwotaB">rzis!$H$13</definedName>
    <definedName name="RZISPorA_4_KwotaC">rzis!$J$13</definedName>
    <definedName name="RZISPorA_J_KwotaA">rzis!$F$9</definedName>
    <definedName name="RZISPorA_J_KwotaB">rzis!$H$9</definedName>
    <definedName name="RZISPorA_J_KwotaC">rzis!$J$9</definedName>
    <definedName name="RZISPorA_KwotaA">rzis!$F$8</definedName>
    <definedName name="RZISPorA_KwotaB">rzis!$H$8</definedName>
    <definedName name="RZISPorA_KwotaC">rzis!$J$8</definedName>
    <definedName name="RZISPorB_1_KwotaA">rzis!$F$15</definedName>
    <definedName name="RZISPorB_1_KwotaB">rzis!$H$15</definedName>
    <definedName name="RZISPorB_1_KwotaC">rzis!$J$15</definedName>
    <definedName name="RZISPorB_2_KwotaA">rzis!$F$16</definedName>
    <definedName name="RZISPorB_2_KwotaB">rzis!$H$16</definedName>
    <definedName name="RZISPorB_2_KwotaC">rzis!$J$16</definedName>
    <definedName name="RZISPorB_3_KwotaA">rzis!$F$17</definedName>
    <definedName name="RZISPorB_3_KwotaB">rzis!$H$17</definedName>
    <definedName name="RZISPorB_3_KwotaC">rzis!$J$17</definedName>
    <definedName name="RZISPorB_4_1_KwotaA">rzis!$F$19</definedName>
    <definedName name="RZISPorB_4_1_KwotaB">rzis!$H$19</definedName>
    <definedName name="RZISPorB_4_1_KwotaC">rzis!$J$19</definedName>
    <definedName name="RZISPorB_4_KwotaA">rzis!$F$18</definedName>
    <definedName name="RZISPorB_4_KwotaB">rzis!$H$18</definedName>
    <definedName name="RZISPorB_4_KwotaC">rzis!$J$18</definedName>
    <definedName name="RZISPorB_5_KwotaA">rzis!$F$20</definedName>
    <definedName name="RZISPorB_5_KwotaB">rzis!$H$20</definedName>
    <definedName name="RZISPorB_5_KwotaC">rzis!$J$20</definedName>
    <definedName name="RZISPorB_6_1_KwotaA">rzis!$F$22</definedName>
    <definedName name="RZISPorB_6_1_KwotaB">rzis!$H$22</definedName>
    <definedName name="RZISPorB_6_1_KwotaC">rzis!$J$22</definedName>
    <definedName name="RZISPorB_6_KwotaA">rzis!$F$21</definedName>
    <definedName name="RZISPorB_6_KwotaB">rzis!$H$21</definedName>
    <definedName name="RZISPorB_6_KwotaC">rzis!$J$21</definedName>
    <definedName name="RZISPorB_7_KwotaA">rzis!$F$23</definedName>
    <definedName name="RZISPorB_7_KwotaB">rzis!$H$23</definedName>
    <definedName name="RZISPorB_7_KwotaC">rzis!$J$23</definedName>
    <definedName name="RZISPorB_8_KwotaA">rzis!$F$24</definedName>
    <definedName name="RZISPorB_8_KwotaB">rzis!$H$24</definedName>
    <definedName name="RZISPorB_8_KwotaC">rzis!$J$24</definedName>
    <definedName name="RZISPorB_KwotaA">rzis!$F$14</definedName>
    <definedName name="RZISPorB_KwotaB">rzis!$H$14</definedName>
    <definedName name="RZISPorB_KwotaC">rzis!$J$14</definedName>
    <definedName name="RZISPorC_KwotaA">rzis!$F$25</definedName>
    <definedName name="RZISPorC_KwotaB">rzis!$H$25</definedName>
    <definedName name="RZISPorC_KwotaC">rzis!$J$25</definedName>
    <definedName name="RZISPorD_1_KwotaA">rzis!$F$27</definedName>
    <definedName name="RZISPorD_1_KwotaB">rzis!$H$27</definedName>
    <definedName name="RZISPorD_1_KwotaC">rzis!$J$27</definedName>
    <definedName name="RZISPorD_2_KwotaA">rzis!$F$28</definedName>
    <definedName name="RZISPorD_2_KwotaB">rzis!$H$28</definedName>
    <definedName name="RZISPorD_2_KwotaC">rzis!$J$28</definedName>
    <definedName name="RZISPorD_3_KwotaA">rzis!$F$29</definedName>
    <definedName name="RZISPorD_3_KwotaB">rzis!$H$29</definedName>
    <definedName name="RZISPorD_3_KwotaC">rzis!$J$29</definedName>
    <definedName name="RZISPorD_4_KwotaA">rzis!$F$30</definedName>
    <definedName name="RZISPorD_4_KwotaB">rzis!$H$30</definedName>
    <definedName name="RZISPorD_4_KwotaC">rzis!$J$30</definedName>
    <definedName name="RZISPorD_KwotaA">rzis!$F$26</definedName>
    <definedName name="RZISPorD_KwotaB">rzis!$H$26</definedName>
    <definedName name="RZISPorD_KwotaC">rzis!$J$26</definedName>
    <definedName name="RZISPorE_1_KwotaA">rzis!$F$32</definedName>
    <definedName name="RZISPorE_1_KwotaB">rzis!$H$32</definedName>
    <definedName name="RZISPorE_1_KwotaC">rzis!$J$32</definedName>
    <definedName name="RZISPorE_2_KwotaA">rzis!$F$33</definedName>
    <definedName name="RZISPorE_2_KwotaB">rzis!$H$33</definedName>
    <definedName name="RZISPorE_2_KwotaC">rzis!$J$33</definedName>
    <definedName name="RZISPorE_3_KwotaA">rzis!$F$34</definedName>
    <definedName name="RZISPorE_3_KwotaB">rzis!$H$34</definedName>
    <definedName name="RZISPorE_3_KwotaC">rzis!$J$34</definedName>
    <definedName name="RZISPorE_KwotaA">rzis!$F$31</definedName>
    <definedName name="RZISPorE_KwotaB">rzis!$H$31</definedName>
    <definedName name="RZISPorE_KwotaC">rzis!$J$31</definedName>
    <definedName name="RZISPorF_KwotaA">rzis!$F$35</definedName>
    <definedName name="RZISPorF_KwotaB">rzis!$H$35</definedName>
    <definedName name="RZISPorF_KwotaC">rzis!$J$35</definedName>
    <definedName name="RZISPorG_1_A_1_KwotaA">rzis!$F$39</definedName>
    <definedName name="RZISPorG_1_A_1_KwotaB">rzis!$H$39</definedName>
    <definedName name="RZISPorG_1_A_1_KwotaC">rzis!$J$39</definedName>
    <definedName name="RZISPorG_1_A_KwotaA">rzis!$F$38</definedName>
    <definedName name="RZISPorG_1_A_KwotaB">rzis!$H$38</definedName>
    <definedName name="RZISPorG_1_A_KwotaC">rzis!$J$38</definedName>
    <definedName name="RZISPorG_1_B_1_KwotaA">rzis!$F$41</definedName>
    <definedName name="RZISPorG_1_B_1_KwotaB">rzis!$H$41</definedName>
    <definedName name="RZISPorG_1_B_1_KwotaC">rzis!$J$41</definedName>
    <definedName name="RZISPorG_1_B_KwotaA">rzis!$F$40</definedName>
    <definedName name="RZISPorG_1_B_KwotaB">rzis!$H$40</definedName>
    <definedName name="RZISPorG_1_B_KwotaC">rzis!$J$40</definedName>
    <definedName name="RZISPorG_1_KwotaA">rzis!$F$37</definedName>
    <definedName name="RZISPorG_1_KwotaB">rzis!$H$37</definedName>
    <definedName name="RZISPorG_1_KwotaC">rzis!$J$37</definedName>
    <definedName name="RZISPorG_2_J_KwotaA">rzis!$F$43</definedName>
    <definedName name="RZISPorG_2_J_KwotaB">rzis!$H$43</definedName>
    <definedName name="RZISPorG_2_J_KwotaC">rzis!$J$43</definedName>
    <definedName name="RZISPorG_2_KwotaA">rzis!$F$42</definedName>
    <definedName name="RZISPorG_2_KwotaB">rzis!$H$42</definedName>
    <definedName name="RZISPorG_2_KwotaC">rzis!$J$42</definedName>
    <definedName name="RZISPorG_3_J_KwotaA">rzis!$F$45</definedName>
    <definedName name="RZISPorG_3_J_KwotaB">rzis!$H$45</definedName>
    <definedName name="RZISPorG_3_J_KwotaC">rzis!$J$45</definedName>
    <definedName name="RZISPorG_3_KwotaA">rzis!$F$44</definedName>
    <definedName name="RZISPorG_3_KwotaB">rzis!$H$44</definedName>
    <definedName name="RZISPorG_3_KwotaC">rzis!$J$44</definedName>
    <definedName name="RZISPorG_4_KwotaA">rzis!$F$46</definedName>
    <definedName name="RZISPorG_4_KwotaB">rzis!$H$46</definedName>
    <definedName name="RZISPorG_4_KwotaC">rzis!$J$46</definedName>
    <definedName name="RZISPorG_5_KwotaA">rzis!$F$47</definedName>
    <definedName name="RZISPorG_5_KwotaB">rzis!$H$47</definedName>
    <definedName name="RZISPorG_5_KwotaC">rzis!$J$47</definedName>
    <definedName name="RZISPorG_KwotaA">rzis!$F$36</definedName>
    <definedName name="RZISPorG_KwotaB">rzis!$H$36</definedName>
    <definedName name="RZISPorG_KwotaC">rzis!$J$36</definedName>
    <definedName name="RZISPorH_1_J_KwotaA">rzis!$F$50</definedName>
    <definedName name="RZISPorH_1_J_KwotaB">rzis!$H$50</definedName>
    <definedName name="RZISPorH_1_J_KwotaC">rzis!$J$50</definedName>
    <definedName name="RZISPorH_1_KwotaA">rzis!$F$49</definedName>
    <definedName name="RZISPorH_1_KwotaB">rzis!$H$49</definedName>
    <definedName name="RZISPorH_1_KwotaC">rzis!$J$49</definedName>
    <definedName name="RZISPorH_2_J_KwotaA">rzis!$F$52</definedName>
    <definedName name="RZISPorH_2_J_KwotaB">rzis!$H$52</definedName>
    <definedName name="RZISPorH_2_J_KwotaC">rzis!$J$52</definedName>
    <definedName name="RZISPorH_2_KwotaA">rzis!$F$51</definedName>
    <definedName name="RZISPorH_2_KwotaB">rzis!$H$51</definedName>
    <definedName name="RZISPorH_2_KwotaC">rzis!$J$51</definedName>
    <definedName name="RZISPorH_3_KwotaA">rzis!$F$53</definedName>
    <definedName name="RZISPorH_3_KwotaB">rzis!$H$53</definedName>
    <definedName name="RZISPorH_3_KwotaC">rzis!$J$53</definedName>
    <definedName name="RZISPorH_4_KwotaA">rzis!$F$54</definedName>
    <definedName name="RZISPorH_4_KwotaB">rzis!$H$54</definedName>
    <definedName name="RZISPorH_4_KwotaC">rzis!$J$54</definedName>
    <definedName name="RZISPorH_KwotaA">rzis!$F$48</definedName>
    <definedName name="RZISPorH_KwotaB">rzis!$H$48</definedName>
    <definedName name="RZISPorH_KwotaC">rzis!$J$48</definedName>
    <definedName name="RZISPorI_KwotaA">rzis!$F$55</definedName>
    <definedName name="RZISPorI_KwotaB">rzis!$H$55</definedName>
    <definedName name="RZISPorI_KwotaC">rzis!$J$55</definedName>
    <definedName name="RZISPorJ_KwotaA">rzis!$F$56</definedName>
    <definedName name="RZISPorJ_KwotaB">rzis!$H$56</definedName>
    <definedName name="RZISPorJ_KwotaC">rzis!$J$56</definedName>
    <definedName name="RZISPorK_KwotaA">rzis!$F$57</definedName>
    <definedName name="RZISPorK_KwotaB">rzis!$H$57</definedName>
    <definedName name="RZISPorK_KwotaC">rzis!$J$57</definedName>
    <definedName name="RZISPorL_KwotaA">rzis!$F$58</definedName>
    <definedName name="RZISPorL_KwotaB">rzis!$H$58</definedName>
    <definedName name="RZISPorL_KwotaC">rzis!$J$58</definedName>
    <definedName name="_xlnm.Print_Titles" localSheetId="13">_aktywa!$2:$7</definedName>
    <definedName name="_xlnm.Print_Titles" localSheetId="14">_pasywa!$2:$7</definedName>
    <definedName name="_xlnm.Print_Titles" localSheetId="12">introduction!$2:$4</definedName>
    <definedName name="_xlnm.Print_Titles" localSheetId="16">kapitał!$2:$6</definedName>
    <definedName name="_xlnm.Print_Titles" localSheetId="18">NotaPodatkowa!$2:$9</definedName>
    <definedName name="_xlnm.Print_Titles" localSheetId="20">Notes!$2:$5</definedName>
    <definedName name="_xlnm.Print_Titles" localSheetId="19">Noty!$2:$5</definedName>
    <definedName name="_xlnm.Print_Titles" localSheetId="10">oświadczenie!$1:$3</definedName>
    <definedName name="_xlnm.Print_Titles" localSheetId="17">przepływy!$2:$6</definedName>
    <definedName name="_xlnm.Print_Titles" localSheetId="15">rzis!$2:$6</definedName>
    <definedName name="_xlnm.Print_Titles" localSheetId="9">'Spis tresci'!$1:$3</definedName>
    <definedName name="_xlnm.Print_Titles" localSheetId="11">wstęp!$2:$4</definedName>
    <definedName name="Ulica">Input!$C$36</definedName>
    <definedName name="Ulica_eng">Input!$D$36</definedName>
    <definedName name="UlicaZagr">Input!$E$36</definedName>
    <definedName name="WariantRZiS">Input!$P$75</definedName>
    <definedName name="WariantSprawozdania">definicje!$B$22</definedName>
    <definedName name="Wojewodztwo">Input!$C$31</definedName>
    <definedName name="Wojewodztwo_eng">Input!$D$31</definedName>
    <definedName name="ZagrozenieKontynuacji">Input!$C$20</definedName>
    <definedName name="ZagrozenieKontynuacjiOkolicznosci">Input!$C$21</definedName>
    <definedName name="ZalozenieKontynuacji">Input!$C$19</definedName>
    <definedName name="ZasadyRachunkowosci">wstęp!$D$51</definedName>
    <definedName name="ZestKapital">Input!$P$71</definedName>
    <definedName name="Zlote">Input!$P$61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856" i="52" l="1"/>
  <c r="D2857" i="52"/>
  <c r="D2858" i="52"/>
  <c r="D2859" i="52"/>
  <c r="D2860" i="52"/>
  <c r="K1696" i="54"/>
  <c r="C193" i="30"/>
  <c r="B193" i="30"/>
  <c r="C1694" i="44"/>
  <c r="C1693" i="44"/>
  <c r="C1692" i="44"/>
  <c r="J1702" i="54"/>
  <c r="J1702" i="44" s="1"/>
  <c r="J1701" i="54"/>
  <c r="J1701" i="44" s="1"/>
  <c r="J1700" i="54"/>
  <c r="J1700" i="44" s="1"/>
  <c r="J1699" i="54"/>
  <c r="J1699" i="44" s="1"/>
  <c r="J1698" i="54"/>
  <c r="J1698" i="44" s="1"/>
  <c r="C1694" i="54"/>
  <c r="C1693" i="54"/>
  <c r="C1692" i="54"/>
  <c r="C1691" i="54" l="1"/>
  <c r="D2850" i="52"/>
  <c r="C1691" i="44"/>
  <c r="J1693" i="54"/>
  <c r="J1693" i="44" s="1"/>
  <c r="D2851" i="52"/>
  <c r="J1694" i="54"/>
  <c r="D2853" i="52" s="1"/>
  <c r="D2852" i="52"/>
  <c r="D2854" i="52"/>
  <c r="K1703" i="54"/>
  <c r="K1696" i="44"/>
  <c r="K1686" i="54"/>
  <c r="J1696" i="54"/>
  <c r="D2855" i="52" s="1"/>
  <c r="J1704" i="54"/>
  <c r="J1704" i="44" s="1"/>
  <c r="J1694" i="44"/>
  <c r="J1695" i="54"/>
  <c r="J1695" i="44" s="1"/>
  <c r="J1691" i="54"/>
  <c r="J1691" i="44" s="1"/>
  <c r="J1692" i="54"/>
  <c r="J1692" i="44" s="1"/>
  <c r="C1690" i="44"/>
  <c r="D2875" i="52"/>
  <c r="D2876" i="52"/>
  <c r="D2877" i="52"/>
  <c r="D2878" i="52"/>
  <c r="D2879" i="52"/>
  <c r="K1715" i="54"/>
  <c r="K1715" i="44" s="1"/>
  <c r="C194" i="30"/>
  <c r="B194" i="30"/>
  <c r="C1713" i="44"/>
  <c r="C1712" i="44"/>
  <c r="C1711" i="44"/>
  <c r="J1721" i="54"/>
  <c r="J1721" i="44" s="1"/>
  <c r="J1720" i="54"/>
  <c r="J1720" i="44" s="1"/>
  <c r="J1719" i="54"/>
  <c r="J1719" i="44" s="1"/>
  <c r="J1718" i="54"/>
  <c r="J1718" i="44" s="1"/>
  <c r="J1717" i="54"/>
  <c r="J1717" i="44" s="1"/>
  <c r="C1713" i="54"/>
  <c r="C1712" i="54"/>
  <c r="C1711" i="54"/>
  <c r="C1710" i="44" s="1"/>
  <c r="D2342" i="52"/>
  <c r="D2343" i="52"/>
  <c r="K1175" i="54"/>
  <c r="J1175" i="54" s="1"/>
  <c r="C164" i="30"/>
  <c r="B164" i="30"/>
  <c r="J1177" i="44"/>
  <c r="H1179" i="44"/>
  <c r="I1179" i="44"/>
  <c r="J1179" i="54"/>
  <c r="D2344" i="52" s="1"/>
  <c r="J1178" i="54"/>
  <c r="J1178" i="44" s="1"/>
  <c r="D1741" i="52"/>
  <c r="D1742" i="52"/>
  <c r="D1743" i="52"/>
  <c r="J588" i="44"/>
  <c r="J587" i="44"/>
  <c r="J583" i="44"/>
  <c r="H585" i="44"/>
  <c r="I585" i="44"/>
  <c r="J585" i="54"/>
  <c r="J584" i="54" s="1"/>
  <c r="J584" i="44" s="1"/>
  <c r="D2893" i="52"/>
  <c r="D2894" i="52"/>
  <c r="D2895" i="52"/>
  <c r="D2896" i="52"/>
  <c r="D2897" i="52"/>
  <c r="K1741" i="44"/>
  <c r="K1734" i="44"/>
  <c r="K1734" i="54"/>
  <c r="D2891" i="52" s="1"/>
  <c r="C195" i="30"/>
  <c r="B195" i="30"/>
  <c r="C1732" i="44"/>
  <c r="C1731" i="44"/>
  <c r="C1730" i="44"/>
  <c r="J1740" i="54"/>
  <c r="J1740" i="44" s="1"/>
  <c r="J1739" i="54"/>
  <c r="J1739" i="44" s="1"/>
  <c r="J1738" i="54"/>
  <c r="J1738" i="44" s="1"/>
  <c r="J1737" i="54"/>
  <c r="J1737" i="44" s="1"/>
  <c r="J1736" i="54"/>
  <c r="J1735" i="44" s="1"/>
  <c r="C1732" i="54"/>
  <c r="C1731" i="54"/>
  <c r="C1730" i="54"/>
  <c r="C1729" i="44" s="1"/>
  <c r="C1673" i="54"/>
  <c r="C1401" i="54"/>
  <c r="C1387" i="54"/>
  <c r="I887" i="44"/>
  <c r="H887" i="44"/>
  <c r="I887" i="54"/>
  <c r="H887" i="54"/>
  <c r="I886" i="44"/>
  <c r="H886" i="44"/>
  <c r="I885" i="44"/>
  <c r="H885" i="44"/>
  <c r="I884" i="44"/>
  <c r="H884" i="44"/>
  <c r="I883" i="44"/>
  <c r="H883" i="44"/>
  <c r="I883" i="54"/>
  <c r="H883" i="54"/>
  <c r="I882" i="44"/>
  <c r="H882" i="44"/>
  <c r="I881" i="44"/>
  <c r="H881" i="44"/>
  <c r="I880" i="44"/>
  <c r="H880" i="44"/>
  <c r="I880" i="54"/>
  <c r="H880" i="54"/>
  <c r="I879" i="44"/>
  <c r="H879" i="44"/>
  <c r="I878" i="44"/>
  <c r="H878" i="44"/>
  <c r="I877" i="44"/>
  <c r="H877" i="44"/>
  <c r="I876" i="44"/>
  <c r="H876" i="44"/>
  <c r="I876" i="54"/>
  <c r="H876" i="54"/>
  <c r="I874" i="44"/>
  <c r="H874" i="44"/>
  <c r="I874" i="54"/>
  <c r="H874" i="54"/>
  <c r="L10" i="17"/>
  <c r="L11" i="17"/>
  <c r="L12" i="17"/>
  <c r="L13" i="17"/>
  <c r="L14" i="17"/>
  <c r="L15" i="17"/>
  <c r="L16" i="17"/>
  <c r="L17" i="17"/>
  <c r="L18" i="17"/>
  <c r="E10" i="17"/>
  <c r="E11" i="17"/>
  <c r="E12" i="17"/>
  <c r="E13" i="17"/>
  <c r="E14" i="17"/>
  <c r="E15" i="17"/>
  <c r="E16" i="17"/>
  <c r="E17" i="17"/>
  <c r="E18" i="17"/>
  <c r="G349" i="53"/>
  <c r="F349" i="53"/>
  <c r="E349" i="53"/>
  <c r="G348" i="53"/>
  <c r="F348" i="53"/>
  <c r="E348" i="53"/>
  <c r="G347" i="53"/>
  <c r="F347" i="53"/>
  <c r="E347" i="53"/>
  <c r="C21" i="30"/>
  <c r="J1686" i="54" l="1"/>
  <c r="D2844" i="52"/>
  <c r="J1703" i="54"/>
  <c r="J1703" i="44" s="1"/>
  <c r="D2861" i="52"/>
  <c r="K1703" i="44"/>
  <c r="D2862" i="52"/>
  <c r="C1690" i="54"/>
  <c r="D2849" i="52"/>
  <c r="K1686" i="44"/>
  <c r="J1686" i="44"/>
  <c r="J1696" i="44"/>
  <c r="J1697" i="54"/>
  <c r="J1697" i="44" s="1"/>
  <c r="C1710" i="54"/>
  <c r="C1709" i="54" s="1"/>
  <c r="C1708" i="54" s="1"/>
  <c r="D2871" i="52" s="1"/>
  <c r="D2873" i="52"/>
  <c r="K1722" i="54"/>
  <c r="J1722" i="54" s="1"/>
  <c r="J1722" i="44" s="1"/>
  <c r="J1715" i="54"/>
  <c r="D2874" i="52" s="1"/>
  <c r="J1734" i="54"/>
  <c r="J1734" i="44" s="1"/>
  <c r="C1729" i="54"/>
  <c r="C1728" i="44" s="1"/>
  <c r="K1741" i="54"/>
  <c r="D2898" i="52" s="1"/>
  <c r="D2339" i="52"/>
  <c r="J1179" i="44"/>
  <c r="J1180" i="54"/>
  <c r="J1181" i="54" s="1"/>
  <c r="J1181" i="44" s="1"/>
  <c r="D2340" i="52"/>
  <c r="J1176" i="54"/>
  <c r="J1176" i="44" s="1"/>
  <c r="J1175" i="44"/>
  <c r="K1175" i="44"/>
  <c r="J585" i="44"/>
  <c r="J586" i="54"/>
  <c r="J586" i="44" s="1"/>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6" i="5"/>
  <c r="K65" i="5"/>
  <c r="K64" i="5"/>
  <c r="J1765" i="44"/>
  <c r="J1764" i="54"/>
  <c r="J1764" i="44" s="1"/>
  <c r="J1763" i="54"/>
  <c r="J1763" i="44" s="1"/>
  <c r="J1747" i="44"/>
  <c r="J1746" i="44"/>
  <c r="J1745" i="44"/>
  <c r="J1744" i="44"/>
  <c r="J1743" i="44"/>
  <c r="J1679" i="54"/>
  <c r="J1679" i="44" s="1"/>
  <c r="J1672" i="44"/>
  <c r="J1648" i="44"/>
  <c r="J1637" i="54"/>
  <c r="J1636" i="44"/>
  <c r="J1633" i="44"/>
  <c r="J1628" i="54"/>
  <c r="J1628" i="44" s="1"/>
  <c r="J1627" i="54"/>
  <c r="J1627" i="44" s="1"/>
  <c r="J1626" i="54"/>
  <c r="J1626" i="44" s="1"/>
  <c r="J1625" i="54"/>
  <c r="J1625" i="44" s="1"/>
  <c r="J1624" i="54"/>
  <c r="J1624" i="44" s="1"/>
  <c r="J1623" i="54"/>
  <c r="J1623" i="44" s="1"/>
  <c r="J1620" i="54"/>
  <c r="J1620" i="44" s="1"/>
  <c r="J1619" i="54"/>
  <c r="J1619" i="44" s="1"/>
  <c r="J1618" i="54"/>
  <c r="J1618" i="44" s="1"/>
  <c r="J1617" i="54"/>
  <c r="J1617" i="44" s="1"/>
  <c r="J1616" i="54"/>
  <c r="J1616" i="44" s="1"/>
  <c r="J1615" i="54"/>
  <c r="J1615" i="44" s="1"/>
  <c r="J1612" i="54"/>
  <c r="J1612" i="44" s="1"/>
  <c r="J1611" i="54"/>
  <c r="J1611" i="44" s="1"/>
  <c r="J1610" i="54"/>
  <c r="J1610" i="44" s="1"/>
  <c r="J1609" i="54"/>
  <c r="J1609" i="44" s="1"/>
  <c r="J1608" i="54"/>
  <c r="J1608" i="44" s="1"/>
  <c r="J1607" i="54"/>
  <c r="J1607" i="44" s="1"/>
  <c r="J1593" i="54"/>
  <c r="J1593" i="44" s="1"/>
  <c r="J1592" i="54"/>
  <c r="J1592" i="44" s="1"/>
  <c r="J1591" i="54"/>
  <c r="J1591" i="44" s="1"/>
  <c r="J1590" i="54"/>
  <c r="J1590" i="44" s="1"/>
  <c r="J1589" i="54"/>
  <c r="J1589" i="44" s="1"/>
  <c r="J1588" i="54"/>
  <c r="J1588" i="44" s="1"/>
  <c r="J1584" i="54"/>
  <c r="J1584" i="44" s="1"/>
  <c r="J1583" i="54"/>
  <c r="J1583" i="44" s="1"/>
  <c r="J1582" i="54"/>
  <c r="J1582" i="44" s="1"/>
  <c r="J1581" i="54"/>
  <c r="J1581" i="44" s="1"/>
  <c r="J1580" i="54"/>
  <c r="J1580" i="44" s="1"/>
  <c r="J1579" i="54"/>
  <c r="J1579" i="44" s="1"/>
  <c r="J1575" i="54"/>
  <c r="J1575" i="44" s="1"/>
  <c r="J1574" i="54"/>
  <c r="J1574" i="44" s="1"/>
  <c r="J1573" i="54"/>
  <c r="J1573" i="44" s="1"/>
  <c r="J1572" i="54"/>
  <c r="J1572" i="44" s="1"/>
  <c r="J1571" i="54"/>
  <c r="J1571" i="44" s="1"/>
  <c r="J1570" i="54"/>
  <c r="J1566" i="54"/>
  <c r="J1566" i="44" s="1"/>
  <c r="J1565" i="54"/>
  <c r="J1565" i="44" s="1"/>
  <c r="J1564" i="54"/>
  <c r="J1564" i="44" s="1"/>
  <c r="J1563" i="54"/>
  <c r="J1563" i="44" s="1"/>
  <c r="J1562" i="54"/>
  <c r="J1562" i="44" s="1"/>
  <c r="J1561" i="54"/>
  <c r="J1557" i="54"/>
  <c r="J1557" i="44" s="1"/>
  <c r="J1556" i="54"/>
  <c r="J1556" i="44" s="1"/>
  <c r="J1555" i="54"/>
  <c r="J1555" i="44" s="1"/>
  <c r="J1554" i="54"/>
  <c r="J1554" i="44" s="1"/>
  <c r="J1553" i="54"/>
  <c r="J1553" i="44" s="1"/>
  <c r="J1552" i="54"/>
  <c r="J1552" i="44" s="1"/>
  <c r="J1548" i="54"/>
  <c r="J1548" i="44" s="1"/>
  <c r="J1547" i="54"/>
  <c r="J1547" i="44" s="1"/>
  <c r="J1546" i="54"/>
  <c r="J1546" i="44" s="1"/>
  <c r="J1545" i="54"/>
  <c r="J1545" i="44" s="1"/>
  <c r="J1544" i="54"/>
  <c r="J1544" i="44" s="1"/>
  <c r="J1543" i="54"/>
  <c r="J1543" i="44" s="1"/>
  <c r="J1515" i="44"/>
  <c r="J1513" i="54"/>
  <c r="J1513" i="44" s="1"/>
  <c r="J1512" i="54"/>
  <c r="J1512" i="44" s="1"/>
  <c r="J1511" i="54"/>
  <c r="J1511" i="44" s="1"/>
  <c r="J1506" i="54"/>
  <c r="J1505" i="54"/>
  <c r="J1505" i="44" s="1"/>
  <c r="J1504" i="54"/>
  <c r="J1504" i="44" s="1"/>
  <c r="J1503" i="54"/>
  <c r="J1503" i="44" s="1"/>
  <c r="J1502" i="54"/>
  <c r="J1502" i="44" s="1"/>
  <c r="J1501" i="54"/>
  <c r="J1501" i="44" s="1"/>
  <c r="J1500" i="54"/>
  <c r="J1500" i="44" s="1"/>
  <c r="J1492" i="44"/>
  <c r="J1487" i="44"/>
  <c r="J1485" i="44"/>
  <c r="J1483" i="54"/>
  <c r="J1483" i="44" s="1"/>
  <c r="J1482" i="54"/>
  <c r="J1482" i="44" s="1"/>
  <c r="J1481" i="54"/>
  <c r="J1481" i="44" s="1"/>
  <c r="J1480" i="54"/>
  <c r="J1480" i="44" s="1"/>
  <c r="J1479" i="54"/>
  <c r="J1479" i="44" s="1"/>
  <c r="J1476" i="44"/>
  <c r="J1475" i="44"/>
  <c r="J1470" i="54"/>
  <c r="J1470" i="44" s="1"/>
  <c r="J1469" i="54"/>
  <c r="J1469" i="44" s="1"/>
  <c r="J1468" i="54"/>
  <c r="J1468" i="44" s="1"/>
  <c r="J1462" i="54"/>
  <c r="J1462" i="44" s="1"/>
  <c r="J1461" i="54"/>
  <c r="J1461" i="44" s="1"/>
  <c r="J1460" i="54"/>
  <c r="J1460" i="44" s="1"/>
  <c r="J1454" i="54"/>
  <c r="J1454" i="44" s="1"/>
  <c r="J1453" i="54"/>
  <c r="J1453" i="44" s="1"/>
  <c r="J1452" i="54"/>
  <c r="J1452" i="44" s="1"/>
  <c r="J1446" i="54"/>
  <c r="J1446" i="44" s="1"/>
  <c r="J1445" i="54"/>
  <c r="J1445" i="44" s="1"/>
  <c r="J1444" i="54"/>
  <c r="J1444" i="44" s="1"/>
  <c r="J1435" i="54"/>
  <c r="J1432" i="44"/>
  <c r="J1429" i="54"/>
  <c r="J1429" i="44" s="1"/>
  <c r="J1428" i="54"/>
  <c r="J1428" i="44" s="1"/>
  <c r="J1419" i="44"/>
  <c r="J1407" i="44"/>
  <c r="J1400" i="44"/>
  <c r="J1393" i="44"/>
  <c r="J1386" i="54"/>
  <c r="J1386" i="44" s="1"/>
  <c r="J1379" i="44"/>
  <c r="J1275" i="54"/>
  <c r="J1275" i="44" s="1"/>
  <c r="J1274" i="54"/>
  <c r="J1274" i="44" s="1"/>
  <c r="J1272" i="54"/>
  <c r="J1271" i="54"/>
  <c r="J1271" i="44" s="1"/>
  <c r="J1257" i="54"/>
  <c r="J1245" i="54"/>
  <c r="J1245" i="44" s="1"/>
  <c r="J1244" i="54"/>
  <c r="J1244" i="44" s="1"/>
  <c r="J1243" i="54"/>
  <c r="J1243" i="44" s="1"/>
  <c r="J1239" i="54"/>
  <c r="J1239" i="44" s="1"/>
  <c r="J1238" i="54"/>
  <c r="J1238" i="44" s="1"/>
  <c r="J1237" i="54"/>
  <c r="J1237" i="44" s="1"/>
  <c r="J1232" i="54"/>
  <c r="J1232" i="44" s="1"/>
  <c r="J1225" i="54"/>
  <c r="J1222" i="54"/>
  <c r="J1222" i="44" s="1"/>
  <c r="J1218" i="54"/>
  <c r="J1218" i="44" s="1"/>
  <c r="J1214" i="54"/>
  <c r="J1214" i="44" s="1"/>
  <c r="J1210" i="54"/>
  <c r="J1210" i="44" s="1"/>
  <c r="J1206" i="54"/>
  <c r="J1206" i="44" s="1"/>
  <c r="J1205" i="54"/>
  <c r="J1205" i="44" s="1"/>
  <c r="J1197" i="54"/>
  <c r="J1197" i="44" s="1"/>
  <c r="J1196" i="54"/>
  <c r="J1196" i="44" s="1"/>
  <c r="J1192" i="54"/>
  <c r="J1192" i="44" s="1"/>
  <c r="J1191" i="54"/>
  <c r="J1191" i="44" s="1"/>
  <c r="J1190" i="54"/>
  <c r="J1190" i="44" s="1"/>
  <c r="J1189" i="54"/>
  <c r="J1189" i="44" s="1"/>
  <c r="J1188" i="54"/>
  <c r="J1188" i="44" s="1"/>
  <c r="J1187" i="54"/>
  <c r="J1187" i="44" s="1"/>
  <c r="J1171" i="54"/>
  <c r="J1171" i="44" s="1"/>
  <c r="J1160" i="44"/>
  <c r="J1158" i="54"/>
  <c r="J1158" i="44" s="1"/>
  <c r="J1157" i="54"/>
  <c r="J1157" i="44" s="1"/>
  <c r="J1156" i="54"/>
  <c r="J1156" i="44" s="1"/>
  <c r="J1153" i="44"/>
  <c r="J1145" i="54"/>
  <c r="J1145" i="44" s="1"/>
  <c r="J1144" i="54"/>
  <c r="J1144" i="44" s="1"/>
  <c r="J1143" i="54"/>
  <c r="J1143" i="44" s="1"/>
  <c r="J1142" i="54"/>
  <c r="J1142" i="44" s="1"/>
  <c r="J1140" i="54"/>
  <c r="J1140" i="44" s="1"/>
  <c r="J1136" i="54"/>
  <c r="J1136" i="44" s="1"/>
  <c r="J1135" i="54"/>
  <c r="J1135" i="44" s="1"/>
  <c r="J1126" i="54"/>
  <c r="J1126" i="44" s="1"/>
  <c r="J1125" i="54"/>
  <c r="J1125" i="44" s="1"/>
  <c r="J1124" i="54"/>
  <c r="J1124" i="44" s="1"/>
  <c r="J1123" i="54"/>
  <c r="J1123" i="44" s="1"/>
  <c r="J1122" i="54"/>
  <c r="J1122" i="44" s="1"/>
  <c r="J1118" i="54"/>
  <c r="J1118" i="44" s="1"/>
  <c r="J1117" i="54"/>
  <c r="J1117" i="44" s="1"/>
  <c r="J1116" i="54"/>
  <c r="J1116" i="44" s="1"/>
  <c r="J1115" i="54"/>
  <c r="J1115" i="44" s="1"/>
  <c r="J1114" i="54"/>
  <c r="J1114" i="44" s="1"/>
  <c r="J1113" i="54"/>
  <c r="J1113" i="44" s="1"/>
  <c r="J1109" i="44"/>
  <c r="J1105" i="54"/>
  <c r="J1105" i="44" s="1"/>
  <c r="J1104" i="54"/>
  <c r="J1104" i="44" s="1"/>
  <c r="J1103" i="54"/>
  <c r="J1103" i="44" s="1"/>
  <c r="J1102" i="54"/>
  <c r="J1102" i="44" s="1"/>
  <c r="J1100" i="54"/>
  <c r="J1100" i="44" s="1"/>
  <c r="J1099" i="54"/>
  <c r="J1099" i="44" s="1"/>
  <c r="J1098" i="54"/>
  <c r="J1098" i="44" s="1"/>
  <c r="J1097" i="54"/>
  <c r="J1097" i="44" s="1"/>
  <c r="J1096" i="54"/>
  <c r="J1096" i="44" s="1"/>
  <c r="J1094" i="54"/>
  <c r="J1094" i="44" s="1"/>
  <c r="J1090" i="44"/>
  <c r="J1082" i="54"/>
  <c r="J1082" i="44" s="1"/>
  <c r="J1081" i="54"/>
  <c r="J1081" i="44" s="1"/>
  <c r="J1080" i="54"/>
  <c r="J1080" i="44" s="1"/>
  <c r="J1079" i="54"/>
  <c r="J1079" i="44" s="1"/>
  <c r="J1077" i="54"/>
  <c r="J1077" i="44" s="1"/>
  <c r="J1073" i="54"/>
  <c r="J1073" i="44" s="1"/>
  <c r="J1072" i="54"/>
  <c r="J1072" i="44" s="1"/>
  <c r="J1071" i="54"/>
  <c r="J1071" i="44" s="1"/>
  <c r="J1068" i="44"/>
  <c r="J1062" i="54"/>
  <c r="J1062" i="44" s="1"/>
  <c r="J1061" i="54"/>
  <c r="J1061" i="44" s="1"/>
  <c r="J1060" i="54"/>
  <c r="J1060" i="44" s="1"/>
  <c r="J1059" i="54"/>
  <c r="J1059" i="44" s="1"/>
  <c r="J1058" i="54"/>
  <c r="J1058" i="44" s="1"/>
  <c r="J1054" i="54"/>
  <c r="J1054" i="44" s="1"/>
  <c r="J1053" i="54"/>
  <c r="J1053" i="44" s="1"/>
  <c r="J1052" i="54"/>
  <c r="J1052" i="44" s="1"/>
  <c r="J1051" i="54"/>
  <c r="J1051" i="44" s="1"/>
  <c r="J1050" i="54"/>
  <c r="J1050" i="44" s="1"/>
  <c r="J1049" i="54"/>
  <c r="J1049" i="44" s="1"/>
  <c r="J1044" i="54"/>
  <c r="J1044" i="44" s="1"/>
  <c r="J1043" i="54"/>
  <c r="J1043" i="44" s="1"/>
  <c r="J1042" i="54"/>
  <c r="J1042" i="44" s="1"/>
  <c r="J1041" i="54"/>
  <c r="J1041" i="44" s="1"/>
  <c r="J1040" i="54"/>
  <c r="J1040" i="44" s="1"/>
  <c r="J1039" i="54"/>
  <c r="J1039" i="44" s="1"/>
  <c r="J1032" i="54"/>
  <c r="J1032" i="44" s="1"/>
  <c r="J1031" i="54"/>
  <c r="J1031" i="44" s="1"/>
  <c r="J1030" i="54"/>
  <c r="J1030" i="44" s="1"/>
  <c r="J1029" i="54"/>
  <c r="J1029" i="44" s="1"/>
  <c r="J1028" i="54"/>
  <c r="J1028" i="44" s="1"/>
  <c r="J1027" i="54"/>
  <c r="J1027" i="44" s="1"/>
  <c r="J1026" i="54"/>
  <c r="J1026" i="44" s="1"/>
  <c r="J1025" i="54"/>
  <c r="J1025" i="44" s="1"/>
  <c r="J1024" i="54"/>
  <c r="J1024" i="44" s="1"/>
  <c r="J1023" i="54"/>
  <c r="J1023" i="44" s="1"/>
  <c r="J1011" i="54"/>
  <c r="J1011" i="44" s="1"/>
  <c r="J1010" i="54"/>
  <c r="J1010" i="44" s="1"/>
  <c r="J1009" i="54"/>
  <c r="J1009" i="44" s="1"/>
  <c r="J1006" i="54"/>
  <c r="J1006" i="44" s="1"/>
  <c r="J1005" i="54"/>
  <c r="J1005" i="44" s="1"/>
  <c r="J1004" i="54"/>
  <c r="J1004" i="44" s="1"/>
  <c r="J1003" i="54"/>
  <c r="J1003" i="44" s="1"/>
  <c r="J1002" i="54"/>
  <c r="J1002" i="44" s="1"/>
  <c r="J1001" i="54"/>
  <c r="J1001" i="44" s="1"/>
  <c r="J997" i="54"/>
  <c r="J997" i="44" s="1"/>
  <c r="J996" i="54"/>
  <c r="J996" i="44" s="1"/>
  <c r="J995" i="54"/>
  <c r="J995" i="44" s="1"/>
  <c r="J985" i="54"/>
  <c r="J985" i="44" s="1"/>
  <c r="J984" i="54"/>
  <c r="J984" i="44" s="1"/>
  <c r="J981" i="54"/>
  <c r="J982" i="54" s="1"/>
  <c r="J982" i="44" s="1"/>
  <c r="J978" i="54"/>
  <c r="J978" i="44" s="1"/>
  <c r="J977" i="54"/>
  <c r="J977" i="44" s="1"/>
  <c r="J976" i="54"/>
  <c r="J976" i="44" s="1"/>
  <c r="J975" i="54"/>
  <c r="J975" i="44" s="1"/>
  <c r="J974" i="54"/>
  <c r="J974" i="44" s="1"/>
  <c r="J973" i="54"/>
  <c r="J973" i="44" s="1"/>
  <c r="J969" i="54"/>
  <c r="J969" i="44" s="1"/>
  <c r="J968" i="54"/>
  <c r="J968" i="44" s="1"/>
  <c r="J967" i="54"/>
  <c r="J967" i="44" s="1"/>
  <c r="J958" i="54"/>
  <c r="D2117" i="52" s="1"/>
  <c r="J957" i="54"/>
  <c r="J957" i="44" s="1"/>
  <c r="J956" i="54"/>
  <c r="J956" i="44" s="1"/>
  <c r="J955" i="54"/>
  <c r="J955" i="44" s="1"/>
  <c r="J954" i="54"/>
  <c r="J954" i="44" s="1"/>
  <c r="J953" i="54"/>
  <c r="J953" i="44" s="1"/>
  <c r="J952" i="54"/>
  <c r="J952" i="44" s="1"/>
  <c r="J951" i="54"/>
  <c r="J951" i="44" s="1"/>
  <c r="J949" i="54"/>
  <c r="J945" i="54"/>
  <c r="J945" i="44" s="1"/>
  <c r="J944" i="44"/>
  <c r="J941" i="54"/>
  <c r="J941" i="44" s="1"/>
  <c r="J940" i="54"/>
  <c r="J940" i="44" s="1"/>
  <c r="J937" i="54"/>
  <c r="J937" i="44" s="1"/>
  <c r="J936" i="54"/>
  <c r="J936" i="44" s="1"/>
  <c r="J930" i="54"/>
  <c r="J930" i="44" s="1"/>
  <c r="J929" i="44"/>
  <c r="J926" i="54"/>
  <c r="J926" i="44" s="1"/>
  <c r="J925" i="54"/>
  <c r="J925" i="44" s="1"/>
  <c r="J922" i="54"/>
  <c r="J922" i="44" s="1"/>
  <c r="J921" i="54"/>
  <c r="J921" i="44" s="1"/>
  <c r="J886" i="54"/>
  <c r="J886" i="44" s="1"/>
  <c r="J885" i="54"/>
  <c r="J885" i="44" s="1"/>
  <c r="J884" i="54"/>
  <c r="J884" i="44" s="1"/>
  <c r="J882" i="54"/>
  <c r="J882" i="44" s="1"/>
  <c r="J881" i="54"/>
  <c r="J881" i="44" s="1"/>
  <c r="J879" i="54"/>
  <c r="J879" i="44" s="1"/>
  <c r="J878" i="54"/>
  <c r="J878" i="44" s="1"/>
  <c r="J877" i="54"/>
  <c r="J877" i="44" s="1"/>
  <c r="J869" i="54"/>
  <c r="J869" i="44" s="1"/>
  <c r="J868" i="54"/>
  <c r="J868" i="44" s="1"/>
  <c r="J867" i="54"/>
  <c r="J867" i="44" s="1"/>
  <c r="J865" i="54"/>
  <c r="J865" i="44" s="1"/>
  <c r="J864" i="54"/>
  <c r="J864" i="44" s="1"/>
  <c r="J863" i="54"/>
  <c r="J863" i="44" s="1"/>
  <c r="J861" i="54"/>
  <c r="J861" i="44" s="1"/>
  <c r="J860" i="54"/>
  <c r="J860" i="44" s="1"/>
  <c r="J859" i="54"/>
  <c r="J859" i="44" s="1"/>
  <c r="J857" i="54"/>
  <c r="J857" i="44" s="1"/>
  <c r="J856" i="54"/>
  <c r="J856" i="44" s="1"/>
  <c r="J855" i="54"/>
  <c r="J855" i="44" s="1"/>
  <c r="J853" i="54"/>
  <c r="J853" i="44" s="1"/>
  <c r="J852" i="54"/>
  <c r="J852" i="44" s="1"/>
  <c r="J851" i="54"/>
  <c r="J851" i="44" s="1"/>
  <c r="J844" i="54"/>
  <c r="J844" i="44" s="1"/>
  <c r="J843" i="54"/>
  <c r="J843" i="44" s="1"/>
  <c r="J842" i="54"/>
  <c r="J842" i="44" s="1"/>
  <c r="J840" i="54"/>
  <c r="J840" i="44" s="1"/>
  <c r="J839" i="54"/>
  <c r="J839" i="44" s="1"/>
  <c r="J838" i="54"/>
  <c r="J838" i="44" s="1"/>
  <c r="J836" i="54"/>
  <c r="J836" i="44" s="1"/>
  <c r="J835" i="54"/>
  <c r="J835" i="44" s="1"/>
  <c r="J834" i="54"/>
  <c r="J834" i="44" s="1"/>
  <c r="J832" i="54"/>
  <c r="J832" i="44" s="1"/>
  <c r="J831" i="54"/>
  <c r="J831" i="44" s="1"/>
  <c r="J830" i="54"/>
  <c r="J830" i="44" s="1"/>
  <c r="J828" i="54"/>
  <c r="J828" i="44" s="1"/>
  <c r="J827" i="54"/>
  <c r="J827" i="44" s="1"/>
  <c r="J826" i="54"/>
  <c r="J826" i="44" s="1"/>
  <c r="J817" i="54"/>
  <c r="J817" i="44" s="1"/>
  <c r="J815" i="54"/>
  <c r="J815" i="44" s="1"/>
  <c r="J806" i="54"/>
  <c r="J806" i="44" s="1"/>
  <c r="J805" i="54"/>
  <c r="J805" i="44" s="1"/>
  <c r="J804" i="54"/>
  <c r="J804" i="44" s="1"/>
  <c r="J803" i="54"/>
  <c r="J803" i="44" s="1"/>
  <c r="J802" i="54"/>
  <c r="J802" i="44" s="1"/>
  <c r="J797" i="54"/>
  <c r="J797" i="44" s="1"/>
  <c r="J796" i="44"/>
  <c r="J789" i="54"/>
  <c r="J789" i="44" s="1"/>
  <c r="J787" i="54"/>
  <c r="J787" i="44" s="1"/>
  <c r="J786" i="54"/>
  <c r="J786" i="44" s="1"/>
  <c r="J785" i="54"/>
  <c r="J785" i="44" s="1"/>
  <c r="J784" i="54"/>
  <c r="J784" i="44" s="1"/>
  <c r="J783" i="54"/>
  <c r="J783" i="44" s="1"/>
  <c r="J777" i="54"/>
  <c r="J777" i="44" s="1"/>
  <c r="J776" i="54"/>
  <c r="J776" i="44" s="1"/>
  <c r="J775" i="54"/>
  <c r="J775" i="44" s="1"/>
  <c r="J774" i="54"/>
  <c r="J774" i="44" s="1"/>
  <c r="J773" i="54"/>
  <c r="J773" i="44" s="1"/>
  <c r="J765" i="54"/>
  <c r="J765" i="44" s="1"/>
  <c r="J764" i="54"/>
  <c r="J764" i="44" s="1"/>
  <c r="J756" i="54"/>
  <c r="J756" i="44" s="1"/>
  <c r="J755" i="54"/>
  <c r="J755" i="44" s="1"/>
  <c r="J745" i="54"/>
  <c r="J745" i="44" s="1"/>
  <c r="J741" i="54"/>
  <c r="J741" i="44" s="1"/>
  <c r="J740" i="54"/>
  <c r="J740" i="44" s="1"/>
  <c r="J739" i="54"/>
  <c r="J739" i="44" s="1"/>
  <c r="J738" i="54"/>
  <c r="J738" i="44" s="1"/>
  <c r="J730" i="54"/>
  <c r="J726" i="54"/>
  <c r="J726" i="44" s="1"/>
  <c r="J725" i="54"/>
  <c r="J725" i="44" s="1"/>
  <c r="J724" i="54"/>
  <c r="J724" i="44" s="1"/>
  <c r="J723" i="54"/>
  <c r="J723" i="44" s="1"/>
  <c r="J722" i="54"/>
  <c r="J722" i="44" s="1"/>
  <c r="J721" i="54"/>
  <c r="J721" i="44" s="1"/>
  <c r="J720" i="54"/>
  <c r="J720" i="44" s="1"/>
  <c r="J713" i="54"/>
  <c r="J713" i="44" s="1"/>
  <c r="J712" i="54"/>
  <c r="J712" i="44" s="1"/>
  <c r="J711" i="54"/>
  <c r="J711" i="44" s="1"/>
  <c r="J710" i="54"/>
  <c r="J710" i="44" s="1"/>
  <c r="J703" i="54"/>
  <c r="J704" i="54" s="1"/>
  <c r="J704" i="44" s="1"/>
  <c r="J700" i="54"/>
  <c r="J700" i="44" s="1"/>
  <c r="J699" i="54"/>
  <c r="J699" i="44" s="1"/>
  <c r="J698" i="54"/>
  <c r="J698" i="44" s="1"/>
  <c r="J690" i="54"/>
  <c r="J687" i="54"/>
  <c r="J687" i="44" s="1"/>
  <c r="J686" i="54"/>
  <c r="J686" i="44" s="1"/>
  <c r="J685" i="54"/>
  <c r="J685" i="44" s="1"/>
  <c r="J677" i="54"/>
  <c r="J678" i="54" s="1"/>
  <c r="J678" i="44" s="1"/>
  <c r="J674" i="54"/>
  <c r="J674" i="44" s="1"/>
  <c r="J673" i="54"/>
  <c r="J673" i="44" s="1"/>
  <c r="J672" i="54"/>
  <c r="J672" i="44" s="1"/>
  <c r="J653" i="44"/>
  <c r="J652" i="44"/>
  <c r="J651" i="44"/>
  <c r="J650" i="44"/>
  <c r="J649" i="44"/>
  <c r="J600" i="44"/>
  <c r="J596" i="54"/>
  <c r="J596" i="44" s="1"/>
  <c r="J595" i="54"/>
  <c r="J595" i="44" s="1"/>
  <c r="J594" i="54"/>
  <c r="J594" i="44" s="1"/>
  <c r="J593" i="54"/>
  <c r="J593" i="44" s="1"/>
  <c r="J592" i="54"/>
  <c r="J592" i="44" s="1"/>
  <c r="J582" i="44"/>
  <c r="J581" i="44"/>
  <c r="J580" i="44"/>
  <c r="J559" i="54"/>
  <c r="J559" i="44" s="1"/>
  <c r="J558" i="54"/>
  <c r="J558" i="44" s="1"/>
  <c r="J557" i="54"/>
  <c r="J557" i="44" s="1"/>
  <c r="J460" i="44"/>
  <c r="J458" i="54"/>
  <c r="J458" i="44" s="1"/>
  <c r="J457" i="54"/>
  <c r="J457" i="44" s="1"/>
  <c r="J454" i="54"/>
  <c r="J454" i="44" s="1"/>
  <c r="J453" i="54"/>
  <c r="J453" i="44" s="1"/>
  <c r="J435" i="44"/>
  <c r="J434" i="44"/>
  <c r="J433" i="44"/>
  <c r="J431" i="54"/>
  <c r="J431" i="44" s="1"/>
  <c r="J430" i="54"/>
  <c r="J430" i="44" s="1"/>
  <c r="J426" i="44"/>
  <c r="J417" i="54"/>
  <c r="J417" i="44" s="1"/>
  <c r="J416" i="54"/>
  <c r="J416" i="44" s="1"/>
  <c r="J415" i="54"/>
  <c r="J415" i="44" s="1"/>
  <c r="J414" i="54"/>
  <c r="J414" i="44" s="1"/>
  <c r="J413" i="54"/>
  <c r="J413" i="44" s="1"/>
  <c r="J412" i="54"/>
  <c r="J412" i="44" s="1"/>
  <c r="J411" i="54"/>
  <c r="J411" i="44" s="1"/>
  <c r="J410" i="54"/>
  <c r="J410" i="44" s="1"/>
  <c r="J409" i="54"/>
  <c r="J409" i="44" s="1"/>
  <c r="J408" i="54"/>
  <c r="J408" i="44" s="1"/>
  <c r="J404" i="54"/>
  <c r="J404" i="44" s="1"/>
  <c r="J403" i="54"/>
  <c r="J403" i="44" s="1"/>
  <c r="J402" i="54"/>
  <c r="J402" i="44" s="1"/>
  <c r="J401" i="54"/>
  <c r="J401" i="44" s="1"/>
  <c r="J400" i="54"/>
  <c r="J400" i="44" s="1"/>
  <c r="J399" i="54"/>
  <c r="J399" i="44" s="1"/>
  <c r="J398" i="54"/>
  <c r="J398" i="44" s="1"/>
  <c r="J397" i="54"/>
  <c r="J397" i="44" s="1"/>
  <c r="J396" i="54"/>
  <c r="J396" i="44" s="1"/>
  <c r="J395" i="54"/>
  <c r="J395" i="44" s="1"/>
  <c r="J378" i="54"/>
  <c r="J379" i="54" s="1"/>
  <c r="J379" i="44" s="1"/>
  <c r="J376" i="54"/>
  <c r="J376" i="44" s="1"/>
  <c r="J374" i="54"/>
  <c r="J375" i="54" s="1"/>
  <c r="J375" i="44" s="1"/>
  <c r="J372" i="54"/>
  <c r="J370" i="54"/>
  <c r="J371" i="54" s="1"/>
  <c r="J371" i="44" s="1"/>
  <c r="J362" i="54"/>
  <c r="J360" i="54"/>
  <c r="J360" i="44" s="1"/>
  <c r="J358" i="54"/>
  <c r="J359" i="54" s="1"/>
  <c r="J359" i="44" s="1"/>
  <c r="J356" i="54"/>
  <c r="J354" i="54"/>
  <c r="J346" i="54"/>
  <c r="J344" i="54"/>
  <c r="J342" i="54"/>
  <c r="J340" i="54"/>
  <c r="J338" i="54"/>
  <c r="J330" i="54"/>
  <c r="J328" i="54"/>
  <c r="J326" i="54"/>
  <c r="J324" i="54"/>
  <c r="J322" i="54"/>
  <c r="J313" i="54"/>
  <c r="J313" i="44" s="1"/>
  <c r="J312" i="54"/>
  <c r="J312" i="44" s="1"/>
  <c r="J311" i="54"/>
  <c r="J311" i="44" s="1"/>
  <c r="J310" i="54"/>
  <c r="J310" i="44" s="1"/>
  <c r="J309" i="54"/>
  <c r="J309" i="44" s="1"/>
  <c r="J304" i="54"/>
  <c r="J304" i="44" s="1"/>
  <c r="J303" i="54"/>
  <c r="J303" i="44" s="1"/>
  <c r="J302" i="54"/>
  <c r="J302" i="44" s="1"/>
  <c r="J301" i="54"/>
  <c r="J301" i="44" s="1"/>
  <c r="J300" i="54"/>
  <c r="J300" i="44" s="1"/>
  <c r="J253" i="44"/>
  <c r="J235" i="44"/>
  <c r="J229" i="54"/>
  <c r="J229" i="44" s="1"/>
  <c r="J228" i="54"/>
  <c r="J228" i="44" s="1"/>
  <c r="J227" i="54"/>
  <c r="J227" i="44" s="1"/>
  <c r="J223" i="54"/>
  <c r="J223" i="44" s="1"/>
  <c r="J222" i="54"/>
  <c r="J222" i="44" s="1"/>
  <c r="J221" i="54"/>
  <c r="J221" i="44" s="1"/>
  <c r="J216" i="54"/>
  <c r="J215" i="44"/>
  <c r="J212" i="54"/>
  <c r="J212" i="44" s="1"/>
  <c r="J211" i="54"/>
  <c r="J211" i="44" s="1"/>
  <c r="J210" i="54"/>
  <c r="J210" i="44" s="1"/>
  <c r="J209" i="54"/>
  <c r="J209" i="44" s="1"/>
  <c r="J188" i="54"/>
  <c r="J188" i="44" s="1"/>
  <c r="J187" i="54"/>
  <c r="J187" i="44" s="1"/>
  <c r="J185" i="54"/>
  <c r="J185" i="44" s="1"/>
  <c r="J184" i="54"/>
  <c r="J184" i="44" s="1"/>
  <c r="J180" i="54"/>
  <c r="J180" i="44" s="1"/>
  <c r="J179" i="54"/>
  <c r="J179" i="44" s="1"/>
  <c r="J178" i="54"/>
  <c r="J178" i="44" s="1"/>
  <c r="J177" i="54"/>
  <c r="J177" i="44" s="1"/>
  <c r="J176" i="54"/>
  <c r="J176" i="44" s="1"/>
  <c r="J174" i="54"/>
  <c r="J174" i="44" s="1"/>
  <c r="J173" i="54"/>
  <c r="J173" i="44" s="1"/>
  <c r="J172" i="54"/>
  <c r="J172" i="44" s="1"/>
  <c r="J171" i="54"/>
  <c r="J171" i="44" s="1"/>
  <c r="J169" i="54"/>
  <c r="J169" i="44" s="1"/>
  <c r="J160" i="54"/>
  <c r="J161" i="54" s="1"/>
  <c r="J161" i="44" s="1"/>
  <c r="J159" i="44"/>
  <c r="J157" i="54"/>
  <c r="J157" i="44" s="1"/>
  <c r="J151" i="44"/>
  <c r="J148" i="54"/>
  <c r="J149" i="54" s="1"/>
  <c r="J149" i="44" s="1"/>
  <c r="J142" i="44"/>
  <c r="J140" i="54"/>
  <c r="J140" i="44" s="1"/>
  <c r="J138" i="54"/>
  <c r="J138" i="44" s="1"/>
  <c r="J136" i="54"/>
  <c r="J136" i="44" s="1"/>
  <c r="J135" i="54"/>
  <c r="J135" i="44" s="1"/>
  <c r="J134" i="54"/>
  <c r="J134" i="44" s="1"/>
  <c r="J64" i="54"/>
  <c r="J64" i="44" s="1"/>
  <c r="J63" i="54"/>
  <c r="J63" i="44" s="1"/>
  <c r="J62" i="44"/>
  <c r="J61" i="54"/>
  <c r="J61" i="44" s="1"/>
  <c r="J3" i="54"/>
  <c r="J4" i="54" s="1"/>
  <c r="J2" i="44"/>
  <c r="M9" i="17"/>
  <c r="M8" i="17"/>
  <c r="K67" i="7"/>
  <c r="K64" i="7"/>
  <c r="K63" i="7"/>
  <c r="K60" i="7"/>
  <c r="K59" i="7"/>
  <c r="K58" i="7"/>
  <c r="K57" i="7"/>
  <c r="K56" i="7"/>
  <c r="K55" i="7"/>
  <c r="K54" i="7"/>
  <c r="K53" i="7"/>
  <c r="K52" i="7"/>
  <c r="K50" i="7"/>
  <c r="K49" i="7"/>
  <c r="K48" i="7"/>
  <c r="K47" i="7"/>
  <c r="K43" i="7"/>
  <c r="K42" i="7"/>
  <c r="K41" i="7"/>
  <c r="K39" i="7"/>
  <c r="K37" i="7"/>
  <c r="K36" i="7"/>
  <c r="K34" i="7"/>
  <c r="K33" i="7"/>
  <c r="K32" i="7"/>
  <c r="K31" i="7"/>
  <c r="K30" i="7"/>
  <c r="K29" i="7"/>
  <c r="K27" i="7"/>
  <c r="K25" i="7"/>
  <c r="K24" i="7"/>
  <c r="K20" i="7"/>
  <c r="K19" i="7"/>
  <c r="K18" i="7"/>
  <c r="K17" i="7"/>
  <c r="K16" i="7"/>
  <c r="K15" i="7"/>
  <c r="K14" i="7"/>
  <c r="K13" i="7"/>
  <c r="K12" i="7"/>
  <c r="K11" i="7"/>
  <c r="K62" i="6"/>
  <c r="K60" i="6"/>
  <c r="K54" i="6"/>
  <c r="K53" i="6"/>
  <c r="K50" i="6"/>
  <c r="K49" i="6"/>
  <c r="K46" i="6"/>
  <c r="K45" i="6"/>
  <c r="K42" i="6"/>
  <c r="K41" i="6"/>
  <c r="K37" i="6"/>
  <c r="K36" i="6"/>
  <c r="K32" i="6"/>
  <c r="K30" i="6"/>
  <c r="K26" i="6"/>
  <c r="K24" i="6"/>
  <c r="K23" i="6"/>
  <c r="K22" i="6"/>
  <c r="K17" i="6"/>
  <c r="K15" i="6"/>
  <c r="K10" i="6"/>
  <c r="K9" i="6"/>
  <c r="K57" i="5"/>
  <c r="K52" i="5"/>
  <c r="K51" i="5"/>
  <c r="K50" i="5"/>
  <c r="K49" i="5"/>
  <c r="K45" i="5"/>
  <c r="K44" i="5"/>
  <c r="K43" i="5"/>
  <c r="K42" i="5"/>
  <c r="K41" i="5"/>
  <c r="K40" i="5"/>
  <c r="K39" i="5"/>
  <c r="K38" i="5"/>
  <c r="K24" i="5"/>
  <c r="K23" i="5"/>
  <c r="K22" i="5"/>
  <c r="K21" i="5"/>
  <c r="K20" i="5"/>
  <c r="K19" i="5"/>
  <c r="K18" i="5"/>
  <c r="K17" i="5"/>
  <c r="K16" i="5"/>
  <c r="K15" i="5"/>
  <c r="K12" i="5"/>
  <c r="K11" i="5"/>
  <c r="K9" i="5"/>
  <c r="K63" i="4"/>
  <c r="K61" i="4"/>
  <c r="K59" i="4"/>
  <c r="K58" i="4"/>
  <c r="K56" i="4"/>
  <c r="K55" i="4"/>
  <c r="K54" i="4"/>
  <c r="K47" i="4"/>
  <c r="K46" i="4"/>
  <c r="K42" i="4"/>
  <c r="K41" i="4"/>
  <c r="K19" i="4"/>
  <c r="K18" i="4"/>
  <c r="K17" i="4"/>
  <c r="K16" i="4"/>
  <c r="K15" i="4"/>
  <c r="K13" i="4"/>
  <c r="K11" i="4"/>
  <c r="K94" i="3"/>
  <c r="K93" i="3"/>
  <c r="K91" i="3"/>
  <c r="K90" i="3"/>
  <c r="K89" i="3"/>
  <c r="K86" i="3"/>
  <c r="K85" i="3"/>
  <c r="K84" i="3"/>
  <c r="K83" i="3"/>
  <c r="K81" i="3"/>
  <c r="K80" i="3"/>
  <c r="K79" i="3"/>
  <c r="K78" i="3"/>
  <c r="K56" i="3"/>
  <c r="K45" i="3"/>
  <c r="K44" i="3"/>
  <c r="K43" i="3"/>
  <c r="K42" i="3"/>
  <c r="K40" i="3"/>
  <c r="K39" i="3"/>
  <c r="K38" i="3"/>
  <c r="K37" i="3"/>
  <c r="K35" i="3"/>
  <c r="K34" i="3"/>
  <c r="K33" i="3"/>
  <c r="K32" i="3"/>
  <c r="K22" i="3"/>
  <c r="K406" i="53"/>
  <c r="K405" i="53"/>
  <c r="K404" i="53"/>
  <c r="K403" i="53"/>
  <c r="K402" i="53"/>
  <c r="K401" i="53"/>
  <c r="K400" i="53"/>
  <c r="K399" i="53"/>
  <c r="K398" i="53"/>
  <c r="K397" i="53"/>
  <c r="K396" i="53"/>
  <c r="K395" i="53"/>
  <c r="K394" i="53"/>
  <c r="K393" i="53"/>
  <c r="K392" i="53"/>
  <c r="K391" i="53"/>
  <c r="K390" i="53"/>
  <c r="K389" i="53"/>
  <c r="K388" i="53"/>
  <c r="K387" i="53"/>
  <c r="K386" i="53"/>
  <c r="K385" i="53"/>
  <c r="K384" i="53"/>
  <c r="K383" i="53"/>
  <c r="K382" i="53"/>
  <c r="K381" i="53"/>
  <c r="K380" i="53"/>
  <c r="K379" i="53"/>
  <c r="K378" i="53"/>
  <c r="K377" i="53"/>
  <c r="K376" i="53"/>
  <c r="K375" i="53"/>
  <c r="K374" i="53"/>
  <c r="K373" i="53"/>
  <c r="K372" i="53"/>
  <c r="K371" i="53"/>
  <c r="K370" i="53"/>
  <c r="K369" i="53"/>
  <c r="K368" i="53"/>
  <c r="K367" i="53"/>
  <c r="K366" i="53"/>
  <c r="K365" i="53"/>
  <c r="K364" i="53"/>
  <c r="K363" i="53"/>
  <c r="K362" i="53"/>
  <c r="K361" i="53"/>
  <c r="K360" i="53"/>
  <c r="K359" i="53"/>
  <c r="K358" i="53"/>
  <c r="K357" i="53"/>
  <c r="K356" i="53"/>
  <c r="K355" i="53"/>
  <c r="K354" i="53"/>
  <c r="K353" i="53"/>
  <c r="K352" i="53"/>
  <c r="K351" i="53"/>
  <c r="K350" i="53"/>
  <c r="K349" i="53"/>
  <c r="K348" i="53"/>
  <c r="K347" i="53"/>
  <c r="K346" i="53"/>
  <c r="K345" i="53"/>
  <c r="K344" i="53"/>
  <c r="K343" i="53"/>
  <c r="K342" i="53"/>
  <c r="K341" i="53"/>
  <c r="K340" i="53"/>
  <c r="K339" i="53"/>
  <c r="K338" i="53"/>
  <c r="K337" i="53"/>
  <c r="K336" i="53"/>
  <c r="K335" i="53"/>
  <c r="K334" i="53"/>
  <c r="K333" i="53"/>
  <c r="K332" i="53"/>
  <c r="K331" i="53"/>
  <c r="K330" i="53"/>
  <c r="K329" i="53"/>
  <c r="K328" i="53"/>
  <c r="K327" i="53"/>
  <c r="K326" i="53"/>
  <c r="K325" i="53"/>
  <c r="K324" i="53"/>
  <c r="K323" i="53"/>
  <c r="K322" i="53"/>
  <c r="K321" i="53"/>
  <c r="K320" i="53"/>
  <c r="K319" i="53"/>
  <c r="K318" i="53"/>
  <c r="K317" i="53"/>
  <c r="K316" i="53"/>
  <c r="K315" i="53"/>
  <c r="K314" i="53"/>
  <c r="K313" i="53"/>
  <c r="K312" i="53"/>
  <c r="K311" i="53"/>
  <c r="K310" i="53"/>
  <c r="K309" i="53"/>
  <c r="K308" i="53"/>
  <c r="K307" i="53"/>
  <c r="K306" i="53"/>
  <c r="K305" i="53"/>
  <c r="K304" i="53"/>
  <c r="K303" i="53"/>
  <c r="K302" i="53"/>
  <c r="K301" i="53"/>
  <c r="K300" i="53"/>
  <c r="K299" i="53"/>
  <c r="K298" i="53"/>
  <c r="K297" i="53"/>
  <c r="K296" i="53"/>
  <c r="K295" i="53"/>
  <c r="K294" i="53"/>
  <c r="K293" i="53"/>
  <c r="K292" i="53"/>
  <c r="K291" i="53"/>
  <c r="K290" i="53"/>
  <c r="K289" i="53"/>
  <c r="K288" i="53"/>
  <c r="K287" i="53"/>
  <c r="K286" i="53"/>
  <c r="K285" i="53"/>
  <c r="K284" i="53"/>
  <c r="K283" i="53"/>
  <c r="K282" i="53"/>
  <c r="K281" i="53"/>
  <c r="K280" i="53"/>
  <c r="K279" i="53"/>
  <c r="K278" i="53"/>
  <c r="K277" i="53"/>
  <c r="K276" i="53"/>
  <c r="K275" i="53"/>
  <c r="K274" i="53"/>
  <c r="K273" i="53"/>
  <c r="K272" i="53"/>
  <c r="K271" i="53"/>
  <c r="K270" i="53"/>
  <c r="K269" i="53"/>
  <c r="K268" i="53"/>
  <c r="K267" i="53"/>
  <c r="K266" i="53"/>
  <c r="K265" i="53"/>
  <c r="K264" i="53"/>
  <c r="K263" i="53"/>
  <c r="K262" i="53"/>
  <c r="K261" i="53"/>
  <c r="K260" i="53"/>
  <c r="K259" i="53"/>
  <c r="K258" i="53"/>
  <c r="K257" i="53"/>
  <c r="K256" i="53"/>
  <c r="K255" i="53"/>
  <c r="K254" i="53"/>
  <c r="K253" i="53"/>
  <c r="K252" i="53"/>
  <c r="K251" i="53"/>
  <c r="K250" i="53"/>
  <c r="K249" i="53"/>
  <c r="K248" i="53"/>
  <c r="K247" i="53"/>
  <c r="K246" i="53"/>
  <c r="K245" i="53"/>
  <c r="K244" i="53"/>
  <c r="K243" i="53"/>
  <c r="K242" i="53"/>
  <c r="K241" i="53"/>
  <c r="K240" i="53"/>
  <c r="K239" i="53"/>
  <c r="K238" i="53"/>
  <c r="K237" i="53"/>
  <c r="K236" i="53"/>
  <c r="K235" i="53"/>
  <c r="K234" i="53"/>
  <c r="K233" i="53"/>
  <c r="K232" i="53"/>
  <c r="K231" i="53"/>
  <c r="K230" i="53"/>
  <c r="K229" i="53"/>
  <c r="K228" i="53"/>
  <c r="K227" i="53"/>
  <c r="K226" i="53"/>
  <c r="K225" i="53"/>
  <c r="K224" i="53"/>
  <c r="K223" i="53"/>
  <c r="K222" i="53"/>
  <c r="K221" i="53"/>
  <c r="K220" i="53"/>
  <c r="K219" i="53"/>
  <c r="K218" i="53"/>
  <c r="K217" i="53"/>
  <c r="K216" i="53"/>
  <c r="K215" i="53"/>
  <c r="K214" i="53"/>
  <c r="K213" i="53"/>
  <c r="K212" i="53"/>
  <c r="K211" i="53"/>
  <c r="K210" i="53"/>
  <c r="K209" i="53"/>
  <c r="K208" i="53"/>
  <c r="K207" i="53"/>
  <c r="K206" i="53"/>
  <c r="K205" i="53"/>
  <c r="K204" i="53"/>
  <c r="K203" i="53"/>
  <c r="K202" i="53"/>
  <c r="K201" i="53"/>
  <c r="K200" i="53"/>
  <c r="K199" i="53"/>
  <c r="K198" i="53"/>
  <c r="K197" i="53"/>
  <c r="K196" i="53"/>
  <c r="K195" i="53"/>
  <c r="K194" i="53"/>
  <c r="K193" i="53"/>
  <c r="K192" i="53"/>
  <c r="K191" i="53"/>
  <c r="K190" i="53"/>
  <c r="K189" i="53"/>
  <c r="K188" i="53"/>
  <c r="K187" i="53"/>
  <c r="K186" i="53"/>
  <c r="K185" i="53"/>
  <c r="K184" i="53"/>
  <c r="K183" i="53"/>
  <c r="K182" i="53"/>
  <c r="K181" i="53"/>
  <c r="K180" i="53"/>
  <c r="K179" i="53"/>
  <c r="K178" i="53"/>
  <c r="K177" i="53"/>
  <c r="K176" i="53"/>
  <c r="K175" i="53"/>
  <c r="K174" i="53"/>
  <c r="K173" i="53"/>
  <c r="K172" i="53"/>
  <c r="K171" i="53"/>
  <c r="K170" i="53"/>
  <c r="K169" i="53"/>
  <c r="K168" i="53"/>
  <c r="K167" i="53"/>
  <c r="K166" i="53"/>
  <c r="K165" i="53"/>
  <c r="K164" i="53"/>
  <c r="K163" i="53"/>
  <c r="K162" i="53"/>
  <c r="K161" i="53"/>
  <c r="K160" i="53"/>
  <c r="K159" i="53"/>
  <c r="K158" i="53"/>
  <c r="K157" i="53"/>
  <c r="K156" i="53"/>
  <c r="K155" i="53"/>
  <c r="K154" i="53"/>
  <c r="K153" i="53"/>
  <c r="K152" i="53"/>
  <c r="K151" i="53"/>
  <c r="K150" i="53"/>
  <c r="K149" i="53"/>
  <c r="K148" i="53"/>
  <c r="K147" i="53"/>
  <c r="K146" i="53"/>
  <c r="K145" i="53"/>
  <c r="K144" i="53"/>
  <c r="K143" i="53"/>
  <c r="K142" i="53"/>
  <c r="K141" i="53"/>
  <c r="K140" i="53"/>
  <c r="K139" i="53"/>
  <c r="K138" i="53"/>
  <c r="K137" i="53"/>
  <c r="K136" i="53"/>
  <c r="K135" i="53"/>
  <c r="K134" i="53"/>
  <c r="K133" i="53"/>
  <c r="K132" i="53"/>
  <c r="K131" i="53"/>
  <c r="K130" i="53"/>
  <c r="K129" i="53"/>
  <c r="K128" i="53"/>
  <c r="K127" i="53"/>
  <c r="K126" i="53"/>
  <c r="K125" i="53"/>
  <c r="K124" i="53"/>
  <c r="K123" i="53"/>
  <c r="K122" i="53"/>
  <c r="K121" i="53"/>
  <c r="K120" i="53"/>
  <c r="K119" i="53"/>
  <c r="K118" i="53"/>
  <c r="K117" i="53"/>
  <c r="K116" i="53"/>
  <c r="K115" i="53"/>
  <c r="K114" i="53"/>
  <c r="K113" i="53"/>
  <c r="K112" i="53"/>
  <c r="K111" i="53"/>
  <c r="K110" i="53"/>
  <c r="K109" i="53"/>
  <c r="K108" i="53"/>
  <c r="K107" i="53"/>
  <c r="K106" i="53"/>
  <c r="K105" i="53"/>
  <c r="K104" i="53"/>
  <c r="K103" i="53"/>
  <c r="K102" i="53"/>
  <c r="K101" i="53"/>
  <c r="K100" i="53"/>
  <c r="K99" i="53"/>
  <c r="K98" i="53"/>
  <c r="K97" i="53"/>
  <c r="K96" i="53"/>
  <c r="K95" i="53"/>
  <c r="K94" i="53"/>
  <c r="K93" i="53"/>
  <c r="K92" i="53"/>
  <c r="K91" i="53"/>
  <c r="K90" i="53"/>
  <c r="K89" i="53"/>
  <c r="K88" i="53"/>
  <c r="K87" i="53"/>
  <c r="K86" i="53"/>
  <c r="K85" i="53"/>
  <c r="K84" i="53"/>
  <c r="K82" i="29"/>
  <c r="K83" i="29" s="1"/>
  <c r="K83" i="53" s="1"/>
  <c r="K81" i="53"/>
  <c r="K80" i="29"/>
  <c r="K80" i="53" s="1"/>
  <c r="K78" i="29"/>
  <c r="K77" i="29"/>
  <c r="K77" i="53" s="1"/>
  <c r="K76" i="53"/>
  <c r="K74" i="29"/>
  <c r="K74" i="53" s="1"/>
  <c r="K73" i="29"/>
  <c r="K73" i="53" s="1"/>
  <c r="K70" i="29"/>
  <c r="K70" i="53" s="1"/>
  <c r="K69" i="29"/>
  <c r="K69" i="53" s="1"/>
  <c r="K68" i="29"/>
  <c r="K68" i="53" s="1"/>
  <c r="K67" i="29"/>
  <c r="K67" i="53" s="1"/>
  <c r="K65" i="53"/>
  <c r="K63" i="29"/>
  <c r="K63" i="53" s="1"/>
  <c r="K62" i="29"/>
  <c r="K62" i="53" s="1"/>
  <c r="K61" i="29"/>
  <c r="K60" i="29"/>
  <c r="K60" i="53" s="1"/>
  <c r="K59" i="53"/>
  <c r="K55" i="29"/>
  <c r="K55" i="53" s="1"/>
  <c r="K54" i="53"/>
  <c r="K53" i="53"/>
  <c r="K52" i="53"/>
  <c r="K51" i="53"/>
  <c r="K50" i="53"/>
  <c r="K49" i="53"/>
  <c r="K48" i="53"/>
  <c r="K47" i="53"/>
  <c r="K46" i="53"/>
  <c r="K45" i="53"/>
  <c r="K34" i="53"/>
  <c r="K33" i="53"/>
  <c r="K32" i="53"/>
  <c r="K31" i="53"/>
  <c r="K30" i="53"/>
  <c r="K29" i="53"/>
  <c r="K28" i="53"/>
  <c r="K27" i="53"/>
  <c r="K26" i="53"/>
  <c r="K25" i="53"/>
  <c r="K12" i="53"/>
  <c r="K11" i="53"/>
  <c r="K10" i="53"/>
  <c r="K9" i="53"/>
  <c r="K8" i="53"/>
  <c r="K7" i="53"/>
  <c r="K6" i="53"/>
  <c r="K5" i="53"/>
  <c r="K4" i="53"/>
  <c r="K3" i="53"/>
  <c r="K2" i="53"/>
  <c r="K16" i="21"/>
  <c r="K14" i="21"/>
  <c r="K15" i="21" s="1"/>
  <c r="K12" i="49"/>
  <c r="K11" i="49"/>
  <c r="H28" i="5"/>
  <c r="F28" i="5"/>
  <c r="F60" i="4"/>
  <c r="K60" i="4" s="1"/>
  <c r="F57" i="4"/>
  <c r="K57" i="4" s="1"/>
  <c r="F52" i="4"/>
  <c r="K52" i="4" s="1"/>
  <c r="F51" i="4"/>
  <c r="K51" i="4" s="1"/>
  <c r="F50" i="4"/>
  <c r="F48" i="4"/>
  <c r="K48" i="4" s="1"/>
  <c r="F43" i="4"/>
  <c r="K43" i="4" s="1"/>
  <c r="H25" i="4"/>
  <c r="H24" i="4"/>
  <c r="J66" i="7"/>
  <c r="J51" i="7"/>
  <c r="J46" i="7"/>
  <c r="J61" i="7" s="1"/>
  <c r="J45" i="7" s="1"/>
  <c r="J40" i="7"/>
  <c r="J38" i="7"/>
  <c r="J35" i="7" s="1"/>
  <c r="J28" i="7"/>
  <c r="J26" i="7" s="1"/>
  <c r="J23" i="7" s="1"/>
  <c r="J44" i="7" s="1"/>
  <c r="J22" i="7" s="1"/>
  <c r="J10" i="7"/>
  <c r="J52" i="6"/>
  <c r="J51" i="6"/>
  <c r="J55" i="6" s="1"/>
  <c r="J44" i="6"/>
  <c r="J43" i="6"/>
  <c r="J47" i="6" s="1"/>
  <c r="J39" i="6"/>
  <c r="J35" i="6"/>
  <c r="J38" i="6" s="1"/>
  <c r="J31" i="6"/>
  <c r="J29" i="6"/>
  <c r="J33" i="6" s="1"/>
  <c r="J25" i="6"/>
  <c r="J21" i="6"/>
  <c r="J16" i="6"/>
  <c r="J14" i="6"/>
  <c r="J13" i="6" s="1"/>
  <c r="J18" i="6" s="1"/>
  <c r="J11" i="6"/>
  <c r="J48" i="5"/>
  <c r="J37" i="5"/>
  <c r="J36" i="5" s="1"/>
  <c r="J31" i="5"/>
  <c r="J26" i="5"/>
  <c r="J14" i="5"/>
  <c r="J8" i="5"/>
  <c r="J25" i="5" s="1"/>
  <c r="L22" i="17"/>
  <c r="L21" i="17"/>
  <c r="E22" i="17"/>
  <c r="E21" i="17"/>
  <c r="H66" i="7"/>
  <c r="H51" i="7"/>
  <c r="H46" i="7"/>
  <c r="H61" i="7" s="1"/>
  <c r="H45" i="7" s="1"/>
  <c r="H40" i="7"/>
  <c r="H38" i="7" s="1"/>
  <c r="H35" i="7" s="1"/>
  <c r="H28" i="7"/>
  <c r="H26" i="7" s="1"/>
  <c r="H23" i="7" s="1"/>
  <c r="H10" i="7"/>
  <c r="F51" i="7"/>
  <c r="K51" i="7" s="1"/>
  <c r="F46" i="7"/>
  <c r="K46" i="7" s="1"/>
  <c r="F40" i="7"/>
  <c r="F38" i="7" s="1"/>
  <c r="F28" i="7"/>
  <c r="F10" i="7"/>
  <c r="H52" i="6"/>
  <c r="H51" i="6"/>
  <c r="H44" i="6"/>
  <c r="H43" i="6"/>
  <c r="H47" i="6" s="1"/>
  <c r="F40" i="6" s="1"/>
  <c r="H39" i="6"/>
  <c r="H35" i="6"/>
  <c r="H38" i="6" s="1"/>
  <c r="F34" i="6" s="1"/>
  <c r="K34" i="6" s="1"/>
  <c r="H31" i="6"/>
  <c r="H29" i="6" s="1"/>
  <c r="H33" i="6" s="1"/>
  <c r="F28" i="6" s="1"/>
  <c r="H25" i="6"/>
  <c r="H21" i="6"/>
  <c r="H20" i="6"/>
  <c r="H27" i="6" s="1"/>
  <c r="F19" i="6" s="1"/>
  <c r="H16" i="6"/>
  <c r="H14" i="6"/>
  <c r="H13" i="6"/>
  <c r="H18" i="6" s="1"/>
  <c r="F12" i="6" s="1"/>
  <c r="K12" i="6" s="1"/>
  <c r="H11" i="6"/>
  <c r="F52" i="6"/>
  <c r="F44" i="6"/>
  <c r="F35" i="6"/>
  <c r="K35" i="6" s="1"/>
  <c r="F31" i="6"/>
  <c r="F25" i="6"/>
  <c r="F21" i="6"/>
  <c r="F20" i="6" s="1"/>
  <c r="F16" i="6"/>
  <c r="K16" i="6" s="1"/>
  <c r="F14" i="6"/>
  <c r="K14" i="6" s="1"/>
  <c r="H37" i="5"/>
  <c r="H14" i="5"/>
  <c r="F37" i="5"/>
  <c r="F14" i="5"/>
  <c r="J64" i="4"/>
  <c r="J62" i="4" s="1"/>
  <c r="J53" i="4"/>
  <c r="J49" i="4" s="1"/>
  <c r="H53" i="4"/>
  <c r="H49" i="4" s="1"/>
  <c r="F53" i="4"/>
  <c r="J45" i="4"/>
  <c r="J44" i="4" s="1"/>
  <c r="H45" i="4"/>
  <c r="H44" i="4" s="1"/>
  <c r="F45" i="4"/>
  <c r="J40" i="4"/>
  <c r="J39" i="4" s="1"/>
  <c r="H40" i="4"/>
  <c r="H39" i="4" s="1"/>
  <c r="F40" i="4"/>
  <c r="J32" i="4"/>
  <c r="J29" i="4" s="1"/>
  <c r="H32" i="4"/>
  <c r="H29" i="4" s="1"/>
  <c r="J26" i="4"/>
  <c r="J23" i="4"/>
  <c r="J21" i="4" s="1"/>
  <c r="J14" i="4"/>
  <c r="H14" i="4"/>
  <c r="F14" i="4"/>
  <c r="J12" i="4"/>
  <c r="H12" i="4"/>
  <c r="F12" i="4"/>
  <c r="J10" i="4"/>
  <c r="H10" i="4"/>
  <c r="F10" i="4"/>
  <c r="J87" i="3"/>
  <c r="J82" i="3"/>
  <c r="H82" i="3"/>
  <c r="F82" i="3"/>
  <c r="J77" i="3"/>
  <c r="H77" i="3"/>
  <c r="F77" i="3"/>
  <c r="J69" i="3"/>
  <c r="J68" i="3" s="1"/>
  <c r="J64" i="3"/>
  <c r="J63" i="3" s="1"/>
  <c r="J59" i="3"/>
  <c r="J58" i="3" s="1"/>
  <c r="J51" i="3"/>
  <c r="H51" i="3"/>
  <c r="J47" i="3"/>
  <c r="J41" i="3"/>
  <c r="H41" i="3"/>
  <c r="F41" i="3"/>
  <c r="J36" i="3"/>
  <c r="H36" i="3"/>
  <c r="F36" i="3"/>
  <c r="J31" i="3"/>
  <c r="H31" i="3"/>
  <c r="F31" i="3"/>
  <c r="J23" i="3"/>
  <c r="H23" i="3"/>
  <c r="J15" i="3"/>
  <c r="J14" i="3" s="1"/>
  <c r="J9" i="3"/>
  <c r="AW651" i="41"/>
  <c r="AX651" i="41" s="1"/>
  <c r="AY651" i="41" s="1"/>
  <c r="AV651" i="41"/>
  <c r="AW650" i="41"/>
  <c r="AX650" i="41" s="1"/>
  <c r="AY650" i="41" s="1"/>
  <c r="AV650" i="41"/>
  <c r="BE650" i="41" s="1"/>
  <c r="AW649" i="41"/>
  <c r="AX649" i="41" s="1"/>
  <c r="AY649" i="41" s="1"/>
  <c r="AV649" i="41"/>
  <c r="AW648" i="41"/>
  <c r="AX648" i="41" s="1"/>
  <c r="AY648" i="41" s="1"/>
  <c r="AV648" i="41"/>
  <c r="AW647" i="41"/>
  <c r="AX647" i="41" s="1"/>
  <c r="AY647" i="41" s="1"/>
  <c r="AZ647" i="41" s="1"/>
  <c r="BA647" i="41" s="1"/>
  <c r="BB647" i="41" s="1"/>
  <c r="BC647" i="41" s="1"/>
  <c r="BD647" i="41" s="1"/>
  <c r="AV647" i="41"/>
  <c r="AW646" i="41"/>
  <c r="AX646" i="41" s="1"/>
  <c r="AY646" i="41" s="1"/>
  <c r="AZ646" i="41" s="1"/>
  <c r="BA646" i="41" s="1"/>
  <c r="BB646" i="41" s="1"/>
  <c r="BC646" i="41" s="1"/>
  <c r="BD646" i="41" s="1"/>
  <c r="AV646" i="41"/>
  <c r="AW645" i="41"/>
  <c r="AX645" i="41" s="1"/>
  <c r="AY645" i="41" s="1"/>
  <c r="AV645" i="41"/>
  <c r="AW644" i="41"/>
  <c r="AX644" i="41" s="1"/>
  <c r="AY644" i="41" s="1"/>
  <c r="AV644" i="41"/>
  <c r="AW643" i="41"/>
  <c r="AX643" i="41" s="1"/>
  <c r="AY643" i="41" s="1"/>
  <c r="AZ643" i="41" s="1"/>
  <c r="BA643" i="41" s="1"/>
  <c r="BB643" i="41" s="1"/>
  <c r="BC643" i="41" s="1"/>
  <c r="BD643" i="41" s="1"/>
  <c r="AV643" i="41"/>
  <c r="AW642" i="41"/>
  <c r="AX642" i="41" s="1"/>
  <c r="AY642" i="41" s="1"/>
  <c r="AV642" i="41"/>
  <c r="AW641" i="41"/>
  <c r="AX641" i="41" s="1"/>
  <c r="AY641" i="41" s="1"/>
  <c r="AV641" i="41"/>
  <c r="AW640" i="41"/>
  <c r="AX640" i="41" s="1"/>
  <c r="AY640" i="41" s="1"/>
  <c r="AZ640" i="41" s="1"/>
  <c r="BA640" i="41" s="1"/>
  <c r="AV640" i="41"/>
  <c r="BE640" i="41" s="1"/>
  <c r="BG640" i="41" s="1"/>
  <c r="AW639" i="41"/>
  <c r="AX639" i="41" s="1"/>
  <c r="AY639" i="41" s="1"/>
  <c r="AV639" i="41"/>
  <c r="AW638" i="41"/>
  <c r="AX638" i="41" s="1"/>
  <c r="AY638" i="41" s="1"/>
  <c r="AZ638" i="41" s="1"/>
  <c r="BA638" i="41" s="1"/>
  <c r="BB638" i="41" s="1"/>
  <c r="BC638" i="41" s="1"/>
  <c r="BD638" i="41" s="1"/>
  <c r="AV638" i="41"/>
  <c r="AW637" i="41"/>
  <c r="AX637" i="41" s="1"/>
  <c r="AY637" i="41" s="1"/>
  <c r="AZ637" i="41" s="1"/>
  <c r="BA637" i="41" s="1"/>
  <c r="BB637" i="41" s="1"/>
  <c r="BC637" i="41" s="1"/>
  <c r="BD637" i="41" s="1"/>
  <c r="AV637" i="41"/>
  <c r="AW636" i="41"/>
  <c r="AX636" i="41" s="1"/>
  <c r="AY636" i="41" s="1"/>
  <c r="AV636" i="41"/>
  <c r="AW635" i="41"/>
  <c r="AX635" i="41" s="1"/>
  <c r="AY635" i="41" s="1"/>
  <c r="AZ635" i="41" s="1"/>
  <c r="BA635" i="41" s="1"/>
  <c r="BB635" i="41" s="1"/>
  <c r="BC635" i="41" s="1"/>
  <c r="BD635" i="41" s="1"/>
  <c r="AV635" i="41"/>
  <c r="AW634" i="41"/>
  <c r="AX634" i="41" s="1"/>
  <c r="AY634" i="41" s="1"/>
  <c r="AZ634" i="41" s="1"/>
  <c r="AV634" i="41"/>
  <c r="AW633" i="41"/>
  <c r="AX633" i="41" s="1"/>
  <c r="AY633" i="41" s="1"/>
  <c r="AZ633" i="41" s="1"/>
  <c r="BA633" i="41" s="1"/>
  <c r="BB633" i="41" s="1"/>
  <c r="BC633" i="41" s="1"/>
  <c r="BD633" i="41" s="1"/>
  <c r="AV633" i="41"/>
  <c r="AW632" i="41"/>
  <c r="AX632" i="41" s="1"/>
  <c r="AY632" i="41" s="1"/>
  <c r="AZ632" i="41" s="1"/>
  <c r="BA632" i="41" s="1"/>
  <c r="AV632" i="41"/>
  <c r="AW631" i="41"/>
  <c r="AX631" i="41" s="1"/>
  <c r="AY631" i="41" s="1"/>
  <c r="AZ631" i="41" s="1"/>
  <c r="BA631" i="41" s="1"/>
  <c r="BB631" i="41" s="1"/>
  <c r="BC631" i="41" s="1"/>
  <c r="BD631" i="41" s="1"/>
  <c r="AV631" i="41"/>
  <c r="AW630" i="41"/>
  <c r="AX630" i="41" s="1"/>
  <c r="AY630" i="41" s="1"/>
  <c r="AZ630" i="41" s="1"/>
  <c r="BA630" i="41" s="1"/>
  <c r="AV630" i="41"/>
  <c r="AW629" i="41"/>
  <c r="AX629" i="41" s="1"/>
  <c r="AY629" i="41" s="1"/>
  <c r="AZ629" i="41" s="1"/>
  <c r="BA629" i="41" s="1"/>
  <c r="BB629" i="41" s="1"/>
  <c r="BC629" i="41" s="1"/>
  <c r="BD629" i="41" s="1"/>
  <c r="AV629" i="41"/>
  <c r="AW628" i="41"/>
  <c r="AX628" i="41" s="1"/>
  <c r="AY628" i="41" s="1"/>
  <c r="AZ628" i="41" s="1"/>
  <c r="BA628" i="41" s="1"/>
  <c r="AV628" i="41"/>
  <c r="AW627" i="41"/>
  <c r="AX627" i="41" s="1"/>
  <c r="AY627" i="41" s="1"/>
  <c r="AZ627" i="41" s="1"/>
  <c r="BA627" i="41" s="1"/>
  <c r="BB627" i="41" s="1"/>
  <c r="BC627" i="41" s="1"/>
  <c r="BD627" i="41" s="1"/>
  <c r="AV627" i="41"/>
  <c r="AW626" i="41"/>
  <c r="AX626" i="41" s="1"/>
  <c r="AY626" i="41" s="1"/>
  <c r="AZ626" i="41" s="1"/>
  <c r="BA626" i="41" s="1"/>
  <c r="AV626" i="41"/>
  <c r="AW625" i="41"/>
  <c r="AX625" i="41" s="1"/>
  <c r="AY625" i="41" s="1"/>
  <c r="AZ625" i="41" s="1"/>
  <c r="BA625" i="41" s="1"/>
  <c r="BB625" i="41" s="1"/>
  <c r="BC625" i="41" s="1"/>
  <c r="BD625" i="41" s="1"/>
  <c r="AV625" i="41"/>
  <c r="AW624" i="41"/>
  <c r="AX624" i="41" s="1"/>
  <c r="AY624" i="41" s="1"/>
  <c r="AZ624" i="41" s="1"/>
  <c r="AV624" i="41"/>
  <c r="AW623" i="41"/>
  <c r="AX623" i="41" s="1"/>
  <c r="AY623" i="41" s="1"/>
  <c r="AZ623" i="41" s="1"/>
  <c r="BA623" i="41" s="1"/>
  <c r="BB623" i="41" s="1"/>
  <c r="BC623" i="41" s="1"/>
  <c r="BD623" i="41" s="1"/>
  <c r="AV623" i="41"/>
  <c r="AW622" i="41"/>
  <c r="AX622" i="41" s="1"/>
  <c r="AY622" i="41" s="1"/>
  <c r="AZ622" i="41" s="1"/>
  <c r="BA622" i="41" s="1"/>
  <c r="AV622" i="41"/>
  <c r="AW621" i="41"/>
  <c r="AX621" i="41" s="1"/>
  <c r="AY621" i="41" s="1"/>
  <c r="AZ621" i="41" s="1"/>
  <c r="BA621" i="41" s="1"/>
  <c r="BB621" i="41" s="1"/>
  <c r="BC621" i="41" s="1"/>
  <c r="BD621" i="41" s="1"/>
  <c r="AV621" i="41"/>
  <c r="BE621" i="41" s="1"/>
  <c r="BG621" i="41" s="1"/>
  <c r="AW620" i="41"/>
  <c r="AX620" i="41" s="1"/>
  <c r="AY620" i="41" s="1"/>
  <c r="AZ620" i="41" s="1"/>
  <c r="BA620" i="41" s="1"/>
  <c r="BB620" i="41" s="1"/>
  <c r="BC620" i="41" s="1"/>
  <c r="BD620" i="41" s="1"/>
  <c r="AV620" i="41"/>
  <c r="AW619" i="41"/>
  <c r="AX619" i="41" s="1"/>
  <c r="AY619" i="41" s="1"/>
  <c r="AZ619" i="41" s="1"/>
  <c r="AV619" i="41"/>
  <c r="AW618" i="41"/>
  <c r="AX618" i="41" s="1"/>
  <c r="AY618" i="41" s="1"/>
  <c r="AZ618" i="41" s="1"/>
  <c r="BA618" i="41" s="1"/>
  <c r="BB618" i="41" s="1"/>
  <c r="BC618" i="41" s="1"/>
  <c r="BD618" i="41" s="1"/>
  <c r="AV618" i="41"/>
  <c r="AW617" i="41"/>
  <c r="AX617" i="41" s="1"/>
  <c r="AY617" i="41" s="1"/>
  <c r="AZ617" i="41" s="1"/>
  <c r="AV617" i="41"/>
  <c r="AW616" i="41"/>
  <c r="AX616" i="41" s="1"/>
  <c r="AY616" i="41" s="1"/>
  <c r="AZ616" i="41" s="1"/>
  <c r="BA616" i="41" s="1"/>
  <c r="BB616" i="41" s="1"/>
  <c r="BC616" i="41" s="1"/>
  <c r="BD616" i="41" s="1"/>
  <c r="AV616" i="41"/>
  <c r="AW615" i="41"/>
  <c r="AX615" i="41" s="1"/>
  <c r="AY615" i="41" s="1"/>
  <c r="AZ615" i="41" s="1"/>
  <c r="BA615" i="41" s="1"/>
  <c r="BB615" i="41" s="1"/>
  <c r="BC615" i="41" s="1"/>
  <c r="AV615" i="41"/>
  <c r="AW614" i="41"/>
  <c r="AX614" i="41" s="1"/>
  <c r="AY614" i="41" s="1"/>
  <c r="AZ614" i="41" s="1"/>
  <c r="BA614" i="41" s="1"/>
  <c r="BB614" i="41" s="1"/>
  <c r="BC614" i="41" s="1"/>
  <c r="BD614" i="41" s="1"/>
  <c r="AV614" i="41"/>
  <c r="AW613" i="41"/>
  <c r="AX613" i="41" s="1"/>
  <c r="AY613" i="41" s="1"/>
  <c r="AZ613" i="41" s="1"/>
  <c r="BA613" i="41" s="1"/>
  <c r="BB613" i="41" s="1"/>
  <c r="BC613" i="41" s="1"/>
  <c r="BD613" i="41" s="1"/>
  <c r="AV613" i="41"/>
  <c r="AW612" i="41"/>
  <c r="AX612" i="41" s="1"/>
  <c r="AY612" i="41" s="1"/>
  <c r="AZ612" i="41" s="1"/>
  <c r="BA612" i="41" s="1"/>
  <c r="BB612" i="41" s="1"/>
  <c r="BC612" i="41" s="1"/>
  <c r="BD612" i="41" s="1"/>
  <c r="AV612" i="41"/>
  <c r="AW611" i="41"/>
  <c r="AX611" i="41" s="1"/>
  <c r="AY611" i="41" s="1"/>
  <c r="AZ611" i="41" s="1"/>
  <c r="BA611" i="41" s="1"/>
  <c r="AV611" i="41"/>
  <c r="AW610" i="41"/>
  <c r="AX610" i="41" s="1"/>
  <c r="AY610" i="41" s="1"/>
  <c r="AZ610" i="41" s="1"/>
  <c r="BA610" i="41" s="1"/>
  <c r="BB610" i="41" s="1"/>
  <c r="BC610" i="41" s="1"/>
  <c r="BD610" i="41" s="1"/>
  <c r="AV610" i="41"/>
  <c r="AW609" i="41"/>
  <c r="AX609" i="41" s="1"/>
  <c r="AY609" i="41" s="1"/>
  <c r="AZ609" i="41" s="1"/>
  <c r="BA609" i="41" s="1"/>
  <c r="AV609" i="41"/>
  <c r="AW608" i="41"/>
  <c r="AX608" i="41" s="1"/>
  <c r="AY608" i="41" s="1"/>
  <c r="AZ608" i="41" s="1"/>
  <c r="BA608" i="41" s="1"/>
  <c r="BB608" i="41" s="1"/>
  <c r="BC608" i="41" s="1"/>
  <c r="BD608" i="41" s="1"/>
  <c r="AV608" i="41"/>
  <c r="AW607" i="41"/>
  <c r="AX607" i="41" s="1"/>
  <c r="AY607" i="41" s="1"/>
  <c r="AZ607" i="41" s="1"/>
  <c r="BA607" i="41" s="1"/>
  <c r="BB607" i="41" s="1"/>
  <c r="BC607" i="41" s="1"/>
  <c r="BD607" i="41" s="1"/>
  <c r="AV607" i="41"/>
  <c r="AW606" i="41"/>
  <c r="AX606" i="41" s="1"/>
  <c r="AY606" i="41" s="1"/>
  <c r="AZ606" i="41" s="1"/>
  <c r="BA606" i="41" s="1"/>
  <c r="BB606" i="41" s="1"/>
  <c r="BC606" i="41" s="1"/>
  <c r="BD606" i="41" s="1"/>
  <c r="AV606" i="41"/>
  <c r="AW605" i="41"/>
  <c r="AX605" i="41" s="1"/>
  <c r="AY605" i="41" s="1"/>
  <c r="AZ605" i="41" s="1"/>
  <c r="BA605" i="41" s="1"/>
  <c r="BB605" i="41" s="1"/>
  <c r="BC605" i="41" s="1"/>
  <c r="BD605" i="41" s="1"/>
  <c r="AV605" i="41"/>
  <c r="AW604" i="41"/>
  <c r="AX604" i="41" s="1"/>
  <c r="AY604" i="41" s="1"/>
  <c r="AZ604" i="41" s="1"/>
  <c r="BA604" i="41" s="1"/>
  <c r="BB604" i="41" s="1"/>
  <c r="BC604" i="41" s="1"/>
  <c r="BD604" i="41" s="1"/>
  <c r="AV604" i="41"/>
  <c r="AW603" i="41"/>
  <c r="AX603" i="41" s="1"/>
  <c r="AY603" i="41" s="1"/>
  <c r="AZ603" i="41" s="1"/>
  <c r="BA603" i="41" s="1"/>
  <c r="BB603" i="41" s="1"/>
  <c r="BC603" i="41" s="1"/>
  <c r="BD603" i="41" s="1"/>
  <c r="AV603" i="41"/>
  <c r="AW602" i="41"/>
  <c r="AX602" i="41" s="1"/>
  <c r="AY602" i="41" s="1"/>
  <c r="AZ602" i="41" s="1"/>
  <c r="BA602" i="41" s="1"/>
  <c r="BB602" i="41" s="1"/>
  <c r="BC602" i="41" s="1"/>
  <c r="BD602" i="41" s="1"/>
  <c r="AV602" i="41"/>
  <c r="AW601" i="41"/>
  <c r="AX601" i="41" s="1"/>
  <c r="AY601" i="41" s="1"/>
  <c r="AZ601" i="41" s="1"/>
  <c r="BA601" i="41" s="1"/>
  <c r="BB601" i="41" s="1"/>
  <c r="BC601" i="41" s="1"/>
  <c r="BD601" i="41" s="1"/>
  <c r="AV601" i="41"/>
  <c r="AW600" i="41"/>
  <c r="AX600" i="41" s="1"/>
  <c r="AY600" i="41" s="1"/>
  <c r="AZ600" i="41" s="1"/>
  <c r="BA600" i="41" s="1"/>
  <c r="BB600" i="41" s="1"/>
  <c r="BC600" i="41" s="1"/>
  <c r="BD600" i="41" s="1"/>
  <c r="AV600" i="41"/>
  <c r="AW599" i="41"/>
  <c r="AX599" i="41" s="1"/>
  <c r="AY599" i="41" s="1"/>
  <c r="AZ599" i="41" s="1"/>
  <c r="BA599" i="41" s="1"/>
  <c r="BB599" i="41" s="1"/>
  <c r="BC599" i="41" s="1"/>
  <c r="BD599" i="41" s="1"/>
  <c r="AV599" i="41"/>
  <c r="AW598" i="41"/>
  <c r="AX598" i="41" s="1"/>
  <c r="AY598" i="41" s="1"/>
  <c r="AZ598" i="41" s="1"/>
  <c r="BA598" i="41" s="1"/>
  <c r="BB598" i="41" s="1"/>
  <c r="BC598" i="41" s="1"/>
  <c r="BD598" i="41" s="1"/>
  <c r="AV598" i="41"/>
  <c r="AW597" i="41"/>
  <c r="AX597" i="41" s="1"/>
  <c r="AY597" i="41" s="1"/>
  <c r="AZ597" i="41" s="1"/>
  <c r="BA597" i="41" s="1"/>
  <c r="BB597" i="41" s="1"/>
  <c r="BC597" i="41" s="1"/>
  <c r="BD597" i="41" s="1"/>
  <c r="AV597" i="41"/>
  <c r="AW596" i="41"/>
  <c r="AX596" i="41" s="1"/>
  <c r="AY596" i="41" s="1"/>
  <c r="AZ596" i="41" s="1"/>
  <c r="BA596" i="41" s="1"/>
  <c r="BB596" i="41" s="1"/>
  <c r="BC596" i="41" s="1"/>
  <c r="BD596" i="41" s="1"/>
  <c r="AV596" i="41"/>
  <c r="AW595" i="41"/>
  <c r="AX595" i="41" s="1"/>
  <c r="AY595" i="41" s="1"/>
  <c r="AZ595" i="41" s="1"/>
  <c r="BA595" i="41" s="1"/>
  <c r="BB595" i="41" s="1"/>
  <c r="BC595" i="41" s="1"/>
  <c r="BD595" i="41" s="1"/>
  <c r="AV595" i="41"/>
  <c r="AW594" i="41"/>
  <c r="AX594" i="41" s="1"/>
  <c r="AY594" i="41" s="1"/>
  <c r="AZ594" i="41" s="1"/>
  <c r="BA594" i="41" s="1"/>
  <c r="BB594" i="41" s="1"/>
  <c r="BC594" i="41" s="1"/>
  <c r="BD594" i="41" s="1"/>
  <c r="AV594" i="41"/>
  <c r="AW593" i="41"/>
  <c r="AX593" i="41" s="1"/>
  <c r="AY593" i="41" s="1"/>
  <c r="AZ593" i="41" s="1"/>
  <c r="BA593" i="41" s="1"/>
  <c r="BB593" i="41" s="1"/>
  <c r="BC593" i="41" s="1"/>
  <c r="BD593" i="41" s="1"/>
  <c r="AV593" i="41"/>
  <c r="AW592" i="41"/>
  <c r="AX592" i="41" s="1"/>
  <c r="AY592" i="41" s="1"/>
  <c r="AZ592" i="41" s="1"/>
  <c r="BA592" i="41" s="1"/>
  <c r="BB592" i="41" s="1"/>
  <c r="BC592" i="41" s="1"/>
  <c r="BD592" i="41" s="1"/>
  <c r="AV592" i="41"/>
  <c r="AW591" i="41"/>
  <c r="AX591" i="41" s="1"/>
  <c r="AY591" i="41" s="1"/>
  <c r="AZ591" i="41" s="1"/>
  <c r="BA591" i="41" s="1"/>
  <c r="BB591" i="41" s="1"/>
  <c r="BC591" i="41" s="1"/>
  <c r="BD591" i="41" s="1"/>
  <c r="AV591" i="41"/>
  <c r="AW590" i="41"/>
  <c r="AX590" i="41" s="1"/>
  <c r="AY590" i="41" s="1"/>
  <c r="AZ590" i="41" s="1"/>
  <c r="BA590" i="41" s="1"/>
  <c r="BB590" i="41" s="1"/>
  <c r="BC590" i="41" s="1"/>
  <c r="BD590" i="41" s="1"/>
  <c r="AV590" i="41"/>
  <c r="AW589" i="41"/>
  <c r="AX589" i="41" s="1"/>
  <c r="AY589" i="41" s="1"/>
  <c r="AZ589" i="41" s="1"/>
  <c r="BA589" i="41" s="1"/>
  <c r="BB589" i="41" s="1"/>
  <c r="BC589" i="41" s="1"/>
  <c r="BD589" i="41" s="1"/>
  <c r="AV589" i="41"/>
  <c r="AW588" i="41"/>
  <c r="AX588" i="41" s="1"/>
  <c r="AY588" i="41" s="1"/>
  <c r="AZ588" i="41" s="1"/>
  <c r="BA588" i="41" s="1"/>
  <c r="BB588" i="41" s="1"/>
  <c r="BC588" i="41" s="1"/>
  <c r="BD588" i="41" s="1"/>
  <c r="AV588" i="41"/>
  <c r="AW587" i="41"/>
  <c r="AX587" i="41" s="1"/>
  <c r="AY587" i="41" s="1"/>
  <c r="AZ587" i="41" s="1"/>
  <c r="BA587" i="41" s="1"/>
  <c r="BB587" i="41" s="1"/>
  <c r="BC587" i="41" s="1"/>
  <c r="BD587" i="41" s="1"/>
  <c r="AV587" i="41"/>
  <c r="AW586" i="41"/>
  <c r="AX586" i="41" s="1"/>
  <c r="AY586" i="41" s="1"/>
  <c r="AZ586" i="41" s="1"/>
  <c r="BA586" i="41" s="1"/>
  <c r="BB586" i="41" s="1"/>
  <c r="BC586" i="41" s="1"/>
  <c r="BD586" i="41" s="1"/>
  <c r="AV586" i="41"/>
  <c r="AW585" i="41"/>
  <c r="AX585" i="41" s="1"/>
  <c r="AY585" i="41" s="1"/>
  <c r="AZ585" i="41" s="1"/>
  <c r="BA585" i="41" s="1"/>
  <c r="BB585" i="41" s="1"/>
  <c r="BC585" i="41" s="1"/>
  <c r="BD585" i="41" s="1"/>
  <c r="AV585" i="41"/>
  <c r="AW584" i="41"/>
  <c r="AX584" i="41" s="1"/>
  <c r="AY584" i="41" s="1"/>
  <c r="AZ584" i="41" s="1"/>
  <c r="BA584" i="41" s="1"/>
  <c r="BB584" i="41" s="1"/>
  <c r="AV584" i="41"/>
  <c r="AW583" i="41"/>
  <c r="AX583" i="41" s="1"/>
  <c r="AY583" i="41" s="1"/>
  <c r="AZ583" i="41" s="1"/>
  <c r="BA583" i="41" s="1"/>
  <c r="AV583" i="41"/>
  <c r="AW582" i="41"/>
  <c r="AX582" i="41" s="1"/>
  <c r="AY582" i="41" s="1"/>
  <c r="AZ582" i="41" s="1"/>
  <c r="BA582" i="41" s="1"/>
  <c r="BB582" i="41" s="1"/>
  <c r="BC582" i="41" s="1"/>
  <c r="BD582" i="41" s="1"/>
  <c r="AV582" i="41"/>
  <c r="AW581" i="41"/>
  <c r="AX581" i="41" s="1"/>
  <c r="AY581" i="41" s="1"/>
  <c r="AZ581" i="41" s="1"/>
  <c r="BA581" i="41" s="1"/>
  <c r="BB581" i="41" s="1"/>
  <c r="BC581" i="41" s="1"/>
  <c r="BD581" i="41" s="1"/>
  <c r="AV581" i="41"/>
  <c r="AW580" i="41"/>
  <c r="AX580" i="41" s="1"/>
  <c r="AY580" i="41" s="1"/>
  <c r="AV580" i="41"/>
  <c r="AW579" i="41"/>
  <c r="AX579" i="41" s="1"/>
  <c r="AY579" i="41" s="1"/>
  <c r="AZ579" i="41" s="1"/>
  <c r="BA579" i="41" s="1"/>
  <c r="BB579" i="41" s="1"/>
  <c r="BC579" i="41" s="1"/>
  <c r="BD579" i="41" s="1"/>
  <c r="AV579" i="41"/>
  <c r="BF579" i="41" s="1"/>
  <c r="AW578" i="41"/>
  <c r="AX578" i="41" s="1"/>
  <c r="AY578" i="41" s="1"/>
  <c r="AZ578" i="41" s="1"/>
  <c r="BA578" i="41" s="1"/>
  <c r="BB578" i="41" s="1"/>
  <c r="BC578" i="41" s="1"/>
  <c r="BD578" i="41" s="1"/>
  <c r="AV578" i="41"/>
  <c r="AW577" i="41"/>
  <c r="AX577" i="41" s="1"/>
  <c r="AY577" i="41" s="1"/>
  <c r="AZ577" i="41" s="1"/>
  <c r="BA577" i="41" s="1"/>
  <c r="BB577" i="41" s="1"/>
  <c r="BC577" i="41" s="1"/>
  <c r="BD577" i="41" s="1"/>
  <c r="AV577" i="41"/>
  <c r="AW576" i="41"/>
  <c r="AX576" i="41" s="1"/>
  <c r="AY576" i="41" s="1"/>
  <c r="AZ576" i="41" s="1"/>
  <c r="BA576" i="41" s="1"/>
  <c r="AV576" i="41"/>
  <c r="AW575" i="41"/>
  <c r="AX575" i="41" s="1"/>
  <c r="AY575" i="41" s="1"/>
  <c r="AZ575" i="41" s="1"/>
  <c r="BA575" i="41" s="1"/>
  <c r="BB575" i="41" s="1"/>
  <c r="BC575" i="41" s="1"/>
  <c r="BD575" i="41" s="1"/>
  <c r="AV575" i="41"/>
  <c r="AW574" i="41"/>
  <c r="AX574" i="41" s="1"/>
  <c r="AY574" i="41" s="1"/>
  <c r="AZ574" i="41" s="1"/>
  <c r="BA574" i="41" s="1"/>
  <c r="BB574" i="41" s="1"/>
  <c r="BC574" i="41" s="1"/>
  <c r="BD574" i="41" s="1"/>
  <c r="AV574" i="41"/>
  <c r="AW573" i="41"/>
  <c r="AX573" i="41" s="1"/>
  <c r="AY573" i="41" s="1"/>
  <c r="AZ573" i="41" s="1"/>
  <c r="BA573" i="41" s="1"/>
  <c r="BB573" i="41" s="1"/>
  <c r="BC573" i="41" s="1"/>
  <c r="BD573" i="41" s="1"/>
  <c r="AV573" i="41"/>
  <c r="AW572" i="41"/>
  <c r="AX572" i="41" s="1"/>
  <c r="AY572" i="41" s="1"/>
  <c r="AZ572" i="41" s="1"/>
  <c r="BA572" i="41" s="1"/>
  <c r="BB572" i="41" s="1"/>
  <c r="BC572" i="41" s="1"/>
  <c r="BD572" i="41" s="1"/>
  <c r="AV572" i="41"/>
  <c r="AW571" i="41"/>
  <c r="AX571" i="41" s="1"/>
  <c r="AY571" i="41" s="1"/>
  <c r="AZ571" i="41" s="1"/>
  <c r="BA571" i="41" s="1"/>
  <c r="BB571" i="41" s="1"/>
  <c r="BC571" i="41" s="1"/>
  <c r="BD571" i="41" s="1"/>
  <c r="AV571" i="41"/>
  <c r="AW570" i="41"/>
  <c r="AX570" i="41" s="1"/>
  <c r="AY570" i="41" s="1"/>
  <c r="AZ570" i="41" s="1"/>
  <c r="BA570" i="41" s="1"/>
  <c r="BB570" i="41" s="1"/>
  <c r="BC570" i="41" s="1"/>
  <c r="BD570" i="41" s="1"/>
  <c r="AV570" i="41"/>
  <c r="AW569" i="41"/>
  <c r="AX569" i="41" s="1"/>
  <c r="AY569" i="41" s="1"/>
  <c r="AZ569" i="41" s="1"/>
  <c r="BA569" i="41" s="1"/>
  <c r="BB569" i="41" s="1"/>
  <c r="BC569" i="41" s="1"/>
  <c r="BD569" i="41" s="1"/>
  <c r="AV569" i="41"/>
  <c r="AW568" i="41"/>
  <c r="AX568" i="41" s="1"/>
  <c r="AY568" i="41" s="1"/>
  <c r="AZ568" i="41" s="1"/>
  <c r="BA568" i="41" s="1"/>
  <c r="BB568" i="41" s="1"/>
  <c r="BC568" i="41" s="1"/>
  <c r="BD568" i="41" s="1"/>
  <c r="AV568" i="41"/>
  <c r="AW567" i="41"/>
  <c r="AX567" i="41" s="1"/>
  <c r="AY567" i="41" s="1"/>
  <c r="AZ567" i="41" s="1"/>
  <c r="BA567" i="41" s="1"/>
  <c r="BB567" i="41" s="1"/>
  <c r="BC567" i="41" s="1"/>
  <c r="BD567" i="41" s="1"/>
  <c r="AV567" i="41"/>
  <c r="AW566" i="41"/>
  <c r="AX566" i="41" s="1"/>
  <c r="AY566" i="41" s="1"/>
  <c r="AZ566" i="41" s="1"/>
  <c r="BA566" i="41" s="1"/>
  <c r="BB566" i="41" s="1"/>
  <c r="BC566" i="41" s="1"/>
  <c r="BD566" i="41" s="1"/>
  <c r="AV566" i="41"/>
  <c r="AW565" i="41"/>
  <c r="AX565" i="41" s="1"/>
  <c r="AY565" i="41" s="1"/>
  <c r="AZ565" i="41" s="1"/>
  <c r="BA565" i="41" s="1"/>
  <c r="BB565" i="41" s="1"/>
  <c r="BC565" i="41" s="1"/>
  <c r="BD565" i="41" s="1"/>
  <c r="AV565" i="41"/>
  <c r="AW564" i="41"/>
  <c r="AX564" i="41" s="1"/>
  <c r="AY564" i="41" s="1"/>
  <c r="AZ564" i="41" s="1"/>
  <c r="BA564" i="41" s="1"/>
  <c r="BB564" i="41" s="1"/>
  <c r="BC564" i="41" s="1"/>
  <c r="BD564" i="41" s="1"/>
  <c r="AV564" i="41"/>
  <c r="AW563" i="41"/>
  <c r="AX563" i="41" s="1"/>
  <c r="AY563" i="41" s="1"/>
  <c r="AZ563" i="41" s="1"/>
  <c r="BA563" i="41" s="1"/>
  <c r="BB563" i="41" s="1"/>
  <c r="BC563" i="41" s="1"/>
  <c r="BD563" i="41" s="1"/>
  <c r="AV563" i="41"/>
  <c r="AW562" i="41"/>
  <c r="AX562" i="41" s="1"/>
  <c r="AY562" i="41" s="1"/>
  <c r="AZ562" i="41" s="1"/>
  <c r="BA562" i="41" s="1"/>
  <c r="BB562" i="41" s="1"/>
  <c r="BC562" i="41" s="1"/>
  <c r="BD562" i="41" s="1"/>
  <c r="AV562" i="41"/>
  <c r="AW561" i="41"/>
  <c r="AX561" i="41" s="1"/>
  <c r="AY561" i="41" s="1"/>
  <c r="AZ561" i="41" s="1"/>
  <c r="BA561" i="41" s="1"/>
  <c r="BB561" i="41" s="1"/>
  <c r="BC561" i="41" s="1"/>
  <c r="BD561" i="41" s="1"/>
  <c r="AV561" i="41"/>
  <c r="AW560" i="41"/>
  <c r="AX560" i="41" s="1"/>
  <c r="AY560" i="41" s="1"/>
  <c r="AZ560" i="41" s="1"/>
  <c r="BA560" i="41" s="1"/>
  <c r="BB560" i="41" s="1"/>
  <c r="BC560" i="41" s="1"/>
  <c r="BD560" i="41" s="1"/>
  <c r="AV560" i="41"/>
  <c r="AW559" i="41"/>
  <c r="AX559" i="41" s="1"/>
  <c r="AY559" i="41" s="1"/>
  <c r="AZ559" i="41" s="1"/>
  <c r="BA559" i="41" s="1"/>
  <c r="BB559" i="41" s="1"/>
  <c r="BC559" i="41" s="1"/>
  <c r="BD559" i="41" s="1"/>
  <c r="AV559" i="41"/>
  <c r="AW558" i="41"/>
  <c r="AX558" i="41" s="1"/>
  <c r="AY558" i="41" s="1"/>
  <c r="AZ558" i="41" s="1"/>
  <c r="BA558" i="41" s="1"/>
  <c r="AV558" i="41"/>
  <c r="AW557" i="41"/>
  <c r="AX557" i="41" s="1"/>
  <c r="AY557" i="41" s="1"/>
  <c r="AV557" i="41"/>
  <c r="AW556" i="41"/>
  <c r="AX556" i="41" s="1"/>
  <c r="AY556" i="41" s="1"/>
  <c r="AZ556" i="41" s="1"/>
  <c r="AV556" i="41"/>
  <c r="AW555" i="41"/>
  <c r="AX555" i="41" s="1"/>
  <c r="AY555" i="41" s="1"/>
  <c r="AZ555" i="41" s="1"/>
  <c r="BA555" i="41" s="1"/>
  <c r="AV555" i="41"/>
  <c r="AW554" i="41"/>
  <c r="AX554" i="41" s="1"/>
  <c r="AY554" i="41" s="1"/>
  <c r="AZ554" i="41" s="1"/>
  <c r="BA554" i="41" s="1"/>
  <c r="AV554" i="41"/>
  <c r="AW553" i="41"/>
  <c r="AX553" i="41" s="1"/>
  <c r="AY553" i="41" s="1"/>
  <c r="AZ553" i="41" s="1"/>
  <c r="AV553" i="41"/>
  <c r="AW552" i="41"/>
  <c r="AX552" i="41" s="1"/>
  <c r="AY552" i="41" s="1"/>
  <c r="AV552" i="41"/>
  <c r="AW551" i="41"/>
  <c r="AX551" i="41" s="1"/>
  <c r="AY551" i="41" s="1"/>
  <c r="AZ551" i="41" s="1"/>
  <c r="AV551" i="41"/>
  <c r="AW550" i="41"/>
  <c r="AX550" i="41" s="1"/>
  <c r="AY550" i="41" s="1"/>
  <c r="AZ550" i="41" s="1"/>
  <c r="BA550" i="41" s="1"/>
  <c r="BB550" i="41" s="1"/>
  <c r="AV550" i="41"/>
  <c r="AW549" i="41"/>
  <c r="AX549" i="41" s="1"/>
  <c r="AY549" i="41" s="1"/>
  <c r="AZ549" i="41" s="1"/>
  <c r="BA549" i="41" s="1"/>
  <c r="AV549" i="41"/>
  <c r="AW548" i="41"/>
  <c r="AX548" i="41" s="1"/>
  <c r="AY548" i="41" s="1"/>
  <c r="AZ548" i="41" s="1"/>
  <c r="BA548" i="41" s="1"/>
  <c r="BB548" i="41" s="1"/>
  <c r="BC548" i="41" s="1"/>
  <c r="BD548" i="41" s="1"/>
  <c r="AV548" i="41"/>
  <c r="AW547" i="41"/>
  <c r="AX547" i="41" s="1"/>
  <c r="AY547" i="41" s="1"/>
  <c r="AZ547" i="41" s="1"/>
  <c r="BA547" i="41" s="1"/>
  <c r="BB547" i="41" s="1"/>
  <c r="BC547" i="41" s="1"/>
  <c r="BD547" i="41" s="1"/>
  <c r="AV547" i="41"/>
  <c r="AW546" i="41"/>
  <c r="AX546" i="41" s="1"/>
  <c r="AY546" i="41" s="1"/>
  <c r="AZ546" i="41" s="1"/>
  <c r="BA546" i="41" s="1"/>
  <c r="BB546" i="41" s="1"/>
  <c r="BC546" i="41" s="1"/>
  <c r="BD546" i="41" s="1"/>
  <c r="AV546" i="41"/>
  <c r="AW545" i="41"/>
  <c r="AX545" i="41" s="1"/>
  <c r="AY545" i="41" s="1"/>
  <c r="AZ545" i="41" s="1"/>
  <c r="BA545" i="41" s="1"/>
  <c r="BB545" i="41" s="1"/>
  <c r="BC545" i="41" s="1"/>
  <c r="BD545" i="41" s="1"/>
  <c r="AV545" i="41"/>
  <c r="AW544" i="41"/>
  <c r="AX544" i="41" s="1"/>
  <c r="AY544" i="41" s="1"/>
  <c r="AZ544" i="41" s="1"/>
  <c r="BA544" i="41" s="1"/>
  <c r="BB544" i="41" s="1"/>
  <c r="BC544" i="41" s="1"/>
  <c r="BD544" i="41" s="1"/>
  <c r="AV544" i="41"/>
  <c r="AW543" i="41"/>
  <c r="AX543" i="41" s="1"/>
  <c r="AY543" i="41" s="1"/>
  <c r="AZ543" i="41" s="1"/>
  <c r="BA543" i="41" s="1"/>
  <c r="BB543" i="41" s="1"/>
  <c r="BC543" i="41" s="1"/>
  <c r="BD543" i="41" s="1"/>
  <c r="AV543" i="41"/>
  <c r="AW542" i="41"/>
  <c r="AX542" i="41" s="1"/>
  <c r="AY542" i="41" s="1"/>
  <c r="AZ542" i="41" s="1"/>
  <c r="BA542" i="41" s="1"/>
  <c r="BB542" i="41" s="1"/>
  <c r="BC542" i="41" s="1"/>
  <c r="BD542" i="41" s="1"/>
  <c r="AV542" i="41"/>
  <c r="AW541" i="41"/>
  <c r="AX541" i="41" s="1"/>
  <c r="AY541" i="41" s="1"/>
  <c r="AZ541" i="41" s="1"/>
  <c r="BA541" i="41" s="1"/>
  <c r="BB541" i="41" s="1"/>
  <c r="BC541" i="41" s="1"/>
  <c r="BD541" i="41" s="1"/>
  <c r="AV541" i="41"/>
  <c r="AW540" i="41"/>
  <c r="AX540" i="41" s="1"/>
  <c r="AY540" i="41" s="1"/>
  <c r="AZ540" i="41" s="1"/>
  <c r="BA540" i="41" s="1"/>
  <c r="BB540" i="41" s="1"/>
  <c r="BC540" i="41" s="1"/>
  <c r="BD540" i="41" s="1"/>
  <c r="AV540" i="41"/>
  <c r="AW539" i="41"/>
  <c r="AX539" i="41" s="1"/>
  <c r="AY539" i="41" s="1"/>
  <c r="AZ539" i="41" s="1"/>
  <c r="BA539" i="41" s="1"/>
  <c r="BB539" i="41" s="1"/>
  <c r="BC539" i="41" s="1"/>
  <c r="BD539" i="41" s="1"/>
  <c r="AV539" i="41"/>
  <c r="AW538" i="41"/>
  <c r="AX538" i="41" s="1"/>
  <c r="AY538" i="41" s="1"/>
  <c r="AZ538" i="41" s="1"/>
  <c r="AV538" i="41"/>
  <c r="AW537" i="41"/>
  <c r="AX537" i="41" s="1"/>
  <c r="AY537" i="41" s="1"/>
  <c r="AZ537" i="41" s="1"/>
  <c r="BA537" i="41" s="1"/>
  <c r="BB537" i="41" s="1"/>
  <c r="BC537" i="41" s="1"/>
  <c r="BD537" i="41" s="1"/>
  <c r="AV537" i="41"/>
  <c r="AW536" i="41"/>
  <c r="AX536" i="41" s="1"/>
  <c r="AY536" i="41" s="1"/>
  <c r="AZ536" i="41" s="1"/>
  <c r="AV536" i="41"/>
  <c r="AW535" i="41"/>
  <c r="AX535" i="41" s="1"/>
  <c r="AY535" i="41" s="1"/>
  <c r="AZ535" i="41" s="1"/>
  <c r="BA535" i="41" s="1"/>
  <c r="BB535" i="41" s="1"/>
  <c r="BC535" i="41" s="1"/>
  <c r="BD535" i="41" s="1"/>
  <c r="AV535" i="41"/>
  <c r="AW534" i="41"/>
  <c r="AX534" i="41" s="1"/>
  <c r="AY534" i="41" s="1"/>
  <c r="AZ534" i="41" s="1"/>
  <c r="BA534" i="41" s="1"/>
  <c r="AV534" i="41"/>
  <c r="AW533" i="41"/>
  <c r="AX533" i="41" s="1"/>
  <c r="AY533" i="41" s="1"/>
  <c r="AZ533" i="41" s="1"/>
  <c r="BA533" i="41" s="1"/>
  <c r="BB533" i="41" s="1"/>
  <c r="BC533" i="41" s="1"/>
  <c r="BD533" i="41" s="1"/>
  <c r="AV533" i="41"/>
  <c r="AW532" i="41"/>
  <c r="AX532" i="41" s="1"/>
  <c r="AY532" i="41" s="1"/>
  <c r="AZ532" i="41" s="1"/>
  <c r="BA532" i="41" s="1"/>
  <c r="AV532" i="41"/>
  <c r="AW531" i="41"/>
  <c r="AX531" i="41" s="1"/>
  <c r="AY531" i="41" s="1"/>
  <c r="AZ531" i="41" s="1"/>
  <c r="BA531" i="41" s="1"/>
  <c r="BB531" i="41" s="1"/>
  <c r="BC531" i="41" s="1"/>
  <c r="BD531" i="41" s="1"/>
  <c r="AV531" i="41"/>
  <c r="AW530" i="41"/>
  <c r="AX530" i="41" s="1"/>
  <c r="AY530" i="41" s="1"/>
  <c r="AZ530" i="41" s="1"/>
  <c r="BA530" i="41" s="1"/>
  <c r="BB530" i="41" s="1"/>
  <c r="BC530" i="41" s="1"/>
  <c r="BD530" i="41" s="1"/>
  <c r="AV530" i="41"/>
  <c r="BE530" i="41" s="1"/>
  <c r="BG530" i="41" s="1"/>
  <c r="AW529" i="41"/>
  <c r="AX529" i="41" s="1"/>
  <c r="AY529" i="41" s="1"/>
  <c r="AZ529" i="41" s="1"/>
  <c r="BA529" i="41" s="1"/>
  <c r="BB529" i="41" s="1"/>
  <c r="BC529" i="41" s="1"/>
  <c r="BD529" i="41" s="1"/>
  <c r="AV529" i="41"/>
  <c r="AW528" i="41"/>
  <c r="AX528" i="41" s="1"/>
  <c r="AY528" i="41" s="1"/>
  <c r="AZ528" i="41" s="1"/>
  <c r="BA528" i="41" s="1"/>
  <c r="BB528" i="41" s="1"/>
  <c r="BC528" i="41" s="1"/>
  <c r="BD528" i="41" s="1"/>
  <c r="AV528" i="41"/>
  <c r="BE528" i="41" s="1"/>
  <c r="BG528" i="41" s="1"/>
  <c r="AW527" i="41"/>
  <c r="AX527" i="41" s="1"/>
  <c r="AY527" i="41" s="1"/>
  <c r="AZ527" i="41" s="1"/>
  <c r="BA527" i="41" s="1"/>
  <c r="BB527" i="41" s="1"/>
  <c r="BC527" i="41" s="1"/>
  <c r="BD527" i="41" s="1"/>
  <c r="AV527" i="41"/>
  <c r="AW526" i="41"/>
  <c r="AX526" i="41" s="1"/>
  <c r="AY526" i="41" s="1"/>
  <c r="AZ526" i="41" s="1"/>
  <c r="BA526" i="41" s="1"/>
  <c r="BB526" i="41" s="1"/>
  <c r="BC526" i="41" s="1"/>
  <c r="BD526" i="41" s="1"/>
  <c r="AV526" i="41"/>
  <c r="BE526" i="41" s="1"/>
  <c r="BG526" i="41" s="1"/>
  <c r="AW525" i="41"/>
  <c r="AX525" i="41" s="1"/>
  <c r="AY525" i="41" s="1"/>
  <c r="AZ525" i="41" s="1"/>
  <c r="BA525" i="41" s="1"/>
  <c r="BB525" i="41" s="1"/>
  <c r="BC525" i="41" s="1"/>
  <c r="BD525" i="41" s="1"/>
  <c r="AV525" i="41"/>
  <c r="AW524" i="41"/>
  <c r="AX524" i="41" s="1"/>
  <c r="AY524" i="41" s="1"/>
  <c r="AV524" i="41"/>
  <c r="AW523" i="41"/>
  <c r="AX523" i="41" s="1"/>
  <c r="AY523" i="41" s="1"/>
  <c r="AZ523" i="41" s="1"/>
  <c r="BA523" i="41" s="1"/>
  <c r="BB523" i="41" s="1"/>
  <c r="BC523" i="41" s="1"/>
  <c r="BD523" i="41" s="1"/>
  <c r="AV523" i="41"/>
  <c r="AW522" i="41"/>
  <c r="AX522" i="41" s="1"/>
  <c r="AY522" i="41" s="1"/>
  <c r="AZ522" i="41" s="1"/>
  <c r="BA522" i="41" s="1"/>
  <c r="BB522" i="41" s="1"/>
  <c r="BC522" i="41" s="1"/>
  <c r="BD522" i="41" s="1"/>
  <c r="AV522" i="41"/>
  <c r="BE522" i="41" s="1"/>
  <c r="BG522" i="41" s="1"/>
  <c r="AW521" i="41"/>
  <c r="AX521" i="41" s="1"/>
  <c r="AY521" i="41" s="1"/>
  <c r="AZ521" i="41" s="1"/>
  <c r="BA521" i="41" s="1"/>
  <c r="BB521" i="41" s="1"/>
  <c r="BC521" i="41" s="1"/>
  <c r="BD521" i="41" s="1"/>
  <c r="AV521" i="41"/>
  <c r="AW520" i="41"/>
  <c r="AX520" i="41" s="1"/>
  <c r="AY520" i="41" s="1"/>
  <c r="AZ520" i="41" s="1"/>
  <c r="AV520" i="41"/>
  <c r="AW519" i="41"/>
  <c r="AX519" i="41" s="1"/>
  <c r="AY519" i="41" s="1"/>
  <c r="AZ519" i="41" s="1"/>
  <c r="BA519" i="41" s="1"/>
  <c r="BB519" i="41" s="1"/>
  <c r="BC519" i="41" s="1"/>
  <c r="BD519" i="41" s="1"/>
  <c r="AV519" i="41"/>
  <c r="AW518" i="41"/>
  <c r="AX518" i="41" s="1"/>
  <c r="AY518" i="41" s="1"/>
  <c r="AZ518" i="41" s="1"/>
  <c r="AV518" i="41"/>
  <c r="AW517" i="41"/>
  <c r="AX517" i="41" s="1"/>
  <c r="AY517" i="41" s="1"/>
  <c r="AZ517" i="41" s="1"/>
  <c r="BA517" i="41" s="1"/>
  <c r="BB517" i="41" s="1"/>
  <c r="BC517" i="41" s="1"/>
  <c r="BD517" i="41" s="1"/>
  <c r="AV517" i="41"/>
  <c r="AW516" i="41"/>
  <c r="AX516" i="41" s="1"/>
  <c r="AY516" i="41" s="1"/>
  <c r="AZ516" i="41" s="1"/>
  <c r="BA516" i="41" s="1"/>
  <c r="BB516" i="41" s="1"/>
  <c r="BC516" i="41" s="1"/>
  <c r="BD516" i="41" s="1"/>
  <c r="AV516" i="41"/>
  <c r="AW515" i="41"/>
  <c r="AX515" i="41" s="1"/>
  <c r="AY515" i="41" s="1"/>
  <c r="AZ515" i="41" s="1"/>
  <c r="BA515" i="41" s="1"/>
  <c r="BB515" i="41" s="1"/>
  <c r="BC515" i="41" s="1"/>
  <c r="BD515" i="41" s="1"/>
  <c r="AV515" i="41"/>
  <c r="BE515" i="41" s="1"/>
  <c r="BG515" i="41" s="1"/>
  <c r="AW514" i="41"/>
  <c r="AX514" i="41" s="1"/>
  <c r="AY514" i="41" s="1"/>
  <c r="AZ514" i="41" s="1"/>
  <c r="BA514" i="41" s="1"/>
  <c r="BB514" i="41" s="1"/>
  <c r="BC514" i="41" s="1"/>
  <c r="BD514" i="41" s="1"/>
  <c r="AV514" i="41"/>
  <c r="BF514" i="41" s="1"/>
  <c r="AW513" i="41"/>
  <c r="AX513" i="41" s="1"/>
  <c r="AY513" i="41" s="1"/>
  <c r="AZ513" i="41" s="1"/>
  <c r="BA513" i="41" s="1"/>
  <c r="AV513" i="41"/>
  <c r="AW512" i="41"/>
  <c r="AX512" i="41" s="1"/>
  <c r="AY512" i="41" s="1"/>
  <c r="AZ512" i="41" s="1"/>
  <c r="BA512" i="41" s="1"/>
  <c r="BB512" i="41" s="1"/>
  <c r="BC512" i="41" s="1"/>
  <c r="BD512" i="41" s="1"/>
  <c r="AV512" i="41"/>
  <c r="AW511" i="41"/>
  <c r="AX511" i="41" s="1"/>
  <c r="AY511" i="41" s="1"/>
  <c r="AZ511" i="41" s="1"/>
  <c r="BA511" i="41" s="1"/>
  <c r="BB511" i="41" s="1"/>
  <c r="BC511" i="41" s="1"/>
  <c r="BD511" i="41" s="1"/>
  <c r="AV511" i="41"/>
  <c r="AW510" i="41"/>
  <c r="AX510" i="41" s="1"/>
  <c r="AY510" i="41" s="1"/>
  <c r="AZ510" i="41" s="1"/>
  <c r="BA510" i="41" s="1"/>
  <c r="BB510" i="41" s="1"/>
  <c r="BC510" i="41" s="1"/>
  <c r="BD510" i="41" s="1"/>
  <c r="AV510" i="41"/>
  <c r="BF510" i="41" s="1"/>
  <c r="AW509" i="41"/>
  <c r="AX509" i="41" s="1"/>
  <c r="AY509" i="41" s="1"/>
  <c r="AZ509" i="41" s="1"/>
  <c r="BA509" i="41" s="1"/>
  <c r="AV509" i="41"/>
  <c r="AW508" i="41"/>
  <c r="AX508" i="41" s="1"/>
  <c r="AY508" i="41" s="1"/>
  <c r="AZ508" i="41" s="1"/>
  <c r="BA508" i="41" s="1"/>
  <c r="BB508" i="41" s="1"/>
  <c r="BC508" i="41" s="1"/>
  <c r="BD508" i="41" s="1"/>
  <c r="AV508" i="41"/>
  <c r="AW507" i="41"/>
  <c r="AX507" i="41" s="1"/>
  <c r="AY507" i="41" s="1"/>
  <c r="AZ507" i="41" s="1"/>
  <c r="BA507" i="41" s="1"/>
  <c r="BB507" i="41" s="1"/>
  <c r="BC507" i="41" s="1"/>
  <c r="BD507" i="41" s="1"/>
  <c r="AV507" i="41"/>
  <c r="AW506" i="41"/>
  <c r="AX506" i="41" s="1"/>
  <c r="AY506" i="41" s="1"/>
  <c r="AZ506" i="41" s="1"/>
  <c r="BA506" i="41" s="1"/>
  <c r="BB506" i="41" s="1"/>
  <c r="BC506" i="41" s="1"/>
  <c r="BD506" i="41" s="1"/>
  <c r="AV506" i="41"/>
  <c r="AW505" i="41"/>
  <c r="AX505" i="41" s="1"/>
  <c r="AY505" i="41" s="1"/>
  <c r="AZ505" i="41" s="1"/>
  <c r="BA505" i="41" s="1"/>
  <c r="BB505" i="41" s="1"/>
  <c r="AV505" i="41"/>
  <c r="AW504" i="41"/>
  <c r="AX504" i="41" s="1"/>
  <c r="AY504" i="41" s="1"/>
  <c r="AZ504" i="41" s="1"/>
  <c r="BA504" i="41" s="1"/>
  <c r="BB504" i="41" s="1"/>
  <c r="BC504" i="41" s="1"/>
  <c r="BD504" i="41" s="1"/>
  <c r="AV504" i="41"/>
  <c r="AW503" i="41"/>
  <c r="AX503" i="41" s="1"/>
  <c r="AY503" i="41" s="1"/>
  <c r="AZ503" i="41" s="1"/>
  <c r="BA503" i="41" s="1"/>
  <c r="BB503" i="41" s="1"/>
  <c r="BC503" i="41" s="1"/>
  <c r="BD503" i="41" s="1"/>
  <c r="AV503" i="41"/>
  <c r="AW502" i="41"/>
  <c r="AX502" i="41" s="1"/>
  <c r="AY502" i="41" s="1"/>
  <c r="AZ502" i="41" s="1"/>
  <c r="BA502" i="41" s="1"/>
  <c r="BB502" i="41" s="1"/>
  <c r="BC502" i="41" s="1"/>
  <c r="BD502" i="41" s="1"/>
  <c r="AV502" i="41"/>
  <c r="AW501" i="41"/>
  <c r="AX501" i="41" s="1"/>
  <c r="AY501" i="41" s="1"/>
  <c r="AZ501" i="41" s="1"/>
  <c r="BA501" i="41" s="1"/>
  <c r="AV501" i="41"/>
  <c r="AW500" i="41"/>
  <c r="AX500" i="41" s="1"/>
  <c r="AY500" i="41" s="1"/>
  <c r="AZ500" i="41" s="1"/>
  <c r="BA500" i="41" s="1"/>
  <c r="BB500" i="41" s="1"/>
  <c r="BC500" i="41" s="1"/>
  <c r="BD500" i="41" s="1"/>
  <c r="AV500" i="41"/>
  <c r="AW499" i="41"/>
  <c r="AX499" i="41" s="1"/>
  <c r="AY499" i="41" s="1"/>
  <c r="AZ499" i="41" s="1"/>
  <c r="BA499" i="41" s="1"/>
  <c r="BB499" i="41" s="1"/>
  <c r="BC499" i="41" s="1"/>
  <c r="BD499" i="41" s="1"/>
  <c r="AV499" i="41"/>
  <c r="AW498" i="41"/>
  <c r="AX498" i="41" s="1"/>
  <c r="AY498" i="41" s="1"/>
  <c r="AZ498" i="41" s="1"/>
  <c r="BA498" i="41" s="1"/>
  <c r="BB498" i="41" s="1"/>
  <c r="BC498" i="41" s="1"/>
  <c r="BD498" i="41" s="1"/>
  <c r="AV498" i="41"/>
  <c r="AW497" i="41"/>
  <c r="AX497" i="41" s="1"/>
  <c r="AY497" i="41" s="1"/>
  <c r="AZ497" i="41" s="1"/>
  <c r="BA497" i="41" s="1"/>
  <c r="AV497" i="41"/>
  <c r="AW496" i="41"/>
  <c r="AX496" i="41" s="1"/>
  <c r="AY496" i="41" s="1"/>
  <c r="AZ496" i="41" s="1"/>
  <c r="BA496" i="41" s="1"/>
  <c r="BB496" i="41" s="1"/>
  <c r="BC496" i="41" s="1"/>
  <c r="BD496" i="41" s="1"/>
  <c r="AV496" i="41"/>
  <c r="AW495" i="41"/>
  <c r="AX495" i="41" s="1"/>
  <c r="AY495" i="41" s="1"/>
  <c r="AZ495" i="41" s="1"/>
  <c r="BA495" i="41" s="1"/>
  <c r="BB495" i="41" s="1"/>
  <c r="BC495" i="41" s="1"/>
  <c r="BD495" i="41" s="1"/>
  <c r="AV495" i="41"/>
  <c r="AW494" i="41"/>
  <c r="AX494" i="41" s="1"/>
  <c r="AY494" i="41" s="1"/>
  <c r="AZ494" i="41" s="1"/>
  <c r="BA494" i="41" s="1"/>
  <c r="BB494" i="41" s="1"/>
  <c r="BC494" i="41" s="1"/>
  <c r="BD494" i="41" s="1"/>
  <c r="AV494" i="41"/>
  <c r="AW493" i="41"/>
  <c r="AX493" i="41" s="1"/>
  <c r="AY493" i="41" s="1"/>
  <c r="AZ493" i="41" s="1"/>
  <c r="AV493" i="41"/>
  <c r="AW492" i="41"/>
  <c r="AX492" i="41" s="1"/>
  <c r="AY492" i="41" s="1"/>
  <c r="AZ492" i="41" s="1"/>
  <c r="BA492" i="41" s="1"/>
  <c r="BB492" i="41" s="1"/>
  <c r="BC492" i="41" s="1"/>
  <c r="BD492" i="41" s="1"/>
  <c r="AV492" i="41"/>
  <c r="AW491" i="41"/>
  <c r="AX491" i="41" s="1"/>
  <c r="AY491" i="41" s="1"/>
  <c r="AZ491" i="41" s="1"/>
  <c r="BA491" i="41" s="1"/>
  <c r="BB491" i="41" s="1"/>
  <c r="BC491" i="41" s="1"/>
  <c r="BD491" i="41" s="1"/>
  <c r="AV491" i="41"/>
  <c r="AW490" i="41"/>
  <c r="AX490" i="41" s="1"/>
  <c r="AY490" i="41" s="1"/>
  <c r="AZ490" i="41" s="1"/>
  <c r="BA490" i="41" s="1"/>
  <c r="BB490" i="41" s="1"/>
  <c r="BC490" i="41" s="1"/>
  <c r="BD490" i="41" s="1"/>
  <c r="AV490" i="41"/>
  <c r="AW489" i="41"/>
  <c r="AX489" i="41" s="1"/>
  <c r="AY489" i="41" s="1"/>
  <c r="AZ489" i="41" s="1"/>
  <c r="BA489" i="41" s="1"/>
  <c r="BB489" i="41" s="1"/>
  <c r="AV489" i="41"/>
  <c r="AW488" i="41"/>
  <c r="AX488" i="41" s="1"/>
  <c r="AY488" i="41" s="1"/>
  <c r="AZ488" i="41" s="1"/>
  <c r="BA488" i="41" s="1"/>
  <c r="BB488" i="41" s="1"/>
  <c r="BC488" i="41" s="1"/>
  <c r="BD488" i="41" s="1"/>
  <c r="AV488" i="41"/>
  <c r="AW487" i="41"/>
  <c r="AX487" i="41" s="1"/>
  <c r="AY487" i="41" s="1"/>
  <c r="AZ487" i="41" s="1"/>
  <c r="BA487" i="41" s="1"/>
  <c r="BB487" i="41" s="1"/>
  <c r="BC487" i="41" s="1"/>
  <c r="BD487" i="41" s="1"/>
  <c r="AV487" i="41"/>
  <c r="AW486" i="41"/>
  <c r="AX486" i="41" s="1"/>
  <c r="AY486" i="41" s="1"/>
  <c r="AZ486" i="41" s="1"/>
  <c r="BA486" i="41" s="1"/>
  <c r="BB486" i="41" s="1"/>
  <c r="BC486" i="41" s="1"/>
  <c r="BD486" i="41" s="1"/>
  <c r="AV486" i="41"/>
  <c r="AW485" i="41"/>
  <c r="AX485" i="41" s="1"/>
  <c r="AY485" i="41" s="1"/>
  <c r="AZ485" i="41" s="1"/>
  <c r="BA485" i="41" s="1"/>
  <c r="BB485" i="41" s="1"/>
  <c r="BC485" i="41" s="1"/>
  <c r="BD485" i="41" s="1"/>
  <c r="AV485" i="41"/>
  <c r="AW484" i="41"/>
  <c r="AX484" i="41" s="1"/>
  <c r="AY484" i="41" s="1"/>
  <c r="AZ484" i="41" s="1"/>
  <c r="BA484" i="41" s="1"/>
  <c r="BB484" i="41" s="1"/>
  <c r="BC484" i="41" s="1"/>
  <c r="BD484" i="41" s="1"/>
  <c r="AV484" i="41"/>
  <c r="AW483" i="41"/>
  <c r="AX483" i="41" s="1"/>
  <c r="AY483" i="41" s="1"/>
  <c r="AZ483" i="41" s="1"/>
  <c r="BA483" i="41" s="1"/>
  <c r="BB483" i="41" s="1"/>
  <c r="BC483" i="41" s="1"/>
  <c r="BD483" i="41" s="1"/>
  <c r="AV483" i="41"/>
  <c r="AW482" i="41"/>
  <c r="AX482" i="41" s="1"/>
  <c r="AY482" i="41" s="1"/>
  <c r="AZ482" i="41" s="1"/>
  <c r="BA482" i="41" s="1"/>
  <c r="BB482" i="41" s="1"/>
  <c r="BC482" i="41" s="1"/>
  <c r="BD482" i="41" s="1"/>
  <c r="AV482" i="41"/>
  <c r="AW481" i="41"/>
  <c r="AX481" i="41" s="1"/>
  <c r="AY481" i="41" s="1"/>
  <c r="AZ481" i="41" s="1"/>
  <c r="BA481" i="41" s="1"/>
  <c r="BB481" i="41" s="1"/>
  <c r="BC481" i="41" s="1"/>
  <c r="BD481" i="41" s="1"/>
  <c r="AV481" i="41"/>
  <c r="AW480" i="41"/>
  <c r="AX480" i="41" s="1"/>
  <c r="AY480" i="41" s="1"/>
  <c r="AZ480" i="41" s="1"/>
  <c r="BA480" i="41" s="1"/>
  <c r="BB480" i="41" s="1"/>
  <c r="BC480" i="41" s="1"/>
  <c r="BD480" i="41" s="1"/>
  <c r="AV480" i="41"/>
  <c r="AW479" i="41"/>
  <c r="AX479" i="41" s="1"/>
  <c r="AY479" i="41" s="1"/>
  <c r="AZ479" i="41" s="1"/>
  <c r="BA479" i="41" s="1"/>
  <c r="BB479" i="41" s="1"/>
  <c r="BC479" i="41" s="1"/>
  <c r="BD479" i="41" s="1"/>
  <c r="AV479" i="41"/>
  <c r="AW478" i="41"/>
  <c r="AX478" i="41" s="1"/>
  <c r="AY478" i="41" s="1"/>
  <c r="AZ478" i="41" s="1"/>
  <c r="BA478" i="41" s="1"/>
  <c r="BB478" i="41" s="1"/>
  <c r="BC478" i="41" s="1"/>
  <c r="BD478" i="41" s="1"/>
  <c r="AV478" i="41"/>
  <c r="AW477" i="41"/>
  <c r="AX477" i="41" s="1"/>
  <c r="AY477" i="41" s="1"/>
  <c r="AZ477" i="41" s="1"/>
  <c r="BA477" i="41" s="1"/>
  <c r="BB477" i="41" s="1"/>
  <c r="BC477" i="41" s="1"/>
  <c r="BD477" i="41" s="1"/>
  <c r="AV477" i="41"/>
  <c r="AW476" i="41"/>
  <c r="AX476" i="41" s="1"/>
  <c r="AY476" i="41" s="1"/>
  <c r="AZ476" i="41" s="1"/>
  <c r="BA476" i="41" s="1"/>
  <c r="BB476" i="41" s="1"/>
  <c r="BC476" i="41" s="1"/>
  <c r="BD476" i="41" s="1"/>
  <c r="AV476" i="41"/>
  <c r="AW475" i="41"/>
  <c r="AX475" i="41" s="1"/>
  <c r="AY475" i="41" s="1"/>
  <c r="AZ475" i="41" s="1"/>
  <c r="BA475" i="41" s="1"/>
  <c r="BB475" i="41" s="1"/>
  <c r="BC475" i="41" s="1"/>
  <c r="BD475" i="41" s="1"/>
  <c r="AV475" i="41"/>
  <c r="AW474" i="41"/>
  <c r="AX474" i="41" s="1"/>
  <c r="AY474" i="41" s="1"/>
  <c r="AZ474" i="41" s="1"/>
  <c r="BA474" i="41" s="1"/>
  <c r="BB474" i="41" s="1"/>
  <c r="BC474" i="41" s="1"/>
  <c r="BD474" i="41" s="1"/>
  <c r="AV474" i="41"/>
  <c r="AW473" i="41"/>
  <c r="AX473" i="41" s="1"/>
  <c r="AY473" i="41" s="1"/>
  <c r="AZ473" i="41" s="1"/>
  <c r="BA473" i="41" s="1"/>
  <c r="BB473" i="41" s="1"/>
  <c r="BC473" i="41" s="1"/>
  <c r="BD473" i="41" s="1"/>
  <c r="AV473" i="41"/>
  <c r="AW472" i="41"/>
  <c r="AX472" i="41" s="1"/>
  <c r="AY472" i="41" s="1"/>
  <c r="AZ472" i="41" s="1"/>
  <c r="BA472" i="41" s="1"/>
  <c r="BB472" i="41" s="1"/>
  <c r="BC472" i="41" s="1"/>
  <c r="BD472" i="41" s="1"/>
  <c r="AV472" i="41"/>
  <c r="AW471" i="41"/>
  <c r="AX471" i="41" s="1"/>
  <c r="AY471" i="41" s="1"/>
  <c r="AZ471" i="41" s="1"/>
  <c r="BA471" i="41" s="1"/>
  <c r="BB471" i="41" s="1"/>
  <c r="BC471" i="41" s="1"/>
  <c r="BD471" i="41" s="1"/>
  <c r="AV471" i="41"/>
  <c r="AW470" i="41"/>
  <c r="AX470" i="41" s="1"/>
  <c r="AY470" i="41" s="1"/>
  <c r="AZ470" i="41" s="1"/>
  <c r="BA470" i="41" s="1"/>
  <c r="BB470" i="41" s="1"/>
  <c r="BC470" i="41" s="1"/>
  <c r="BD470" i="41" s="1"/>
  <c r="AV470" i="41"/>
  <c r="AW469" i="41"/>
  <c r="AX469" i="41" s="1"/>
  <c r="AY469" i="41" s="1"/>
  <c r="AZ469" i="41" s="1"/>
  <c r="BA469" i="41" s="1"/>
  <c r="BB469" i="41" s="1"/>
  <c r="BC469" i="41" s="1"/>
  <c r="BD469" i="41" s="1"/>
  <c r="AV469" i="41"/>
  <c r="AW468" i="41"/>
  <c r="AX468" i="41" s="1"/>
  <c r="AY468" i="41" s="1"/>
  <c r="AZ468" i="41" s="1"/>
  <c r="BA468" i="41" s="1"/>
  <c r="BB468" i="41" s="1"/>
  <c r="BC468" i="41" s="1"/>
  <c r="BD468" i="41" s="1"/>
  <c r="AV468" i="41"/>
  <c r="AW467" i="41"/>
  <c r="AX467" i="41" s="1"/>
  <c r="AY467" i="41" s="1"/>
  <c r="AZ467" i="41" s="1"/>
  <c r="BA467" i="41" s="1"/>
  <c r="BB467" i="41" s="1"/>
  <c r="BC467" i="41" s="1"/>
  <c r="BD467" i="41" s="1"/>
  <c r="AV467" i="41"/>
  <c r="AW466" i="41"/>
  <c r="AX466" i="41" s="1"/>
  <c r="AY466" i="41" s="1"/>
  <c r="AZ466" i="41" s="1"/>
  <c r="BA466" i="41" s="1"/>
  <c r="BB466" i="41" s="1"/>
  <c r="BC466" i="41" s="1"/>
  <c r="BD466" i="41" s="1"/>
  <c r="AV466" i="41"/>
  <c r="AW465" i="41"/>
  <c r="AX465" i="41" s="1"/>
  <c r="AY465" i="41" s="1"/>
  <c r="AZ465" i="41" s="1"/>
  <c r="BA465" i="41" s="1"/>
  <c r="BB465" i="41" s="1"/>
  <c r="BC465" i="41" s="1"/>
  <c r="BD465" i="41" s="1"/>
  <c r="AV465" i="41"/>
  <c r="AW464" i="41"/>
  <c r="AX464" i="41" s="1"/>
  <c r="AY464" i="41" s="1"/>
  <c r="AZ464" i="41" s="1"/>
  <c r="BA464" i="41" s="1"/>
  <c r="BB464" i="41" s="1"/>
  <c r="BC464" i="41" s="1"/>
  <c r="BD464" i="41" s="1"/>
  <c r="AV464" i="41"/>
  <c r="AW463" i="41"/>
  <c r="AX463" i="41" s="1"/>
  <c r="AY463" i="41" s="1"/>
  <c r="AZ463" i="41" s="1"/>
  <c r="BA463" i="41" s="1"/>
  <c r="BB463" i="41" s="1"/>
  <c r="BC463" i="41" s="1"/>
  <c r="BD463" i="41" s="1"/>
  <c r="AV463" i="41"/>
  <c r="AW462" i="41"/>
  <c r="AX462" i="41" s="1"/>
  <c r="AY462" i="41" s="1"/>
  <c r="AZ462" i="41" s="1"/>
  <c r="BA462" i="41" s="1"/>
  <c r="BB462" i="41" s="1"/>
  <c r="BC462" i="41" s="1"/>
  <c r="BD462" i="41" s="1"/>
  <c r="AV462" i="41"/>
  <c r="AW461" i="41"/>
  <c r="AX461" i="41" s="1"/>
  <c r="AY461" i="41" s="1"/>
  <c r="AZ461" i="41" s="1"/>
  <c r="BA461" i="41" s="1"/>
  <c r="BB461" i="41" s="1"/>
  <c r="BC461" i="41" s="1"/>
  <c r="BD461" i="41" s="1"/>
  <c r="AV461" i="41"/>
  <c r="AW460" i="41"/>
  <c r="AX460" i="41" s="1"/>
  <c r="AY460" i="41" s="1"/>
  <c r="AZ460" i="41" s="1"/>
  <c r="BA460" i="41" s="1"/>
  <c r="BB460" i="41" s="1"/>
  <c r="BC460" i="41" s="1"/>
  <c r="BD460" i="41" s="1"/>
  <c r="AV460" i="41"/>
  <c r="AW459" i="41"/>
  <c r="AX459" i="41" s="1"/>
  <c r="AY459" i="41" s="1"/>
  <c r="AZ459" i="41" s="1"/>
  <c r="BA459" i="41" s="1"/>
  <c r="BB459" i="41" s="1"/>
  <c r="BC459" i="41" s="1"/>
  <c r="BD459" i="41" s="1"/>
  <c r="AV459" i="41"/>
  <c r="AW458" i="41"/>
  <c r="AX458" i="41" s="1"/>
  <c r="AY458" i="41" s="1"/>
  <c r="AZ458" i="41" s="1"/>
  <c r="BA458" i="41" s="1"/>
  <c r="BB458" i="41" s="1"/>
  <c r="BC458" i="41" s="1"/>
  <c r="BD458" i="41" s="1"/>
  <c r="AV458" i="41"/>
  <c r="AW457" i="41"/>
  <c r="AX457" i="41" s="1"/>
  <c r="AY457" i="41" s="1"/>
  <c r="AZ457" i="41" s="1"/>
  <c r="BA457" i="41" s="1"/>
  <c r="BB457" i="41" s="1"/>
  <c r="BC457" i="41" s="1"/>
  <c r="BD457" i="41" s="1"/>
  <c r="AV457" i="41"/>
  <c r="AW456" i="41"/>
  <c r="AX456" i="41" s="1"/>
  <c r="AY456" i="41" s="1"/>
  <c r="AZ456" i="41" s="1"/>
  <c r="BA456" i="41" s="1"/>
  <c r="BB456" i="41" s="1"/>
  <c r="BC456" i="41" s="1"/>
  <c r="BD456" i="41" s="1"/>
  <c r="AV456" i="41"/>
  <c r="AW455" i="41"/>
  <c r="AX455" i="41" s="1"/>
  <c r="AY455" i="41" s="1"/>
  <c r="AZ455" i="41" s="1"/>
  <c r="BA455" i="41" s="1"/>
  <c r="BB455" i="41" s="1"/>
  <c r="BC455" i="41" s="1"/>
  <c r="BD455" i="41" s="1"/>
  <c r="AV455" i="41"/>
  <c r="AW454" i="41"/>
  <c r="AX454" i="41" s="1"/>
  <c r="AY454" i="41" s="1"/>
  <c r="AZ454" i="41" s="1"/>
  <c r="BA454" i="41" s="1"/>
  <c r="BB454" i="41" s="1"/>
  <c r="BC454" i="41" s="1"/>
  <c r="BD454" i="41" s="1"/>
  <c r="AV454" i="41"/>
  <c r="AW453" i="41"/>
  <c r="AX453" i="41" s="1"/>
  <c r="AY453" i="41" s="1"/>
  <c r="AZ453" i="41" s="1"/>
  <c r="BA453" i="41" s="1"/>
  <c r="BB453" i="41" s="1"/>
  <c r="BC453" i="41" s="1"/>
  <c r="BD453" i="41" s="1"/>
  <c r="AV453" i="41"/>
  <c r="AW452" i="41"/>
  <c r="AX452" i="41" s="1"/>
  <c r="AY452" i="41" s="1"/>
  <c r="AZ452" i="41" s="1"/>
  <c r="BA452" i="41" s="1"/>
  <c r="BB452" i="41" s="1"/>
  <c r="BC452" i="41" s="1"/>
  <c r="BD452" i="41" s="1"/>
  <c r="AV452" i="41"/>
  <c r="AW451" i="41"/>
  <c r="AX451" i="41" s="1"/>
  <c r="AY451" i="41" s="1"/>
  <c r="AZ451" i="41" s="1"/>
  <c r="BA451" i="41" s="1"/>
  <c r="BB451" i="41" s="1"/>
  <c r="BC451" i="41" s="1"/>
  <c r="BD451" i="41" s="1"/>
  <c r="AV451" i="41"/>
  <c r="AW450" i="41"/>
  <c r="AX450" i="41" s="1"/>
  <c r="AY450" i="41" s="1"/>
  <c r="AZ450" i="41" s="1"/>
  <c r="BA450" i="41" s="1"/>
  <c r="BB450" i="41" s="1"/>
  <c r="BC450" i="41" s="1"/>
  <c r="BD450" i="41" s="1"/>
  <c r="AV450" i="41"/>
  <c r="AW449" i="41"/>
  <c r="AX449" i="41" s="1"/>
  <c r="AY449" i="41" s="1"/>
  <c r="AZ449" i="41" s="1"/>
  <c r="BA449" i="41" s="1"/>
  <c r="BB449" i="41" s="1"/>
  <c r="BC449" i="41" s="1"/>
  <c r="BD449" i="41" s="1"/>
  <c r="AV449" i="41"/>
  <c r="AW448" i="41"/>
  <c r="AX448" i="41" s="1"/>
  <c r="AY448" i="41" s="1"/>
  <c r="AZ448" i="41" s="1"/>
  <c r="BA448" i="41" s="1"/>
  <c r="BB448" i="41" s="1"/>
  <c r="BC448" i="41" s="1"/>
  <c r="BD448" i="41" s="1"/>
  <c r="AV448" i="41"/>
  <c r="AW447" i="41"/>
  <c r="AX447" i="41" s="1"/>
  <c r="AY447" i="41" s="1"/>
  <c r="AZ447" i="41" s="1"/>
  <c r="BA447" i="41" s="1"/>
  <c r="BB447" i="41" s="1"/>
  <c r="BC447" i="41" s="1"/>
  <c r="BD447" i="41" s="1"/>
  <c r="AV447" i="41"/>
  <c r="AW446" i="41"/>
  <c r="AX446" i="41" s="1"/>
  <c r="AY446" i="41" s="1"/>
  <c r="AZ446" i="41" s="1"/>
  <c r="BA446" i="41" s="1"/>
  <c r="BB446" i="41" s="1"/>
  <c r="BC446" i="41" s="1"/>
  <c r="BD446" i="41" s="1"/>
  <c r="AV446" i="41"/>
  <c r="AW445" i="41"/>
  <c r="AX445" i="41" s="1"/>
  <c r="AY445" i="41" s="1"/>
  <c r="AZ445" i="41" s="1"/>
  <c r="BA445" i="41" s="1"/>
  <c r="BB445" i="41" s="1"/>
  <c r="BC445" i="41" s="1"/>
  <c r="BD445" i="41" s="1"/>
  <c r="AV445" i="41"/>
  <c r="AW444" i="41"/>
  <c r="AX444" i="41" s="1"/>
  <c r="AY444" i="41" s="1"/>
  <c r="AZ444" i="41" s="1"/>
  <c r="BA444" i="41" s="1"/>
  <c r="BB444" i="41" s="1"/>
  <c r="BC444" i="41" s="1"/>
  <c r="BD444" i="41" s="1"/>
  <c r="AV444" i="41"/>
  <c r="AW443" i="41"/>
  <c r="AX443" i="41" s="1"/>
  <c r="AY443" i="41" s="1"/>
  <c r="AZ443" i="41" s="1"/>
  <c r="BA443" i="41" s="1"/>
  <c r="BB443" i="41" s="1"/>
  <c r="BC443" i="41" s="1"/>
  <c r="BD443" i="41" s="1"/>
  <c r="AV443" i="41"/>
  <c r="AW442" i="41"/>
  <c r="AX442" i="41" s="1"/>
  <c r="AY442" i="41" s="1"/>
  <c r="AZ442" i="41" s="1"/>
  <c r="BA442" i="41" s="1"/>
  <c r="BB442" i="41" s="1"/>
  <c r="BC442" i="41" s="1"/>
  <c r="BD442" i="41" s="1"/>
  <c r="AV442" i="41"/>
  <c r="AW441" i="41"/>
  <c r="AX441" i="41" s="1"/>
  <c r="AY441" i="41" s="1"/>
  <c r="AZ441" i="41" s="1"/>
  <c r="BA441" i="41" s="1"/>
  <c r="BB441" i="41" s="1"/>
  <c r="BC441" i="41" s="1"/>
  <c r="BD441" i="41" s="1"/>
  <c r="AV441" i="41"/>
  <c r="AW440" i="41"/>
  <c r="AX440" i="41" s="1"/>
  <c r="AY440" i="41" s="1"/>
  <c r="AZ440" i="41" s="1"/>
  <c r="BA440" i="41" s="1"/>
  <c r="BB440" i="41" s="1"/>
  <c r="BC440" i="41" s="1"/>
  <c r="BD440" i="41" s="1"/>
  <c r="AV440" i="41"/>
  <c r="AW439" i="41"/>
  <c r="AX439" i="41" s="1"/>
  <c r="AY439" i="41" s="1"/>
  <c r="AZ439" i="41" s="1"/>
  <c r="BA439" i="41" s="1"/>
  <c r="BB439" i="41" s="1"/>
  <c r="BC439" i="41" s="1"/>
  <c r="BD439" i="41" s="1"/>
  <c r="AV439" i="41"/>
  <c r="AW438" i="41"/>
  <c r="AX438" i="41" s="1"/>
  <c r="AY438" i="41" s="1"/>
  <c r="AZ438" i="41" s="1"/>
  <c r="BA438" i="41" s="1"/>
  <c r="BB438" i="41" s="1"/>
  <c r="BC438" i="41" s="1"/>
  <c r="BD438" i="41" s="1"/>
  <c r="AV438" i="41"/>
  <c r="AW437" i="41"/>
  <c r="AX437" i="41" s="1"/>
  <c r="AY437" i="41" s="1"/>
  <c r="AZ437" i="41" s="1"/>
  <c r="BA437" i="41" s="1"/>
  <c r="BB437" i="41" s="1"/>
  <c r="BC437" i="41" s="1"/>
  <c r="BD437" i="41" s="1"/>
  <c r="AV437" i="41"/>
  <c r="AW436" i="41"/>
  <c r="AX436" i="41" s="1"/>
  <c r="AY436" i="41" s="1"/>
  <c r="AZ436" i="41" s="1"/>
  <c r="BA436" i="41" s="1"/>
  <c r="BB436" i="41" s="1"/>
  <c r="BC436" i="41" s="1"/>
  <c r="BD436" i="41" s="1"/>
  <c r="AV436" i="41"/>
  <c r="AW435" i="41"/>
  <c r="AX435" i="41" s="1"/>
  <c r="AY435" i="41" s="1"/>
  <c r="AZ435" i="41" s="1"/>
  <c r="BA435" i="41" s="1"/>
  <c r="BB435" i="41" s="1"/>
  <c r="BC435" i="41" s="1"/>
  <c r="BD435" i="41" s="1"/>
  <c r="AV435" i="41"/>
  <c r="AW434" i="41"/>
  <c r="AX434" i="41" s="1"/>
  <c r="AY434" i="41" s="1"/>
  <c r="AZ434" i="41" s="1"/>
  <c r="BA434" i="41" s="1"/>
  <c r="BB434" i="41" s="1"/>
  <c r="BC434" i="41" s="1"/>
  <c r="BD434" i="41" s="1"/>
  <c r="AV434" i="41"/>
  <c r="AW433" i="41"/>
  <c r="AX433" i="41" s="1"/>
  <c r="AY433" i="41" s="1"/>
  <c r="AZ433" i="41" s="1"/>
  <c r="BA433" i="41" s="1"/>
  <c r="BB433" i="41" s="1"/>
  <c r="BC433" i="41" s="1"/>
  <c r="BD433" i="41" s="1"/>
  <c r="AV433" i="41"/>
  <c r="AW432" i="41"/>
  <c r="AX432" i="41" s="1"/>
  <c r="AY432" i="41" s="1"/>
  <c r="AZ432" i="41" s="1"/>
  <c r="BA432" i="41" s="1"/>
  <c r="BB432" i="41" s="1"/>
  <c r="BC432" i="41" s="1"/>
  <c r="BD432" i="41" s="1"/>
  <c r="AV432" i="41"/>
  <c r="AW431" i="41"/>
  <c r="AX431" i="41" s="1"/>
  <c r="AY431" i="41" s="1"/>
  <c r="AZ431" i="41" s="1"/>
  <c r="BA431" i="41" s="1"/>
  <c r="BB431" i="41" s="1"/>
  <c r="BC431" i="41" s="1"/>
  <c r="BD431" i="41" s="1"/>
  <c r="AV431" i="41"/>
  <c r="AW430" i="41"/>
  <c r="AX430" i="41" s="1"/>
  <c r="AY430" i="41" s="1"/>
  <c r="AZ430" i="41" s="1"/>
  <c r="BA430" i="41" s="1"/>
  <c r="BB430" i="41" s="1"/>
  <c r="BC430" i="41" s="1"/>
  <c r="BD430" i="41" s="1"/>
  <c r="AV430" i="41"/>
  <c r="AW429" i="41"/>
  <c r="AX429" i="41" s="1"/>
  <c r="AY429" i="41" s="1"/>
  <c r="AZ429" i="41" s="1"/>
  <c r="BA429" i="41" s="1"/>
  <c r="BB429" i="41" s="1"/>
  <c r="BC429" i="41" s="1"/>
  <c r="BD429" i="41" s="1"/>
  <c r="AV429" i="41"/>
  <c r="AW428" i="41"/>
  <c r="AX428" i="41" s="1"/>
  <c r="AY428" i="41" s="1"/>
  <c r="AZ428" i="41" s="1"/>
  <c r="BA428" i="41" s="1"/>
  <c r="BB428" i="41" s="1"/>
  <c r="BC428" i="41" s="1"/>
  <c r="BD428" i="41" s="1"/>
  <c r="AV428" i="41"/>
  <c r="AW427" i="41"/>
  <c r="AX427" i="41" s="1"/>
  <c r="AY427" i="41" s="1"/>
  <c r="AZ427" i="41" s="1"/>
  <c r="BA427" i="41" s="1"/>
  <c r="AV427" i="41"/>
  <c r="AW426" i="41"/>
  <c r="AX426" i="41" s="1"/>
  <c r="AY426" i="41" s="1"/>
  <c r="AZ426" i="41" s="1"/>
  <c r="BA426" i="41" s="1"/>
  <c r="BB426" i="41" s="1"/>
  <c r="BC426" i="41" s="1"/>
  <c r="BD426" i="41" s="1"/>
  <c r="AV426" i="41"/>
  <c r="AW425" i="41"/>
  <c r="AX425" i="41" s="1"/>
  <c r="AY425" i="41" s="1"/>
  <c r="AZ425" i="41" s="1"/>
  <c r="BA425" i="41" s="1"/>
  <c r="BB425" i="41" s="1"/>
  <c r="BC425" i="41" s="1"/>
  <c r="BD425" i="41" s="1"/>
  <c r="AV425" i="41"/>
  <c r="AW424" i="41"/>
  <c r="AX424" i="41" s="1"/>
  <c r="AY424" i="41" s="1"/>
  <c r="AZ424" i="41" s="1"/>
  <c r="BA424" i="41" s="1"/>
  <c r="BB424" i="41" s="1"/>
  <c r="BC424" i="41" s="1"/>
  <c r="BD424" i="41" s="1"/>
  <c r="AV424" i="41"/>
  <c r="AW423" i="41"/>
  <c r="AX423" i="41" s="1"/>
  <c r="AY423" i="41" s="1"/>
  <c r="AZ423" i="41" s="1"/>
  <c r="BA423" i="41" s="1"/>
  <c r="BB423" i="41" s="1"/>
  <c r="AV423" i="41"/>
  <c r="AW422" i="41"/>
  <c r="AX422" i="41" s="1"/>
  <c r="AY422" i="41" s="1"/>
  <c r="AZ422" i="41" s="1"/>
  <c r="BA422" i="41" s="1"/>
  <c r="BB422" i="41" s="1"/>
  <c r="BC422" i="41" s="1"/>
  <c r="BD422" i="41" s="1"/>
  <c r="AV422" i="41"/>
  <c r="AW421" i="41"/>
  <c r="AX421" i="41" s="1"/>
  <c r="AY421" i="41" s="1"/>
  <c r="AZ421" i="41" s="1"/>
  <c r="BA421" i="41" s="1"/>
  <c r="BB421" i="41" s="1"/>
  <c r="BC421" i="41" s="1"/>
  <c r="BD421" i="41" s="1"/>
  <c r="AV421" i="41"/>
  <c r="AW420" i="41"/>
  <c r="AX420" i="41" s="1"/>
  <c r="AY420" i="41" s="1"/>
  <c r="AZ420" i="41" s="1"/>
  <c r="BA420" i="41" s="1"/>
  <c r="BB420" i="41" s="1"/>
  <c r="BC420" i="41" s="1"/>
  <c r="BD420" i="41" s="1"/>
  <c r="AV420" i="41"/>
  <c r="AW419" i="41"/>
  <c r="AX419" i="41" s="1"/>
  <c r="AY419" i="41" s="1"/>
  <c r="AZ419" i="41" s="1"/>
  <c r="BA419" i="41" s="1"/>
  <c r="BB419" i="41" s="1"/>
  <c r="AV419" i="41"/>
  <c r="AW418" i="41"/>
  <c r="AX418" i="41" s="1"/>
  <c r="AY418" i="41" s="1"/>
  <c r="AZ418" i="41" s="1"/>
  <c r="BA418" i="41" s="1"/>
  <c r="BB418" i="41" s="1"/>
  <c r="BC418" i="41" s="1"/>
  <c r="BD418" i="41" s="1"/>
  <c r="AV418" i="41"/>
  <c r="AW417" i="41"/>
  <c r="AX417" i="41" s="1"/>
  <c r="AY417" i="41" s="1"/>
  <c r="AZ417" i="41" s="1"/>
  <c r="BA417" i="41" s="1"/>
  <c r="BB417" i="41" s="1"/>
  <c r="BC417" i="41" s="1"/>
  <c r="BD417" i="41" s="1"/>
  <c r="AV417" i="41"/>
  <c r="AW416" i="41"/>
  <c r="AX416" i="41" s="1"/>
  <c r="AY416" i="41" s="1"/>
  <c r="AZ416" i="41" s="1"/>
  <c r="BA416" i="41" s="1"/>
  <c r="BB416" i="41" s="1"/>
  <c r="BC416" i="41" s="1"/>
  <c r="BD416" i="41" s="1"/>
  <c r="AV416" i="41"/>
  <c r="AW415" i="41"/>
  <c r="AX415" i="41" s="1"/>
  <c r="AY415" i="41" s="1"/>
  <c r="AV415" i="41"/>
  <c r="AW414" i="41"/>
  <c r="AX414" i="41" s="1"/>
  <c r="AY414" i="41" s="1"/>
  <c r="AZ414" i="41" s="1"/>
  <c r="BA414" i="41" s="1"/>
  <c r="BB414" i="41" s="1"/>
  <c r="BC414" i="41" s="1"/>
  <c r="BD414" i="41" s="1"/>
  <c r="AV414" i="41"/>
  <c r="AW413" i="41"/>
  <c r="AX413" i="41" s="1"/>
  <c r="AY413" i="41" s="1"/>
  <c r="AZ413" i="41" s="1"/>
  <c r="BA413" i="41" s="1"/>
  <c r="BB413" i="41" s="1"/>
  <c r="BC413" i="41" s="1"/>
  <c r="BD413" i="41" s="1"/>
  <c r="AV413" i="41"/>
  <c r="AW412" i="41"/>
  <c r="AX412" i="41" s="1"/>
  <c r="AY412" i="41" s="1"/>
  <c r="AZ412" i="41" s="1"/>
  <c r="BA412" i="41" s="1"/>
  <c r="BB412" i="41" s="1"/>
  <c r="BC412" i="41" s="1"/>
  <c r="BD412" i="41" s="1"/>
  <c r="AV412" i="41"/>
  <c r="AW411" i="41"/>
  <c r="AX411" i="41" s="1"/>
  <c r="AY411" i="41" s="1"/>
  <c r="AZ411" i="41" s="1"/>
  <c r="BA411" i="41" s="1"/>
  <c r="BB411" i="41" s="1"/>
  <c r="BC411" i="41" s="1"/>
  <c r="BD411" i="41" s="1"/>
  <c r="AV411" i="41"/>
  <c r="AW410" i="41"/>
  <c r="AX410" i="41" s="1"/>
  <c r="AY410" i="41" s="1"/>
  <c r="AZ410" i="41" s="1"/>
  <c r="BA410" i="41" s="1"/>
  <c r="BB410" i="41" s="1"/>
  <c r="BC410" i="41" s="1"/>
  <c r="AV410" i="41"/>
  <c r="AW409" i="41"/>
  <c r="AX409" i="41" s="1"/>
  <c r="AY409" i="41" s="1"/>
  <c r="AZ409" i="41" s="1"/>
  <c r="BA409" i="41" s="1"/>
  <c r="BB409" i="41" s="1"/>
  <c r="BC409" i="41" s="1"/>
  <c r="BD409" i="41" s="1"/>
  <c r="AV409" i="41"/>
  <c r="AW408" i="41"/>
  <c r="AX408" i="41" s="1"/>
  <c r="AY408" i="41" s="1"/>
  <c r="AZ408" i="41" s="1"/>
  <c r="BA408" i="41" s="1"/>
  <c r="BB408" i="41" s="1"/>
  <c r="AV408" i="41"/>
  <c r="AW407" i="41"/>
  <c r="AX407" i="41" s="1"/>
  <c r="AY407" i="41" s="1"/>
  <c r="AZ407" i="41" s="1"/>
  <c r="BA407" i="41" s="1"/>
  <c r="BB407" i="41" s="1"/>
  <c r="BC407" i="41" s="1"/>
  <c r="BD407" i="41" s="1"/>
  <c r="AV407" i="41"/>
  <c r="AW406" i="41"/>
  <c r="AX406" i="41" s="1"/>
  <c r="AY406" i="41" s="1"/>
  <c r="AZ406" i="41" s="1"/>
  <c r="BA406" i="41" s="1"/>
  <c r="BB406" i="41" s="1"/>
  <c r="BC406" i="41" s="1"/>
  <c r="AV406" i="41"/>
  <c r="AW405" i="41"/>
  <c r="AX405" i="41" s="1"/>
  <c r="AY405" i="41" s="1"/>
  <c r="AZ405" i="41" s="1"/>
  <c r="BA405" i="41" s="1"/>
  <c r="BB405" i="41" s="1"/>
  <c r="BC405" i="41" s="1"/>
  <c r="BD405" i="41" s="1"/>
  <c r="AV405" i="41"/>
  <c r="AW404" i="41"/>
  <c r="AX404" i="41" s="1"/>
  <c r="AY404" i="41" s="1"/>
  <c r="AZ404" i="41" s="1"/>
  <c r="BA404" i="41" s="1"/>
  <c r="BB404" i="41" s="1"/>
  <c r="BC404" i="41" s="1"/>
  <c r="AV404" i="41"/>
  <c r="AW403" i="41"/>
  <c r="AX403" i="41" s="1"/>
  <c r="AY403" i="41" s="1"/>
  <c r="AZ403" i="41" s="1"/>
  <c r="BA403" i="41" s="1"/>
  <c r="BB403" i="41" s="1"/>
  <c r="BC403" i="41" s="1"/>
  <c r="BD403" i="41" s="1"/>
  <c r="AV403" i="41"/>
  <c r="AW402" i="41"/>
  <c r="AX402" i="41" s="1"/>
  <c r="AY402" i="41" s="1"/>
  <c r="AZ402" i="41" s="1"/>
  <c r="BA402" i="41" s="1"/>
  <c r="BB402" i="41" s="1"/>
  <c r="BC402" i="41" s="1"/>
  <c r="AV402" i="41"/>
  <c r="AW401" i="41"/>
  <c r="AX401" i="41" s="1"/>
  <c r="AY401" i="41" s="1"/>
  <c r="AZ401" i="41" s="1"/>
  <c r="BA401" i="41" s="1"/>
  <c r="BB401" i="41" s="1"/>
  <c r="BC401" i="41" s="1"/>
  <c r="BD401" i="41" s="1"/>
  <c r="AV401" i="41"/>
  <c r="AW400" i="41"/>
  <c r="AX400" i="41" s="1"/>
  <c r="AY400" i="41" s="1"/>
  <c r="AZ400" i="41" s="1"/>
  <c r="BA400" i="41" s="1"/>
  <c r="BB400" i="41" s="1"/>
  <c r="BC400" i="41" s="1"/>
  <c r="AV400" i="41"/>
  <c r="AW399" i="41"/>
  <c r="AX399" i="41" s="1"/>
  <c r="AY399" i="41" s="1"/>
  <c r="AZ399" i="41" s="1"/>
  <c r="BA399" i="41" s="1"/>
  <c r="BB399" i="41" s="1"/>
  <c r="BC399" i="41" s="1"/>
  <c r="BD399" i="41" s="1"/>
  <c r="AV399" i="41"/>
  <c r="AW398" i="41"/>
  <c r="AX398" i="41" s="1"/>
  <c r="AY398" i="41" s="1"/>
  <c r="AZ398" i="41" s="1"/>
  <c r="BA398" i="41" s="1"/>
  <c r="BB398" i="41" s="1"/>
  <c r="AV398" i="41"/>
  <c r="AW397" i="41"/>
  <c r="AX397" i="41" s="1"/>
  <c r="AY397" i="41" s="1"/>
  <c r="AZ397" i="41" s="1"/>
  <c r="BA397" i="41" s="1"/>
  <c r="BB397" i="41" s="1"/>
  <c r="BC397" i="41" s="1"/>
  <c r="BD397" i="41" s="1"/>
  <c r="AV397" i="41"/>
  <c r="AW396" i="41"/>
  <c r="AX396" i="41" s="1"/>
  <c r="AY396" i="41" s="1"/>
  <c r="AZ396" i="41" s="1"/>
  <c r="AV396" i="41"/>
  <c r="AW395" i="41"/>
  <c r="AX395" i="41" s="1"/>
  <c r="AY395" i="41" s="1"/>
  <c r="AZ395" i="41" s="1"/>
  <c r="BA395" i="41" s="1"/>
  <c r="BB395" i="41" s="1"/>
  <c r="BC395" i="41" s="1"/>
  <c r="BD395" i="41" s="1"/>
  <c r="AV395" i="41"/>
  <c r="AW394" i="41"/>
  <c r="AX394" i="41" s="1"/>
  <c r="AY394" i="41" s="1"/>
  <c r="AZ394" i="41" s="1"/>
  <c r="BA394" i="41" s="1"/>
  <c r="BB394" i="41" s="1"/>
  <c r="AV394" i="41"/>
  <c r="AW393" i="41"/>
  <c r="AX393" i="41" s="1"/>
  <c r="AY393" i="41" s="1"/>
  <c r="AZ393" i="41" s="1"/>
  <c r="BA393" i="41" s="1"/>
  <c r="BB393" i="41" s="1"/>
  <c r="BC393" i="41" s="1"/>
  <c r="BD393" i="41" s="1"/>
  <c r="AV393" i="41"/>
  <c r="AW392" i="41"/>
  <c r="AX392" i="41" s="1"/>
  <c r="AY392" i="41" s="1"/>
  <c r="AZ392" i="41" s="1"/>
  <c r="BA392" i="41" s="1"/>
  <c r="BB392" i="41" s="1"/>
  <c r="BC392" i="41" s="1"/>
  <c r="AV392" i="41"/>
  <c r="AW391" i="41"/>
  <c r="AX391" i="41" s="1"/>
  <c r="AY391" i="41" s="1"/>
  <c r="AZ391" i="41" s="1"/>
  <c r="BA391" i="41" s="1"/>
  <c r="BB391" i="41" s="1"/>
  <c r="BC391" i="41" s="1"/>
  <c r="BD391" i="41" s="1"/>
  <c r="AV391" i="41"/>
  <c r="AW390" i="41"/>
  <c r="AX390" i="41" s="1"/>
  <c r="AY390" i="41" s="1"/>
  <c r="AZ390" i="41" s="1"/>
  <c r="BA390" i="41" s="1"/>
  <c r="BB390" i="41" s="1"/>
  <c r="AV390" i="41"/>
  <c r="AW389" i="41"/>
  <c r="AX389" i="41" s="1"/>
  <c r="AY389" i="41" s="1"/>
  <c r="AZ389" i="41" s="1"/>
  <c r="BA389" i="41" s="1"/>
  <c r="BB389" i="41" s="1"/>
  <c r="BC389" i="41" s="1"/>
  <c r="BD389" i="41" s="1"/>
  <c r="AV389" i="41"/>
  <c r="AW388" i="41"/>
  <c r="AX388" i="41" s="1"/>
  <c r="AY388" i="41" s="1"/>
  <c r="AZ388" i="41" s="1"/>
  <c r="BA388" i="41" s="1"/>
  <c r="BB388" i="41" s="1"/>
  <c r="AV388" i="41"/>
  <c r="AW387" i="41"/>
  <c r="AX387" i="41" s="1"/>
  <c r="AY387" i="41" s="1"/>
  <c r="AZ387" i="41" s="1"/>
  <c r="BA387" i="41" s="1"/>
  <c r="BB387" i="41" s="1"/>
  <c r="BC387" i="41" s="1"/>
  <c r="BD387" i="41" s="1"/>
  <c r="AV387" i="41"/>
  <c r="AW386" i="41"/>
  <c r="AX386" i="41" s="1"/>
  <c r="AY386" i="41" s="1"/>
  <c r="AZ386" i="41" s="1"/>
  <c r="BA386" i="41" s="1"/>
  <c r="BB386" i="41" s="1"/>
  <c r="BC386" i="41" s="1"/>
  <c r="AV386" i="41"/>
  <c r="AW385" i="41"/>
  <c r="AX385" i="41" s="1"/>
  <c r="AY385" i="41" s="1"/>
  <c r="AZ385" i="41" s="1"/>
  <c r="BA385" i="41" s="1"/>
  <c r="BB385" i="41" s="1"/>
  <c r="AV385" i="41"/>
  <c r="AW384" i="41"/>
  <c r="AX384" i="41" s="1"/>
  <c r="AY384" i="41" s="1"/>
  <c r="AZ384" i="41" s="1"/>
  <c r="BA384" i="41" s="1"/>
  <c r="AV384" i="41"/>
  <c r="AW383" i="41"/>
  <c r="AX383" i="41" s="1"/>
  <c r="AY383" i="41" s="1"/>
  <c r="AZ383" i="41" s="1"/>
  <c r="BA383" i="41" s="1"/>
  <c r="BB383" i="41" s="1"/>
  <c r="AV383" i="41"/>
  <c r="AW382" i="41"/>
  <c r="AX382" i="41" s="1"/>
  <c r="AY382" i="41" s="1"/>
  <c r="AZ382" i="41" s="1"/>
  <c r="BA382" i="41" s="1"/>
  <c r="BB382" i="41" s="1"/>
  <c r="BC382" i="41" s="1"/>
  <c r="AV382" i="41"/>
  <c r="AW381" i="41"/>
  <c r="AX381" i="41" s="1"/>
  <c r="AY381" i="41" s="1"/>
  <c r="AZ381" i="41" s="1"/>
  <c r="BA381" i="41" s="1"/>
  <c r="BB381" i="41" s="1"/>
  <c r="BC381" i="41" s="1"/>
  <c r="AV381" i="41"/>
  <c r="AW380" i="41"/>
  <c r="AX380" i="41" s="1"/>
  <c r="AY380" i="41" s="1"/>
  <c r="AZ380" i="41" s="1"/>
  <c r="BA380" i="41" s="1"/>
  <c r="BB380" i="41" s="1"/>
  <c r="AV380" i="41"/>
  <c r="AW379" i="41"/>
  <c r="AX379" i="41" s="1"/>
  <c r="AY379" i="41" s="1"/>
  <c r="AZ379" i="41" s="1"/>
  <c r="BA379" i="41" s="1"/>
  <c r="AV379" i="41"/>
  <c r="AW378" i="41"/>
  <c r="AX378" i="41" s="1"/>
  <c r="AY378" i="41" s="1"/>
  <c r="AZ378" i="41" s="1"/>
  <c r="AV378" i="41"/>
  <c r="AW377" i="41"/>
  <c r="AX377" i="41" s="1"/>
  <c r="AY377" i="41" s="1"/>
  <c r="AZ377" i="41" s="1"/>
  <c r="BA377" i="41" s="1"/>
  <c r="AV377" i="41"/>
  <c r="AW376" i="41"/>
  <c r="AX376" i="41" s="1"/>
  <c r="AY376" i="41" s="1"/>
  <c r="AZ376" i="41" s="1"/>
  <c r="BA376" i="41" s="1"/>
  <c r="AV376" i="41"/>
  <c r="AW375" i="41"/>
  <c r="AX375" i="41" s="1"/>
  <c r="AY375" i="41" s="1"/>
  <c r="AZ375" i="41" s="1"/>
  <c r="BA375" i="41" s="1"/>
  <c r="AV375" i="41"/>
  <c r="AW374" i="41"/>
  <c r="AX374" i="41" s="1"/>
  <c r="AY374" i="41" s="1"/>
  <c r="AZ374" i="41" s="1"/>
  <c r="BA374" i="41" s="1"/>
  <c r="AV374" i="41"/>
  <c r="AW373" i="41"/>
  <c r="AX373" i="41" s="1"/>
  <c r="AY373" i="41" s="1"/>
  <c r="AZ373" i="41" s="1"/>
  <c r="BA373" i="41" s="1"/>
  <c r="AV373" i="41"/>
  <c r="AW372" i="41"/>
  <c r="AX372" i="41" s="1"/>
  <c r="AY372" i="41" s="1"/>
  <c r="AZ372" i="41" s="1"/>
  <c r="AV372" i="41"/>
  <c r="AW371" i="41"/>
  <c r="AX371" i="41" s="1"/>
  <c r="AY371" i="41" s="1"/>
  <c r="AV371" i="41"/>
  <c r="AW370" i="41"/>
  <c r="AX370" i="41" s="1"/>
  <c r="AY370" i="41" s="1"/>
  <c r="AZ370" i="41" s="1"/>
  <c r="BA370" i="41" s="1"/>
  <c r="AV370" i="41"/>
  <c r="AW369" i="41"/>
  <c r="AX369" i="41" s="1"/>
  <c r="AY369" i="41" s="1"/>
  <c r="AZ369" i="41" s="1"/>
  <c r="BA369" i="41" s="1"/>
  <c r="AV369" i="41"/>
  <c r="AW368" i="41"/>
  <c r="AX368" i="41" s="1"/>
  <c r="AY368" i="41" s="1"/>
  <c r="AZ368" i="41" s="1"/>
  <c r="AV368" i="41"/>
  <c r="AW367" i="41"/>
  <c r="AX367" i="41" s="1"/>
  <c r="AY367" i="41" s="1"/>
  <c r="AZ367" i="41" s="1"/>
  <c r="BA367" i="41" s="1"/>
  <c r="AV367" i="41"/>
  <c r="AW366" i="41"/>
  <c r="AX366" i="41" s="1"/>
  <c r="AY366" i="41" s="1"/>
  <c r="AZ366" i="41" s="1"/>
  <c r="BA366" i="41" s="1"/>
  <c r="BB366" i="41" s="1"/>
  <c r="BC366" i="41" s="1"/>
  <c r="AV366" i="41"/>
  <c r="AW365" i="41"/>
  <c r="AX365" i="41" s="1"/>
  <c r="AY365" i="41" s="1"/>
  <c r="AZ365" i="41" s="1"/>
  <c r="BA365" i="41" s="1"/>
  <c r="BB365" i="41" s="1"/>
  <c r="BC365" i="41" s="1"/>
  <c r="AV365" i="41"/>
  <c r="AW364" i="41"/>
  <c r="AX364" i="41" s="1"/>
  <c r="AY364" i="41" s="1"/>
  <c r="AZ364" i="41" s="1"/>
  <c r="BA364" i="41" s="1"/>
  <c r="BB364" i="41" s="1"/>
  <c r="BC364" i="41" s="1"/>
  <c r="AV364" i="41"/>
  <c r="AW363" i="41"/>
  <c r="AX363" i="41" s="1"/>
  <c r="AY363" i="41" s="1"/>
  <c r="AZ363" i="41" s="1"/>
  <c r="BA363" i="41" s="1"/>
  <c r="BB363" i="41" s="1"/>
  <c r="BC363" i="41" s="1"/>
  <c r="AV363" i="41"/>
  <c r="AW362" i="41"/>
  <c r="AX362" i="41" s="1"/>
  <c r="AY362" i="41" s="1"/>
  <c r="AZ362" i="41" s="1"/>
  <c r="BA362" i="41" s="1"/>
  <c r="BB362" i="41" s="1"/>
  <c r="AV362" i="41"/>
  <c r="AW361" i="41"/>
  <c r="AX361" i="41" s="1"/>
  <c r="AY361" i="41" s="1"/>
  <c r="AZ361" i="41" s="1"/>
  <c r="BA361" i="41" s="1"/>
  <c r="BB361" i="41" s="1"/>
  <c r="BC361" i="41" s="1"/>
  <c r="AV361" i="41"/>
  <c r="AW360" i="41"/>
  <c r="AX360" i="41" s="1"/>
  <c r="AY360" i="41" s="1"/>
  <c r="AZ360" i="41" s="1"/>
  <c r="BA360" i="41" s="1"/>
  <c r="BB360" i="41" s="1"/>
  <c r="BC360" i="41" s="1"/>
  <c r="AV360" i="41"/>
  <c r="AW359" i="41"/>
  <c r="AX359" i="41" s="1"/>
  <c r="AY359" i="41" s="1"/>
  <c r="AZ359" i="41" s="1"/>
  <c r="BA359" i="41" s="1"/>
  <c r="BB359" i="41" s="1"/>
  <c r="BC359" i="41" s="1"/>
  <c r="AV359" i="41"/>
  <c r="AW358" i="41"/>
  <c r="AX358" i="41" s="1"/>
  <c r="AY358" i="41" s="1"/>
  <c r="AZ358" i="41" s="1"/>
  <c r="BA358" i="41" s="1"/>
  <c r="BB358" i="41" s="1"/>
  <c r="BC358" i="41" s="1"/>
  <c r="AV358" i="41"/>
  <c r="AW357" i="41"/>
  <c r="AX357" i="41" s="1"/>
  <c r="AY357" i="41" s="1"/>
  <c r="AZ357" i="41" s="1"/>
  <c r="BA357" i="41" s="1"/>
  <c r="BB357" i="41" s="1"/>
  <c r="AV357" i="41"/>
  <c r="AW356" i="41"/>
  <c r="AX356" i="41" s="1"/>
  <c r="AY356" i="41" s="1"/>
  <c r="AZ356" i="41" s="1"/>
  <c r="BA356" i="41" s="1"/>
  <c r="BB356" i="41" s="1"/>
  <c r="BC356" i="41" s="1"/>
  <c r="AV356" i="41"/>
  <c r="AW355" i="41"/>
  <c r="AX355" i="41" s="1"/>
  <c r="AY355" i="41" s="1"/>
  <c r="AZ355" i="41" s="1"/>
  <c r="BA355" i="41" s="1"/>
  <c r="BB355" i="41" s="1"/>
  <c r="BC355" i="41" s="1"/>
  <c r="AV355" i="41"/>
  <c r="AW354" i="41"/>
  <c r="AX354" i="41" s="1"/>
  <c r="AY354" i="41" s="1"/>
  <c r="AZ354" i="41" s="1"/>
  <c r="BA354" i="41" s="1"/>
  <c r="BB354" i="41" s="1"/>
  <c r="BC354" i="41" s="1"/>
  <c r="AV354" i="41"/>
  <c r="AW353" i="41"/>
  <c r="AX353" i="41" s="1"/>
  <c r="AY353" i="41" s="1"/>
  <c r="AZ353" i="41" s="1"/>
  <c r="BA353" i="41" s="1"/>
  <c r="BB353" i="41" s="1"/>
  <c r="BC353" i="41" s="1"/>
  <c r="AV353" i="41"/>
  <c r="AW352" i="41"/>
  <c r="AX352" i="41" s="1"/>
  <c r="AY352" i="41" s="1"/>
  <c r="AZ352" i="41" s="1"/>
  <c r="BA352" i="41" s="1"/>
  <c r="BB352" i="41" s="1"/>
  <c r="AV352" i="41"/>
  <c r="AW351" i="41"/>
  <c r="AX351" i="41" s="1"/>
  <c r="AY351" i="41" s="1"/>
  <c r="AZ351" i="41" s="1"/>
  <c r="BA351" i="41" s="1"/>
  <c r="AV351" i="41"/>
  <c r="AW350" i="41"/>
  <c r="AX350" i="41" s="1"/>
  <c r="AY350" i="41" s="1"/>
  <c r="AZ350" i="41" s="1"/>
  <c r="BA350" i="41" s="1"/>
  <c r="AV350" i="41"/>
  <c r="AW349" i="41"/>
  <c r="AX349" i="41" s="1"/>
  <c r="AY349" i="41" s="1"/>
  <c r="AZ349" i="41" s="1"/>
  <c r="BA349" i="41" s="1"/>
  <c r="AV349" i="41"/>
  <c r="AW348" i="41"/>
  <c r="AX348" i="41" s="1"/>
  <c r="AY348" i="41" s="1"/>
  <c r="AZ348" i="41" s="1"/>
  <c r="AV348" i="41"/>
  <c r="AW347" i="41"/>
  <c r="AX347" i="41" s="1"/>
  <c r="AY347" i="41" s="1"/>
  <c r="AZ347" i="41" s="1"/>
  <c r="BA347" i="41" s="1"/>
  <c r="AV347" i="41"/>
  <c r="AW346" i="41"/>
  <c r="AX346" i="41" s="1"/>
  <c r="AY346" i="41" s="1"/>
  <c r="AZ346" i="41" s="1"/>
  <c r="BA346" i="41" s="1"/>
  <c r="AV346" i="41"/>
  <c r="AW345" i="41"/>
  <c r="AX345" i="41" s="1"/>
  <c r="AY345" i="41" s="1"/>
  <c r="AZ345" i="41" s="1"/>
  <c r="BA345" i="41" s="1"/>
  <c r="AV345" i="41"/>
  <c r="AW344" i="41"/>
  <c r="AX344" i="41" s="1"/>
  <c r="AY344" i="41" s="1"/>
  <c r="AZ344" i="41" s="1"/>
  <c r="AV344" i="41"/>
  <c r="AW343" i="41"/>
  <c r="AX343" i="41" s="1"/>
  <c r="AY343" i="41" s="1"/>
  <c r="AZ343" i="41" s="1"/>
  <c r="BA343" i="41" s="1"/>
  <c r="AV343" i="41"/>
  <c r="AW342" i="41"/>
  <c r="AX342" i="41" s="1"/>
  <c r="AY342" i="41" s="1"/>
  <c r="AZ342" i="41" s="1"/>
  <c r="BA342" i="41" s="1"/>
  <c r="AV342" i="41"/>
  <c r="AW341" i="41"/>
  <c r="AX341" i="41" s="1"/>
  <c r="AY341" i="41" s="1"/>
  <c r="AZ341" i="41" s="1"/>
  <c r="BA341" i="41" s="1"/>
  <c r="BB341" i="41" s="1"/>
  <c r="AV341" i="41"/>
  <c r="AW340" i="41"/>
  <c r="AX340" i="41" s="1"/>
  <c r="AY340" i="41" s="1"/>
  <c r="AZ340" i="41" s="1"/>
  <c r="BA340" i="41" s="1"/>
  <c r="BB340" i="41" s="1"/>
  <c r="AV340" i="41"/>
  <c r="AW339" i="41"/>
  <c r="AX339" i="41" s="1"/>
  <c r="AY339" i="41" s="1"/>
  <c r="AZ339" i="41" s="1"/>
  <c r="BA339" i="41" s="1"/>
  <c r="BB339" i="41" s="1"/>
  <c r="AV339" i="41"/>
  <c r="AW338" i="41"/>
  <c r="AX338" i="41" s="1"/>
  <c r="AY338" i="41" s="1"/>
  <c r="AZ338" i="41" s="1"/>
  <c r="BA338" i="41" s="1"/>
  <c r="BB338" i="41" s="1"/>
  <c r="AV338" i="41"/>
  <c r="AW337" i="41"/>
  <c r="AX337" i="41" s="1"/>
  <c r="AY337" i="41" s="1"/>
  <c r="AZ337" i="41" s="1"/>
  <c r="BA337" i="41" s="1"/>
  <c r="BB337" i="41" s="1"/>
  <c r="AV337" i="41"/>
  <c r="AW336" i="41"/>
  <c r="AX336" i="41" s="1"/>
  <c r="AY336" i="41" s="1"/>
  <c r="AZ336" i="41" s="1"/>
  <c r="BA336" i="41" s="1"/>
  <c r="AV336" i="41"/>
  <c r="AW335" i="41"/>
  <c r="AX335" i="41" s="1"/>
  <c r="AY335" i="41" s="1"/>
  <c r="AZ335" i="41" s="1"/>
  <c r="AV335" i="41"/>
  <c r="AW334" i="41"/>
  <c r="AX334" i="41" s="1"/>
  <c r="AY334" i="41" s="1"/>
  <c r="AZ334" i="41" s="1"/>
  <c r="BA334" i="41" s="1"/>
  <c r="AV334" i="41"/>
  <c r="AW333" i="41"/>
  <c r="AX333" i="41" s="1"/>
  <c r="AY333" i="41" s="1"/>
  <c r="AZ333" i="41" s="1"/>
  <c r="BA333" i="41" s="1"/>
  <c r="AV333" i="41"/>
  <c r="AW332" i="41"/>
  <c r="AX332" i="41" s="1"/>
  <c r="AY332" i="41" s="1"/>
  <c r="AZ332" i="41" s="1"/>
  <c r="BA332" i="41" s="1"/>
  <c r="AV332" i="41"/>
  <c r="AW331" i="41"/>
  <c r="AX331" i="41" s="1"/>
  <c r="AY331" i="41" s="1"/>
  <c r="AZ331" i="41" s="1"/>
  <c r="BA331" i="41" s="1"/>
  <c r="AV331" i="41"/>
  <c r="AW330" i="41"/>
  <c r="AX330" i="41" s="1"/>
  <c r="AY330" i="41" s="1"/>
  <c r="AZ330" i="41" s="1"/>
  <c r="AV330" i="41"/>
  <c r="AW329" i="41"/>
  <c r="AX329" i="41" s="1"/>
  <c r="AY329" i="41" s="1"/>
  <c r="AV329" i="41"/>
  <c r="AW328" i="41"/>
  <c r="AX328" i="41" s="1"/>
  <c r="AV328" i="41"/>
  <c r="E151" i="30"/>
  <c r="E121" i="30"/>
  <c r="D2543" i="52"/>
  <c r="K1384" i="54"/>
  <c r="C171" i="30"/>
  <c r="B171" i="30"/>
  <c r="D2109" i="52"/>
  <c r="D2110" i="52"/>
  <c r="D2111" i="52"/>
  <c r="D2112" i="52"/>
  <c r="D2113" i="52"/>
  <c r="D2114" i="52"/>
  <c r="D2115" i="52"/>
  <c r="D2116" i="52"/>
  <c r="D151" i="30"/>
  <c r="K946" i="54" s="1"/>
  <c r="J946" i="54" s="1"/>
  <c r="J960" i="54" s="1"/>
  <c r="C151" i="30"/>
  <c r="B151" i="30"/>
  <c r="I958" i="44"/>
  <c r="H958" i="44"/>
  <c r="I957" i="44"/>
  <c r="H957" i="44"/>
  <c r="I956" i="44"/>
  <c r="H956" i="44"/>
  <c r="I955" i="44"/>
  <c r="H955" i="44"/>
  <c r="I954" i="44"/>
  <c r="H954" i="44"/>
  <c r="I953" i="44"/>
  <c r="H953" i="44"/>
  <c r="I952" i="44"/>
  <c r="H952" i="44"/>
  <c r="I951" i="44"/>
  <c r="H951" i="44"/>
  <c r="I949" i="44"/>
  <c r="H949" i="44"/>
  <c r="D2836" i="52"/>
  <c r="K1677" i="54"/>
  <c r="J1677" i="54" s="1"/>
  <c r="C191" i="30"/>
  <c r="B191" i="30"/>
  <c r="I1158" i="44"/>
  <c r="H1158" i="44"/>
  <c r="I1157" i="44"/>
  <c r="H1157" i="44"/>
  <c r="I1156" i="44"/>
  <c r="H1156" i="44"/>
  <c r="G1106" i="44"/>
  <c r="G1105" i="44"/>
  <c r="G1104" i="44"/>
  <c r="G1103" i="44"/>
  <c r="G1102" i="44"/>
  <c r="G1101" i="44"/>
  <c r="G1100" i="44"/>
  <c r="G1099" i="44"/>
  <c r="G1098" i="44"/>
  <c r="G1097" i="44"/>
  <c r="G1096" i="44"/>
  <c r="G1095" i="44"/>
  <c r="G1094" i="44"/>
  <c r="G1033" i="44"/>
  <c r="G1032" i="44"/>
  <c r="G1031" i="44"/>
  <c r="G1030" i="44"/>
  <c r="G1029" i="44"/>
  <c r="G1028" i="44"/>
  <c r="G1027" i="44"/>
  <c r="G1026" i="44"/>
  <c r="G1025" i="44"/>
  <c r="G1024" i="44"/>
  <c r="G1023" i="44"/>
  <c r="G913" i="44"/>
  <c r="E913" i="44"/>
  <c r="D913" i="44"/>
  <c r="C913" i="44"/>
  <c r="G912" i="44"/>
  <c r="E912" i="44"/>
  <c r="D912" i="44"/>
  <c r="C912" i="44"/>
  <c r="H906" i="44"/>
  <c r="H905" i="44"/>
  <c r="H904" i="44"/>
  <c r="F898" i="44"/>
  <c r="F897" i="44"/>
  <c r="F896" i="44"/>
  <c r="I63" i="44"/>
  <c r="D1488" i="52"/>
  <c r="D1486" i="52"/>
  <c r="D1484" i="52"/>
  <c r="D1482" i="52"/>
  <c r="D1480" i="52"/>
  <c r="I765" i="44"/>
  <c r="H765" i="44"/>
  <c r="I764" i="44"/>
  <c r="H764" i="44"/>
  <c r="I756" i="44"/>
  <c r="H756" i="44"/>
  <c r="I755" i="44"/>
  <c r="H755" i="44"/>
  <c r="H230" i="44"/>
  <c r="D1017" i="52"/>
  <c r="D1012" i="52"/>
  <c r="D1011" i="52"/>
  <c r="D1010" i="52"/>
  <c r="D1009" i="52"/>
  <c r="D1005" i="52"/>
  <c r="D1004" i="52"/>
  <c r="D1003" i="52"/>
  <c r="D1002" i="52"/>
  <c r="D1001" i="52"/>
  <c r="D1000" i="52"/>
  <c r="D999" i="52"/>
  <c r="D998" i="52"/>
  <c r="D984" i="52"/>
  <c r="D983" i="52"/>
  <c r="D982" i="52"/>
  <c r="D981" i="52"/>
  <c r="D980" i="52"/>
  <c r="D979" i="52"/>
  <c r="D978" i="52"/>
  <c r="D977" i="52"/>
  <c r="D976" i="52"/>
  <c r="D975" i="52"/>
  <c r="D972" i="52"/>
  <c r="D971" i="52"/>
  <c r="D969" i="52"/>
  <c r="D3187" i="52"/>
  <c r="D3186" i="52"/>
  <c r="D3185" i="52"/>
  <c r="D3184" i="52"/>
  <c r="D3183" i="52"/>
  <c r="D3182" i="52"/>
  <c r="D3181" i="52"/>
  <c r="D3180" i="52"/>
  <c r="D3179" i="52"/>
  <c r="D3178" i="52"/>
  <c r="D3177" i="52"/>
  <c r="D3176" i="52"/>
  <c r="D3175" i="52"/>
  <c r="D3174" i="52"/>
  <c r="D3173" i="52"/>
  <c r="D3172" i="52"/>
  <c r="D3171" i="52"/>
  <c r="D3170" i="52"/>
  <c r="D3169" i="52"/>
  <c r="D3168" i="52"/>
  <c r="D3167" i="52"/>
  <c r="D3166" i="52"/>
  <c r="D3165" i="52"/>
  <c r="D3164" i="52"/>
  <c r="D3163" i="52"/>
  <c r="D3162" i="52"/>
  <c r="D3161" i="52"/>
  <c r="D3160" i="52"/>
  <c r="D3159" i="52"/>
  <c r="D3158" i="52"/>
  <c r="D3157" i="52"/>
  <c r="D3156" i="52"/>
  <c r="D3155" i="52"/>
  <c r="D3154" i="52"/>
  <c r="D3153" i="52"/>
  <c r="D3152" i="52"/>
  <c r="D3151" i="52"/>
  <c r="D3150" i="52"/>
  <c r="D3149" i="52"/>
  <c r="D3148" i="52"/>
  <c r="D3147" i="52"/>
  <c r="D3146" i="52"/>
  <c r="D3145" i="52"/>
  <c r="D3144" i="52"/>
  <c r="D3143" i="52"/>
  <c r="D3137" i="52"/>
  <c r="D3136" i="52"/>
  <c r="D3135" i="52"/>
  <c r="D3134" i="52"/>
  <c r="D3133" i="52"/>
  <c r="D3132" i="52"/>
  <c r="D3131" i="52"/>
  <c r="D3130" i="52"/>
  <c r="D3129" i="52"/>
  <c r="D3128" i="52"/>
  <c r="D3127" i="52"/>
  <c r="D3126" i="52"/>
  <c r="D3125" i="52"/>
  <c r="D3124" i="52"/>
  <c r="D3123" i="52"/>
  <c r="D3122" i="52"/>
  <c r="D3121" i="52"/>
  <c r="D3120" i="52"/>
  <c r="D3119" i="52"/>
  <c r="D3118" i="52"/>
  <c r="D3117" i="52"/>
  <c r="D3116" i="52"/>
  <c r="D3115" i="52"/>
  <c r="D3114" i="52"/>
  <c r="D3113" i="52"/>
  <c r="D3112" i="52"/>
  <c r="D3111" i="52"/>
  <c r="D3110" i="52"/>
  <c r="D3109" i="52"/>
  <c r="D3108" i="52"/>
  <c r="D3107" i="52"/>
  <c r="D3106" i="52"/>
  <c r="D3105" i="52"/>
  <c r="W347" i="47"/>
  <c r="W346" i="47"/>
  <c r="W345" i="47"/>
  <c r="W344" i="47"/>
  <c r="W343" i="47"/>
  <c r="W342" i="47"/>
  <c r="W341" i="47"/>
  <c r="W340" i="47"/>
  <c r="W339" i="47"/>
  <c r="W338" i="47"/>
  <c r="W337" i="47"/>
  <c r="W336" i="47"/>
  <c r="W335" i="47"/>
  <c r="W334" i="47"/>
  <c r="W333" i="47"/>
  <c r="W332" i="47"/>
  <c r="W331" i="47"/>
  <c r="W330" i="47"/>
  <c r="W329" i="47"/>
  <c r="W328" i="47"/>
  <c r="W327" i="47"/>
  <c r="W326" i="47"/>
  <c r="W325" i="47"/>
  <c r="W324" i="47"/>
  <c r="W323" i="47"/>
  <c r="W322" i="47"/>
  <c r="W321" i="47"/>
  <c r="W320" i="47"/>
  <c r="W319" i="47"/>
  <c r="W318" i="47"/>
  <c r="W317" i="47"/>
  <c r="W316" i="47"/>
  <c r="W315" i="47"/>
  <c r="W314" i="47"/>
  <c r="W313" i="47"/>
  <c r="W312" i="47"/>
  <c r="W311" i="47"/>
  <c r="W310" i="47"/>
  <c r="W309" i="47"/>
  <c r="W308" i="47"/>
  <c r="W307" i="47"/>
  <c r="W306" i="47"/>
  <c r="W305" i="47"/>
  <c r="W304" i="47"/>
  <c r="W303" i="47"/>
  <c r="W302" i="47"/>
  <c r="W301" i="47"/>
  <c r="W300" i="47"/>
  <c r="W299" i="47"/>
  <c r="W298" i="47"/>
  <c r="W297" i="47"/>
  <c r="W296" i="47"/>
  <c r="W295" i="47"/>
  <c r="W294" i="47"/>
  <c r="W293" i="47"/>
  <c r="W292" i="47"/>
  <c r="W291" i="47"/>
  <c r="W290" i="47"/>
  <c r="W289" i="47"/>
  <c r="W288" i="47"/>
  <c r="W287" i="47"/>
  <c r="W286" i="47"/>
  <c r="W285" i="47"/>
  <c r="W284" i="47"/>
  <c r="W283" i="47"/>
  <c r="W282" i="47"/>
  <c r="W281" i="47"/>
  <c r="W280" i="47"/>
  <c r="D108" i="5"/>
  <c r="D107" i="5"/>
  <c r="D105" i="5"/>
  <c r="D102" i="5"/>
  <c r="D101" i="5"/>
  <c r="D100" i="5"/>
  <c r="D95" i="5"/>
  <c r="D94" i="5"/>
  <c r="D93" i="5"/>
  <c r="D91" i="5"/>
  <c r="D90" i="5"/>
  <c r="D89" i="5"/>
  <c r="D88" i="5"/>
  <c r="D87" i="5"/>
  <c r="D85" i="5"/>
  <c r="D84" i="5"/>
  <c r="D83" i="5"/>
  <c r="D82" i="5"/>
  <c r="D80" i="5"/>
  <c r="D79" i="5"/>
  <c r="D78" i="5"/>
  <c r="D77" i="5"/>
  <c r="D75" i="5"/>
  <c r="D74" i="5"/>
  <c r="D73" i="5"/>
  <c r="D72" i="5"/>
  <c r="D71" i="5"/>
  <c r="D70" i="5"/>
  <c r="D69" i="5"/>
  <c r="D68" i="5"/>
  <c r="D67" i="5"/>
  <c r="D66" i="5"/>
  <c r="D65" i="5"/>
  <c r="W407" i="47"/>
  <c r="S407" i="47"/>
  <c r="W406" i="47"/>
  <c r="S406" i="47"/>
  <c r="W405" i="47"/>
  <c r="S405" i="47"/>
  <c r="W404" i="47"/>
  <c r="S404" i="47"/>
  <c r="W403" i="47"/>
  <c r="S403" i="47"/>
  <c r="W402" i="47"/>
  <c r="S402" i="47"/>
  <c r="W401" i="47"/>
  <c r="S401" i="47"/>
  <c r="W400" i="47"/>
  <c r="S400" i="47"/>
  <c r="W399" i="47"/>
  <c r="S399" i="47"/>
  <c r="W398" i="47"/>
  <c r="S398" i="47"/>
  <c r="W397" i="47"/>
  <c r="S397" i="47"/>
  <c r="W396" i="47"/>
  <c r="S396" i="47"/>
  <c r="W395" i="47"/>
  <c r="S395" i="47"/>
  <c r="W394" i="47"/>
  <c r="S394" i="47"/>
  <c r="W393" i="47"/>
  <c r="S393" i="47"/>
  <c r="W392" i="47"/>
  <c r="S392" i="47"/>
  <c r="W391" i="47"/>
  <c r="S391" i="47"/>
  <c r="W390" i="47"/>
  <c r="S390" i="47"/>
  <c r="W389" i="47"/>
  <c r="S389" i="47"/>
  <c r="W388" i="47"/>
  <c r="S388" i="47"/>
  <c r="W387" i="47"/>
  <c r="S387" i="47"/>
  <c r="W386" i="47"/>
  <c r="S386" i="47"/>
  <c r="W385" i="47"/>
  <c r="S385" i="47"/>
  <c r="W384" i="47"/>
  <c r="S384" i="47"/>
  <c r="W383" i="47"/>
  <c r="S383" i="47"/>
  <c r="W382" i="47"/>
  <c r="S382" i="47"/>
  <c r="W381" i="47"/>
  <c r="S381" i="47"/>
  <c r="W380" i="47"/>
  <c r="S380" i="47"/>
  <c r="W379" i="47"/>
  <c r="S379" i="47"/>
  <c r="W378" i="47"/>
  <c r="S378" i="47"/>
  <c r="W377" i="47"/>
  <c r="S377" i="47"/>
  <c r="W376" i="47"/>
  <c r="S376" i="47"/>
  <c r="W375" i="47"/>
  <c r="S375" i="47"/>
  <c r="W374" i="47"/>
  <c r="S374" i="47"/>
  <c r="W373" i="47"/>
  <c r="S373" i="47"/>
  <c r="W372" i="47"/>
  <c r="S372" i="47"/>
  <c r="W371" i="47"/>
  <c r="S371" i="47"/>
  <c r="W370" i="47"/>
  <c r="S370" i="47"/>
  <c r="W369" i="47"/>
  <c r="S369" i="47"/>
  <c r="W368" i="47"/>
  <c r="S368" i="47"/>
  <c r="W367" i="47"/>
  <c r="S367" i="47"/>
  <c r="W366" i="47"/>
  <c r="S366" i="47"/>
  <c r="W365" i="47"/>
  <c r="S365" i="47"/>
  <c r="W364" i="47"/>
  <c r="S364" i="47"/>
  <c r="W363" i="47"/>
  <c r="S363" i="47"/>
  <c r="W362" i="47"/>
  <c r="S362" i="47"/>
  <c r="W361" i="47"/>
  <c r="S361" i="47"/>
  <c r="W360" i="47"/>
  <c r="S360" i="47"/>
  <c r="W359" i="47"/>
  <c r="S359" i="47"/>
  <c r="W358" i="47"/>
  <c r="S358" i="47"/>
  <c r="W357" i="47"/>
  <c r="S357" i="47"/>
  <c r="W356" i="47"/>
  <c r="S356" i="47"/>
  <c r="W355" i="47"/>
  <c r="S355" i="47"/>
  <c r="W354" i="47"/>
  <c r="S354" i="47"/>
  <c r="W353" i="47"/>
  <c r="S353" i="47"/>
  <c r="W352" i="47"/>
  <c r="S352" i="47"/>
  <c r="W351" i="47"/>
  <c r="S351" i="47"/>
  <c r="W350" i="47"/>
  <c r="S350" i="47"/>
  <c r="W349" i="47"/>
  <c r="S349" i="47"/>
  <c r="W348" i="47"/>
  <c r="S348" i="47"/>
  <c r="D121" i="52"/>
  <c r="K718" i="54"/>
  <c r="J718" i="54" s="1"/>
  <c r="D1888" i="52"/>
  <c r="D128" i="30"/>
  <c r="G22" i="53"/>
  <c r="G21" i="53"/>
  <c r="G20" i="53"/>
  <c r="G15" i="53"/>
  <c r="G14" i="53"/>
  <c r="G13" i="53"/>
  <c r="B1764" i="44"/>
  <c r="B1764" i="54"/>
  <c r="B1763" i="44"/>
  <c r="B1763" i="54"/>
  <c r="BF411" i="41" l="1"/>
  <c r="BF415" i="41"/>
  <c r="BF580" i="41"/>
  <c r="D974" i="52"/>
  <c r="H55" i="6"/>
  <c r="F48" i="6" s="1"/>
  <c r="B21" i="17"/>
  <c r="A21" i="17"/>
  <c r="J20" i="6"/>
  <c r="J27" i="6" s="1"/>
  <c r="C1689" i="54"/>
  <c r="D2848" i="52"/>
  <c r="J1690" i="54"/>
  <c r="J1690" i="44" s="1"/>
  <c r="C1689" i="44"/>
  <c r="J1687" i="54"/>
  <c r="D2845" i="52"/>
  <c r="C1709" i="44"/>
  <c r="J1709" i="54"/>
  <c r="J1709" i="44" s="1"/>
  <c r="D2868" i="52"/>
  <c r="D2866" i="52"/>
  <c r="J1710" i="54"/>
  <c r="J1710" i="44" s="1"/>
  <c r="J1708" i="54"/>
  <c r="J1708" i="44" s="1"/>
  <c r="D2867" i="52"/>
  <c r="J1723" i="54"/>
  <c r="J1723" i="44" s="1"/>
  <c r="J1711" i="54"/>
  <c r="J1711" i="44" s="1"/>
  <c r="C1708" i="44"/>
  <c r="D2869" i="52"/>
  <c r="D2870" i="52"/>
  <c r="D2880" i="52"/>
  <c r="J1713" i="54"/>
  <c r="J1714" i="54" s="1"/>
  <c r="J1714" i="44" s="1"/>
  <c r="D2881" i="52"/>
  <c r="J1712" i="54"/>
  <c r="J1712" i="44" s="1"/>
  <c r="K1705" i="54"/>
  <c r="K1722" i="44"/>
  <c r="J1716" i="54"/>
  <c r="J1716" i="44" s="1"/>
  <c r="J1715" i="44"/>
  <c r="J1735" i="54"/>
  <c r="C1728" i="54"/>
  <c r="C1727" i="54" s="1"/>
  <c r="D2892" i="52"/>
  <c r="J361" i="54"/>
  <c r="J361" i="44" s="1"/>
  <c r="J1182" i="54"/>
  <c r="J1182" i="44" s="1"/>
  <c r="J1180" i="44"/>
  <c r="J1741" i="54"/>
  <c r="J1741" i="44" s="1"/>
  <c r="D2345" i="52"/>
  <c r="D2899" i="52"/>
  <c r="K1724" i="54"/>
  <c r="J1742" i="54"/>
  <c r="J1742" i="44" s="1"/>
  <c r="J1430" i="54"/>
  <c r="J1431" i="54" s="1"/>
  <c r="J1431" i="44" s="1"/>
  <c r="J160" i="44"/>
  <c r="J378" i="44"/>
  <c r="K28" i="5"/>
  <c r="K75" i="29"/>
  <c r="K75" i="53" s="1"/>
  <c r="J148" i="44"/>
  <c r="K1384" i="44"/>
  <c r="J30" i="3"/>
  <c r="J27" i="3" s="1"/>
  <c r="J981" i="44"/>
  <c r="K1387" i="54"/>
  <c r="D2544" i="52" s="1"/>
  <c r="K41" i="3"/>
  <c r="J370" i="44"/>
  <c r="J677" i="44"/>
  <c r="F44" i="4"/>
  <c r="K44" i="4" s="1"/>
  <c r="D2118" i="52"/>
  <c r="J960" i="44"/>
  <c r="J961" i="54"/>
  <c r="H30" i="3"/>
  <c r="J358" i="44"/>
  <c r="J374" i="44"/>
  <c r="J703" i="44"/>
  <c r="J949" i="44"/>
  <c r="J950" i="54"/>
  <c r="D2107" i="52"/>
  <c r="BF490" i="41"/>
  <c r="BE416" i="41"/>
  <c r="BG416" i="41" s="1"/>
  <c r="K1680" i="54"/>
  <c r="D2837" i="52" s="1"/>
  <c r="J946" i="44"/>
  <c r="J947" i="54"/>
  <c r="BF494" i="41"/>
  <c r="BF502" i="41"/>
  <c r="BA538" i="41"/>
  <c r="BB538" i="41" s="1"/>
  <c r="BC538" i="41" s="1"/>
  <c r="BD538" i="41" s="1"/>
  <c r="BE538" i="41"/>
  <c r="BG538" i="41" s="1"/>
  <c r="J38" i="4"/>
  <c r="J1678" i="54"/>
  <c r="J1678" i="44" s="1"/>
  <c r="J1677" i="44"/>
  <c r="D2541" i="52"/>
  <c r="J1384" i="54"/>
  <c r="D2542" i="52" s="1"/>
  <c r="BE393" i="41"/>
  <c r="BG393" i="41" s="1"/>
  <c r="BE401" i="41"/>
  <c r="BG401" i="41" s="1"/>
  <c r="BE409" i="41"/>
  <c r="BG409" i="41" s="1"/>
  <c r="BE413" i="41"/>
  <c r="BG413" i="41" s="1"/>
  <c r="BF421" i="41"/>
  <c r="BE428" i="41"/>
  <c r="BG428" i="41" s="1"/>
  <c r="BF506" i="41"/>
  <c r="D2834" i="52"/>
  <c r="BF387" i="41"/>
  <c r="BF395" i="41"/>
  <c r="BF403" i="41"/>
  <c r="BF498" i="41"/>
  <c r="BB534" i="41"/>
  <c r="BC534" i="41" s="1"/>
  <c r="BD534" i="41" s="1"/>
  <c r="BE534" i="41"/>
  <c r="BG534" i="41" s="1"/>
  <c r="AZ651" i="41"/>
  <c r="BA651" i="41" s="1"/>
  <c r="BB651" i="41" s="1"/>
  <c r="BC651" i="41" s="1"/>
  <c r="BD651" i="41" s="1"/>
  <c r="BH651" i="41"/>
  <c r="BE563" i="41"/>
  <c r="BG563" i="41" s="1"/>
  <c r="BE567" i="41"/>
  <c r="BG567" i="41" s="1"/>
  <c r="BE571" i="41"/>
  <c r="BG571" i="41" s="1"/>
  <c r="BE575" i="41"/>
  <c r="BG575" i="41" s="1"/>
  <c r="BF633" i="41"/>
  <c r="J56" i="6"/>
  <c r="K21" i="6"/>
  <c r="BE503" i="41"/>
  <c r="BG503" i="41" s="1"/>
  <c r="AZ580" i="41"/>
  <c r="BA580" i="41" s="1"/>
  <c r="BB580" i="41" s="1"/>
  <c r="BC580" i="41" s="1"/>
  <c r="BD580" i="41" s="1"/>
  <c r="BF629" i="41"/>
  <c r="J8" i="3"/>
  <c r="K82" i="3"/>
  <c r="H8" i="4"/>
  <c r="J8" i="4"/>
  <c r="H38" i="4"/>
  <c r="K56" i="29"/>
  <c r="K57" i="29" s="1"/>
  <c r="K58" i="29" s="1"/>
  <c r="K58" i="53" s="1"/>
  <c r="K82" i="53"/>
  <c r="K40" i="7"/>
  <c r="J3" i="44"/>
  <c r="J141" i="54"/>
  <c r="J141" i="44" s="1"/>
  <c r="J216" i="44"/>
  <c r="J217" i="54"/>
  <c r="J217" i="44" s="1"/>
  <c r="BE535" i="41"/>
  <c r="BG535" i="41" s="1"/>
  <c r="BE539" i="41"/>
  <c r="BG539" i="41" s="1"/>
  <c r="BF578" i="41"/>
  <c r="BE613" i="41"/>
  <c r="BG613" i="41" s="1"/>
  <c r="BF625" i="41"/>
  <c r="BE635" i="41"/>
  <c r="BG635" i="41" s="1"/>
  <c r="F30" i="3"/>
  <c r="K30" i="3" s="1"/>
  <c r="K36" i="3"/>
  <c r="K14" i="4"/>
  <c r="K45" i="4"/>
  <c r="K44" i="6"/>
  <c r="K10" i="7"/>
  <c r="H44" i="7"/>
  <c r="H22" i="7" s="1"/>
  <c r="H23" i="4"/>
  <c r="BF547" i="41"/>
  <c r="BF637" i="41"/>
  <c r="K31" i="3"/>
  <c r="J76" i="3"/>
  <c r="J75" i="3" s="1"/>
  <c r="K53" i="4"/>
  <c r="K14" i="5"/>
  <c r="K25" i="6"/>
  <c r="K52" i="6"/>
  <c r="F61" i="7"/>
  <c r="K71" i="29"/>
  <c r="J158" i="54"/>
  <c r="J158" i="44" s="1"/>
  <c r="J363" i="54"/>
  <c r="J363" i="44" s="1"/>
  <c r="J362" i="44"/>
  <c r="J959" i="54"/>
  <c r="J959" i="44" s="1"/>
  <c r="J958" i="44"/>
  <c r="J1578" i="54"/>
  <c r="J1577" i="54" s="1"/>
  <c r="J1577" i="44" s="1"/>
  <c r="J1542" i="54"/>
  <c r="J1560" i="54"/>
  <c r="J1559" i="54" s="1"/>
  <c r="J1559" i="44" s="1"/>
  <c r="J1561" i="44"/>
  <c r="J1638" i="54"/>
  <c r="J1639" i="54" s="1"/>
  <c r="J1637" i="44"/>
  <c r="J377" i="54"/>
  <c r="J377" i="44" s="1"/>
  <c r="J1272" i="44"/>
  <c r="J1273" i="54"/>
  <c r="J1273" i="44" s="1"/>
  <c r="J1569" i="54"/>
  <c r="J1568" i="54" s="1"/>
  <c r="J1568" i="44" s="1"/>
  <c r="J1570" i="44"/>
  <c r="J1551" i="54"/>
  <c r="J1558" i="54" s="1"/>
  <c r="J1558" i="44" s="1"/>
  <c r="J1587" i="54"/>
  <c r="J1594" i="54" s="1"/>
  <c r="J1594" i="44" s="1"/>
  <c r="J57" i="3"/>
  <c r="J50" i="3" s="1"/>
  <c r="J95" i="3" s="1"/>
  <c r="K28" i="6"/>
  <c r="K38" i="7"/>
  <c r="F35" i="7"/>
  <c r="K35" i="7" s="1"/>
  <c r="F45" i="7"/>
  <c r="K61" i="7"/>
  <c r="K50" i="4"/>
  <c r="F49" i="4"/>
  <c r="K49" i="4" s="1"/>
  <c r="K37" i="5"/>
  <c r="F29" i="6"/>
  <c r="K29" i="6" s="1"/>
  <c r="K31" i="6"/>
  <c r="K40" i="6"/>
  <c r="F43" i="6"/>
  <c r="F39" i="6"/>
  <c r="K39" i="6" s="1"/>
  <c r="H56" i="6"/>
  <c r="K57" i="53"/>
  <c r="K12" i="4"/>
  <c r="J20" i="4"/>
  <c r="K20" i="6"/>
  <c r="F38" i="6"/>
  <c r="K38" i="6" s="1"/>
  <c r="K19" i="6"/>
  <c r="F27" i="6"/>
  <c r="K27" i="6" s="1"/>
  <c r="J35" i="5"/>
  <c r="J55" i="5" s="1"/>
  <c r="J58" i="5" s="1"/>
  <c r="K64" i="29"/>
  <c r="K61" i="53"/>
  <c r="J5" i="54"/>
  <c r="J5" i="44" s="1"/>
  <c r="J4" i="44"/>
  <c r="F26" i="7"/>
  <c r="K28" i="7"/>
  <c r="D997" i="52"/>
  <c r="K77" i="3"/>
  <c r="K10" i="4"/>
  <c r="K40" i="4"/>
  <c r="F39" i="4"/>
  <c r="K48" i="6"/>
  <c r="F51" i="6"/>
  <c r="K79" i="29"/>
  <c r="K79" i="53" s="1"/>
  <c r="K78" i="53"/>
  <c r="J323" i="54"/>
  <c r="J323" i="44" s="1"/>
  <c r="J322" i="44"/>
  <c r="J331" i="54"/>
  <c r="J331" i="44" s="1"/>
  <c r="J330" i="44"/>
  <c r="J339" i="54"/>
  <c r="J339" i="44" s="1"/>
  <c r="J338" i="44"/>
  <c r="J347" i="54"/>
  <c r="J347" i="44" s="1"/>
  <c r="J346" i="44"/>
  <c r="J355" i="54"/>
  <c r="J355" i="44" s="1"/>
  <c r="J354" i="44"/>
  <c r="F13" i="6"/>
  <c r="K13" i="21"/>
  <c r="J325" i="54"/>
  <c r="J325" i="44" s="1"/>
  <c r="J324" i="44"/>
  <c r="J341" i="54"/>
  <c r="J341" i="44" s="1"/>
  <c r="J340" i="44"/>
  <c r="J357" i="54"/>
  <c r="J357" i="44" s="1"/>
  <c r="J356" i="44"/>
  <c r="J373" i="54"/>
  <c r="J373" i="44" s="1"/>
  <c r="J372" i="44"/>
  <c r="J65" i="54"/>
  <c r="J65" i="44" s="1"/>
  <c r="J327" i="54"/>
  <c r="J327" i="44" s="1"/>
  <c r="J326" i="44"/>
  <c r="J343" i="54"/>
  <c r="J343" i="44" s="1"/>
  <c r="J342" i="44"/>
  <c r="J329" i="54"/>
  <c r="J329" i="44" s="1"/>
  <c r="J328" i="44"/>
  <c r="J345" i="54"/>
  <c r="J345" i="44" s="1"/>
  <c r="J344" i="44"/>
  <c r="J150" i="54"/>
  <c r="J150" i="44" s="1"/>
  <c r="J691" i="54"/>
  <c r="J691" i="44" s="1"/>
  <c r="J690" i="44"/>
  <c r="J731" i="54"/>
  <c r="J731" i="44" s="1"/>
  <c r="J730" i="44"/>
  <c r="J1226" i="54"/>
  <c r="J1226" i="44" s="1"/>
  <c r="J1225" i="44"/>
  <c r="J1265" i="54"/>
  <c r="J1265" i="44" s="1"/>
  <c r="J1436" i="54"/>
  <c r="J1436" i="44" s="1"/>
  <c r="J1435" i="44"/>
  <c r="J1258" i="54"/>
  <c r="J1257" i="44"/>
  <c r="J1507" i="54"/>
  <c r="J1507" i="44" s="1"/>
  <c r="J1506" i="44"/>
  <c r="BE331" i="41"/>
  <c r="BG331" i="41" s="1"/>
  <c r="BB331" i="41"/>
  <c r="BC331" i="41" s="1"/>
  <c r="BD331" i="41" s="1"/>
  <c r="BA335" i="41"/>
  <c r="BB335" i="41" s="1"/>
  <c r="BC335" i="41" s="1"/>
  <c r="BD335" i="41" s="1"/>
  <c r="BE335" i="41"/>
  <c r="BG335" i="41" s="1"/>
  <c r="BC339" i="41"/>
  <c r="BD339" i="41" s="1"/>
  <c r="BE339" i="41"/>
  <c r="BG339" i="41" s="1"/>
  <c r="BE343" i="41"/>
  <c r="BG343" i="41" s="1"/>
  <c r="BB343" i="41"/>
  <c r="BC343" i="41" s="1"/>
  <c r="BD343" i="41" s="1"/>
  <c r="BB347" i="41"/>
  <c r="BC347" i="41" s="1"/>
  <c r="BD347" i="41" s="1"/>
  <c r="BE347" i="41"/>
  <c r="BG347" i="41" s="1"/>
  <c r="BB351" i="41"/>
  <c r="BC351" i="41" s="1"/>
  <c r="BD351" i="41" s="1"/>
  <c r="BE351" i="41"/>
  <c r="BG351" i="41" s="1"/>
  <c r="BD355" i="41"/>
  <c r="BF355" i="41" s="1"/>
  <c r="BE355" i="41"/>
  <c r="BG355" i="41" s="1"/>
  <c r="BC357" i="41"/>
  <c r="BD357" i="41" s="1"/>
  <c r="BE357" i="41"/>
  <c r="BG357" i="41" s="1"/>
  <c r="BD361" i="41"/>
  <c r="BF361" i="41" s="1"/>
  <c r="BE361" i="41"/>
  <c r="BG361" i="41" s="1"/>
  <c r="BD363" i="41"/>
  <c r="BF363" i="41" s="1"/>
  <c r="BE363" i="41"/>
  <c r="BG363" i="41" s="1"/>
  <c r="BD365" i="41"/>
  <c r="BF365" i="41" s="1"/>
  <c r="BE365" i="41"/>
  <c r="BG365" i="41" s="1"/>
  <c r="BE367" i="41"/>
  <c r="BG367" i="41" s="1"/>
  <c r="BB367" i="41"/>
  <c r="BC367" i="41" s="1"/>
  <c r="BD367" i="41" s="1"/>
  <c r="BE369" i="41"/>
  <c r="BG369" i="41" s="1"/>
  <c r="BB369" i="41"/>
  <c r="BC369" i="41" s="1"/>
  <c r="BD369" i="41" s="1"/>
  <c r="AZ371" i="41"/>
  <c r="BA371" i="41" s="1"/>
  <c r="BB371" i="41" s="1"/>
  <c r="BC371" i="41" s="1"/>
  <c r="BD371" i="41" s="1"/>
  <c r="BE371" i="41"/>
  <c r="BG371" i="41" s="1"/>
  <c r="BE373" i="41"/>
  <c r="BG373" i="41" s="1"/>
  <c r="BB373" i="41"/>
  <c r="BE375" i="41"/>
  <c r="BG375" i="41" s="1"/>
  <c r="BB375" i="41"/>
  <c r="BE377" i="41"/>
  <c r="BG377" i="41" s="1"/>
  <c r="BB377" i="41"/>
  <c r="BE379" i="41"/>
  <c r="BG379" i="41" s="1"/>
  <c r="BB379" i="41"/>
  <c r="BD381" i="41"/>
  <c r="BF381" i="41" s="1"/>
  <c r="BE381" i="41"/>
  <c r="BG381" i="41" s="1"/>
  <c r="BC383" i="41"/>
  <c r="BE383" i="41"/>
  <c r="BG383" i="41" s="1"/>
  <c r="BC385" i="41"/>
  <c r="BE385" i="41"/>
  <c r="BG385" i="41" s="1"/>
  <c r="BE389" i="41"/>
  <c r="BG389" i="41" s="1"/>
  <c r="BC390" i="41"/>
  <c r="BD390" i="41" s="1"/>
  <c r="BE390" i="41"/>
  <c r="BG390" i="41" s="1"/>
  <c r="BE397" i="41"/>
  <c r="BG397" i="41" s="1"/>
  <c r="BC398" i="41"/>
  <c r="BD398" i="41" s="1"/>
  <c r="BE398" i="41"/>
  <c r="BG398" i="41" s="1"/>
  <c r="BE405" i="41"/>
  <c r="BG405" i="41" s="1"/>
  <c r="BD406" i="41"/>
  <c r="BF406" i="41" s="1"/>
  <c r="BE406" i="41"/>
  <c r="BG406" i="41" s="1"/>
  <c r="BF331" i="41"/>
  <c r="BF369" i="41"/>
  <c r="BC388" i="41"/>
  <c r="BD388" i="41" s="1"/>
  <c r="BE388" i="41"/>
  <c r="BG388" i="41" s="1"/>
  <c r="BC423" i="41"/>
  <c r="BD423" i="41" s="1"/>
  <c r="BF423" i="41"/>
  <c r="AZ329" i="41"/>
  <c r="BA329" i="41" s="1"/>
  <c r="BB329" i="41" s="1"/>
  <c r="BC329" i="41" s="1"/>
  <c r="BD329" i="41" s="1"/>
  <c r="BE329" i="41"/>
  <c r="BG329" i="41" s="1"/>
  <c r="BE333" i="41"/>
  <c r="BG333" i="41" s="1"/>
  <c r="BB333" i="41"/>
  <c r="BC333" i="41" s="1"/>
  <c r="BD333" i="41" s="1"/>
  <c r="BC337" i="41"/>
  <c r="BD337" i="41" s="1"/>
  <c r="BE337" i="41"/>
  <c r="BG337" i="41" s="1"/>
  <c r="BE341" i="41"/>
  <c r="BG341" i="41" s="1"/>
  <c r="BC341" i="41"/>
  <c r="BD341" i="41" s="1"/>
  <c r="BE345" i="41"/>
  <c r="BG345" i="41" s="1"/>
  <c r="BB345" i="41"/>
  <c r="BC345" i="41" s="1"/>
  <c r="BD345" i="41" s="1"/>
  <c r="BE349" i="41"/>
  <c r="BG349" i="41" s="1"/>
  <c r="BB349" i="41"/>
  <c r="BC349" i="41" s="1"/>
  <c r="BD349" i="41" s="1"/>
  <c r="BD353" i="41"/>
  <c r="BE353" i="41"/>
  <c r="BG353" i="41" s="1"/>
  <c r="BD359" i="41"/>
  <c r="BE359" i="41"/>
  <c r="BG359" i="41" s="1"/>
  <c r="BF391" i="41"/>
  <c r="BE392" i="41"/>
  <c r="BG392" i="41" s="1"/>
  <c r="BD392" i="41"/>
  <c r="BF392" i="41" s="1"/>
  <c r="BF399" i="41"/>
  <c r="BE400" i="41"/>
  <c r="BG400" i="41" s="1"/>
  <c r="BD400" i="41"/>
  <c r="BF400" i="41" s="1"/>
  <c r="BF407" i="41"/>
  <c r="BC408" i="41"/>
  <c r="BD408" i="41" s="1"/>
  <c r="BE408" i="41"/>
  <c r="BG408" i="41" s="1"/>
  <c r="BC419" i="41"/>
  <c r="BD419" i="41" s="1"/>
  <c r="BF419" i="41"/>
  <c r="BF427" i="41"/>
  <c r="BB427" i="41"/>
  <c r="BC427" i="41" s="1"/>
  <c r="BD427" i="41" s="1"/>
  <c r="BF335" i="41"/>
  <c r="BF353" i="41"/>
  <c r="BF359" i="41"/>
  <c r="BF371" i="41"/>
  <c r="BA396" i="41"/>
  <c r="BB396" i="41" s="1"/>
  <c r="BC396" i="41" s="1"/>
  <c r="BD396" i="41" s="1"/>
  <c r="BE396" i="41"/>
  <c r="BG396" i="41" s="1"/>
  <c r="BE404" i="41"/>
  <c r="BG404" i="41" s="1"/>
  <c r="BD404" i="41"/>
  <c r="AY328" i="41"/>
  <c r="AZ328" i="41" s="1"/>
  <c r="BA328" i="41" s="1"/>
  <c r="BB328" i="41" s="1"/>
  <c r="BC328" i="41" s="1"/>
  <c r="BD328" i="41" s="1"/>
  <c r="BE328" i="41"/>
  <c r="BG328" i="41" s="1"/>
  <c r="BE330" i="41"/>
  <c r="BG330" i="41" s="1"/>
  <c r="BA330" i="41"/>
  <c r="BB332" i="41"/>
  <c r="BC332" i="41" s="1"/>
  <c r="BD332" i="41" s="1"/>
  <c r="BE332" i="41"/>
  <c r="BG332" i="41" s="1"/>
  <c r="BE334" i="41"/>
  <c r="BG334" i="41" s="1"/>
  <c r="BB334" i="41"/>
  <c r="BB336" i="41"/>
  <c r="BC336" i="41" s="1"/>
  <c r="BD336" i="41" s="1"/>
  <c r="BE336" i="41"/>
  <c r="BG336" i="41" s="1"/>
  <c r="BC338" i="41"/>
  <c r="BD338" i="41" s="1"/>
  <c r="BE338" i="41"/>
  <c r="BG338" i="41" s="1"/>
  <c r="BC340" i="41"/>
  <c r="BD340" i="41" s="1"/>
  <c r="BE340" i="41"/>
  <c r="BG340" i="41" s="1"/>
  <c r="BB342" i="41"/>
  <c r="BC342" i="41" s="1"/>
  <c r="BD342" i="41" s="1"/>
  <c r="BE342" i="41"/>
  <c r="BG342" i="41" s="1"/>
  <c r="BE344" i="41"/>
  <c r="BG344" i="41" s="1"/>
  <c r="BA344" i="41"/>
  <c r="BB344" i="41" s="1"/>
  <c r="BC344" i="41" s="1"/>
  <c r="BD344" i="41" s="1"/>
  <c r="BE346" i="41"/>
  <c r="BG346" i="41" s="1"/>
  <c r="BB346" i="41"/>
  <c r="BC346" i="41" s="1"/>
  <c r="BD346" i="41" s="1"/>
  <c r="BE348" i="41"/>
  <c r="BG348" i="41" s="1"/>
  <c r="BA348" i="41"/>
  <c r="BB348" i="41" s="1"/>
  <c r="BC348" i="41" s="1"/>
  <c r="BD348" i="41" s="1"/>
  <c r="BE350" i="41"/>
  <c r="BG350" i="41" s="1"/>
  <c r="BB350" i="41"/>
  <c r="BC350" i="41" s="1"/>
  <c r="BD350" i="41" s="1"/>
  <c r="BC352" i="41"/>
  <c r="BD352" i="41" s="1"/>
  <c r="BE352" i="41"/>
  <c r="BG352" i="41" s="1"/>
  <c r="BD354" i="41"/>
  <c r="BF354" i="41" s="1"/>
  <c r="BE354" i="41"/>
  <c r="BG354" i="41" s="1"/>
  <c r="BD356" i="41"/>
  <c r="BF356" i="41" s="1"/>
  <c r="BE356" i="41"/>
  <c r="BG356" i="41" s="1"/>
  <c r="BD358" i="41"/>
  <c r="BF358" i="41" s="1"/>
  <c r="BE358" i="41"/>
  <c r="BG358" i="41" s="1"/>
  <c r="BD360" i="41"/>
  <c r="BF360" i="41" s="1"/>
  <c r="BE360" i="41"/>
  <c r="BG360" i="41" s="1"/>
  <c r="BC362" i="41"/>
  <c r="BD362" i="41" s="1"/>
  <c r="BE362" i="41"/>
  <c r="BG362" i="41" s="1"/>
  <c r="BD364" i="41"/>
  <c r="BF364" i="41" s="1"/>
  <c r="BE364" i="41"/>
  <c r="BG364" i="41" s="1"/>
  <c r="BD366" i="41"/>
  <c r="BF366" i="41" s="1"/>
  <c r="BE366" i="41"/>
  <c r="BG366" i="41" s="1"/>
  <c r="BE368" i="41"/>
  <c r="BG368" i="41" s="1"/>
  <c r="BA368" i="41"/>
  <c r="BB368" i="41" s="1"/>
  <c r="BC368" i="41" s="1"/>
  <c r="BD368" i="41" s="1"/>
  <c r="BE370" i="41"/>
  <c r="BG370" i="41" s="1"/>
  <c r="BB370" i="41"/>
  <c r="BC370" i="41" s="1"/>
  <c r="BD370" i="41" s="1"/>
  <c r="BA372" i="41"/>
  <c r="BB372" i="41" s="1"/>
  <c r="BC372" i="41" s="1"/>
  <c r="BD372" i="41" s="1"/>
  <c r="BE372" i="41"/>
  <c r="BG372" i="41" s="1"/>
  <c r="BE374" i="41"/>
  <c r="BG374" i="41" s="1"/>
  <c r="BB374" i="41"/>
  <c r="BE376" i="41"/>
  <c r="BG376" i="41" s="1"/>
  <c r="BB376" i="41"/>
  <c r="BA378" i="41"/>
  <c r="BE378" i="41"/>
  <c r="BG378" i="41" s="1"/>
  <c r="BE380" i="41"/>
  <c r="BG380" i="41" s="1"/>
  <c r="BC380" i="41"/>
  <c r="BD382" i="41"/>
  <c r="BF382" i="41" s="1"/>
  <c r="BE382" i="41"/>
  <c r="BG382" i="41" s="1"/>
  <c r="BE384" i="41"/>
  <c r="BG384" i="41" s="1"/>
  <c r="BB384" i="41"/>
  <c r="BD386" i="41"/>
  <c r="BF386" i="41" s="1"/>
  <c r="BE386" i="41"/>
  <c r="BG386" i="41" s="1"/>
  <c r="BF388" i="41"/>
  <c r="BC394" i="41"/>
  <c r="BD394" i="41" s="1"/>
  <c r="BE394" i="41"/>
  <c r="BG394" i="41" s="1"/>
  <c r="BD402" i="41"/>
  <c r="BF402" i="41" s="1"/>
  <c r="BE402" i="41"/>
  <c r="BG402" i="41" s="1"/>
  <c r="BF404" i="41"/>
  <c r="BD410" i="41"/>
  <c r="BF410" i="41" s="1"/>
  <c r="BE410" i="41"/>
  <c r="BG410" i="41" s="1"/>
  <c r="BF397" i="41"/>
  <c r="BF401" i="41"/>
  <c r="BF409" i="41"/>
  <c r="BE417" i="41"/>
  <c r="BG417" i="41" s="1"/>
  <c r="BE425" i="41"/>
  <c r="BG425" i="41" s="1"/>
  <c r="BF431" i="41"/>
  <c r="BE431" i="41"/>
  <c r="BG431" i="41" s="1"/>
  <c r="BF443" i="41"/>
  <c r="BE443" i="41"/>
  <c r="BG443" i="41" s="1"/>
  <c r="BF447" i="41"/>
  <c r="BE447" i="41"/>
  <c r="BG447" i="41" s="1"/>
  <c r="BF451" i="41"/>
  <c r="BE451" i="41"/>
  <c r="BG451" i="41" s="1"/>
  <c r="BF455" i="41"/>
  <c r="BE455" i="41"/>
  <c r="BG455" i="41" s="1"/>
  <c r="BE466" i="41"/>
  <c r="BG466" i="41" s="1"/>
  <c r="BF466" i="41"/>
  <c r="BE482" i="41"/>
  <c r="BG482" i="41" s="1"/>
  <c r="BF482" i="41"/>
  <c r="BE524" i="41"/>
  <c r="BG524" i="41" s="1"/>
  <c r="AZ524" i="41"/>
  <c r="BA524" i="41" s="1"/>
  <c r="BB524" i="41" s="1"/>
  <c r="BC524" i="41" s="1"/>
  <c r="BD524" i="41" s="1"/>
  <c r="BB532" i="41"/>
  <c r="BC532" i="41" s="1"/>
  <c r="BD532" i="41" s="1"/>
  <c r="BE532" i="41"/>
  <c r="BG532" i="41" s="1"/>
  <c r="BE552" i="41"/>
  <c r="BG552" i="41" s="1"/>
  <c r="AZ552" i="41"/>
  <c r="BA552" i="41" s="1"/>
  <c r="BB552" i="41" s="1"/>
  <c r="BC552" i="41" s="1"/>
  <c r="BD552" i="41" s="1"/>
  <c r="BE387" i="41"/>
  <c r="BG387" i="41" s="1"/>
  <c r="BE391" i="41"/>
  <c r="BG391" i="41" s="1"/>
  <c r="BE395" i="41"/>
  <c r="BG395" i="41" s="1"/>
  <c r="BE399" i="41"/>
  <c r="BG399" i="41" s="1"/>
  <c r="BE403" i="41"/>
  <c r="BG403" i="41" s="1"/>
  <c r="BE407" i="41"/>
  <c r="BG407" i="41" s="1"/>
  <c r="BE412" i="41"/>
  <c r="BG412" i="41" s="1"/>
  <c r="BF414" i="41"/>
  <c r="AZ415" i="41"/>
  <c r="BA415" i="41" s="1"/>
  <c r="BB415" i="41" s="1"/>
  <c r="BC415" i="41" s="1"/>
  <c r="BD415" i="41" s="1"/>
  <c r="BF418" i="41"/>
  <c r="BE420" i="41"/>
  <c r="BG420" i="41" s="1"/>
  <c r="BF422" i="41"/>
  <c r="BE424" i="41"/>
  <c r="BG424" i="41" s="1"/>
  <c r="BF426" i="41"/>
  <c r="BF432" i="41"/>
  <c r="BE432" i="41"/>
  <c r="BG432" i="41" s="1"/>
  <c r="BF436" i="41"/>
  <c r="BE436" i="41"/>
  <c r="BG436" i="41" s="1"/>
  <c r="BF440" i="41"/>
  <c r="BE440" i="41"/>
  <c r="BG440" i="41" s="1"/>
  <c r="BF444" i="41"/>
  <c r="BE444" i="41"/>
  <c r="BG444" i="41" s="1"/>
  <c r="BF448" i="41"/>
  <c r="BE448" i="41"/>
  <c r="BG448" i="41" s="1"/>
  <c r="BF452" i="41"/>
  <c r="BE452" i="41"/>
  <c r="BG452" i="41" s="1"/>
  <c r="BF456" i="41"/>
  <c r="BE456" i="41"/>
  <c r="BG456" i="41" s="1"/>
  <c r="BE460" i="41"/>
  <c r="BG460" i="41" s="1"/>
  <c r="BF460" i="41"/>
  <c r="BE468" i="41"/>
  <c r="BG468" i="41" s="1"/>
  <c r="BF468" i="41"/>
  <c r="BE476" i="41"/>
  <c r="BG476" i="41" s="1"/>
  <c r="BF476" i="41"/>
  <c r="BE484" i="41"/>
  <c r="BG484" i="41" s="1"/>
  <c r="BF484" i="41"/>
  <c r="BC489" i="41"/>
  <c r="BD489" i="41" s="1"/>
  <c r="BF489" i="41"/>
  <c r="BA493" i="41"/>
  <c r="BB493" i="41" s="1"/>
  <c r="BC493" i="41" s="1"/>
  <c r="BD493" i="41" s="1"/>
  <c r="BF493" i="41"/>
  <c r="BB497" i="41"/>
  <c r="BC497" i="41" s="1"/>
  <c r="BD497" i="41" s="1"/>
  <c r="BF497" i="41"/>
  <c r="BB501" i="41"/>
  <c r="BC501" i="41" s="1"/>
  <c r="BD501" i="41" s="1"/>
  <c r="BF501" i="41"/>
  <c r="BC505" i="41"/>
  <c r="BD505" i="41" s="1"/>
  <c r="BF505" i="41"/>
  <c r="BB509" i="41"/>
  <c r="BC509" i="41" s="1"/>
  <c r="BD509" i="41" s="1"/>
  <c r="BF509" i="41"/>
  <c r="BB513" i="41"/>
  <c r="BC513" i="41" s="1"/>
  <c r="BD513" i="41" s="1"/>
  <c r="BF513" i="41"/>
  <c r="BA518" i="41"/>
  <c r="BB518" i="41" s="1"/>
  <c r="BC518" i="41" s="1"/>
  <c r="BD518" i="41" s="1"/>
  <c r="BE518" i="41"/>
  <c r="BG518" i="41" s="1"/>
  <c r="BF525" i="41"/>
  <c r="BE525" i="41"/>
  <c r="BG525" i="41" s="1"/>
  <c r="BF533" i="41"/>
  <c r="BE533" i="41"/>
  <c r="BG533" i="41" s="1"/>
  <c r="BB549" i="41"/>
  <c r="BC549" i="41" s="1"/>
  <c r="BD549" i="41" s="1"/>
  <c r="BE549" i="41"/>
  <c r="BG549" i="41" s="1"/>
  <c r="BE557" i="41"/>
  <c r="BG557" i="41" s="1"/>
  <c r="AZ557" i="41"/>
  <c r="BF405" i="41"/>
  <c r="BE429" i="41"/>
  <c r="BG429" i="41" s="1"/>
  <c r="BF435" i="41"/>
  <c r="BE435" i="41"/>
  <c r="BG435" i="41" s="1"/>
  <c r="BF459" i="41"/>
  <c r="BE459" i="41"/>
  <c r="BG459" i="41" s="1"/>
  <c r="BE474" i="41"/>
  <c r="BG474" i="41" s="1"/>
  <c r="BF474" i="41"/>
  <c r="BE411" i="41"/>
  <c r="BG411" i="41" s="1"/>
  <c r="BF413" i="41"/>
  <c r="BE415" i="41"/>
  <c r="BG415" i="41" s="1"/>
  <c r="BF417" i="41"/>
  <c r="BE419" i="41"/>
  <c r="BG419" i="41" s="1"/>
  <c r="BE423" i="41"/>
  <c r="BG423" i="41" s="1"/>
  <c r="BF425" i="41"/>
  <c r="BE427" i="41"/>
  <c r="BG427" i="41" s="1"/>
  <c r="BF429" i="41"/>
  <c r="BF433" i="41"/>
  <c r="BE433" i="41"/>
  <c r="BG433" i="41" s="1"/>
  <c r="BF437" i="41"/>
  <c r="BE437" i="41"/>
  <c r="BG437" i="41" s="1"/>
  <c r="BF441" i="41"/>
  <c r="BE441" i="41"/>
  <c r="BG441" i="41" s="1"/>
  <c r="BF445" i="41"/>
  <c r="BE445" i="41"/>
  <c r="BG445" i="41" s="1"/>
  <c r="BF449" i="41"/>
  <c r="BE449" i="41"/>
  <c r="BG449" i="41" s="1"/>
  <c r="BF453" i="41"/>
  <c r="BE453" i="41"/>
  <c r="BG453" i="41" s="1"/>
  <c r="BF457" i="41"/>
  <c r="BE457" i="41"/>
  <c r="BG457" i="41" s="1"/>
  <c r="BE462" i="41"/>
  <c r="BG462" i="41" s="1"/>
  <c r="BF462" i="41"/>
  <c r="BE470" i="41"/>
  <c r="BG470" i="41" s="1"/>
  <c r="BF470" i="41"/>
  <c r="BE478" i="41"/>
  <c r="BG478" i="41" s="1"/>
  <c r="BF478" i="41"/>
  <c r="BE486" i="41"/>
  <c r="BG486" i="41" s="1"/>
  <c r="BF486" i="41"/>
  <c r="BF537" i="41"/>
  <c r="BE537" i="41"/>
  <c r="BG537" i="41" s="1"/>
  <c r="BE556" i="41"/>
  <c r="BG556" i="41" s="1"/>
  <c r="BA556" i="41"/>
  <c r="BF389" i="41"/>
  <c r="BF393" i="41"/>
  <c r="BE421" i="41"/>
  <c r="BG421" i="41" s="1"/>
  <c r="BF439" i="41"/>
  <c r="BE439" i="41"/>
  <c r="BG439" i="41" s="1"/>
  <c r="BF412" i="41"/>
  <c r="BE414" i="41"/>
  <c r="BG414" i="41" s="1"/>
  <c r="BF416" i="41"/>
  <c r="BE418" i="41"/>
  <c r="BG418" i="41" s="1"/>
  <c r="BF420" i="41"/>
  <c r="BE422" i="41"/>
  <c r="BG422" i="41" s="1"/>
  <c r="BF424" i="41"/>
  <c r="BE426" i="41"/>
  <c r="BG426" i="41" s="1"/>
  <c r="BF428" i="41"/>
  <c r="BF430" i="41"/>
  <c r="BE430" i="41"/>
  <c r="BG430" i="41" s="1"/>
  <c r="BF434" i="41"/>
  <c r="BE434" i="41"/>
  <c r="BG434" i="41" s="1"/>
  <c r="BF438" i="41"/>
  <c r="BE438" i="41"/>
  <c r="BG438" i="41" s="1"/>
  <c r="BF442" i="41"/>
  <c r="BE442" i="41"/>
  <c r="BG442" i="41" s="1"/>
  <c r="BF446" i="41"/>
  <c r="BE446" i="41"/>
  <c r="BG446" i="41" s="1"/>
  <c r="BF450" i="41"/>
  <c r="BE450" i="41"/>
  <c r="BG450" i="41" s="1"/>
  <c r="BF454" i="41"/>
  <c r="BE454" i="41"/>
  <c r="BG454" i="41" s="1"/>
  <c r="BF458" i="41"/>
  <c r="BE458" i="41"/>
  <c r="BG458" i="41" s="1"/>
  <c r="BE464" i="41"/>
  <c r="BG464" i="41" s="1"/>
  <c r="BF464" i="41"/>
  <c r="BE472" i="41"/>
  <c r="BG472" i="41" s="1"/>
  <c r="BF472" i="41"/>
  <c r="BE480" i="41"/>
  <c r="BG480" i="41" s="1"/>
  <c r="BF480" i="41"/>
  <c r="BE488" i="41"/>
  <c r="BG488" i="41" s="1"/>
  <c r="BF488" i="41"/>
  <c r="BE492" i="41"/>
  <c r="BG492" i="41" s="1"/>
  <c r="BF492" i="41"/>
  <c r="BE496" i="41"/>
  <c r="BG496" i="41" s="1"/>
  <c r="BF496" i="41"/>
  <c r="BE500" i="41"/>
  <c r="BG500" i="41" s="1"/>
  <c r="BF500" i="41"/>
  <c r="BE504" i="41"/>
  <c r="BG504" i="41" s="1"/>
  <c r="BF504" i="41"/>
  <c r="BE508" i="41"/>
  <c r="BG508" i="41" s="1"/>
  <c r="BF508" i="41"/>
  <c r="BE512" i="41"/>
  <c r="BG512" i="41" s="1"/>
  <c r="BF512" i="41"/>
  <c r="BE516" i="41"/>
  <c r="BG516" i="41" s="1"/>
  <c r="BF516" i="41"/>
  <c r="BA520" i="41"/>
  <c r="BB520" i="41" s="1"/>
  <c r="BC520" i="41" s="1"/>
  <c r="BD520" i="41" s="1"/>
  <c r="BE520" i="41"/>
  <c r="BG520" i="41" s="1"/>
  <c r="BE553" i="41"/>
  <c r="BG553" i="41" s="1"/>
  <c r="BA553" i="41"/>
  <c r="BB553" i="41" s="1"/>
  <c r="BC553" i="41" s="1"/>
  <c r="BD553" i="41" s="1"/>
  <c r="BE487" i="41"/>
  <c r="BG487" i="41" s="1"/>
  <c r="BE491" i="41"/>
  <c r="BG491" i="41" s="1"/>
  <c r="BE495" i="41"/>
  <c r="BG495" i="41" s="1"/>
  <c r="BE499" i="41"/>
  <c r="BG499" i="41" s="1"/>
  <c r="BE507" i="41"/>
  <c r="BG507" i="41" s="1"/>
  <c r="BE511" i="41"/>
  <c r="BG511" i="41" s="1"/>
  <c r="BF523" i="41"/>
  <c r="BE523" i="41"/>
  <c r="BG523" i="41" s="1"/>
  <c r="BF531" i="41"/>
  <c r="BE531" i="41"/>
  <c r="BG531" i="41" s="1"/>
  <c r="BF595" i="41"/>
  <c r="BE595" i="41"/>
  <c r="BG595" i="41" s="1"/>
  <c r="BD615" i="41"/>
  <c r="BE615" i="41"/>
  <c r="BG615" i="41" s="1"/>
  <c r="BE461" i="41"/>
  <c r="BG461" i="41" s="1"/>
  <c r="BF461" i="41"/>
  <c r="BE463" i="41"/>
  <c r="BG463" i="41" s="1"/>
  <c r="BF463" i="41"/>
  <c r="BE465" i="41"/>
  <c r="BG465" i="41" s="1"/>
  <c r="BF465" i="41"/>
  <c r="BE467" i="41"/>
  <c r="BG467" i="41" s="1"/>
  <c r="BF467" i="41"/>
  <c r="BE469" i="41"/>
  <c r="BG469" i="41" s="1"/>
  <c r="BF469" i="41"/>
  <c r="BE471" i="41"/>
  <c r="BG471" i="41" s="1"/>
  <c r="BF471" i="41"/>
  <c r="BE473" i="41"/>
  <c r="BG473" i="41" s="1"/>
  <c r="BF473" i="41"/>
  <c r="BE475" i="41"/>
  <c r="BG475" i="41" s="1"/>
  <c r="BF475" i="41"/>
  <c r="BE477" i="41"/>
  <c r="BG477" i="41" s="1"/>
  <c r="BF477" i="41"/>
  <c r="BE479" i="41"/>
  <c r="BG479" i="41" s="1"/>
  <c r="BF479" i="41"/>
  <c r="BE481" i="41"/>
  <c r="BG481" i="41" s="1"/>
  <c r="BF481" i="41"/>
  <c r="BE483" i="41"/>
  <c r="BG483" i="41" s="1"/>
  <c r="BF483" i="41"/>
  <c r="BE485" i="41"/>
  <c r="BG485" i="41" s="1"/>
  <c r="BF485" i="41"/>
  <c r="BE490" i="41"/>
  <c r="BG490" i="41" s="1"/>
  <c r="BE494" i="41"/>
  <c r="BG494" i="41" s="1"/>
  <c r="BE498" i="41"/>
  <c r="BG498" i="41" s="1"/>
  <c r="BE502" i="41"/>
  <c r="BG502" i="41" s="1"/>
  <c r="BE506" i="41"/>
  <c r="BG506" i="41" s="1"/>
  <c r="BE510" i="41"/>
  <c r="BG510" i="41" s="1"/>
  <c r="BE514" i="41"/>
  <c r="BG514" i="41" s="1"/>
  <c r="BF521" i="41"/>
  <c r="BE521" i="41"/>
  <c r="BG521" i="41" s="1"/>
  <c r="BF529" i="41"/>
  <c r="BE529" i="41"/>
  <c r="BG529" i="41" s="1"/>
  <c r="BA536" i="41"/>
  <c r="BB536" i="41" s="1"/>
  <c r="BC536" i="41" s="1"/>
  <c r="BD536" i="41" s="1"/>
  <c r="BE536" i="41"/>
  <c r="BG536" i="41" s="1"/>
  <c r="BE550" i="41"/>
  <c r="BG550" i="41" s="1"/>
  <c r="BC550" i="41"/>
  <c r="BD550" i="41" s="1"/>
  <c r="BB554" i="41"/>
  <c r="BE554" i="41"/>
  <c r="BG554" i="41" s="1"/>
  <c r="BB558" i="41"/>
  <c r="BC558" i="41" s="1"/>
  <c r="BD558" i="41" s="1"/>
  <c r="BF558" i="41"/>
  <c r="BE561" i="41"/>
  <c r="BG561" i="41" s="1"/>
  <c r="BF561" i="41"/>
  <c r="BE565" i="41"/>
  <c r="BG565" i="41" s="1"/>
  <c r="BF565" i="41"/>
  <c r="BE569" i="41"/>
  <c r="BG569" i="41" s="1"/>
  <c r="BF569" i="41"/>
  <c r="BE573" i="41"/>
  <c r="BG573" i="41" s="1"/>
  <c r="BF573" i="41"/>
  <c r="BB583" i="41"/>
  <c r="BC583" i="41" s="1"/>
  <c r="BD583" i="41" s="1"/>
  <c r="BF583" i="41"/>
  <c r="BF487" i="41"/>
  <c r="BE489" i="41"/>
  <c r="BG489" i="41" s="1"/>
  <c r="BF491" i="41"/>
  <c r="BE493" i="41"/>
  <c r="BG493" i="41" s="1"/>
  <c r="BF495" i="41"/>
  <c r="BE497" i="41"/>
  <c r="BG497" i="41" s="1"/>
  <c r="BF499" i="41"/>
  <c r="BE501" i="41"/>
  <c r="BG501" i="41" s="1"/>
  <c r="BF503" i="41"/>
  <c r="BE505" i="41"/>
  <c r="BG505" i="41" s="1"/>
  <c r="BF507" i="41"/>
  <c r="BE509" i="41"/>
  <c r="BG509" i="41" s="1"/>
  <c r="BF511" i="41"/>
  <c r="BE513" i="41"/>
  <c r="BG513" i="41" s="1"/>
  <c r="BF515" i="41"/>
  <c r="BF517" i="41"/>
  <c r="BE517" i="41"/>
  <c r="BG517" i="41" s="1"/>
  <c r="BF519" i="41"/>
  <c r="BE519" i="41"/>
  <c r="BG519" i="41" s="1"/>
  <c r="BF527" i="41"/>
  <c r="BE527" i="41"/>
  <c r="BG527" i="41" s="1"/>
  <c r="BF543" i="41"/>
  <c r="BE543" i="41"/>
  <c r="BG543" i="41" s="1"/>
  <c r="BE577" i="41"/>
  <c r="BG577" i="41" s="1"/>
  <c r="BF577" i="41"/>
  <c r="BF518" i="41"/>
  <c r="BF522" i="41"/>
  <c r="BF526" i="41"/>
  <c r="BF530" i="41"/>
  <c r="BF534" i="41"/>
  <c r="BF538" i="41"/>
  <c r="BF542" i="41"/>
  <c r="BE542" i="41"/>
  <c r="BG542" i="41" s="1"/>
  <c r="BF548" i="41"/>
  <c r="BF552" i="41"/>
  <c r="BE581" i="41"/>
  <c r="BG581" i="41" s="1"/>
  <c r="BF581" i="41"/>
  <c r="BC584" i="41"/>
  <c r="BD584" i="41" s="1"/>
  <c r="BF584" i="41"/>
  <c r="BF591" i="41"/>
  <c r="BE591" i="41"/>
  <c r="BG591" i="41" s="1"/>
  <c r="BF607" i="41"/>
  <c r="BE607" i="41"/>
  <c r="BG607" i="41" s="1"/>
  <c r="BA619" i="41"/>
  <c r="BB619" i="41" s="1"/>
  <c r="BC619" i="41" s="1"/>
  <c r="BD619" i="41" s="1"/>
  <c r="BE619" i="41"/>
  <c r="BG619" i="41" s="1"/>
  <c r="BF535" i="41"/>
  <c r="BF539" i="41"/>
  <c r="BF541" i="41"/>
  <c r="BE541" i="41"/>
  <c r="BG541" i="41" s="1"/>
  <c r="BF545" i="41"/>
  <c r="BF549" i="41"/>
  <c r="BE551" i="41"/>
  <c r="BG551" i="41" s="1"/>
  <c r="BA551" i="41"/>
  <c r="BB551" i="41" s="1"/>
  <c r="BC551" i="41" s="1"/>
  <c r="BD551" i="41" s="1"/>
  <c r="BF553" i="41"/>
  <c r="BB555" i="41"/>
  <c r="BE555" i="41"/>
  <c r="BG555" i="41" s="1"/>
  <c r="BF582" i="41"/>
  <c r="BE585" i="41"/>
  <c r="BG585" i="41" s="1"/>
  <c r="BF585" i="41"/>
  <c r="BF587" i="41"/>
  <c r="BE587" i="41"/>
  <c r="BG587" i="41" s="1"/>
  <c r="BF603" i="41"/>
  <c r="BE603" i="41"/>
  <c r="BG603" i="41" s="1"/>
  <c r="BE626" i="41"/>
  <c r="BG626" i="41" s="1"/>
  <c r="BB626" i="41"/>
  <c r="BC626" i="41" s="1"/>
  <c r="BD626" i="41" s="1"/>
  <c r="BB632" i="41"/>
  <c r="BC632" i="41" s="1"/>
  <c r="BD632" i="41" s="1"/>
  <c r="BE632" i="41"/>
  <c r="BG632" i="41" s="1"/>
  <c r="BF520" i="41"/>
  <c r="BF524" i="41"/>
  <c r="BF528" i="41"/>
  <c r="BF532" i="41"/>
  <c r="BF540" i="41"/>
  <c r="BE540" i="41"/>
  <c r="BG540" i="41" s="1"/>
  <c r="BF544" i="41"/>
  <c r="BE544" i="41"/>
  <c r="BG544" i="41" s="1"/>
  <c r="BF546" i="41"/>
  <c r="BF550" i="41"/>
  <c r="BE559" i="41"/>
  <c r="BG559" i="41" s="1"/>
  <c r="BF559" i="41"/>
  <c r="BF563" i="41"/>
  <c r="BF567" i="41"/>
  <c r="BF571" i="41"/>
  <c r="BF575" i="41"/>
  <c r="BF576" i="41"/>
  <c r="BB576" i="41"/>
  <c r="BC576" i="41" s="1"/>
  <c r="BD576" i="41" s="1"/>
  <c r="BF599" i="41"/>
  <c r="BE599" i="41"/>
  <c r="BG599" i="41" s="1"/>
  <c r="BB611" i="41"/>
  <c r="BC611" i="41" s="1"/>
  <c r="BD611" i="41" s="1"/>
  <c r="BE611" i="41"/>
  <c r="BG611" i="41" s="1"/>
  <c r="BE623" i="41"/>
  <c r="BG623" i="41" s="1"/>
  <c r="BF623" i="41"/>
  <c r="BE558" i="41"/>
  <c r="BG558" i="41" s="1"/>
  <c r="BE576" i="41"/>
  <c r="BG576" i="41" s="1"/>
  <c r="BE580" i="41"/>
  <c r="BG580" i="41" s="1"/>
  <c r="BE584" i="41"/>
  <c r="BG584" i="41" s="1"/>
  <c r="BF588" i="41"/>
  <c r="BE588" i="41"/>
  <c r="BG588" i="41" s="1"/>
  <c r="BF592" i="41"/>
  <c r="BE592" i="41"/>
  <c r="BG592" i="41" s="1"/>
  <c r="BF596" i="41"/>
  <c r="BE596" i="41"/>
  <c r="BG596" i="41" s="1"/>
  <c r="BF600" i="41"/>
  <c r="BE600" i="41"/>
  <c r="BG600" i="41" s="1"/>
  <c r="BF604" i="41"/>
  <c r="BE604" i="41"/>
  <c r="BG604" i="41" s="1"/>
  <c r="BF608" i="41"/>
  <c r="BE608" i="41"/>
  <c r="BG608" i="41" s="1"/>
  <c r="BF610" i="41"/>
  <c r="BE610" i="41"/>
  <c r="BG610" i="41" s="1"/>
  <c r="BF614" i="41"/>
  <c r="BE614" i="41"/>
  <c r="BG614" i="41" s="1"/>
  <c r="BF618" i="41"/>
  <c r="BE618" i="41"/>
  <c r="BG618" i="41" s="1"/>
  <c r="BB628" i="41"/>
  <c r="BC628" i="41" s="1"/>
  <c r="BD628" i="41" s="1"/>
  <c r="BE628" i="41"/>
  <c r="BG628" i="41" s="1"/>
  <c r="AZ644" i="41"/>
  <c r="BA644" i="41" s="1"/>
  <c r="BE545" i="41"/>
  <c r="BG545" i="41" s="1"/>
  <c r="BE546" i="41"/>
  <c r="BG546" i="41" s="1"/>
  <c r="BE547" i="41"/>
  <c r="BG547" i="41" s="1"/>
  <c r="BE548" i="41"/>
  <c r="BG548" i="41" s="1"/>
  <c r="BE560" i="41"/>
  <c r="BG560" i="41" s="1"/>
  <c r="BF560" i="41"/>
  <c r="BE562" i="41"/>
  <c r="BG562" i="41" s="1"/>
  <c r="BF562" i="41"/>
  <c r="BE564" i="41"/>
  <c r="BG564" i="41" s="1"/>
  <c r="BF564" i="41"/>
  <c r="BE566" i="41"/>
  <c r="BG566" i="41" s="1"/>
  <c r="BF566" i="41"/>
  <c r="BE568" i="41"/>
  <c r="BG568" i="41" s="1"/>
  <c r="BF568" i="41"/>
  <c r="BE570" i="41"/>
  <c r="BG570" i="41" s="1"/>
  <c r="BF570" i="41"/>
  <c r="BE572" i="41"/>
  <c r="BG572" i="41" s="1"/>
  <c r="BF572" i="41"/>
  <c r="BE574" i="41"/>
  <c r="BG574" i="41" s="1"/>
  <c r="BF574" i="41"/>
  <c r="BE579" i="41"/>
  <c r="BG579" i="41" s="1"/>
  <c r="BE583" i="41"/>
  <c r="BG583" i="41" s="1"/>
  <c r="BF589" i="41"/>
  <c r="BE589" i="41"/>
  <c r="BG589" i="41" s="1"/>
  <c r="BF593" i="41"/>
  <c r="BE593" i="41"/>
  <c r="BG593" i="41" s="1"/>
  <c r="BF597" i="41"/>
  <c r="BE597" i="41"/>
  <c r="BG597" i="41" s="1"/>
  <c r="BF601" i="41"/>
  <c r="BE601" i="41"/>
  <c r="BG601" i="41" s="1"/>
  <c r="BF605" i="41"/>
  <c r="BE605" i="41"/>
  <c r="BG605" i="41" s="1"/>
  <c r="BE612" i="41"/>
  <c r="BG612" i="41" s="1"/>
  <c r="BE616" i="41"/>
  <c r="BG616" i="41" s="1"/>
  <c r="BE620" i="41"/>
  <c r="BG620" i="41" s="1"/>
  <c r="BA624" i="41"/>
  <c r="BB624" i="41" s="1"/>
  <c r="BC624" i="41" s="1"/>
  <c r="BD624" i="41" s="1"/>
  <c r="BE624" i="41"/>
  <c r="BG624" i="41" s="1"/>
  <c r="BA634" i="41"/>
  <c r="BB634" i="41" s="1"/>
  <c r="BC634" i="41" s="1"/>
  <c r="BD634" i="41" s="1"/>
  <c r="BE634" i="41"/>
  <c r="BG634" i="41" s="1"/>
  <c r="BE578" i="41"/>
  <c r="BG578" i="41" s="1"/>
  <c r="BE582" i="41"/>
  <c r="BG582" i="41" s="1"/>
  <c r="BF586" i="41"/>
  <c r="BE586" i="41"/>
  <c r="BG586" i="41" s="1"/>
  <c r="BF590" i="41"/>
  <c r="BE590" i="41"/>
  <c r="BG590" i="41" s="1"/>
  <c r="BF594" i="41"/>
  <c r="BE594" i="41"/>
  <c r="BG594" i="41" s="1"/>
  <c r="BF598" i="41"/>
  <c r="BE598" i="41"/>
  <c r="BG598" i="41" s="1"/>
  <c r="BF602" i="41"/>
  <c r="BE602" i="41"/>
  <c r="BG602" i="41" s="1"/>
  <c r="BF606" i="41"/>
  <c r="BE606" i="41"/>
  <c r="BG606" i="41" s="1"/>
  <c r="BB609" i="41"/>
  <c r="BC609" i="41" s="1"/>
  <c r="BD609" i="41" s="1"/>
  <c r="BE609" i="41"/>
  <c r="BG609" i="41" s="1"/>
  <c r="BA617" i="41"/>
  <c r="BB617" i="41" s="1"/>
  <c r="BC617" i="41" s="1"/>
  <c r="BD617" i="41" s="1"/>
  <c r="BE617" i="41"/>
  <c r="BG617" i="41" s="1"/>
  <c r="BB622" i="41"/>
  <c r="BC622" i="41" s="1"/>
  <c r="BD622" i="41" s="1"/>
  <c r="BE622" i="41"/>
  <c r="BG622" i="41" s="1"/>
  <c r="BE630" i="41"/>
  <c r="BG630" i="41" s="1"/>
  <c r="BB630" i="41"/>
  <c r="BC630" i="41" s="1"/>
  <c r="BD630" i="41" s="1"/>
  <c r="BE636" i="41"/>
  <c r="BG636" i="41" s="1"/>
  <c r="AZ636" i="41"/>
  <c r="BA636" i="41" s="1"/>
  <c r="BB636" i="41" s="1"/>
  <c r="BC636" i="41" s="1"/>
  <c r="BD636" i="41" s="1"/>
  <c r="BF611" i="41"/>
  <c r="BF615" i="41"/>
  <c r="BF646" i="41"/>
  <c r="BE646" i="41"/>
  <c r="BG646" i="41" s="1"/>
  <c r="BF612" i="41"/>
  <c r="BF616" i="41"/>
  <c r="BF620" i="41"/>
  <c r="BF622" i="41"/>
  <c r="BE627" i="41"/>
  <c r="BG627" i="41" s="1"/>
  <c r="BF627" i="41"/>
  <c r="BE631" i="41"/>
  <c r="BG631" i="41" s="1"/>
  <c r="BF631" i="41"/>
  <c r="BF635" i="41"/>
  <c r="BB640" i="41"/>
  <c r="BC640" i="41" s="1"/>
  <c r="BD640" i="41" s="1"/>
  <c r="BF640" i="41"/>
  <c r="BH641" i="41"/>
  <c r="AZ641" i="41"/>
  <c r="BE641" i="41"/>
  <c r="BF609" i="41"/>
  <c r="BF613" i="41"/>
  <c r="BF621" i="41"/>
  <c r="BF626" i="41"/>
  <c r="BF628" i="41"/>
  <c r="BF632" i="41"/>
  <c r="BF634" i="41"/>
  <c r="BF638" i="41"/>
  <c r="AZ639" i="41"/>
  <c r="BE639" i="41"/>
  <c r="BG639" i="41" s="1"/>
  <c r="BF643" i="41"/>
  <c r="BE643" i="41"/>
  <c r="BG643" i="41" s="1"/>
  <c r="AZ645" i="41"/>
  <c r="BA645" i="41" s="1"/>
  <c r="BE625" i="41"/>
  <c r="BG625" i="41" s="1"/>
  <c r="BE629" i="41"/>
  <c r="BG629" i="41" s="1"/>
  <c r="BE633" i="41"/>
  <c r="BG633" i="41" s="1"/>
  <c r="BE637" i="41"/>
  <c r="BG637" i="41" s="1"/>
  <c r="BE638" i="41"/>
  <c r="BG638" i="41" s="1"/>
  <c r="AZ648" i="41"/>
  <c r="BA648" i="41" s="1"/>
  <c r="BF651" i="41"/>
  <c r="BG651" i="41" s="1"/>
  <c r="BE651" i="41"/>
  <c r="AZ642" i="41"/>
  <c r="BA642" i="41" s="1"/>
  <c r="BF647" i="41"/>
  <c r="BE647" i="41"/>
  <c r="BG647" i="41" s="1"/>
  <c r="AZ649" i="41"/>
  <c r="BA649" i="41" s="1"/>
  <c r="BH650" i="41"/>
  <c r="AZ650" i="41"/>
  <c r="BA650" i="41" s="1"/>
  <c r="BB650" i="41" s="1"/>
  <c r="BC650" i="41" s="1"/>
  <c r="BD650" i="41" s="1"/>
  <c r="D2104" i="52"/>
  <c r="K946" i="44"/>
  <c r="D1889" i="52"/>
  <c r="K718" i="44"/>
  <c r="K1677" i="44"/>
  <c r="BC334" i="41" l="1"/>
  <c r="BD334" i="41" s="1"/>
  <c r="BF334" i="41"/>
  <c r="BB330" i="41"/>
  <c r="BC330" i="41" s="1"/>
  <c r="BD330" i="41" s="1"/>
  <c r="BF330" i="41"/>
  <c r="BC373" i="41"/>
  <c r="BD373" i="41" s="1"/>
  <c r="BF373" i="41"/>
  <c r="D2846" i="52"/>
  <c r="J1688" i="54"/>
  <c r="J1688" i="44" s="1"/>
  <c r="J1687" i="44"/>
  <c r="J1689" i="54"/>
  <c r="J1689" i="44" s="1"/>
  <c r="D2847" i="52"/>
  <c r="K56" i="53"/>
  <c r="D2863" i="52"/>
  <c r="D2872" i="52"/>
  <c r="J1713" i="44"/>
  <c r="J1576" i="54"/>
  <c r="J1576" i="44" s="1"/>
  <c r="J1705" i="54"/>
  <c r="D2864" i="52" s="1"/>
  <c r="K1705" i="44"/>
  <c r="C1727" i="44"/>
  <c r="K1387" i="44"/>
  <c r="J1387" i="54"/>
  <c r="D2545" i="52" s="1"/>
  <c r="J1430" i="44"/>
  <c r="J1586" i="54"/>
  <c r="J1586" i="44" s="1"/>
  <c r="J1638" i="44"/>
  <c r="J1384" i="44"/>
  <c r="J1587" i="44"/>
  <c r="J1385" i="54"/>
  <c r="J1385" i="44" s="1"/>
  <c r="J1551" i="44"/>
  <c r="J1724" i="54"/>
  <c r="K1724" i="44"/>
  <c r="D2843" i="52"/>
  <c r="J1680" i="54"/>
  <c r="J1681" i="54" s="1"/>
  <c r="J1681" i="44" s="1"/>
  <c r="K1675" i="54"/>
  <c r="J1569" i="44"/>
  <c r="K1680" i="44"/>
  <c r="D2119" i="52"/>
  <c r="J961" i="44"/>
  <c r="D2108" i="52"/>
  <c r="J950" i="44"/>
  <c r="J67" i="4"/>
  <c r="D2885" i="52"/>
  <c r="J1732" i="54"/>
  <c r="D2884" i="52"/>
  <c r="D2886" i="52"/>
  <c r="J1731" i="54"/>
  <c r="J1731" i="44" s="1"/>
  <c r="D2887" i="52"/>
  <c r="J1730" i="54"/>
  <c r="J1730" i="44" s="1"/>
  <c r="D2888" i="52"/>
  <c r="J1729" i="54"/>
  <c r="J1729" i="44" s="1"/>
  <c r="D2889" i="52"/>
  <c r="J1728" i="54"/>
  <c r="J1728" i="44" s="1"/>
  <c r="J1727" i="54"/>
  <c r="J1727" i="44" s="1"/>
  <c r="K1382" i="54"/>
  <c r="BF551" i="41"/>
  <c r="BF351" i="41"/>
  <c r="J1550" i="54"/>
  <c r="J1550" i="44" s="1"/>
  <c r="J1567" i="54"/>
  <c r="J1567" i="44" s="1"/>
  <c r="J1560" i="44"/>
  <c r="K72" i="29"/>
  <c r="K72" i="53" s="1"/>
  <c r="K71" i="53"/>
  <c r="BH646" i="41"/>
  <c r="BH643" i="41"/>
  <c r="BF636" i="41"/>
  <c r="BF619" i="41"/>
  <c r="BF329" i="41"/>
  <c r="BF350" i="41"/>
  <c r="J1549" i="54"/>
  <c r="J1549" i="44" s="1"/>
  <c r="J1542" i="44"/>
  <c r="BF342" i="41"/>
  <c r="BF343" i="41"/>
  <c r="J1585" i="54"/>
  <c r="J1585" i="44" s="1"/>
  <c r="J1578" i="44"/>
  <c r="J948" i="54"/>
  <c r="J948" i="44" s="1"/>
  <c r="J947" i="44"/>
  <c r="J1258" i="44"/>
  <c r="J1259" i="54"/>
  <c r="J1259" i="44" s="1"/>
  <c r="K51" i="6"/>
  <c r="F55" i="6"/>
  <c r="K55" i="6" s="1"/>
  <c r="K26" i="7"/>
  <c r="F23" i="7"/>
  <c r="J59" i="6"/>
  <c r="J9" i="7"/>
  <c r="J21" i="7" s="1"/>
  <c r="J58" i="6"/>
  <c r="K43" i="6"/>
  <c r="F47" i="6"/>
  <c r="J1640" i="54"/>
  <c r="J1639" i="44"/>
  <c r="F38" i="4"/>
  <c r="K38" i="4" s="1"/>
  <c r="K39" i="4"/>
  <c r="F33" i="6"/>
  <c r="K33" i="6" s="1"/>
  <c r="K13" i="6"/>
  <c r="F18" i="6"/>
  <c r="K64" i="53"/>
  <c r="K66" i="29"/>
  <c r="K66" i="53" s="1"/>
  <c r="BF556" i="41"/>
  <c r="BB556" i="41"/>
  <c r="BC556" i="41" s="1"/>
  <c r="BD556" i="41" s="1"/>
  <c r="BD385" i="41"/>
  <c r="BF385" i="41"/>
  <c r="BF650" i="41"/>
  <c r="BG650" i="41" s="1"/>
  <c r="BF630" i="41"/>
  <c r="BF617" i="41"/>
  <c r="BA641" i="41"/>
  <c r="BB641" i="41" s="1"/>
  <c r="BC641" i="41" s="1"/>
  <c r="BD641" i="41" s="1"/>
  <c r="BF641" i="41"/>
  <c r="BG641" i="41" s="1"/>
  <c r="BF396" i="41"/>
  <c r="BC374" i="41"/>
  <c r="BD374" i="41" s="1"/>
  <c r="BF374" i="41"/>
  <c r="BF347" i="41"/>
  <c r="BF394" i="41"/>
  <c r="BF372" i="41"/>
  <c r="BF348" i="41"/>
  <c r="BF340" i="41"/>
  <c r="BF332" i="41"/>
  <c r="BF337" i="41"/>
  <c r="BC379" i="41"/>
  <c r="BD379" i="41" s="1"/>
  <c r="BF379" i="41"/>
  <c r="BC375" i="41"/>
  <c r="BD375" i="41" s="1"/>
  <c r="BF375" i="41"/>
  <c r="BF367" i="41"/>
  <c r="BF345" i="41"/>
  <c r="BH647" i="41"/>
  <c r="BE644" i="41"/>
  <c r="BG644" i="41" s="1"/>
  <c r="BB644" i="41"/>
  <c r="BF554" i="41"/>
  <c r="BC554" i="41"/>
  <c r="BD554" i="41" s="1"/>
  <c r="BE649" i="41"/>
  <c r="BG649" i="41" s="1"/>
  <c r="BB649" i="41"/>
  <c r="BB642" i="41"/>
  <c r="BE642" i="41"/>
  <c r="BG642" i="41" s="1"/>
  <c r="BB648" i="41"/>
  <c r="BE648" i="41"/>
  <c r="BG648" i="41" s="1"/>
  <c r="BF624" i="41"/>
  <c r="BF536" i="41"/>
  <c r="BF378" i="41"/>
  <c r="BB378" i="41"/>
  <c r="BC378" i="41" s="1"/>
  <c r="BD378" i="41" s="1"/>
  <c r="BF341" i="41"/>
  <c r="BF370" i="41"/>
  <c r="BF362" i="41"/>
  <c r="BF346" i="41"/>
  <c r="BF338" i="41"/>
  <c r="BD383" i="41"/>
  <c r="BF383" i="41"/>
  <c r="BF398" i="41"/>
  <c r="BF339" i="41"/>
  <c r="BA639" i="41"/>
  <c r="BB639" i="41" s="1"/>
  <c r="BC639" i="41" s="1"/>
  <c r="BD639" i="41" s="1"/>
  <c r="BF639" i="41"/>
  <c r="BE645" i="41"/>
  <c r="BG645" i="41" s="1"/>
  <c r="BB645" i="41"/>
  <c r="BF555" i="41"/>
  <c r="BC555" i="41"/>
  <c r="BD555" i="41" s="1"/>
  <c r="BF557" i="41"/>
  <c r="BA557" i="41"/>
  <c r="BB557" i="41" s="1"/>
  <c r="BC557" i="41" s="1"/>
  <c r="BD557" i="41" s="1"/>
  <c r="BC384" i="41"/>
  <c r="BD384" i="41" s="1"/>
  <c r="BF384" i="41"/>
  <c r="BD380" i="41"/>
  <c r="BF380" i="41"/>
  <c r="BC376" i="41"/>
  <c r="BD376" i="41" s="1"/>
  <c r="BF376" i="41"/>
  <c r="BF368" i="41"/>
  <c r="BF352" i="41"/>
  <c r="BF344" i="41"/>
  <c r="BF336" i="41"/>
  <c r="BF328" i="41"/>
  <c r="BF349" i="41"/>
  <c r="BF408" i="41"/>
  <c r="BC377" i="41"/>
  <c r="BD377" i="41" s="1"/>
  <c r="BF377" i="41"/>
  <c r="BF390" i="41"/>
  <c r="BF357" i="41"/>
  <c r="BF333" i="41"/>
  <c r="D2835" i="52"/>
  <c r="D2105" i="52"/>
  <c r="J1705" i="44" l="1"/>
  <c r="J1706" i="54"/>
  <c r="J1388" i="54"/>
  <c r="J1388" i="44" s="1"/>
  <c r="J1387" i="44"/>
  <c r="J1680" i="44"/>
  <c r="D2838" i="52"/>
  <c r="J1675" i="54"/>
  <c r="D2832" i="52"/>
  <c r="K1675" i="44"/>
  <c r="J1725" i="54"/>
  <c r="D2882" i="52"/>
  <c r="J1724" i="44"/>
  <c r="J1732" i="44"/>
  <c r="J1733" i="54"/>
  <c r="J1733" i="44" s="1"/>
  <c r="D2890" i="52"/>
  <c r="J57" i="6"/>
  <c r="J61" i="6" s="1"/>
  <c r="J1382" i="54"/>
  <c r="K1382" i="44"/>
  <c r="D2539" i="52"/>
  <c r="J62" i="7"/>
  <c r="J8" i="7"/>
  <c r="K47" i="6"/>
  <c r="F56" i="6"/>
  <c r="K56" i="6" s="1"/>
  <c r="K18" i="6"/>
  <c r="J1641" i="54"/>
  <c r="J1640" i="44"/>
  <c r="K23" i="7"/>
  <c r="F44" i="7"/>
  <c r="BC649" i="41"/>
  <c r="BD649" i="41" s="1"/>
  <c r="BF649" i="41"/>
  <c r="BH649" i="41" s="1"/>
  <c r="BF648" i="41"/>
  <c r="BH648" i="41" s="1"/>
  <c r="BC648" i="41"/>
  <c r="BD648" i="41" s="1"/>
  <c r="BF644" i="41"/>
  <c r="BH644" i="41" s="1"/>
  <c r="BC644" i="41"/>
  <c r="BD644" i="41" s="1"/>
  <c r="BC645" i="41"/>
  <c r="BD645" i="41" s="1"/>
  <c r="BF645" i="41"/>
  <c r="BH645" i="41" s="1"/>
  <c r="BC642" i="41"/>
  <c r="BD642" i="41" s="1"/>
  <c r="BF642" i="41"/>
  <c r="BH642" i="41" s="1"/>
  <c r="D2106" i="52"/>
  <c r="D2865" i="52" l="1"/>
  <c r="J1706" i="44"/>
  <c r="J1707" i="54"/>
  <c r="J1707" i="44" s="1"/>
  <c r="J1726" i="54"/>
  <c r="J1726" i="44" s="1"/>
  <c r="J1725" i="44"/>
  <c r="D2883" i="52"/>
  <c r="D2833" i="52"/>
  <c r="J1676" i="54"/>
  <c r="J1676" i="44" s="1"/>
  <c r="J1675" i="44"/>
  <c r="J1383" i="54"/>
  <c r="J1383" i="44" s="1"/>
  <c r="D2540" i="52"/>
  <c r="J1382" i="44"/>
  <c r="F22" i="7"/>
  <c r="K44" i="7"/>
  <c r="J1642" i="54"/>
  <c r="J1641" i="44"/>
  <c r="J1643" i="54" l="1"/>
  <c r="J1643" i="44" s="1"/>
  <c r="J1642" i="44"/>
  <c r="C2" i="30"/>
  <c r="P18" i="30"/>
  <c r="R18" i="30" s="1"/>
  <c r="C41" i="30"/>
  <c r="A47" i="21"/>
  <c r="A42" i="21"/>
  <c r="A37" i="21"/>
  <c r="D361" i="52" s="1"/>
  <c r="A32" i="21"/>
  <c r="K32" i="21" s="1"/>
  <c r="A27" i="21"/>
  <c r="K1682" i="54"/>
  <c r="J1682" i="54" s="1"/>
  <c r="K1669" i="54"/>
  <c r="J1669" i="54" s="1"/>
  <c r="K1651" i="54"/>
  <c r="J1651" i="54" s="1"/>
  <c r="D2809" i="52" s="1"/>
  <c r="K1646" i="54"/>
  <c r="K1603" i="54"/>
  <c r="K1603" i="44" s="1"/>
  <c r="D2796" i="52"/>
  <c r="H1613" i="54"/>
  <c r="H1629" i="54"/>
  <c r="H1621" i="54"/>
  <c r="I1613" i="54"/>
  <c r="I1613" i="44" s="1"/>
  <c r="I1629" i="54"/>
  <c r="I1621" i="54"/>
  <c r="I1621" i="44" s="1"/>
  <c r="K1520" i="54"/>
  <c r="D2677" i="52" s="1"/>
  <c r="K1510" i="54"/>
  <c r="J1510" i="54" s="1"/>
  <c r="K1495" i="54"/>
  <c r="J1495" i="54" s="1"/>
  <c r="K1490" i="54"/>
  <c r="K1477" i="54"/>
  <c r="J1477" i="54" s="1"/>
  <c r="F1484" i="54"/>
  <c r="G1484" i="54"/>
  <c r="G1484" i="44" s="1"/>
  <c r="H1484" i="54"/>
  <c r="H1484" i="44" s="1"/>
  <c r="I1484" i="54"/>
  <c r="I1484" i="44" s="1"/>
  <c r="H1471" i="54"/>
  <c r="I1471" i="54"/>
  <c r="I1471" i="44" s="1"/>
  <c r="K1465" i="54"/>
  <c r="J1465" i="54" s="1"/>
  <c r="H1463" i="54"/>
  <c r="I1463" i="54"/>
  <c r="I1463" i="44" s="1"/>
  <c r="K1457" i="54"/>
  <c r="H1455" i="54"/>
  <c r="I1455" i="54"/>
  <c r="I1455" i="44" s="1"/>
  <c r="K1449" i="54"/>
  <c r="D2606" i="52" s="1"/>
  <c r="H1447" i="54"/>
  <c r="I1447" i="54"/>
  <c r="I1447" i="44" s="1"/>
  <c r="K1441" i="54"/>
  <c r="J1441" i="54" s="1"/>
  <c r="K1424" i="54"/>
  <c r="I1427" i="54"/>
  <c r="J1427" i="54" s="1"/>
  <c r="J1427" i="44" s="1"/>
  <c r="K1412" i="54"/>
  <c r="J1412" i="54" s="1"/>
  <c r="K1405" i="54"/>
  <c r="K1405" i="44" s="1"/>
  <c r="K1398" i="54"/>
  <c r="D2555" i="52" s="1"/>
  <c r="K1391" i="54"/>
  <c r="K1363" i="54"/>
  <c r="D169" i="30"/>
  <c r="K1282" i="54" s="1"/>
  <c r="K1279" i="54"/>
  <c r="J1279" i="54" s="1"/>
  <c r="J1279" i="44" s="1"/>
  <c r="K1280" i="54"/>
  <c r="J1280" i="54" s="1"/>
  <c r="J1280" i="44" s="1"/>
  <c r="K1266" i="54"/>
  <c r="J1266" i="54" s="1"/>
  <c r="D2424" i="52" s="1"/>
  <c r="K1260" i="54"/>
  <c r="K1260" i="44" s="1"/>
  <c r="D2415" i="52"/>
  <c r="I1240" i="54"/>
  <c r="I1240" i="44" s="1"/>
  <c r="I1246" i="54"/>
  <c r="I1246" i="44" s="1"/>
  <c r="H1240" i="54"/>
  <c r="H1246" i="54"/>
  <c r="H1193" i="54"/>
  <c r="H1198" i="54"/>
  <c r="H1204" i="54"/>
  <c r="J1204" i="54" s="1"/>
  <c r="J1204" i="44" s="1"/>
  <c r="H1209" i="54"/>
  <c r="J1209" i="54" s="1"/>
  <c r="J1209" i="44" s="1"/>
  <c r="H1213" i="54"/>
  <c r="H1217" i="54"/>
  <c r="J1217" i="54" s="1"/>
  <c r="J1217" i="44" s="1"/>
  <c r="H1221" i="54"/>
  <c r="I1193" i="54"/>
  <c r="I1193" i="44" s="1"/>
  <c r="I1198" i="54"/>
  <c r="I1198" i="44" s="1"/>
  <c r="I1207" i="54"/>
  <c r="I1207" i="44" s="1"/>
  <c r="I1211" i="54"/>
  <c r="I1211" i="44" s="1"/>
  <c r="I1215" i="54"/>
  <c r="I1215" i="44" s="1"/>
  <c r="I1219" i="54"/>
  <c r="I1219" i="44" s="1"/>
  <c r="I1223" i="54"/>
  <c r="I1223" i="44" s="1"/>
  <c r="K1183" i="54"/>
  <c r="H1172" i="54"/>
  <c r="I1172" i="54"/>
  <c r="K1162" i="54"/>
  <c r="J1162" i="54" s="1"/>
  <c r="K1152" i="54"/>
  <c r="K1152" i="44" s="1"/>
  <c r="H1159" i="54"/>
  <c r="I1159" i="54"/>
  <c r="I1159" i="44" s="1"/>
  <c r="H1137" i="54"/>
  <c r="H1141" i="54"/>
  <c r="I1137" i="54"/>
  <c r="I1137" i="44" s="1"/>
  <c r="I1141" i="54"/>
  <c r="I1141" i="44" s="1"/>
  <c r="K1131" i="54"/>
  <c r="H1119" i="54"/>
  <c r="H1127" i="54"/>
  <c r="I1119" i="54"/>
  <c r="I1119" i="44" s="1"/>
  <c r="I1127" i="54"/>
  <c r="I1127" i="44" s="1"/>
  <c r="K1108" i="54"/>
  <c r="J1108" i="54" s="1"/>
  <c r="D1101" i="54"/>
  <c r="D1095" i="54"/>
  <c r="F1101" i="54"/>
  <c r="F1101" i="44" s="1"/>
  <c r="F1095" i="54"/>
  <c r="F1095" i="44" s="1"/>
  <c r="H1101" i="54"/>
  <c r="H1101" i="44" s="1"/>
  <c r="H1095" i="54"/>
  <c r="H1095" i="44" s="1"/>
  <c r="K1089" i="54"/>
  <c r="J1089" i="54" s="1"/>
  <c r="H1074" i="54"/>
  <c r="H1078" i="54"/>
  <c r="I1074" i="54"/>
  <c r="I1074" i="44" s="1"/>
  <c r="I1078" i="54"/>
  <c r="D2236" i="52" s="1"/>
  <c r="K1067" i="54"/>
  <c r="J1067" i="54" s="1"/>
  <c r="H1045" i="54"/>
  <c r="H1055" i="54"/>
  <c r="H1063" i="54"/>
  <c r="I1045" i="54"/>
  <c r="I1045" i="44" s="1"/>
  <c r="I1055" i="54"/>
  <c r="I1055" i="44" s="1"/>
  <c r="I1063" i="54"/>
  <c r="I1063" i="44" s="1"/>
  <c r="K1035" i="54"/>
  <c r="J1035" i="54" s="1"/>
  <c r="D1033" i="54"/>
  <c r="F1033" i="54"/>
  <c r="F1033" i="44" s="1"/>
  <c r="H1033" i="54"/>
  <c r="H1033" i="44" s="1"/>
  <c r="K1018" i="54"/>
  <c r="J1018" i="54" s="1"/>
  <c r="H998" i="54"/>
  <c r="H1007" i="54"/>
  <c r="H1012" i="54"/>
  <c r="I998" i="54"/>
  <c r="H32" i="5" s="1"/>
  <c r="I1007" i="54"/>
  <c r="I1012" i="54"/>
  <c r="H34" i="5" s="1"/>
  <c r="K990" i="54"/>
  <c r="J990" i="54" s="1"/>
  <c r="H970" i="54"/>
  <c r="D293" i="52" s="1"/>
  <c r="H986" i="54"/>
  <c r="H979" i="54"/>
  <c r="I970" i="54"/>
  <c r="D300" i="52" s="1"/>
  <c r="I986" i="54"/>
  <c r="D303" i="52" s="1"/>
  <c r="I979" i="54"/>
  <c r="K962" i="54"/>
  <c r="J962" i="54" s="1"/>
  <c r="H942" i="54"/>
  <c r="I942" i="54"/>
  <c r="I942" i="44" s="1"/>
  <c r="H938" i="54"/>
  <c r="I938" i="54"/>
  <c r="I938" i="44" s="1"/>
  <c r="K931" i="54"/>
  <c r="J931" i="54" s="1"/>
  <c r="H927" i="54"/>
  <c r="D290" i="52" s="1"/>
  <c r="I927" i="54"/>
  <c r="H13" i="5" s="1"/>
  <c r="H923" i="54"/>
  <c r="I923" i="54"/>
  <c r="H10" i="5" s="1"/>
  <c r="K917" i="54"/>
  <c r="K889" i="54"/>
  <c r="J889" i="54" s="1"/>
  <c r="K872" i="54"/>
  <c r="D2038" i="52"/>
  <c r="E850" i="54"/>
  <c r="J850" i="54" s="1"/>
  <c r="J850" i="44" s="1"/>
  <c r="E854" i="54"/>
  <c r="J854" i="54" s="1"/>
  <c r="J854" i="44" s="1"/>
  <c r="E858" i="54"/>
  <c r="J858" i="54" s="1"/>
  <c r="J858" i="44" s="1"/>
  <c r="E862" i="54"/>
  <c r="J862" i="54" s="1"/>
  <c r="J862" i="44" s="1"/>
  <c r="E866" i="54"/>
  <c r="D2024" i="52" s="1"/>
  <c r="K847" i="54"/>
  <c r="H825" i="54"/>
  <c r="H829" i="54"/>
  <c r="H833" i="54"/>
  <c r="H837" i="54"/>
  <c r="H841" i="54"/>
  <c r="I825" i="54"/>
  <c r="I825" i="44" s="1"/>
  <c r="I829" i="54"/>
  <c r="I829" i="44" s="1"/>
  <c r="I833" i="54"/>
  <c r="I833" i="44" s="1"/>
  <c r="I837" i="54"/>
  <c r="I837" i="44" s="1"/>
  <c r="I841" i="54"/>
  <c r="K822" i="54"/>
  <c r="J822" i="54" s="1"/>
  <c r="I814" i="54"/>
  <c r="I814" i="44" s="1"/>
  <c r="I816" i="54"/>
  <c r="I816" i="44" s="1"/>
  <c r="H814" i="54"/>
  <c r="H816" i="54"/>
  <c r="K809" i="54"/>
  <c r="E807" i="54"/>
  <c r="F807" i="54"/>
  <c r="F807" i="44" s="1"/>
  <c r="H807" i="54"/>
  <c r="H807" i="44" s="1"/>
  <c r="K798" i="54"/>
  <c r="K794" i="54"/>
  <c r="J794" i="54" s="1"/>
  <c r="D1953" i="52" s="1"/>
  <c r="H788" i="54"/>
  <c r="I788" i="54"/>
  <c r="K780" i="54"/>
  <c r="H778" i="54"/>
  <c r="I778" i="54"/>
  <c r="K770" i="54"/>
  <c r="H766" i="54"/>
  <c r="I766" i="54"/>
  <c r="I766" i="44" s="1"/>
  <c r="H757" i="54"/>
  <c r="I757" i="54"/>
  <c r="I757" i="44" s="1"/>
  <c r="K748" i="54"/>
  <c r="J748" i="54" s="1"/>
  <c r="H742" i="54"/>
  <c r="I742" i="54"/>
  <c r="F742" i="54"/>
  <c r="G742" i="54"/>
  <c r="K734" i="54"/>
  <c r="J734" i="54" s="1"/>
  <c r="H727" i="54"/>
  <c r="I727" i="54"/>
  <c r="I727" i="44" s="1"/>
  <c r="G714" i="54"/>
  <c r="H714" i="54"/>
  <c r="H714" i="44" s="1"/>
  <c r="K707" i="54"/>
  <c r="J707" i="54" s="1"/>
  <c r="E701" i="54"/>
  <c r="D273" i="52" s="1"/>
  <c r="F701" i="54"/>
  <c r="F34" i="4" s="1"/>
  <c r="K34" i="4" s="1"/>
  <c r="G701" i="54"/>
  <c r="F35" i="4" s="1"/>
  <c r="K35" i="4" s="1"/>
  <c r="H701" i="54"/>
  <c r="F36" i="4" s="1"/>
  <c r="K36" i="4" s="1"/>
  <c r="I701" i="54"/>
  <c r="F37" i="4" s="1"/>
  <c r="K37" i="4" s="1"/>
  <c r="K694" i="54"/>
  <c r="D1852" i="52" s="1"/>
  <c r="E688" i="54"/>
  <c r="F688" i="54"/>
  <c r="F688" i="44" s="1"/>
  <c r="G688" i="54"/>
  <c r="H688" i="54"/>
  <c r="I688" i="54"/>
  <c r="K681" i="54"/>
  <c r="E675" i="54"/>
  <c r="F675" i="54"/>
  <c r="G675" i="54"/>
  <c r="H675" i="54"/>
  <c r="I675" i="54"/>
  <c r="K668" i="54"/>
  <c r="J668" i="54" s="1"/>
  <c r="D664" i="54"/>
  <c r="D659" i="54"/>
  <c r="D660" i="54"/>
  <c r="D661" i="54"/>
  <c r="F664" i="54"/>
  <c r="F664" i="44" s="1"/>
  <c r="F659" i="54"/>
  <c r="F659" i="44" s="1"/>
  <c r="F660" i="54"/>
  <c r="F660" i="44" s="1"/>
  <c r="F661" i="54"/>
  <c r="F661" i="44" s="1"/>
  <c r="H664" i="54"/>
  <c r="H664" i="44" s="1"/>
  <c r="H659" i="54"/>
  <c r="H659" i="44" s="1"/>
  <c r="H660" i="54"/>
  <c r="H660" i="44" s="1"/>
  <c r="H661" i="54"/>
  <c r="H661" i="44" s="1"/>
  <c r="I643" i="54"/>
  <c r="I644" i="54"/>
  <c r="J644" i="54" s="1"/>
  <c r="J644" i="44" s="1"/>
  <c r="I645" i="54"/>
  <c r="J645" i="54" s="1"/>
  <c r="J645" i="44" s="1"/>
  <c r="I646" i="54"/>
  <c r="J646" i="54" s="1"/>
  <c r="J646" i="44" s="1"/>
  <c r="K639" i="54"/>
  <c r="J639" i="54" s="1"/>
  <c r="I633" i="54"/>
  <c r="D1791" i="52" s="1"/>
  <c r="I634" i="54"/>
  <c r="I635" i="54"/>
  <c r="J635" i="54" s="1"/>
  <c r="J635" i="44" s="1"/>
  <c r="I636" i="54"/>
  <c r="K629" i="54"/>
  <c r="G627" i="54"/>
  <c r="D262" i="52" s="1"/>
  <c r="H627" i="54"/>
  <c r="F25" i="4" s="1"/>
  <c r="K25" i="4" s="1"/>
  <c r="I626" i="54"/>
  <c r="I625" i="54"/>
  <c r="J625" i="54" s="1"/>
  <c r="J625" i="44" s="1"/>
  <c r="I624" i="54"/>
  <c r="J624" i="54" s="1"/>
  <c r="J624" i="44" s="1"/>
  <c r="I623" i="54"/>
  <c r="J623" i="54" s="1"/>
  <c r="J623" i="44" s="1"/>
  <c r="K619" i="54"/>
  <c r="K613" i="54"/>
  <c r="J613" i="54" s="1"/>
  <c r="K609" i="54"/>
  <c r="I604" i="54"/>
  <c r="J604" i="54" s="1"/>
  <c r="J604" i="44" s="1"/>
  <c r="I605" i="54"/>
  <c r="J605" i="54" s="1"/>
  <c r="J605" i="44" s="1"/>
  <c r="I606" i="54"/>
  <c r="J606" i="54" s="1"/>
  <c r="J606" i="44" s="1"/>
  <c r="K599" i="54"/>
  <c r="J599" i="54" s="1"/>
  <c r="K589" i="54"/>
  <c r="H597" i="54"/>
  <c r="J597" i="54" s="1"/>
  <c r="J597" i="44" s="1"/>
  <c r="K564" i="54"/>
  <c r="H568" i="54"/>
  <c r="J568" i="54" s="1"/>
  <c r="J568" i="44" s="1"/>
  <c r="H569" i="54"/>
  <c r="J569" i="54" s="1"/>
  <c r="J569" i="44" s="1"/>
  <c r="H570" i="54"/>
  <c r="J570" i="54" s="1"/>
  <c r="J570" i="44" s="1"/>
  <c r="H571" i="54"/>
  <c r="J571" i="54" s="1"/>
  <c r="J571" i="44" s="1"/>
  <c r="H572" i="54"/>
  <c r="H573" i="54"/>
  <c r="J573" i="54" s="1"/>
  <c r="J573" i="44" s="1"/>
  <c r="H574" i="54"/>
  <c r="H575" i="54"/>
  <c r="J575" i="54" s="1"/>
  <c r="J575" i="44" s="1"/>
  <c r="H576" i="54"/>
  <c r="J576" i="54" s="1"/>
  <c r="J576" i="44" s="1"/>
  <c r="H577" i="54"/>
  <c r="J577" i="54" s="1"/>
  <c r="J577" i="44" s="1"/>
  <c r="K553" i="54"/>
  <c r="B553" i="54" s="1"/>
  <c r="H560" i="54"/>
  <c r="I560" i="54"/>
  <c r="H88" i="3" s="1"/>
  <c r="H87" i="3" s="1"/>
  <c r="D116" i="30"/>
  <c r="K551" i="54" s="1"/>
  <c r="J551" i="54" s="1"/>
  <c r="I538" i="54"/>
  <c r="J538" i="54" s="1"/>
  <c r="J538" i="44" s="1"/>
  <c r="F539" i="54"/>
  <c r="F539" i="44" s="1"/>
  <c r="G539" i="54"/>
  <c r="G539" i="44" s="1"/>
  <c r="H539" i="54"/>
  <c r="H539" i="44" s="1"/>
  <c r="E539" i="54"/>
  <c r="E539" i="44" s="1"/>
  <c r="E544" i="54"/>
  <c r="E544" i="44" s="1"/>
  <c r="G544" i="54"/>
  <c r="G544" i="44" s="1"/>
  <c r="I548" i="54"/>
  <c r="J548" i="54" s="1"/>
  <c r="J548" i="44" s="1"/>
  <c r="I547" i="54"/>
  <c r="I546" i="54"/>
  <c r="J546" i="54" s="1"/>
  <c r="J546" i="44" s="1"/>
  <c r="I545" i="54"/>
  <c r="J545" i="54" s="1"/>
  <c r="J545" i="44" s="1"/>
  <c r="I542" i="54"/>
  <c r="J542" i="54" s="1"/>
  <c r="J542" i="44" s="1"/>
  <c r="I541" i="54"/>
  <c r="I540" i="54"/>
  <c r="J540" i="54" s="1"/>
  <c r="J540" i="44" s="1"/>
  <c r="K535" i="54"/>
  <c r="G514" i="54"/>
  <c r="G528" i="54"/>
  <c r="G521" i="54"/>
  <c r="H514" i="54"/>
  <c r="H528" i="54"/>
  <c r="H528" i="44" s="1"/>
  <c r="H521" i="54"/>
  <c r="I532" i="54"/>
  <c r="J532" i="54" s="1"/>
  <c r="J532" i="44" s="1"/>
  <c r="I531" i="54"/>
  <c r="J531" i="54" s="1"/>
  <c r="J531" i="44" s="1"/>
  <c r="I530" i="54"/>
  <c r="J530" i="54" s="1"/>
  <c r="J530" i="44" s="1"/>
  <c r="I529" i="54"/>
  <c r="J529" i="54" s="1"/>
  <c r="J529" i="44" s="1"/>
  <c r="I527" i="54"/>
  <c r="J527" i="54" s="1"/>
  <c r="J527" i="44" s="1"/>
  <c r="I525" i="54"/>
  <c r="J525" i="54" s="1"/>
  <c r="J525" i="44" s="1"/>
  <c r="I524" i="54"/>
  <c r="I523" i="54"/>
  <c r="J523" i="54" s="1"/>
  <c r="J523" i="44" s="1"/>
  <c r="I522" i="54"/>
  <c r="J522" i="54" s="1"/>
  <c r="J522" i="44" s="1"/>
  <c r="I520" i="54"/>
  <c r="I518" i="54"/>
  <c r="J518" i="54" s="1"/>
  <c r="J518" i="44" s="1"/>
  <c r="I517" i="54"/>
  <c r="J517" i="54" s="1"/>
  <c r="J517" i="44" s="1"/>
  <c r="I516" i="54"/>
  <c r="J516" i="54" s="1"/>
  <c r="J516" i="44" s="1"/>
  <c r="I515" i="54"/>
  <c r="I513" i="54"/>
  <c r="J513" i="54" s="1"/>
  <c r="J513" i="44" s="1"/>
  <c r="K509" i="54"/>
  <c r="J509" i="54" s="1"/>
  <c r="G491" i="54"/>
  <c r="G501" i="54"/>
  <c r="H491" i="54"/>
  <c r="H501" i="54"/>
  <c r="H501" i="44" s="1"/>
  <c r="I506" i="54"/>
  <c r="I505" i="54"/>
  <c r="D1663" i="52" s="1"/>
  <c r="I504" i="54"/>
  <c r="I503" i="54"/>
  <c r="D254" i="52" s="1"/>
  <c r="I502" i="54"/>
  <c r="I499" i="54"/>
  <c r="I498" i="54"/>
  <c r="I497" i="54"/>
  <c r="G496" i="54"/>
  <c r="H496" i="54"/>
  <c r="I494" i="54"/>
  <c r="I493" i="54"/>
  <c r="D1651" i="52" s="1"/>
  <c r="I492" i="54"/>
  <c r="K465" i="54"/>
  <c r="J465" i="54" s="1"/>
  <c r="D1624" i="52" s="1"/>
  <c r="G470" i="54"/>
  <c r="G480" i="54"/>
  <c r="H470" i="54"/>
  <c r="H480" i="54"/>
  <c r="H480" i="44" s="1"/>
  <c r="I485" i="54"/>
  <c r="I484" i="54"/>
  <c r="I483" i="54"/>
  <c r="I482" i="54"/>
  <c r="I481" i="54"/>
  <c r="I478" i="54"/>
  <c r="I477" i="54"/>
  <c r="I476" i="54"/>
  <c r="D239" i="52" s="1"/>
  <c r="G475" i="54"/>
  <c r="H475" i="54"/>
  <c r="H475" i="44" s="1"/>
  <c r="I473" i="54"/>
  <c r="D238" i="52" s="1"/>
  <c r="I472" i="54"/>
  <c r="I471" i="54"/>
  <c r="K448" i="54"/>
  <c r="H459" i="54"/>
  <c r="I459" i="54"/>
  <c r="I459" i="44" s="1"/>
  <c r="H455" i="54"/>
  <c r="I455" i="54"/>
  <c r="I455" i="44" s="1"/>
  <c r="I441" i="54"/>
  <c r="J441" i="54" s="1"/>
  <c r="J441" i="44" s="1"/>
  <c r="I442" i="54"/>
  <c r="J442" i="54" s="1"/>
  <c r="J442" i="44" s="1"/>
  <c r="I443" i="54"/>
  <c r="J443" i="54" s="1"/>
  <c r="J443" i="44" s="1"/>
  <c r="I444" i="54"/>
  <c r="J444" i="54" s="1"/>
  <c r="K438" i="54"/>
  <c r="K424" i="54"/>
  <c r="J424" i="54" s="1"/>
  <c r="E432" i="54"/>
  <c r="F432" i="54"/>
  <c r="D234" i="52" s="1"/>
  <c r="G432" i="54"/>
  <c r="F55" i="3" s="1"/>
  <c r="K55" i="3" s="1"/>
  <c r="H432" i="54"/>
  <c r="F53" i="3" s="1"/>
  <c r="K53" i="3" s="1"/>
  <c r="H418" i="54"/>
  <c r="H405" i="54"/>
  <c r="I418" i="54"/>
  <c r="D1576" i="52" s="1"/>
  <c r="I405" i="54"/>
  <c r="H49" i="3" s="1"/>
  <c r="K390" i="54"/>
  <c r="J390" i="54" s="1"/>
  <c r="D1549" i="52" s="1"/>
  <c r="E385" i="54"/>
  <c r="J385" i="54" s="1"/>
  <c r="J385" i="44" s="1"/>
  <c r="E386" i="54"/>
  <c r="J386" i="54" s="1"/>
  <c r="J386" i="44" s="1"/>
  <c r="E387" i="54"/>
  <c r="J387" i="54" s="1"/>
  <c r="J387" i="44" s="1"/>
  <c r="K382" i="54"/>
  <c r="J382" i="54" s="1"/>
  <c r="H380" i="54"/>
  <c r="J380" i="54" s="1"/>
  <c r="D1537" i="52"/>
  <c r="K366" i="54"/>
  <c r="J366" i="54" s="1"/>
  <c r="D1525" i="52" s="1"/>
  <c r="H364" i="54"/>
  <c r="J364" i="54" s="1"/>
  <c r="K350" i="54"/>
  <c r="J350" i="54" s="1"/>
  <c r="H348" i="54"/>
  <c r="J348" i="54" s="1"/>
  <c r="K334" i="54"/>
  <c r="J334" i="54" s="1"/>
  <c r="P7" i="30"/>
  <c r="K318" i="54"/>
  <c r="F314" i="54"/>
  <c r="J314" i="54" s="1"/>
  <c r="F305" i="54"/>
  <c r="J305" i="54" s="1"/>
  <c r="K296" i="54"/>
  <c r="K296" i="44" s="1"/>
  <c r="I258" i="54"/>
  <c r="D1416" i="52" s="1"/>
  <c r="E259" i="54"/>
  <c r="E259" i="44" s="1"/>
  <c r="F259" i="54"/>
  <c r="F259" i="44" s="1"/>
  <c r="G259" i="54"/>
  <c r="G259" i="44" s="1"/>
  <c r="H259" i="54"/>
  <c r="H259" i="44" s="1"/>
  <c r="E262" i="54"/>
  <c r="F262" i="54"/>
  <c r="G262" i="54"/>
  <c r="G262" i="44" s="1"/>
  <c r="H262" i="54"/>
  <c r="H262" i="44" s="1"/>
  <c r="I270" i="54"/>
  <c r="D1428" i="52" s="1"/>
  <c r="E271" i="54"/>
  <c r="E271" i="44" s="1"/>
  <c r="F271" i="54"/>
  <c r="F271" i="44" s="1"/>
  <c r="G271" i="54"/>
  <c r="G271" i="44" s="1"/>
  <c r="H271" i="54"/>
  <c r="H271" i="44" s="1"/>
  <c r="E274" i="54"/>
  <c r="E274" i="44" s="1"/>
  <c r="F274" i="54"/>
  <c r="F274" i="44" s="1"/>
  <c r="G274" i="54"/>
  <c r="G274" i="44" s="1"/>
  <c r="H274" i="54"/>
  <c r="H274" i="44" s="1"/>
  <c r="I284" i="54"/>
  <c r="D1442" i="52" s="1"/>
  <c r="I285" i="54"/>
  <c r="J285" i="54" s="1"/>
  <c r="J285" i="44" s="1"/>
  <c r="E286" i="54"/>
  <c r="F286" i="54"/>
  <c r="G286" i="54"/>
  <c r="G286" i="44" s="1"/>
  <c r="H286" i="54"/>
  <c r="I288" i="54"/>
  <c r="J288" i="54" s="1"/>
  <c r="J288" i="44" s="1"/>
  <c r="I287" i="54"/>
  <c r="J287" i="54" s="1"/>
  <c r="J287" i="44" s="1"/>
  <c r="I279" i="54"/>
  <c r="J279" i="54" s="1"/>
  <c r="J279" i="44" s="1"/>
  <c r="I278" i="54"/>
  <c r="J278" i="54" s="1"/>
  <c r="J278" i="44" s="1"/>
  <c r="I277" i="54"/>
  <c r="J277" i="54" s="1"/>
  <c r="J277" i="44" s="1"/>
  <c r="I276" i="54"/>
  <c r="J276" i="54" s="1"/>
  <c r="J276" i="44" s="1"/>
  <c r="I275" i="54"/>
  <c r="J275" i="54" s="1"/>
  <c r="J275" i="44" s="1"/>
  <c r="I273" i="54"/>
  <c r="J273" i="54" s="1"/>
  <c r="J273" i="44" s="1"/>
  <c r="I272" i="54"/>
  <c r="I265" i="54"/>
  <c r="J265" i="54" s="1"/>
  <c r="J265" i="44" s="1"/>
  <c r="I264" i="54"/>
  <c r="J264" i="54" s="1"/>
  <c r="J264" i="44" s="1"/>
  <c r="I263" i="54"/>
  <c r="J263" i="54" s="1"/>
  <c r="J263" i="44" s="1"/>
  <c r="I261" i="54"/>
  <c r="J261" i="54" s="1"/>
  <c r="J261" i="44" s="1"/>
  <c r="I260" i="54"/>
  <c r="J260" i="54" s="1"/>
  <c r="J260" i="44" s="1"/>
  <c r="I239" i="54"/>
  <c r="D1397" i="52" s="1"/>
  <c r="I241" i="54"/>
  <c r="J241" i="54" s="1"/>
  <c r="J241" i="44" s="1"/>
  <c r="I242" i="54"/>
  <c r="J242" i="54" s="1"/>
  <c r="J242" i="44" s="1"/>
  <c r="I243" i="54"/>
  <c r="J243" i="54" s="1"/>
  <c r="J243" i="44" s="1"/>
  <c r="I244" i="54"/>
  <c r="I246" i="54"/>
  <c r="J246" i="54" s="1"/>
  <c r="J246" i="44" s="1"/>
  <c r="I247" i="54"/>
  <c r="J247" i="54" s="1"/>
  <c r="J247" i="44" s="1"/>
  <c r="I248" i="54"/>
  <c r="J248" i="54" s="1"/>
  <c r="J248" i="44" s="1"/>
  <c r="I249" i="54"/>
  <c r="J249" i="54" s="1"/>
  <c r="J249" i="44" s="1"/>
  <c r="I250" i="54"/>
  <c r="J250" i="54" s="1"/>
  <c r="J250" i="44" s="1"/>
  <c r="I251" i="54"/>
  <c r="J251" i="54" s="1"/>
  <c r="J251" i="44" s="1"/>
  <c r="K234" i="54"/>
  <c r="J234" i="54" s="1"/>
  <c r="J234" i="44" s="1"/>
  <c r="F230" i="54"/>
  <c r="J230" i="54" s="1"/>
  <c r="F224" i="54"/>
  <c r="J224" i="54" s="1"/>
  <c r="K218" i="54"/>
  <c r="J218" i="54" s="1"/>
  <c r="D1377" i="52" s="1"/>
  <c r="D1375" i="52"/>
  <c r="D213" i="54"/>
  <c r="H200" i="54" s="1"/>
  <c r="F213" i="54"/>
  <c r="F213" i="44" s="1"/>
  <c r="H213" i="54"/>
  <c r="H213" i="44" s="1"/>
  <c r="K205" i="54"/>
  <c r="K197" i="54"/>
  <c r="J197" i="54" s="1"/>
  <c r="D1356" i="52" s="1"/>
  <c r="I170" i="54"/>
  <c r="I175" i="54"/>
  <c r="J175" i="54" s="1"/>
  <c r="J175" i="44" s="1"/>
  <c r="I186" i="54"/>
  <c r="D1344" i="52" s="1"/>
  <c r="I192" i="54"/>
  <c r="D1350" i="52" s="1"/>
  <c r="K166" i="54"/>
  <c r="J166" i="54" s="1"/>
  <c r="D1325" i="52" s="1"/>
  <c r="K162" i="54"/>
  <c r="J162" i="54" s="1"/>
  <c r="D1321" i="52" s="1"/>
  <c r="K156" i="54"/>
  <c r="J156" i="54" s="1"/>
  <c r="J156" i="44" s="1"/>
  <c r="K147" i="54"/>
  <c r="J147" i="54" s="1"/>
  <c r="J147" i="44" s="1"/>
  <c r="K133" i="54"/>
  <c r="I137" i="54"/>
  <c r="H137" i="54"/>
  <c r="H137" i="44" s="1"/>
  <c r="I84" i="54"/>
  <c r="D85" i="54"/>
  <c r="D85" i="44" s="1"/>
  <c r="E85" i="54"/>
  <c r="E85" i="44" s="1"/>
  <c r="F85" i="54"/>
  <c r="F85" i="44" s="1"/>
  <c r="G85" i="54"/>
  <c r="G85" i="44" s="1"/>
  <c r="H85" i="54"/>
  <c r="H85" i="44" s="1"/>
  <c r="I98" i="54"/>
  <c r="J98" i="54" s="1"/>
  <c r="J98" i="44" s="1"/>
  <c r="D92" i="54"/>
  <c r="D92" i="44" s="1"/>
  <c r="E92" i="54"/>
  <c r="E92" i="44" s="1"/>
  <c r="F92" i="54"/>
  <c r="F92" i="44" s="1"/>
  <c r="G92" i="54"/>
  <c r="H92" i="54"/>
  <c r="H92" i="44" s="1"/>
  <c r="I103" i="54"/>
  <c r="D1261" i="52" s="1"/>
  <c r="D104" i="54"/>
  <c r="D104" i="44" s="1"/>
  <c r="E104" i="54"/>
  <c r="E104" i="44" s="1"/>
  <c r="F104" i="54"/>
  <c r="F104" i="44" s="1"/>
  <c r="G104" i="54"/>
  <c r="G104" i="44" s="1"/>
  <c r="H104" i="54"/>
  <c r="H104" i="44" s="1"/>
  <c r="D107" i="54"/>
  <c r="E107" i="54"/>
  <c r="E107" i="44" s="1"/>
  <c r="F107" i="54"/>
  <c r="F107" i="44" s="1"/>
  <c r="G107" i="54"/>
  <c r="G107" i="44" s="1"/>
  <c r="H107" i="54"/>
  <c r="H107" i="44" s="1"/>
  <c r="I113" i="54"/>
  <c r="J113" i="54" s="1"/>
  <c r="J113" i="44" s="1"/>
  <c r="I118" i="54"/>
  <c r="D1276" i="52" s="1"/>
  <c r="I119" i="54"/>
  <c r="J119" i="54" s="1"/>
  <c r="J119" i="44" s="1"/>
  <c r="D120" i="54"/>
  <c r="E120" i="54"/>
  <c r="F120" i="54"/>
  <c r="F120" i="44" s="1"/>
  <c r="G120" i="54"/>
  <c r="H120" i="54"/>
  <c r="I123" i="54"/>
  <c r="J123" i="54" s="1"/>
  <c r="J123" i="44" s="1"/>
  <c r="I122" i="54"/>
  <c r="J122" i="54" s="1"/>
  <c r="J122" i="44" s="1"/>
  <c r="I121" i="54"/>
  <c r="J121" i="54" s="1"/>
  <c r="J121" i="44" s="1"/>
  <c r="I112" i="54"/>
  <c r="I111" i="54"/>
  <c r="J111" i="54" s="1"/>
  <c r="J111" i="44" s="1"/>
  <c r="I110" i="54"/>
  <c r="J110" i="54" s="1"/>
  <c r="J110" i="44" s="1"/>
  <c r="I109" i="54"/>
  <c r="J109" i="54" s="1"/>
  <c r="J109" i="44" s="1"/>
  <c r="I108" i="54"/>
  <c r="J108" i="54" s="1"/>
  <c r="J108" i="44" s="1"/>
  <c r="I106" i="54"/>
  <c r="I105" i="54"/>
  <c r="J105" i="54" s="1"/>
  <c r="J105" i="44" s="1"/>
  <c r="I97" i="54"/>
  <c r="J97" i="54" s="1"/>
  <c r="J97" i="44" s="1"/>
  <c r="I96" i="54"/>
  <c r="J96" i="54" s="1"/>
  <c r="J96" i="44" s="1"/>
  <c r="I95" i="54"/>
  <c r="J95" i="54" s="1"/>
  <c r="J95" i="44" s="1"/>
  <c r="I94" i="54"/>
  <c r="J94" i="54" s="1"/>
  <c r="J94" i="44" s="1"/>
  <c r="I93" i="54"/>
  <c r="J93" i="54" s="1"/>
  <c r="J93" i="44" s="1"/>
  <c r="I91" i="54"/>
  <c r="J91" i="54" s="1"/>
  <c r="J91" i="44" s="1"/>
  <c r="I90" i="54"/>
  <c r="J90" i="54" s="1"/>
  <c r="J90" i="44" s="1"/>
  <c r="I89" i="54"/>
  <c r="J89" i="54" s="1"/>
  <c r="J89" i="44" s="1"/>
  <c r="I88" i="54"/>
  <c r="J88" i="54" s="1"/>
  <c r="J88" i="44" s="1"/>
  <c r="I87" i="54"/>
  <c r="J87" i="54" s="1"/>
  <c r="J87" i="44" s="1"/>
  <c r="I86" i="54"/>
  <c r="J86" i="54" s="1"/>
  <c r="J86" i="44" s="1"/>
  <c r="K79" i="54"/>
  <c r="K70" i="54"/>
  <c r="K66" i="54"/>
  <c r="J66" i="54" s="1"/>
  <c r="K59" i="54"/>
  <c r="J59" i="54" s="1"/>
  <c r="D1218" i="52" s="1"/>
  <c r="I13" i="54"/>
  <c r="D14" i="54"/>
  <c r="D14" i="44" s="1"/>
  <c r="F14" i="54"/>
  <c r="F14" i="44" s="1"/>
  <c r="G14" i="54"/>
  <c r="G14" i="44" s="1"/>
  <c r="H14" i="54"/>
  <c r="H14" i="44" s="1"/>
  <c r="I26" i="54"/>
  <c r="D20" i="54"/>
  <c r="D20" i="44" s="1"/>
  <c r="F20" i="54"/>
  <c r="F20" i="44" s="1"/>
  <c r="G20" i="54"/>
  <c r="G20" i="44" s="1"/>
  <c r="H20" i="54"/>
  <c r="H20" i="44" s="1"/>
  <c r="I31" i="54"/>
  <c r="D32" i="54"/>
  <c r="D32" i="44" s="1"/>
  <c r="F32" i="54"/>
  <c r="F32" i="44" s="1"/>
  <c r="G32" i="54"/>
  <c r="G32" i="44" s="1"/>
  <c r="H32" i="54"/>
  <c r="H32" i="44" s="1"/>
  <c r="I41" i="54"/>
  <c r="J41" i="54" s="1"/>
  <c r="J41" i="44" s="1"/>
  <c r="D35" i="54"/>
  <c r="D35" i="44" s="1"/>
  <c r="F35" i="54"/>
  <c r="F35" i="44" s="1"/>
  <c r="G35" i="54"/>
  <c r="H35" i="54"/>
  <c r="H35" i="44" s="1"/>
  <c r="I46" i="54"/>
  <c r="D1204" i="52" s="1"/>
  <c r="I47" i="54"/>
  <c r="J47" i="54" s="1"/>
  <c r="J47" i="44" s="1"/>
  <c r="D48" i="54"/>
  <c r="F48" i="54"/>
  <c r="G48" i="54"/>
  <c r="H48" i="54"/>
  <c r="I51" i="54"/>
  <c r="I50" i="54"/>
  <c r="J50" i="54" s="1"/>
  <c r="J50" i="44" s="1"/>
  <c r="I49" i="54"/>
  <c r="J49" i="54" s="1"/>
  <c r="J49" i="44" s="1"/>
  <c r="I40" i="54"/>
  <c r="I39" i="54"/>
  <c r="J39" i="54" s="1"/>
  <c r="J39" i="44" s="1"/>
  <c r="I38" i="54"/>
  <c r="J38" i="54" s="1"/>
  <c r="J38" i="44" s="1"/>
  <c r="I37" i="54"/>
  <c r="I36" i="54"/>
  <c r="J36" i="54" s="1"/>
  <c r="J36" i="44" s="1"/>
  <c r="I34" i="54"/>
  <c r="J34" i="54" s="1"/>
  <c r="J34" i="44" s="1"/>
  <c r="I33" i="54"/>
  <c r="I25" i="54"/>
  <c r="J25" i="54" s="1"/>
  <c r="J25" i="44" s="1"/>
  <c r="I24" i="54"/>
  <c r="J24" i="54" s="1"/>
  <c r="J24" i="44" s="1"/>
  <c r="I23" i="54"/>
  <c r="J23" i="54" s="1"/>
  <c r="J23" i="44" s="1"/>
  <c r="I22" i="54"/>
  <c r="J22" i="54" s="1"/>
  <c r="J22" i="44" s="1"/>
  <c r="I21" i="54"/>
  <c r="I19" i="54"/>
  <c r="J19" i="54" s="1"/>
  <c r="J19" i="44" s="1"/>
  <c r="I18" i="54"/>
  <c r="J18" i="54" s="1"/>
  <c r="J18" i="44" s="1"/>
  <c r="I17" i="54"/>
  <c r="J17" i="54" s="1"/>
  <c r="J17" i="44" s="1"/>
  <c r="I16" i="54"/>
  <c r="J16" i="54" s="1"/>
  <c r="J16" i="44" s="1"/>
  <c r="I15" i="54"/>
  <c r="J15" i="54" s="1"/>
  <c r="J15" i="44" s="1"/>
  <c r="K8" i="54"/>
  <c r="J8" i="54" s="1"/>
  <c r="N7" i="17"/>
  <c r="M7" i="17" s="1"/>
  <c r="D146" i="52"/>
  <c r="D196" i="52"/>
  <c r="D60" i="52"/>
  <c r="D1061" i="52"/>
  <c r="D1033" i="52"/>
  <c r="D175" i="52"/>
  <c r="D912" i="52"/>
  <c r="D908" i="52"/>
  <c r="G578" i="54"/>
  <c r="F9" i="4" s="1"/>
  <c r="H293" i="54"/>
  <c r="H293" i="44" s="1"/>
  <c r="D845" i="52"/>
  <c r="F280" i="54"/>
  <c r="F280" i="44" s="1"/>
  <c r="F293" i="54"/>
  <c r="F293" i="44" s="1"/>
  <c r="E293" i="54"/>
  <c r="E293" i="44" s="1"/>
  <c r="H128" i="54"/>
  <c r="H20" i="3" s="1"/>
  <c r="G128" i="54"/>
  <c r="D216" i="52" s="1"/>
  <c r="F128" i="54"/>
  <c r="E128" i="54"/>
  <c r="H17" i="3" s="1"/>
  <c r="D128" i="54"/>
  <c r="H16" i="3" s="1"/>
  <c r="H56" i="54"/>
  <c r="H13" i="3" s="1"/>
  <c r="G56" i="54"/>
  <c r="H12" i="3" s="1"/>
  <c r="F56" i="54"/>
  <c r="H11" i="3" s="1"/>
  <c r="D56" i="54"/>
  <c r="H10" i="3" s="1"/>
  <c r="E44" i="29"/>
  <c r="G24" i="29"/>
  <c r="K24" i="29" s="1"/>
  <c r="K24" i="53" s="1"/>
  <c r="C42" i="30"/>
  <c r="G23" i="29" s="1"/>
  <c r="K23" i="29" s="1"/>
  <c r="K23" i="53" s="1"/>
  <c r="G22" i="29"/>
  <c r="K22" i="29" s="1"/>
  <c r="K22" i="53" s="1"/>
  <c r="G21" i="29"/>
  <c r="K21" i="29" s="1"/>
  <c r="K21" i="53" s="1"/>
  <c r="G20" i="29"/>
  <c r="K20" i="29" s="1"/>
  <c r="K20" i="53" s="1"/>
  <c r="C35" i="30"/>
  <c r="C39" i="30"/>
  <c r="C40" i="30"/>
  <c r="C34" i="30"/>
  <c r="G15" i="29"/>
  <c r="K15" i="29" s="1"/>
  <c r="K15" i="53" s="1"/>
  <c r="G14" i="29"/>
  <c r="K14" i="29" s="1"/>
  <c r="K14" i="53" s="1"/>
  <c r="G13" i="29"/>
  <c r="K13" i="29" s="1"/>
  <c r="K13" i="53" s="1"/>
  <c r="A22" i="21"/>
  <c r="K22" i="21" s="1"/>
  <c r="W645" i="47"/>
  <c r="W646" i="47"/>
  <c r="W647" i="47"/>
  <c r="W648" i="47"/>
  <c r="W649" i="47"/>
  <c r="W650" i="47"/>
  <c r="W651" i="47"/>
  <c r="W652" i="47"/>
  <c r="W653" i="47"/>
  <c r="W654" i="47"/>
  <c r="W655" i="47"/>
  <c r="W656" i="47"/>
  <c r="W657" i="47"/>
  <c r="W564" i="47"/>
  <c r="W562" i="47"/>
  <c r="W561" i="47"/>
  <c r="W565" i="47"/>
  <c r="W490" i="47"/>
  <c r="W566" i="47"/>
  <c r="W489" i="47"/>
  <c r="W413" i="47"/>
  <c r="W410" i="47"/>
  <c r="D2921" i="52"/>
  <c r="D2920" i="52"/>
  <c r="D2808" i="52"/>
  <c r="D2795" i="52"/>
  <c r="D2794" i="52"/>
  <c r="D2785" i="52"/>
  <c r="D2784" i="52"/>
  <c r="D2783" i="52"/>
  <c r="D2782" i="52"/>
  <c r="D2781" i="52"/>
  <c r="D2780" i="52"/>
  <c r="D2777" i="52"/>
  <c r="D2776" i="52"/>
  <c r="D2775" i="52"/>
  <c r="D2774" i="52"/>
  <c r="D2773" i="52"/>
  <c r="D2772" i="52"/>
  <c r="D2769" i="52"/>
  <c r="D2768" i="52"/>
  <c r="D2767" i="52"/>
  <c r="D2766" i="52"/>
  <c r="D2765" i="52"/>
  <c r="D2764" i="52"/>
  <c r="D2750" i="52"/>
  <c r="D2749" i="52"/>
  <c r="D2748" i="52"/>
  <c r="D2747" i="52"/>
  <c r="D2746" i="52"/>
  <c r="D2745" i="52"/>
  <c r="D2741" i="52"/>
  <c r="D2740" i="52"/>
  <c r="D2739" i="52"/>
  <c r="D2738" i="52"/>
  <c r="D2737" i="52"/>
  <c r="D2736" i="52"/>
  <c r="D2732" i="52"/>
  <c r="D2731" i="52"/>
  <c r="D2730" i="52"/>
  <c r="D2729" i="52"/>
  <c r="D2728" i="52"/>
  <c r="D2727" i="52"/>
  <c r="D2723" i="52"/>
  <c r="D2722" i="52"/>
  <c r="D2721" i="52"/>
  <c r="D2720" i="52"/>
  <c r="D2719" i="52"/>
  <c r="D2718" i="52"/>
  <c r="D2714" i="52"/>
  <c r="D2713" i="52"/>
  <c r="D2712" i="52"/>
  <c r="D2711" i="52"/>
  <c r="D2710" i="52"/>
  <c r="D2709" i="52"/>
  <c r="D2705" i="52"/>
  <c r="D2704" i="52"/>
  <c r="D2703" i="52"/>
  <c r="D2702" i="52"/>
  <c r="D2701" i="52"/>
  <c r="D2700" i="52"/>
  <c r="D2670" i="52"/>
  <c r="D2669" i="52"/>
  <c r="D2668" i="52"/>
  <c r="D2663" i="52"/>
  <c r="D2662" i="52"/>
  <c r="D2661" i="52"/>
  <c r="D2660" i="52"/>
  <c r="D2659" i="52"/>
  <c r="D2658" i="52"/>
  <c r="D2657" i="52"/>
  <c r="D2652" i="52"/>
  <c r="D2640" i="52"/>
  <c r="D2639" i="52"/>
  <c r="D2638" i="52"/>
  <c r="D2637" i="52"/>
  <c r="D2636" i="52"/>
  <c r="D2634" i="52"/>
  <c r="D2627" i="52"/>
  <c r="D2626" i="52"/>
  <c r="D2625" i="52"/>
  <c r="D2619" i="52"/>
  <c r="D2618" i="52"/>
  <c r="D2617" i="52"/>
  <c r="D2611" i="52"/>
  <c r="D2610" i="52"/>
  <c r="D2609" i="52"/>
  <c r="D2603" i="52"/>
  <c r="D2602" i="52"/>
  <c r="D2601" i="52"/>
  <c r="D2599" i="52"/>
  <c r="D2592" i="52"/>
  <c r="D2587" i="52"/>
  <c r="D2586" i="52"/>
  <c r="D2585" i="52"/>
  <c r="D2548" i="52"/>
  <c r="D2488" i="52"/>
  <c r="D2432" i="52"/>
  <c r="D2431" i="52"/>
  <c r="D2429" i="52"/>
  <c r="D2428" i="52"/>
  <c r="D2414" i="52"/>
  <c r="D2402" i="52"/>
  <c r="D2401" i="52"/>
  <c r="D2400" i="52"/>
  <c r="D2397" i="52"/>
  <c r="D2396" i="52"/>
  <c r="D2395" i="52"/>
  <c r="D2394" i="52"/>
  <c r="D2389" i="52"/>
  <c r="D2382" i="52"/>
  <c r="D2379" i="52"/>
  <c r="D2375" i="52"/>
  <c r="D2371" i="52"/>
  <c r="D2370" i="52"/>
  <c r="D2367" i="52"/>
  <c r="D2363" i="52"/>
  <c r="D2362" i="52"/>
  <c r="D2354" i="52"/>
  <c r="D2353" i="52"/>
  <c r="D2349" i="52"/>
  <c r="D2348" i="52"/>
  <c r="D2347" i="52"/>
  <c r="D2346" i="52"/>
  <c r="D2338" i="52"/>
  <c r="D2337" i="52"/>
  <c r="D2329" i="52"/>
  <c r="D2316" i="52"/>
  <c r="D2315" i="52"/>
  <c r="D2314" i="52"/>
  <c r="D2303" i="52"/>
  <c r="D2302" i="52"/>
  <c r="D2301" i="52"/>
  <c r="D2300" i="52"/>
  <c r="D2298" i="52"/>
  <c r="D2294" i="52"/>
  <c r="D2293" i="52"/>
  <c r="D2284" i="52"/>
  <c r="D2283" i="52"/>
  <c r="D2282" i="52"/>
  <c r="D2281" i="52"/>
  <c r="D2280" i="52"/>
  <c r="D2277" i="52"/>
  <c r="D2276" i="52"/>
  <c r="D2275" i="52"/>
  <c r="D2274" i="52"/>
  <c r="D2273" i="52"/>
  <c r="D2272" i="52"/>
  <c r="D2271" i="52"/>
  <c r="D2266" i="52"/>
  <c r="D2263" i="52"/>
  <c r="D2262" i="52"/>
  <c r="D2261" i="52"/>
  <c r="D2260" i="52"/>
  <c r="D2258" i="52"/>
  <c r="D2257" i="52"/>
  <c r="D2256" i="52"/>
  <c r="D2255" i="52"/>
  <c r="D2254" i="52"/>
  <c r="D2252" i="52"/>
  <c r="D2240" i="52"/>
  <c r="D2239" i="52"/>
  <c r="D2238" i="52"/>
  <c r="D2237" i="52"/>
  <c r="D2235" i="52"/>
  <c r="D2231" i="52"/>
  <c r="D2230" i="52"/>
  <c r="D2229" i="52"/>
  <c r="D2220" i="52"/>
  <c r="D2219" i="52"/>
  <c r="D2218" i="52"/>
  <c r="D2217" i="52"/>
  <c r="D2216" i="52"/>
  <c r="D2213" i="52"/>
  <c r="D2212" i="52"/>
  <c r="D2211" i="52"/>
  <c r="D2210" i="52"/>
  <c r="D2209" i="52"/>
  <c r="D2208" i="52"/>
  <c r="D2207" i="52"/>
  <c r="D2202" i="52"/>
  <c r="D2201" i="52"/>
  <c r="D2200" i="52"/>
  <c r="D2199" i="52"/>
  <c r="D2198" i="52"/>
  <c r="D2197" i="52"/>
  <c r="D2190" i="52"/>
  <c r="D2189" i="52"/>
  <c r="D2188" i="52"/>
  <c r="D2187" i="52"/>
  <c r="D2186" i="52"/>
  <c r="D2185" i="52"/>
  <c r="D2184" i="52"/>
  <c r="D2183" i="52"/>
  <c r="D2182" i="52"/>
  <c r="D2181" i="52"/>
  <c r="D2169" i="52"/>
  <c r="D2168" i="52"/>
  <c r="D2167" i="52"/>
  <c r="D2165" i="52"/>
  <c r="D2164" i="52"/>
  <c r="D2163" i="52"/>
  <c r="D2162" i="52"/>
  <c r="D2161" i="52"/>
  <c r="D2160" i="52"/>
  <c r="D2159" i="52"/>
  <c r="D2155" i="52"/>
  <c r="D2154" i="52"/>
  <c r="D2153" i="52"/>
  <c r="D2148" i="52"/>
  <c r="D2143" i="52"/>
  <c r="D2142" i="52"/>
  <c r="D2139" i="52"/>
  <c r="D2136" i="52"/>
  <c r="D2135" i="52"/>
  <c r="D2134" i="52"/>
  <c r="D2133" i="52"/>
  <c r="D2132" i="52"/>
  <c r="D2131" i="52"/>
  <c r="D2127" i="52"/>
  <c r="D2126" i="52"/>
  <c r="D2125" i="52"/>
  <c r="D2103" i="52"/>
  <c r="D2099" i="52"/>
  <c r="D2098" i="52"/>
  <c r="D2095" i="52"/>
  <c r="D2094" i="52"/>
  <c r="D2088" i="52"/>
  <c r="D2084" i="52"/>
  <c r="D2083" i="52"/>
  <c r="D2080" i="52"/>
  <c r="D2079" i="52"/>
  <c r="D2044" i="52"/>
  <c r="D2043" i="52"/>
  <c r="D2042" i="52"/>
  <c r="D2040" i="52"/>
  <c r="D2039" i="52"/>
  <c r="D2037" i="52"/>
  <c r="D2036" i="52"/>
  <c r="D2035" i="52"/>
  <c r="D2034" i="52"/>
  <c r="D2027" i="52"/>
  <c r="D2026" i="52"/>
  <c r="D2025" i="52"/>
  <c r="D2023" i="52"/>
  <c r="D2022" i="52"/>
  <c r="D2021" i="52"/>
  <c r="D2019" i="52"/>
  <c r="D2018" i="52"/>
  <c r="D2017" i="52"/>
  <c r="D2015" i="52"/>
  <c r="D2014" i="52"/>
  <c r="D2013" i="52"/>
  <c r="D2012" i="52"/>
  <c r="D2011" i="52"/>
  <c r="D2010" i="52"/>
  <c r="D2009" i="52"/>
  <c r="D2002" i="52"/>
  <c r="D2001" i="52"/>
  <c r="D2000" i="52"/>
  <c r="D1998" i="52"/>
  <c r="D1997" i="52"/>
  <c r="D1996" i="52"/>
  <c r="D1994" i="52"/>
  <c r="D1993" i="52"/>
  <c r="D1992" i="52"/>
  <c r="D1990" i="52"/>
  <c r="D1989" i="52"/>
  <c r="D1988" i="52"/>
  <c r="D1986" i="52"/>
  <c r="D1985" i="52"/>
  <c r="D1984" i="52"/>
  <c r="D1975" i="52"/>
  <c r="D1973" i="52"/>
  <c r="D1964" i="52"/>
  <c r="D1963" i="52"/>
  <c r="D1962" i="52"/>
  <c r="D1961" i="52"/>
  <c r="D1960" i="52"/>
  <c r="D1955" i="52"/>
  <c r="D1947" i="52"/>
  <c r="D1946" i="52"/>
  <c r="D1945" i="52"/>
  <c r="D1944" i="52"/>
  <c r="D1943" i="52"/>
  <c r="D1942" i="52"/>
  <c r="D1941" i="52"/>
  <c r="D1935" i="52"/>
  <c r="D1934" i="52"/>
  <c r="D1933" i="52"/>
  <c r="D1932" i="52"/>
  <c r="D1931" i="52"/>
  <c r="D1928" i="52"/>
  <c r="D1923" i="52"/>
  <c r="D1922" i="52"/>
  <c r="D1914" i="52"/>
  <c r="D1913" i="52"/>
  <c r="D1903" i="52"/>
  <c r="D1899" i="52"/>
  <c r="D1898" i="52"/>
  <c r="D1897" i="52"/>
  <c r="D1896" i="52"/>
  <c r="D1884" i="52"/>
  <c r="D1883" i="52"/>
  <c r="D1882" i="52"/>
  <c r="D1881" i="52"/>
  <c r="D1880" i="52"/>
  <c r="D1879" i="52"/>
  <c r="D1878" i="52"/>
  <c r="D1871" i="52"/>
  <c r="D1870" i="52"/>
  <c r="D1869" i="52"/>
  <c r="D1868" i="52"/>
  <c r="D1862" i="52"/>
  <c r="D1861" i="52"/>
  <c r="D1858" i="52"/>
  <c r="D1857" i="52"/>
  <c r="D1856" i="52"/>
  <c r="D1848" i="52"/>
  <c r="D1845" i="52"/>
  <c r="D1844" i="52"/>
  <c r="D1843" i="52"/>
  <c r="D1836" i="52"/>
  <c r="D1835" i="52"/>
  <c r="D1832" i="52"/>
  <c r="D1831" i="52"/>
  <c r="D1830" i="52"/>
  <c r="D1819" i="52"/>
  <c r="D1804" i="52"/>
  <c r="D1801" i="52"/>
  <c r="D1781" i="52"/>
  <c r="D1762" i="52"/>
  <c r="D1757" i="52"/>
  <c r="D1755" i="52"/>
  <c r="D1754" i="52"/>
  <c r="D1753" i="52"/>
  <c r="D1752" i="52"/>
  <c r="D1751" i="52"/>
  <c r="D1750" i="52"/>
  <c r="D1735" i="52"/>
  <c r="D1717" i="52"/>
  <c r="D1716" i="52"/>
  <c r="D1715" i="52"/>
  <c r="D1706" i="52"/>
  <c r="D1700" i="52"/>
  <c r="D1696" i="52"/>
  <c r="D1688" i="52"/>
  <c r="D1687" i="52"/>
  <c r="D1676" i="52"/>
  <c r="D1675" i="52"/>
  <c r="D1662" i="52"/>
  <c r="D1657" i="52"/>
  <c r="D1655" i="52"/>
  <c r="D1652" i="52"/>
  <c r="D1640" i="52"/>
  <c r="D1639" i="52"/>
  <c r="D1636" i="52"/>
  <c r="D1630" i="52"/>
  <c r="D1629" i="52"/>
  <c r="D1623" i="52"/>
  <c r="D1616" i="52"/>
  <c r="D1615" i="52"/>
  <c r="D1612" i="52"/>
  <c r="D1611" i="52"/>
  <c r="D1601" i="52"/>
  <c r="D1600" i="52"/>
  <c r="D1589" i="52"/>
  <c r="D1588" i="52"/>
  <c r="D1575" i="52"/>
  <c r="D1574" i="52"/>
  <c r="D1573" i="52"/>
  <c r="D1572" i="52"/>
  <c r="D1571" i="52"/>
  <c r="D1570" i="52"/>
  <c r="D1569" i="52"/>
  <c r="D1568" i="52"/>
  <c r="D1567" i="52"/>
  <c r="D1566" i="52"/>
  <c r="D1562" i="52"/>
  <c r="D1561" i="52"/>
  <c r="D1560" i="52"/>
  <c r="D1559" i="52"/>
  <c r="D1558" i="52"/>
  <c r="D1557" i="52"/>
  <c r="D1556" i="52"/>
  <c r="D1555" i="52"/>
  <c r="D1554" i="52"/>
  <c r="D1553" i="52"/>
  <c r="D1545" i="52"/>
  <c r="D1538" i="52"/>
  <c r="D1536" i="52"/>
  <c r="D1535" i="52"/>
  <c r="D1534" i="52"/>
  <c r="D1533" i="52"/>
  <c r="D1532" i="52"/>
  <c r="D1530" i="52"/>
  <c r="D1529" i="52"/>
  <c r="D1528" i="52"/>
  <c r="D1524" i="52"/>
  <c r="D1522" i="52"/>
  <c r="D1520" i="52"/>
  <c r="D1518" i="52"/>
  <c r="D1516" i="52"/>
  <c r="D1515" i="52"/>
  <c r="D1514" i="52"/>
  <c r="D1512" i="52"/>
  <c r="D1504" i="52"/>
  <c r="D1502" i="52"/>
  <c r="D1501" i="52"/>
  <c r="D1500" i="52"/>
  <c r="D1499" i="52"/>
  <c r="D1498" i="52"/>
  <c r="D1497" i="52"/>
  <c r="D1496" i="52"/>
  <c r="D1489" i="52"/>
  <c r="D1481" i="52"/>
  <c r="D1476" i="52"/>
  <c r="D1471" i="52"/>
  <c r="D1470" i="52"/>
  <c r="D1469" i="52"/>
  <c r="D1468" i="52"/>
  <c r="D1467" i="52"/>
  <c r="D1462" i="52"/>
  <c r="D1461" i="52"/>
  <c r="D1460" i="52"/>
  <c r="D1459" i="52"/>
  <c r="D1458" i="52"/>
  <c r="D1445" i="52"/>
  <c r="D1436" i="52"/>
  <c r="D1435" i="52"/>
  <c r="D1431" i="52"/>
  <c r="D1421" i="52"/>
  <c r="D1419" i="52"/>
  <c r="D1408" i="52"/>
  <c r="D1402" i="52"/>
  <c r="D1401" i="52"/>
  <c r="D1400" i="52"/>
  <c r="D1399" i="52"/>
  <c r="D1388" i="52"/>
  <c r="D1387" i="52"/>
  <c r="D1386" i="52"/>
  <c r="D1385" i="52"/>
  <c r="D1382" i="52"/>
  <c r="D1381" i="52"/>
  <c r="D1380" i="52"/>
  <c r="D1379" i="52"/>
  <c r="D1376" i="52"/>
  <c r="D1374" i="52"/>
  <c r="D1370" i="52"/>
  <c r="D1369" i="52"/>
  <c r="D1368" i="52"/>
  <c r="D1367" i="52"/>
  <c r="D1346" i="52"/>
  <c r="D1345" i="52"/>
  <c r="D1343" i="52"/>
  <c r="D1342" i="52"/>
  <c r="D1338" i="52"/>
  <c r="D1337" i="52"/>
  <c r="D1336" i="52"/>
  <c r="D1335" i="52"/>
  <c r="D1334" i="52"/>
  <c r="D1333" i="52"/>
  <c r="D1332" i="52"/>
  <c r="D1331" i="52"/>
  <c r="D1330" i="52"/>
  <c r="D1329" i="52"/>
  <c r="D1327" i="52"/>
  <c r="D1315" i="52"/>
  <c r="D1308" i="52"/>
  <c r="D1307" i="52"/>
  <c r="D1306" i="52"/>
  <c r="D1305" i="52"/>
  <c r="D1298" i="52"/>
  <c r="D1296" i="52"/>
  <c r="D1294" i="52"/>
  <c r="D1293" i="52"/>
  <c r="D1292" i="52"/>
  <c r="D1279" i="52"/>
  <c r="D1277" i="52"/>
  <c r="D1267" i="52"/>
  <c r="D1266" i="52"/>
  <c r="D1256" i="52"/>
  <c r="D1255" i="52"/>
  <c r="D1251" i="52"/>
  <c r="D1249" i="52"/>
  <c r="D1244" i="52"/>
  <c r="D1237" i="52"/>
  <c r="D1223" i="52"/>
  <c r="D1222" i="52"/>
  <c r="D1221" i="52"/>
  <c r="D1219" i="52"/>
  <c r="D1205" i="52"/>
  <c r="D1197" i="52"/>
  <c r="D1194" i="52"/>
  <c r="D1184" i="52"/>
  <c r="D1182" i="52"/>
  <c r="D1177" i="52"/>
  <c r="D1173" i="52"/>
  <c r="D1162" i="52"/>
  <c r="D1161" i="52"/>
  <c r="D1148" i="52"/>
  <c r="D1147" i="52"/>
  <c r="D1145" i="52"/>
  <c r="D1142" i="52"/>
  <c r="D1141" i="52"/>
  <c r="D1138" i="52"/>
  <c r="D1137" i="52"/>
  <c r="D1136" i="52"/>
  <c r="D1135" i="52"/>
  <c r="D1134" i="52"/>
  <c r="D1133" i="52"/>
  <c r="D1132" i="52"/>
  <c r="D1131" i="52"/>
  <c r="D1130" i="52"/>
  <c r="D1128" i="52"/>
  <c r="D1127" i="52"/>
  <c r="D1126" i="52"/>
  <c r="D1125" i="52"/>
  <c r="D1121" i="52"/>
  <c r="D1120" i="52"/>
  <c r="D1119" i="52"/>
  <c r="D1117" i="52"/>
  <c r="D1115" i="52"/>
  <c r="D1114" i="52"/>
  <c r="D1112" i="52"/>
  <c r="D1111" i="52"/>
  <c r="D1110" i="52"/>
  <c r="D1109" i="52"/>
  <c r="D1108" i="52"/>
  <c r="D1107" i="52"/>
  <c r="D1106" i="52"/>
  <c r="D1105" i="52"/>
  <c r="D1103" i="52"/>
  <c r="D1102" i="52"/>
  <c r="D1098" i="52"/>
  <c r="D1097" i="52"/>
  <c r="D1096" i="52"/>
  <c r="D1095" i="52"/>
  <c r="D1094" i="52"/>
  <c r="D1093" i="52"/>
  <c r="D1092" i="52"/>
  <c r="D1091" i="52"/>
  <c r="D1090" i="52"/>
  <c r="D1089" i="52"/>
  <c r="D1079" i="52"/>
  <c r="D1077" i="52"/>
  <c r="D1071" i="52"/>
  <c r="D1070" i="52"/>
  <c r="D1067" i="52"/>
  <c r="D1066" i="52"/>
  <c r="D1063" i="52"/>
  <c r="D1062" i="52"/>
  <c r="D1059" i="52"/>
  <c r="D1058" i="52"/>
  <c r="D1054" i="52"/>
  <c r="D1053" i="52"/>
  <c r="D1049" i="52"/>
  <c r="D1047" i="52"/>
  <c r="D1043" i="52"/>
  <c r="D1042" i="52"/>
  <c r="D1041" i="52"/>
  <c r="D1040" i="52"/>
  <c r="D1039" i="52"/>
  <c r="D1034" i="52"/>
  <c r="D1032" i="52"/>
  <c r="D1027" i="52"/>
  <c r="D1026" i="52"/>
  <c r="D961" i="52"/>
  <c r="D959" i="52"/>
  <c r="D957" i="52"/>
  <c r="D956" i="52"/>
  <c r="D954" i="52"/>
  <c r="D953" i="52"/>
  <c r="D952" i="52"/>
  <c r="D950" i="52"/>
  <c r="D946" i="52"/>
  <c r="D945" i="52"/>
  <c r="D944" i="52"/>
  <c r="D941" i="52"/>
  <c r="D940" i="52"/>
  <c r="D939" i="52"/>
  <c r="D935" i="52"/>
  <c r="D917" i="52"/>
  <c r="D916" i="52"/>
  <c r="D915" i="52"/>
  <c r="D914" i="52"/>
  <c r="D913" i="52"/>
  <c r="D911" i="52"/>
  <c r="D909" i="52"/>
  <c r="D898" i="52"/>
  <c r="D897" i="52"/>
  <c r="D895" i="52"/>
  <c r="D894" i="52"/>
  <c r="D893" i="52"/>
  <c r="D890" i="52"/>
  <c r="D889" i="52"/>
  <c r="D888" i="52"/>
  <c r="D887" i="52"/>
  <c r="D886" i="52"/>
  <c r="D885" i="52"/>
  <c r="D884" i="52"/>
  <c r="D883" i="52"/>
  <c r="D882" i="52"/>
  <c r="D860" i="52"/>
  <c r="D849" i="52"/>
  <c r="D848" i="52"/>
  <c r="D847" i="52"/>
  <c r="D846" i="52"/>
  <c r="D844" i="52"/>
  <c r="D843" i="52"/>
  <c r="D842" i="52"/>
  <c r="D841" i="52"/>
  <c r="D839" i="52"/>
  <c r="D838" i="52"/>
  <c r="D837" i="52"/>
  <c r="D836" i="52"/>
  <c r="D826" i="52"/>
  <c r="D482" i="52"/>
  <c r="D481" i="52"/>
  <c r="D479" i="52"/>
  <c r="D477" i="52"/>
  <c r="D476" i="52"/>
  <c r="D474" i="52"/>
  <c r="D473" i="52"/>
  <c r="D472" i="52"/>
  <c r="D471" i="52"/>
  <c r="D470" i="52"/>
  <c r="D469" i="52"/>
  <c r="D468" i="52"/>
  <c r="D467" i="52"/>
  <c r="D466" i="52"/>
  <c r="D465" i="52"/>
  <c r="D462" i="52"/>
  <c r="D461" i="52"/>
  <c r="D460" i="52"/>
  <c r="D459" i="52"/>
  <c r="D455" i="52"/>
  <c r="D454" i="52"/>
  <c r="D445" i="52"/>
  <c r="D444" i="52"/>
  <c r="D443" i="52"/>
  <c r="D442" i="52"/>
  <c r="D441" i="52"/>
  <c r="D440" i="52"/>
  <c r="D439" i="52"/>
  <c r="D434" i="52"/>
  <c r="D400" i="52"/>
  <c r="D356" i="52"/>
  <c r="D340" i="52"/>
  <c r="D338" i="52"/>
  <c r="D325" i="52"/>
  <c r="D324" i="52"/>
  <c r="D305" i="52"/>
  <c r="D301" i="52"/>
  <c r="D297" i="52"/>
  <c r="D296" i="52"/>
  <c r="D295" i="52"/>
  <c r="D294" i="52"/>
  <c r="D289" i="52"/>
  <c r="D288" i="52"/>
  <c r="D285" i="52"/>
  <c r="D284" i="52"/>
  <c r="D283" i="52"/>
  <c r="D282" i="52"/>
  <c r="D281" i="52"/>
  <c r="D280" i="52"/>
  <c r="D279" i="52"/>
  <c r="D278" i="52"/>
  <c r="D277" i="52"/>
  <c r="D274" i="52"/>
  <c r="D270" i="52"/>
  <c r="D268" i="52"/>
  <c r="D267" i="52"/>
  <c r="D263" i="52"/>
  <c r="D258" i="52"/>
  <c r="D255" i="52"/>
  <c r="D252" i="52"/>
  <c r="D251" i="52"/>
  <c r="D250" i="52"/>
  <c r="D249" i="52"/>
  <c r="D243" i="52"/>
  <c r="D242" i="52"/>
  <c r="D241" i="52"/>
  <c r="D237" i="52"/>
  <c r="D236" i="52"/>
  <c r="D232" i="52"/>
  <c r="D229" i="52"/>
  <c r="D206" i="52"/>
  <c r="D198" i="52"/>
  <c r="D195" i="52"/>
  <c r="D194" i="52"/>
  <c r="D191" i="52"/>
  <c r="D188" i="52"/>
  <c r="D187" i="52"/>
  <c r="D186" i="52"/>
  <c r="D183" i="52"/>
  <c r="D174" i="52"/>
  <c r="D173" i="52"/>
  <c r="D172" i="52"/>
  <c r="D171" i="52"/>
  <c r="D170" i="52"/>
  <c r="D169" i="52"/>
  <c r="D168" i="52"/>
  <c r="D167" i="52"/>
  <c r="D165" i="52"/>
  <c r="D162" i="52"/>
  <c r="D161" i="52"/>
  <c r="D160" i="52"/>
  <c r="D158" i="52"/>
  <c r="D157" i="52"/>
  <c r="D156" i="52"/>
  <c r="D155" i="52"/>
  <c r="D152" i="52"/>
  <c r="D151" i="52"/>
  <c r="D150" i="52"/>
  <c r="D148" i="52"/>
  <c r="D147" i="52"/>
  <c r="D145" i="52"/>
  <c r="D144" i="52"/>
  <c r="D143" i="52"/>
  <c r="D142" i="52"/>
  <c r="D141" i="52"/>
  <c r="D140" i="52"/>
  <c r="D139" i="52"/>
  <c r="D138" i="52"/>
  <c r="D137" i="52"/>
  <c r="D136" i="52"/>
  <c r="D135" i="52"/>
  <c r="D134" i="52"/>
  <c r="D132" i="52"/>
  <c r="D131" i="52"/>
  <c r="D130" i="52"/>
  <c r="D129" i="52"/>
  <c r="D128" i="52"/>
  <c r="D127" i="52"/>
  <c r="D126" i="52"/>
  <c r="D125" i="52"/>
  <c r="D124" i="52"/>
  <c r="D123" i="52"/>
  <c r="D118" i="52"/>
  <c r="D117" i="52"/>
  <c r="D114" i="52"/>
  <c r="D113" i="52"/>
  <c r="D111" i="52"/>
  <c r="D110" i="52"/>
  <c r="D109" i="52"/>
  <c r="D106" i="52"/>
  <c r="D99" i="52"/>
  <c r="D98" i="52"/>
  <c r="D95" i="52"/>
  <c r="D92" i="52"/>
  <c r="D91" i="52"/>
  <c r="D87" i="52"/>
  <c r="D78" i="52"/>
  <c r="D77" i="52"/>
  <c r="D76" i="52"/>
  <c r="D75" i="52"/>
  <c r="D74" i="52"/>
  <c r="D73" i="52"/>
  <c r="D71" i="52"/>
  <c r="D69" i="52"/>
  <c r="D66" i="52"/>
  <c r="D65" i="52"/>
  <c r="D62" i="52"/>
  <c r="D61" i="52"/>
  <c r="D59" i="52"/>
  <c r="D52" i="52"/>
  <c r="D48" i="52"/>
  <c r="D43" i="52"/>
  <c r="D40" i="52"/>
  <c r="D39" i="52"/>
  <c r="D36" i="52"/>
  <c r="D35" i="52"/>
  <c r="D34" i="52"/>
  <c r="D31" i="52"/>
  <c r="D30" i="52"/>
  <c r="D29" i="52"/>
  <c r="D22" i="52"/>
  <c r="D16" i="52"/>
  <c r="D11" i="52"/>
  <c r="D5" i="52"/>
  <c r="H1325" i="54"/>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83" i="36"/>
  <c r="G84" i="36"/>
  <c r="G85" i="36"/>
  <c r="G86" i="36"/>
  <c r="G87" i="36"/>
  <c r="G88" i="36"/>
  <c r="G89" i="36"/>
  <c r="G90" i="36"/>
  <c r="G91" i="36"/>
  <c r="G92" i="36"/>
  <c r="G93" i="36"/>
  <c r="G94" i="36"/>
  <c r="G95" i="36"/>
  <c r="G96" i="36"/>
  <c r="G97" i="36"/>
  <c r="G98" i="36"/>
  <c r="G99" i="36"/>
  <c r="G100" i="36"/>
  <c r="G101" i="36"/>
  <c r="G102" i="36"/>
  <c r="G103" i="36"/>
  <c r="G104" i="36"/>
  <c r="G105" i="36"/>
  <c r="G106" i="36"/>
  <c r="G107" i="36"/>
  <c r="G108" i="36"/>
  <c r="G109" i="36"/>
  <c r="G110" i="36"/>
  <c r="G111" i="36"/>
  <c r="G112" i="36"/>
  <c r="G113" i="36"/>
  <c r="G114" i="36"/>
  <c r="G115" i="36"/>
  <c r="G116" i="36"/>
  <c r="G117" i="36"/>
  <c r="G118" i="36"/>
  <c r="G119" i="36"/>
  <c r="G120" i="36"/>
  <c r="G121" i="36"/>
  <c r="G122" i="36"/>
  <c r="G123" i="36"/>
  <c r="G124" i="36"/>
  <c r="G125" i="36"/>
  <c r="G126" i="36"/>
  <c r="G127" i="36"/>
  <c r="G128" i="36"/>
  <c r="G129" i="36"/>
  <c r="G130" i="36"/>
  <c r="G131" i="36"/>
  <c r="G132" i="36"/>
  <c r="G133" i="36"/>
  <c r="G134" i="36"/>
  <c r="G135" i="36"/>
  <c r="G136" i="36"/>
  <c r="G137" i="36"/>
  <c r="G138" i="36"/>
  <c r="G139" i="36"/>
  <c r="G140" i="36"/>
  <c r="G141" i="36"/>
  <c r="G142" i="36"/>
  <c r="G143" i="36"/>
  <c r="G144" i="36"/>
  <c r="G145" i="36"/>
  <c r="G146" i="36"/>
  <c r="G147" i="36"/>
  <c r="G148" i="36"/>
  <c r="G149" i="36"/>
  <c r="G150" i="36"/>
  <c r="G151" i="36"/>
  <c r="G152" i="36"/>
  <c r="G153" i="36"/>
  <c r="G154" i="36"/>
  <c r="G155" i="36"/>
  <c r="G156" i="36"/>
  <c r="G157" i="36"/>
  <c r="G158" i="36"/>
  <c r="G159" i="36"/>
  <c r="G160" i="36"/>
  <c r="G161" i="36"/>
  <c r="G162" i="36"/>
  <c r="G163" i="36"/>
  <c r="G164" i="36"/>
  <c r="G165" i="36"/>
  <c r="G166" i="36"/>
  <c r="G167" i="36"/>
  <c r="G168" i="36"/>
  <c r="G169" i="36"/>
  <c r="G170" i="36"/>
  <c r="G171" i="36"/>
  <c r="G172" i="36"/>
  <c r="G173" i="36"/>
  <c r="G174" i="36"/>
  <c r="G175" i="36"/>
  <c r="G176" i="36"/>
  <c r="G177" i="36"/>
  <c r="G178" i="36"/>
  <c r="G179" i="36"/>
  <c r="G180" i="36"/>
  <c r="G181" i="36"/>
  <c r="G182" i="36"/>
  <c r="G183" i="36"/>
  <c r="G184" i="36"/>
  <c r="G185" i="36"/>
  <c r="G186" i="36"/>
  <c r="G187" i="36"/>
  <c r="G188" i="36"/>
  <c r="G189" i="36"/>
  <c r="G190" i="36"/>
  <c r="G191" i="36"/>
  <c r="G192" i="36"/>
  <c r="G193" i="36"/>
  <c r="G194" i="36"/>
  <c r="G195" i="36"/>
  <c r="G196" i="36"/>
  <c r="G197" i="36"/>
  <c r="G198" i="36"/>
  <c r="G199" i="36"/>
  <c r="G200" i="36"/>
  <c r="G201" i="36"/>
  <c r="G202" i="36"/>
  <c r="G203" i="36"/>
  <c r="G204" i="36"/>
  <c r="G205" i="36"/>
  <c r="G206" i="36"/>
  <c r="G207" i="36"/>
  <c r="G208" i="36"/>
  <c r="G209" i="36"/>
  <c r="G210" i="36"/>
  <c r="G211" i="36"/>
  <c r="G212" i="36"/>
  <c r="G213" i="36"/>
  <c r="G214" i="36"/>
  <c r="G215" i="36"/>
  <c r="G216" i="36"/>
  <c r="G217" i="36"/>
  <c r="G218" i="36"/>
  <c r="G219" i="36"/>
  <c r="G220" i="36"/>
  <c r="G221" i="36"/>
  <c r="G222" i="36"/>
  <c r="G223" i="36"/>
  <c r="G224" i="36"/>
  <c r="G225" i="36"/>
  <c r="G226" i="36"/>
  <c r="G227" i="36"/>
  <c r="G228" i="36"/>
  <c r="G229" i="36"/>
  <c r="G230" i="36"/>
  <c r="G231" i="36"/>
  <c r="G232" i="36"/>
  <c r="G233" i="36"/>
  <c r="G234" i="36"/>
  <c r="G235" i="36"/>
  <c r="G236" i="36"/>
  <c r="G237" i="36"/>
  <c r="G238" i="36"/>
  <c r="G239" i="36"/>
  <c r="G240" i="36"/>
  <c r="G241" i="36"/>
  <c r="G242" i="36"/>
  <c r="G243" i="36"/>
  <c r="G244" i="36"/>
  <c r="G245" i="36"/>
  <c r="G246" i="36"/>
  <c r="G247" i="36"/>
  <c r="G248" i="36"/>
  <c r="G249" i="36"/>
  <c r="G250" i="36"/>
  <c r="G251" i="36"/>
  <c r="G252" i="36"/>
  <c r="G253" i="36"/>
  <c r="G254" i="36"/>
  <c r="G255" i="36"/>
  <c r="G256" i="36"/>
  <c r="G257" i="36"/>
  <c r="G258" i="36"/>
  <c r="G259" i="36"/>
  <c r="G260" i="36"/>
  <c r="G261" i="36"/>
  <c r="G262" i="36"/>
  <c r="G263" i="36"/>
  <c r="G264" i="36"/>
  <c r="G265" i="36"/>
  <c r="G266" i="36"/>
  <c r="G267" i="36"/>
  <c r="G268" i="36"/>
  <c r="G269" i="36"/>
  <c r="G270" i="36"/>
  <c r="G271" i="36"/>
  <c r="G272" i="36"/>
  <c r="G273" i="36"/>
  <c r="G274" i="36"/>
  <c r="G275" i="36"/>
  <c r="G276" i="36"/>
  <c r="G277" i="36"/>
  <c r="G278" i="36"/>
  <c r="G279" i="36"/>
  <c r="G280" i="36"/>
  <c r="G281" i="36"/>
  <c r="G282" i="36"/>
  <c r="G283" i="36"/>
  <c r="G284" i="36"/>
  <c r="G285" i="36"/>
  <c r="G286" i="36"/>
  <c r="G287" i="36"/>
  <c r="G288" i="36"/>
  <c r="G289" i="36"/>
  <c r="G290" i="36"/>
  <c r="G291" i="36"/>
  <c r="G292" i="36"/>
  <c r="G293" i="36"/>
  <c r="G294" i="36"/>
  <c r="G295" i="36"/>
  <c r="G296" i="36"/>
  <c r="G297" i="36"/>
  <c r="G298" i="36"/>
  <c r="G299" i="36"/>
  <c r="G300" i="36"/>
  <c r="G301" i="36"/>
  <c r="G302" i="36"/>
  <c r="G303" i="36"/>
  <c r="G304" i="36"/>
  <c r="G305" i="36"/>
  <c r="G306" i="36"/>
  <c r="G307" i="36"/>
  <c r="G308" i="36"/>
  <c r="G309" i="36"/>
  <c r="G310" i="36"/>
  <c r="G311" i="36"/>
  <c r="G312" i="36"/>
  <c r="G313" i="36"/>
  <c r="G314" i="36"/>
  <c r="G315" i="36"/>
  <c r="G316" i="36"/>
  <c r="G317" i="36"/>
  <c r="G318" i="36"/>
  <c r="G319" i="36"/>
  <c r="G320" i="36"/>
  <c r="G321" i="36"/>
  <c r="G322" i="36"/>
  <c r="G323" i="36"/>
  <c r="G324" i="36"/>
  <c r="G325" i="36"/>
  <c r="G326" i="36"/>
  <c r="G327" i="36"/>
  <c r="G328" i="36"/>
  <c r="G329" i="36"/>
  <c r="G330" i="36"/>
  <c r="G331" i="36"/>
  <c r="G332" i="36"/>
  <c r="G333" i="36"/>
  <c r="G334" i="36"/>
  <c r="G335" i="36"/>
  <c r="G336" i="36"/>
  <c r="G337" i="36"/>
  <c r="G338" i="36"/>
  <c r="G339" i="36"/>
  <c r="G340" i="36"/>
  <c r="G341" i="36"/>
  <c r="G342" i="36"/>
  <c r="G343" i="36"/>
  <c r="G344" i="36"/>
  <c r="G345" i="36"/>
  <c r="G346" i="36"/>
  <c r="G347" i="36"/>
  <c r="G348" i="36"/>
  <c r="G349" i="36"/>
  <c r="G350" i="36"/>
  <c r="G351" i="36"/>
  <c r="G352" i="36"/>
  <c r="G353" i="36"/>
  <c r="G354" i="36"/>
  <c r="G355" i="36"/>
  <c r="G356" i="36"/>
  <c r="G357" i="36"/>
  <c r="G358" i="36"/>
  <c r="G359" i="36"/>
  <c r="G360" i="36"/>
  <c r="G361" i="36"/>
  <c r="G362" i="36"/>
  <c r="G363" i="36"/>
  <c r="G364" i="36"/>
  <c r="G365" i="36"/>
  <c r="G366" i="36"/>
  <c r="G367" i="36"/>
  <c r="G368" i="36"/>
  <c r="G369" i="36"/>
  <c r="G370" i="36"/>
  <c r="G371" i="36"/>
  <c r="G372" i="36"/>
  <c r="G373" i="36"/>
  <c r="G374" i="36"/>
  <c r="G375" i="36"/>
  <c r="G376" i="36"/>
  <c r="G377" i="36"/>
  <c r="G378" i="36"/>
  <c r="G379" i="36"/>
  <c r="G380" i="36"/>
  <c r="G381" i="36"/>
  <c r="G382" i="36"/>
  <c r="G383" i="36"/>
  <c r="G384" i="36"/>
  <c r="G385" i="36"/>
  <c r="G386" i="36"/>
  <c r="G387" i="36"/>
  <c r="G388" i="36"/>
  <c r="G389" i="36"/>
  <c r="G390" i="36"/>
  <c r="G391" i="36"/>
  <c r="G392" i="36"/>
  <c r="G393" i="36"/>
  <c r="G394" i="36"/>
  <c r="G395" i="36"/>
  <c r="G396" i="36"/>
  <c r="G397" i="36"/>
  <c r="G398" i="36"/>
  <c r="G399" i="36"/>
  <c r="G400" i="36"/>
  <c r="G401" i="36"/>
  <c r="G402" i="36"/>
  <c r="G403" i="36"/>
  <c r="G404" i="36"/>
  <c r="G405" i="36"/>
  <c r="G406" i="36"/>
  <c r="G407" i="36"/>
  <c r="G408" i="36"/>
  <c r="G409" i="36"/>
  <c r="G410" i="36"/>
  <c r="G411" i="36"/>
  <c r="G412" i="36"/>
  <c r="G413" i="36"/>
  <c r="G414" i="36"/>
  <c r="G415" i="36"/>
  <c r="G416" i="36"/>
  <c r="G417" i="36"/>
  <c r="G418" i="36"/>
  <c r="G419" i="36"/>
  <c r="G420" i="36"/>
  <c r="G421" i="36"/>
  <c r="G422" i="36"/>
  <c r="G423" i="36"/>
  <c r="G424" i="36"/>
  <c r="G425" i="36"/>
  <c r="G426" i="36"/>
  <c r="G427" i="36"/>
  <c r="G428" i="36"/>
  <c r="G429" i="36"/>
  <c r="G430" i="36"/>
  <c r="G431" i="36"/>
  <c r="G432" i="36"/>
  <c r="G433" i="36"/>
  <c r="G434" i="36"/>
  <c r="G435" i="36"/>
  <c r="G436" i="36"/>
  <c r="G437" i="36"/>
  <c r="G438" i="36"/>
  <c r="G439" i="36"/>
  <c r="G440" i="36"/>
  <c r="G441" i="36"/>
  <c r="G442" i="36"/>
  <c r="Q9"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91" i="36"/>
  <c r="H92" i="36"/>
  <c r="H93" i="36"/>
  <c r="H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144" i="36"/>
  <c r="H145" i="36"/>
  <c r="H146" i="36"/>
  <c r="H147" i="36"/>
  <c r="H148" i="36"/>
  <c r="H149" i="36"/>
  <c r="H150" i="36"/>
  <c r="H151" i="36"/>
  <c r="H152" i="36"/>
  <c r="H153" i="36"/>
  <c r="H154" i="36"/>
  <c r="H155" i="36"/>
  <c r="H156" i="36"/>
  <c r="H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82" i="36"/>
  <c r="H183" i="36"/>
  <c r="H184" i="36"/>
  <c r="H185" i="36"/>
  <c r="H186" i="36"/>
  <c r="H187" i="36"/>
  <c r="H188" i="36"/>
  <c r="H189" i="36"/>
  <c r="H190" i="36"/>
  <c r="H191" i="36"/>
  <c r="H192" i="36"/>
  <c r="H193" i="36"/>
  <c r="H194" i="36"/>
  <c r="H195" i="36"/>
  <c r="H196" i="36"/>
  <c r="H197" i="36"/>
  <c r="H198" i="36"/>
  <c r="H199" i="36"/>
  <c r="H200" i="36"/>
  <c r="H201" i="36"/>
  <c r="H202" i="36"/>
  <c r="H203" i="36"/>
  <c r="H204" i="36"/>
  <c r="H205" i="36"/>
  <c r="H206" i="36"/>
  <c r="H207" i="36"/>
  <c r="H208" i="36"/>
  <c r="H209" i="36"/>
  <c r="H210" i="36"/>
  <c r="H211" i="36"/>
  <c r="H212" i="36"/>
  <c r="H213" i="36"/>
  <c r="H214" i="36"/>
  <c r="H215" i="36"/>
  <c r="H216" i="36"/>
  <c r="H217" i="36"/>
  <c r="H218" i="36"/>
  <c r="H219" i="36"/>
  <c r="H220" i="36"/>
  <c r="H221" i="36"/>
  <c r="H222" i="36"/>
  <c r="H223" i="36"/>
  <c r="H224" i="36"/>
  <c r="H225" i="36"/>
  <c r="H226" i="36"/>
  <c r="H227" i="36"/>
  <c r="H228" i="36"/>
  <c r="H229" i="36"/>
  <c r="H230" i="36"/>
  <c r="H231" i="36"/>
  <c r="H232" i="36"/>
  <c r="H233" i="36"/>
  <c r="H234" i="36"/>
  <c r="H235" i="36"/>
  <c r="H236" i="36"/>
  <c r="H237" i="36"/>
  <c r="H238" i="36"/>
  <c r="H239" i="36"/>
  <c r="H240" i="36"/>
  <c r="H241" i="36"/>
  <c r="H242" i="36"/>
  <c r="H243" i="36"/>
  <c r="H244" i="36"/>
  <c r="H245" i="36"/>
  <c r="H246" i="36"/>
  <c r="H247" i="36"/>
  <c r="H248" i="36"/>
  <c r="H249" i="36"/>
  <c r="H250" i="36"/>
  <c r="H251" i="36"/>
  <c r="H252" i="36"/>
  <c r="H253" i="36"/>
  <c r="H254" i="36"/>
  <c r="H255" i="36"/>
  <c r="H256" i="36"/>
  <c r="H257" i="36"/>
  <c r="H258" i="36"/>
  <c r="H259" i="36"/>
  <c r="H260" i="36"/>
  <c r="H261" i="36"/>
  <c r="H262" i="36"/>
  <c r="H263" i="36"/>
  <c r="H264" i="36"/>
  <c r="H265" i="36"/>
  <c r="H266" i="36"/>
  <c r="H267" i="36"/>
  <c r="H268" i="36"/>
  <c r="H269" i="36"/>
  <c r="H270" i="36"/>
  <c r="H271" i="36"/>
  <c r="H272" i="36"/>
  <c r="H273" i="36"/>
  <c r="H274" i="36"/>
  <c r="H275" i="36"/>
  <c r="H276" i="36"/>
  <c r="H277" i="36"/>
  <c r="H278" i="36"/>
  <c r="H279" i="36"/>
  <c r="H280" i="36"/>
  <c r="H281" i="36"/>
  <c r="H282" i="36"/>
  <c r="H283" i="36"/>
  <c r="H284" i="36"/>
  <c r="H285" i="36"/>
  <c r="H286" i="36"/>
  <c r="H287" i="36"/>
  <c r="H288" i="36"/>
  <c r="H289" i="36"/>
  <c r="H290" i="36"/>
  <c r="H291" i="36"/>
  <c r="H292" i="36"/>
  <c r="H293" i="36"/>
  <c r="H294" i="36"/>
  <c r="H295" i="36"/>
  <c r="H296" i="36"/>
  <c r="H297" i="36"/>
  <c r="H298" i="36"/>
  <c r="H299" i="36"/>
  <c r="H300" i="36"/>
  <c r="H301" i="36"/>
  <c r="H302" i="36"/>
  <c r="H303" i="36"/>
  <c r="H304" i="36"/>
  <c r="H305" i="36"/>
  <c r="H306" i="36"/>
  <c r="H307" i="36"/>
  <c r="H308" i="36"/>
  <c r="H309" i="36"/>
  <c r="H310" i="36"/>
  <c r="H311" i="36"/>
  <c r="H312" i="36"/>
  <c r="H313" i="36"/>
  <c r="H314" i="36"/>
  <c r="H315" i="36"/>
  <c r="H316" i="36"/>
  <c r="H317" i="36"/>
  <c r="H318" i="36"/>
  <c r="H319" i="36"/>
  <c r="H320" i="36"/>
  <c r="H321" i="36"/>
  <c r="H322" i="36"/>
  <c r="H323" i="36"/>
  <c r="H324" i="36"/>
  <c r="H325" i="36"/>
  <c r="H326" i="36"/>
  <c r="H327" i="36"/>
  <c r="H328" i="36"/>
  <c r="H329" i="36"/>
  <c r="H330" i="36"/>
  <c r="H331" i="36"/>
  <c r="H332" i="36"/>
  <c r="H333" i="36"/>
  <c r="H334" i="36"/>
  <c r="H335" i="36"/>
  <c r="H336" i="36"/>
  <c r="H337" i="36"/>
  <c r="H338" i="36"/>
  <c r="H339" i="36"/>
  <c r="H340" i="36"/>
  <c r="H341" i="36"/>
  <c r="H342" i="36"/>
  <c r="H343" i="36"/>
  <c r="H344" i="36"/>
  <c r="H345" i="36"/>
  <c r="H346" i="36"/>
  <c r="H347" i="36"/>
  <c r="H348" i="36"/>
  <c r="H349" i="36"/>
  <c r="H350" i="36"/>
  <c r="H351" i="36"/>
  <c r="H352" i="36"/>
  <c r="H353" i="36"/>
  <c r="H354" i="36"/>
  <c r="H355" i="36"/>
  <c r="H356" i="36"/>
  <c r="H357" i="36"/>
  <c r="H358" i="36"/>
  <c r="H359" i="36"/>
  <c r="H360" i="36"/>
  <c r="H361" i="36"/>
  <c r="H362" i="36"/>
  <c r="H363" i="36"/>
  <c r="H364" i="36"/>
  <c r="H365" i="36"/>
  <c r="H366" i="36"/>
  <c r="H367" i="36"/>
  <c r="H368" i="36"/>
  <c r="H369" i="36"/>
  <c r="H370" i="36"/>
  <c r="H371" i="36"/>
  <c r="H372" i="36"/>
  <c r="H373" i="36"/>
  <c r="H374" i="36"/>
  <c r="H375" i="36"/>
  <c r="H376" i="36"/>
  <c r="H377" i="36"/>
  <c r="H378" i="36"/>
  <c r="H379" i="36"/>
  <c r="H380" i="36"/>
  <c r="H381" i="36"/>
  <c r="H382" i="36"/>
  <c r="H383" i="36"/>
  <c r="H384" i="36"/>
  <c r="H385" i="36"/>
  <c r="H386" i="36"/>
  <c r="H387" i="36"/>
  <c r="H388" i="36"/>
  <c r="H389" i="36"/>
  <c r="H390" i="36"/>
  <c r="H391" i="36"/>
  <c r="H392" i="36"/>
  <c r="H393" i="36"/>
  <c r="H394" i="36"/>
  <c r="H395" i="36"/>
  <c r="H396" i="36"/>
  <c r="H397" i="36"/>
  <c r="H398" i="36"/>
  <c r="H399" i="36"/>
  <c r="H400" i="36"/>
  <c r="H401" i="36"/>
  <c r="H402" i="36"/>
  <c r="H403" i="36"/>
  <c r="H404" i="36"/>
  <c r="H405" i="36"/>
  <c r="H406" i="36"/>
  <c r="H407" i="36"/>
  <c r="H408" i="36"/>
  <c r="H409" i="36"/>
  <c r="H410" i="36"/>
  <c r="H411" i="36"/>
  <c r="H412" i="36"/>
  <c r="H413" i="36"/>
  <c r="H414" i="36"/>
  <c r="H415" i="36"/>
  <c r="H416" i="36"/>
  <c r="H417" i="36"/>
  <c r="H418" i="36"/>
  <c r="H419" i="36"/>
  <c r="H420" i="36"/>
  <c r="H421" i="36"/>
  <c r="H422" i="36"/>
  <c r="H423" i="36"/>
  <c r="H424" i="36"/>
  <c r="H425" i="36"/>
  <c r="H426" i="36"/>
  <c r="H427" i="36"/>
  <c r="H428" i="36"/>
  <c r="H429" i="36"/>
  <c r="H430" i="36"/>
  <c r="H431" i="36"/>
  <c r="H432" i="36"/>
  <c r="H433" i="36"/>
  <c r="H434" i="36"/>
  <c r="H435" i="36"/>
  <c r="H436" i="36"/>
  <c r="H437" i="36"/>
  <c r="H438" i="36"/>
  <c r="H439" i="36"/>
  <c r="H440" i="36"/>
  <c r="H441" i="36"/>
  <c r="H442" i="36"/>
  <c r="G9" i="36"/>
  <c r="G10" i="36"/>
  <c r="F9" i="36"/>
  <c r="F10" i="36"/>
  <c r="B22" i="17"/>
  <c r="A22" i="17"/>
  <c r="E44" i="53"/>
  <c r="E43" i="53" s="1"/>
  <c r="E42" i="53" s="1"/>
  <c r="E41" i="53" s="1"/>
  <c r="E40" i="53" s="1"/>
  <c r="E39" i="53" s="1"/>
  <c r="E38" i="53" s="1"/>
  <c r="E37" i="53" s="1"/>
  <c r="E36" i="53" s="1"/>
  <c r="E35" i="53" s="1"/>
  <c r="B4" i="3"/>
  <c r="I568" i="54"/>
  <c r="I568" i="44" s="1"/>
  <c r="I569" i="54"/>
  <c r="I569" i="44" s="1"/>
  <c r="I570" i="54"/>
  <c r="I570" i="44" s="1"/>
  <c r="I571" i="54"/>
  <c r="I571" i="44" s="1"/>
  <c r="I572" i="54"/>
  <c r="I572" i="44" s="1"/>
  <c r="I573" i="54"/>
  <c r="I573" i="44" s="1"/>
  <c r="I574" i="54"/>
  <c r="I574" i="44" s="1"/>
  <c r="I575" i="54"/>
  <c r="I575" i="44" s="1"/>
  <c r="I576" i="54"/>
  <c r="I576" i="44" s="1"/>
  <c r="I577" i="54"/>
  <c r="I577" i="44" s="1"/>
  <c r="B48" i="21"/>
  <c r="B1761" i="44" s="1"/>
  <c r="A48" i="21"/>
  <c r="B1761" i="54" s="1"/>
  <c r="B43" i="21"/>
  <c r="B1758" i="44" s="1"/>
  <c r="A43" i="21"/>
  <c r="B1758" i="54" s="1"/>
  <c r="B38" i="21"/>
  <c r="B1755" i="44" s="1"/>
  <c r="A38" i="21"/>
  <c r="B1755" i="54" s="1"/>
  <c r="B33" i="21"/>
  <c r="B1752" i="44" s="1"/>
  <c r="A33" i="21"/>
  <c r="B28" i="21"/>
  <c r="B1749" i="44" s="1"/>
  <c r="A28" i="21"/>
  <c r="B23" i="21"/>
  <c r="B1746" i="44" s="1"/>
  <c r="A23" i="21"/>
  <c r="B1746" i="54" s="1"/>
  <c r="B47" i="21"/>
  <c r="B1760" i="44" s="1"/>
  <c r="B42" i="21"/>
  <c r="B1757" i="44" s="1"/>
  <c r="B37" i="21"/>
  <c r="B1754" i="44" s="1"/>
  <c r="B32" i="21"/>
  <c r="B1751" i="44" s="1"/>
  <c r="B27" i="21"/>
  <c r="B1748" i="44" s="1"/>
  <c r="B22" i="21"/>
  <c r="B1745" i="44" s="1"/>
  <c r="W487" i="47"/>
  <c r="W486" i="47"/>
  <c r="C591" i="54"/>
  <c r="A4" i="3"/>
  <c r="A4" i="7" s="1"/>
  <c r="C390" i="29"/>
  <c r="C390" i="53" s="1"/>
  <c r="C355" i="29"/>
  <c r="C100" i="29"/>
  <c r="C100" i="53" s="1"/>
  <c r="C90" i="29"/>
  <c r="C90" i="53" s="1"/>
  <c r="B88" i="29"/>
  <c r="B88" i="53" s="1"/>
  <c r="B7" i="29"/>
  <c r="A5" i="29"/>
  <c r="D9" i="53"/>
  <c r="R77" i="30"/>
  <c r="S77" i="30"/>
  <c r="Q77" i="30"/>
  <c r="Z8" i="36"/>
  <c r="K748" i="44"/>
  <c r="C135" i="30"/>
  <c r="B135" i="30"/>
  <c r="C196" i="30"/>
  <c r="B196" i="30"/>
  <c r="C162" i="30"/>
  <c r="B162" i="30"/>
  <c r="P2" i="30"/>
  <c r="R58" i="30"/>
  <c r="S58" i="30"/>
  <c r="T58" i="30"/>
  <c r="U58" i="30"/>
  <c r="Q58" i="30"/>
  <c r="D88" i="30"/>
  <c r="H63" i="44"/>
  <c r="D177" i="30"/>
  <c r="C1231" i="44"/>
  <c r="W644" i="47"/>
  <c r="S644" i="47"/>
  <c r="W643" i="47"/>
  <c r="S643" i="47"/>
  <c r="W642" i="47"/>
  <c r="S642" i="47"/>
  <c r="W641" i="47"/>
  <c r="S641" i="47"/>
  <c r="W640" i="47"/>
  <c r="S640" i="47"/>
  <c r="W639" i="47"/>
  <c r="S639" i="47"/>
  <c r="W638" i="47"/>
  <c r="S638" i="47"/>
  <c r="I223" i="54"/>
  <c r="I223" i="44" s="1"/>
  <c r="B192" i="30"/>
  <c r="B190" i="30"/>
  <c r="B189" i="30"/>
  <c r="B188" i="30"/>
  <c r="B187" i="30"/>
  <c r="B186" i="30"/>
  <c r="B185" i="30"/>
  <c r="B184" i="30"/>
  <c r="B183" i="30"/>
  <c r="B182" i="30"/>
  <c r="B181" i="30"/>
  <c r="B180" i="30"/>
  <c r="B179" i="30"/>
  <c r="B178" i="30"/>
  <c r="B177" i="30"/>
  <c r="B176" i="30"/>
  <c r="B175" i="30"/>
  <c r="B174" i="30"/>
  <c r="B173" i="30"/>
  <c r="B172" i="30"/>
  <c r="B170" i="30"/>
  <c r="B169" i="30"/>
  <c r="B168" i="30"/>
  <c r="B167" i="30"/>
  <c r="B166" i="30"/>
  <c r="B165" i="30"/>
  <c r="B163" i="30"/>
  <c r="B161" i="30"/>
  <c r="B160" i="30"/>
  <c r="B159" i="30"/>
  <c r="B158" i="30"/>
  <c r="B157" i="30"/>
  <c r="B156" i="30"/>
  <c r="B155" i="30"/>
  <c r="B154" i="30"/>
  <c r="B153" i="30"/>
  <c r="B152" i="30"/>
  <c r="B150" i="30"/>
  <c r="B149" i="30"/>
  <c r="B148" i="30"/>
  <c r="B147" i="30"/>
  <c r="B146" i="30"/>
  <c r="B145" i="30"/>
  <c r="B144" i="30"/>
  <c r="B143" i="30"/>
  <c r="B142" i="30"/>
  <c r="B141" i="30"/>
  <c r="B140" i="30"/>
  <c r="B139" i="30"/>
  <c r="B138" i="30"/>
  <c r="B137" i="30"/>
  <c r="B136"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I1628" i="44"/>
  <c r="H1628" i="44"/>
  <c r="I1627" i="44"/>
  <c r="H1627" i="44"/>
  <c r="I1626" i="44"/>
  <c r="H1626" i="44"/>
  <c r="I1625" i="44"/>
  <c r="H1625" i="44"/>
  <c r="I1624" i="44"/>
  <c r="H1624" i="44"/>
  <c r="I1623" i="44"/>
  <c r="H1623" i="44"/>
  <c r="I1620" i="44"/>
  <c r="H1620" i="44"/>
  <c r="I1619" i="44"/>
  <c r="H1619" i="44"/>
  <c r="I1618" i="44"/>
  <c r="H1618" i="44"/>
  <c r="I1617" i="44"/>
  <c r="H1617" i="44"/>
  <c r="I1616" i="44"/>
  <c r="H1616" i="44"/>
  <c r="I1615" i="44"/>
  <c r="H1615" i="44"/>
  <c r="I1612" i="44"/>
  <c r="H1612" i="44"/>
  <c r="I1611" i="44"/>
  <c r="H1611" i="44"/>
  <c r="I1610" i="44"/>
  <c r="H1610" i="44"/>
  <c r="I1609" i="44"/>
  <c r="H1609" i="44"/>
  <c r="I1608" i="44"/>
  <c r="H1608" i="44"/>
  <c r="I1607" i="44"/>
  <c r="H1607" i="44"/>
  <c r="I1593" i="44"/>
  <c r="H1593" i="44"/>
  <c r="G1593" i="44"/>
  <c r="F1593" i="44"/>
  <c r="C1593" i="44"/>
  <c r="I1592" i="44"/>
  <c r="H1592" i="44"/>
  <c r="G1592" i="44"/>
  <c r="F1592" i="44"/>
  <c r="C1592" i="44"/>
  <c r="I1591" i="44"/>
  <c r="H1591" i="44"/>
  <c r="G1591" i="44"/>
  <c r="F1591" i="44"/>
  <c r="C1591" i="44"/>
  <c r="I1590" i="44"/>
  <c r="H1590" i="44"/>
  <c r="G1590" i="44"/>
  <c r="F1590" i="44"/>
  <c r="C1590" i="44"/>
  <c r="I1589" i="44"/>
  <c r="H1589" i="44"/>
  <c r="G1589" i="44"/>
  <c r="F1589" i="44"/>
  <c r="C1589" i="44"/>
  <c r="I1588" i="44"/>
  <c r="H1588" i="44"/>
  <c r="G1588" i="44"/>
  <c r="F1588" i="44"/>
  <c r="C1588" i="44"/>
  <c r="I1584" i="44"/>
  <c r="H1584" i="44"/>
  <c r="G1584" i="44"/>
  <c r="F1584" i="44"/>
  <c r="C1584" i="44"/>
  <c r="I1583" i="44"/>
  <c r="H1583" i="44"/>
  <c r="G1583" i="44"/>
  <c r="F1583" i="44"/>
  <c r="C1583" i="44"/>
  <c r="I1582" i="44"/>
  <c r="H1582" i="44"/>
  <c r="G1582" i="44"/>
  <c r="F1582" i="44"/>
  <c r="C1582" i="44"/>
  <c r="I1581" i="44"/>
  <c r="H1581" i="44"/>
  <c r="G1581" i="44"/>
  <c r="F1581" i="44"/>
  <c r="C1581" i="44"/>
  <c r="I1580" i="44"/>
  <c r="H1580" i="44"/>
  <c r="G1580" i="44"/>
  <c r="F1580" i="44"/>
  <c r="C1580" i="44"/>
  <c r="I1579" i="44"/>
  <c r="H1579" i="44"/>
  <c r="G1579" i="44"/>
  <c r="F1579" i="44"/>
  <c r="C1579" i="44"/>
  <c r="I1575" i="44"/>
  <c r="H1575" i="44"/>
  <c r="G1575" i="44"/>
  <c r="F1575" i="44"/>
  <c r="C1575" i="44"/>
  <c r="I1574" i="44"/>
  <c r="H1574" i="44"/>
  <c r="G1574" i="44"/>
  <c r="F1574" i="44"/>
  <c r="C1574" i="44"/>
  <c r="I1573" i="44"/>
  <c r="H1573" i="44"/>
  <c r="G1573" i="44"/>
  <c r="F1573" i="44"/>
  <c r="C1573" i="44"/>
  <c r="I1572" i="44"/>
  <c r="H1572" i="44"/>
  <c r="G1572" i="44"/>
  <c r="F1572" i="44"/>
  <c r="C1572" i="44"/>
  <c r="I1571" i="44"/>
  <c r="H1571" i="44"/>
  <c r="G1571" i="44"/>
  <c r="F1571" i="44"/>
  <c r="C1571" i="44"/>
  <c r="I1570" i="44"/>
  <c r="H1570" i="44"/>
  <c r="G1570" i="44"/>
  <c r="F1570" i="44"/>
  <c r="C1570" i="44"/>
  <c r="I1566" i="44"/>
  <c r="H1566" i="44"/>
  <c r="G1566" i="44"/>
  <c r="F1566" i="44"/>
  <c r="C1566" i="44"/>
  <c r="I1565" i="44"/>
  <c r="H1565" i="44"/>
  <c r="G1565" i="44"/>
  <c r="F1565" i="44"/>
  <c r="C1565" i="44"/>
  <c r="I1564" i="44"/>
  <c r="H1564" i="44"/>
  <c r="G1564" i="44"/>
  <c r="F1564" i="44"/>
  <c r="C1564" i="44"/>
  <c r="I1563" i="44"/>
  <c r="H1563" i="44"/>
  <c r="G1563" i="44"/>
  <c r="F1563" i="44"/>
  <c r="C1563" i="44"/>
  <c r="I1562" i="44"/>
  <c r="H1562" i="44"/>
  <c r="G1562" i="44"/>
  <c r="F1562" i="44"/>
  <c r="C1562" i="44"/>
  <c r="I1561" i="44"/>
  <c r="H1561" i="44"/>
  <c r="G1561" i="44"/>
  <c r="F1561" i="44"/>
  <c r="C1561" i="44"/>
  <c r="I1557" i="44"/>
  <c r="H1557" i="44"/>
  <c r="G1557" i="44"/>
  <c r="F1557" i="44"/>
  <c r="C1557" i="44"/>
  <c r="I1556" i="44"/>
  <c r="H1556" i="44"/>
  <c r="G1556" i="44"/>
  <c r="F1556" i="44"/>
  <c r="C1556" i="44"/>
  <c r="I1555" i="44"/>
  <c r="H1555" i="44"/>
  <c r="G1555" i="44"/>
  <c r="F1555" i="44"/>
  <c r="C1555" i="44"/>
  <c r="I1554" i="44"/>
  <c r="H1554" i="44"/>
  <c r="G1554" i="44"/>
  <c r="F1554" i="44"/>
  <c r="C1554" i="44"/>
  <c r="I1553" i="44"/>
  <c r="H1553" i="44"/>
  <c r="G1553" i="44"/>
  <c r="F1553" i="44"/>
  <c r="C1553" i="44"/>
  <c r="I1552" i="44"/>
  <c r="H1552" i="44"/>
  <c r="G1552" i="44"/>
  <c r="F1552" i="44"/>
  <c r="C1552" i="44"/>
  <c r="H1548" i="44"/>
  <c r="F1548" i="44"/>
  <c r="C1548" i="44"/>
  <c r="H1547" i="44"/>
  <c r="F1547" i="44"/>
  <c r="C1547" i="44"/>
  <c r="H1546" i="44"/>
  <c r="F1546" i="44"/>
  <c r="C1546" i="44"/>
  <c r="H1545" i="44"/>
  <c r="F1545" i="44"/>
  <c r="C1545" i="44"/>
  <c r="H1544" i="44"/>
  <c r="F1544" i="44"/>
  <c r="C1544" i="44"/>
  <c r="H1543" i="44"/>
  <c r="F1543" i="44"/>
  <c r="C1543" i="44"/>
  <c r="G1513" i="44"/>
  <c r="E1513" i="44"/>
  <c r="C1513" i="44"/>
  <c r="G1512" i="44"/>
  <c r="E1512" i="44"/>
  <c r="C1512" i="44"/>
  <c r="G1511" i="44"/>
  <c r="E1511" i="44"/>
  <c r="C1511" i="44"/>
  <c r="I1505" i="44"/>
  <c r="H1505" i="44"/>
  <c r="F1505" i="44"/>
  <c r="E1505" i="44"/>
  <c r="C1505" i="44"/>
  <c r="I1504" i="44"/>
  <c r="H1504" i="44"/>
  <c r="F1504" i="44"/>
  <c r="E1504" i="44"/>
  <c r="C1504" i="44"/>
  <c r="I1503" i="44"/>
  <c r="H1503" i="44"/>
  <c r="F1503" i="44"/>
  <c r="E1503" i="44"/>
  <c r="C1503" i="44"/>
  <c r="I1502" i="44"/>
  <c r="H1502" i="44"/>
  <c r="F1502" i="44"/>
  <c r="E1502" i="44"/>
  <c r="C1502" i="44"/>
  <c r="I1501" i="44"/>
  <c r="H1501" i="44"/>
  <c r="F1501" i="44"/>
  <c r="E1501" i="44"/>
  <c r="C1501" i="44"/>
  <c r="I1500" i="44"/>
  <c r="H1500" i="44"/>
  <c r="F1500" i="44"/>
  <c r="E1500" i="44"/>
  <c r="C1500" i="44"/>
  <c r="I1483" i="44"/>
  <c r="H1483" i="44"/>
  <c r="G1483" i="44"/>
  <c r="F1483" i="44"/>
  <c r="C1483" i="44"/>
  <c r="I1482" i="44"/>
  <c r="H1482" i="44"/>
  <c r="G1482" i="44"/>
  <c r="F1482" i="44"/>
  <c r="C1482" i="44"/>
  <c r="I1481" i="44"/>
  <c r="H1481" i="44"/>
  <c r="G1481" i="44"/>
  <c r="F1481" i="44"/>
  <c r="C1481" i="44"/>
  <c r="I1480" i="44"/>
  <c r="H1480" i="44"/>
  <c r="G1480" i="44"/>
  <c r="F1480" i="44"/>
  <c r="C1480" i="44"/>
  <c r="I1479" i="44"/>
  <c r="H1479" i="44"/>
  <c r="G1479" i="44"/>
  <c r="F1479" i="44"/>
  <c r="C1479" i="44"/>
  <c r="I1470" i="44"/>
  <c r="H1470" i="44"/>
  <c r="I1469" i="44"/>
  <c r="H1469" i="44"/>
  <c r="I1468" i="44"/>
  <c r="H1468" i="44"/>
  <c r="I1462" i="44"/>
  <c r="H1462" i="44"/>
  <c r="I1461" i="44"/>
  <c r="H1461" i="44"/>
  <c r="I1460" i="44"/>
  <c r="H1460" i="44"/>
  <c r="I1454" i="44"/>
  <c r="H1454" i="44"/>
  <c r="I1453" i="44"/>
  <c r="H1453" i="44"/>
  <c r="I1452" i="44"/>
  <c r="H1452" i="44"/>
  <c r="I1446" i="44"/>
  <c r="H1446" i="44"/>
  <c r="I1445" i="44"/>
  <c r="H1445" i="44"/>
  <c r="I1444" i="44"/>
  <c r="H1444" i="44"/>
  <c r="H1428" i="44"/>
  <c r="G1428" i="44"/>
  <c r="H1427" i="44"/>
  <c r="G1427" i="44"/>
  <c r="I1416" i="44"/>
  <c r="H1416" i="44"/>
  <c r="I1415" i="44"/>
  <c r="H1415" i="44"/>
  <c r="I1414" i="44"/>
  <c r="H1414" i="44"/>
  <c r="I1413" i="44"/>
  <c r="H1413" i="44"/>
  <c r="I1358" i="44"/>
  <c r="H1358" i="44"/>
  <c r="I1357" i="44"/>
  <c r="H1357" i="44"/>
  <c r="I1353" i="44"/>
  <c r="I1352" i="44"/>
  <c r="H1352" i="44"/>
  <c r="I1351" i="44"/>
  <c r="I1350" i="44"/>
  <c r="H1350" i="44"/>
  <c r="I1349" i="44"/>
  <c r="H1349" i="44"/>
  <c r="I1348" i="44"/>
  <c r="I1344" i="44"/>
  <c r="H1344" i="44"/>
  <c r="I1343" i="44"/>
  <c r="H1343" i="44"/>
  <c r="I1342" i="44"/>
  <c r="H1342" i="44"/>
  <c r="I1341" i="44"/>
  <c r="H1341" i="44"/>
  <c r="I1340" i="44"/>
  <c r="H1340" i="44"/>
  <c r="I1339" i="44"/>
  <c r="H1339" i="44"/>
  <c r="I1338" i="44"/>
  <c r="I1337" i="44"/>
  <c r="I1333" i="44"/>
  <c r="H1333" i="44"/>
  <c r="I1332" i="44"/>
  <c r="H1332" i="44"/>
  <c r="I1331" i="44"/>
  <c r="H1331" i="44"/>
  <c r="I1330" i="44"/>
  <c r="H1330" i="44"/>
  <c r="I1329" i="44"/>
  <c r="I1328" i="44"/>
  <c r="I1324" i="44"/>
  <c r="H1324" i="44"/>
  <c r="I1323" i="44"/>
  <c r="H1323" i="44"/>
  <c r="I1322" i="44"/>
  <c r="H1322" i="44"/>
  <c r="I1321" i="44"/>
  <c r="H1321" i="44"/>
  <c r="I1320" i="44"/>
  <c r="H1320" i="44"/>
  <c r="I1316" i="44"/>
  <c r="H1316" i="44"/>
  <c r="I1315" i="44"/>
  <c r="H1315" i="44"/>
  <c r="I1314" i="44"/>
  <c r="H1314" i="44"/>
  <c r="I1313" i="44"/>
  <c r="H1313" i="44"/>
  <c r="I1312" i="44"/>
  <c r="H1312" i="44"/>
  <c r="I1311" i="44"/>
  <c r="H1311" i="44"/>
  <c r="I1307" i="44"/>
  <c r="H1307" i="44"/>
  <c r="I1306" i="44"/>
  <c r="H1306" i="44"/>
  <c r="I1305" i="44"/>
  <c r="H1305" i="44"/>
  <c r="I1297" i="44"/>
  <c r="H1297" i="44"/>
  <c r="I1296" i="44"/>
  <c r="H1296" i="44"/>
  <c r="I1295" i="44"/>
  <c r="H1295" i="44"/>
  <c r="I1291" i="44"/>
  <c r="H1291" i="44"/>
  <c r="I1290" i="44"/>
  <c r="H1290" i="44"/>
  <c r="I1289" i="44"/>
  <c r="H1289" i="44"/>
  <c r="I1288" i="44"/>
  <c r="H1288" i="44"/>
  <c r="I1275" i="44"/>
  <c r="H1275" i="44"/>
  <c r="I1274" i="44"/>
  <c r="H1274" i="44"/>
  <c r="I1272" i="44"/>
  <c r="H1272" i="44"/>
  <c r="I1271" i="44"/>
  <c r="H1271" i="44"/>
  <c r="I1245" i="44"/>
  <c r="H1245" i="44"/>
  <c r="I1244" i="44"/>
  <c r="H1244" i="44"/>
  <c r="I1243" i="44"/>
  <c r="H1243" i="44"/>
  <c r="I1239" i="44"/>
  <c r="H1239" i="44"/>
  <c r="I1238" i="44"/>
  <c r="H1238" i="44"/>
  <c r="I1237" i="44"/>
  <c r="H1237" i="44"/>
  <c r="I1232" i="44"/>
  <c r="H1232" i="44"/>
  <c r="H1225" i="44"/>
  <c r="I1222" i="44"/>
  <c r="H1222" i="44"/>
  <c r="I1221" i="44"/>
  <c r="I1218" i="44"/>
  <c r="H1218" i="44"/>
  <c r="I1217" i="44"/>
  <c r="I1214" i="44"/>
  <c r="H1214" i="44"/>
  <c r="I1213" i="44"/>
  <c r="I1210" i="44"/>
  <c r="H1210" i="44"/>
  <c r="I1209" i="44"/>
  <c r="I1206" i="44"/>
  <c r="H1206" i="44"/>
  <c r="I1205" i="44"/>
  <c r="H1205" i="44"/>
  <c r="I1204" i="44"/>
  <c r="I1197" i="44"/>
  <c r="H1197" i="44"/>
  <c r="I1196" i="44"/>
  <c r="H1196" i="44"/>
  <c r="I1192" i="44"/>
  <c r="H1192" i="44"/>
  <c r="I1191" i="44"/>
  <c r="H1191" i="44"/>
  <c r="I1190" i="44"/>
  <c r="H1190" i="44"/>
  <c r="I1189" i="44"/>
  <c r="H1189" i="44"/>
  <c r="I1188" i="44"/>
  <c r="H1188" i="44"/>
  <c r="I1187" i="44"/>
  <c r="H1187" i="44"/>
  <c r="I1171" i="44"/>
  <c r="H1171" i="44"/>
  <c r="I1166" i="44"/>
  <c r="I1145" i="44"/>
  <c r="H1145" i="44"/>
  <c r="I1144" i="44"/>
  <c r="H1144" i="44"/>
  <c r="I1143" i="44"/>
  <c r="H1143" i="44"/>
  <c r="I1142" i="44"/>
  <c r="H1142" i="44"/>
  <c r="I1140" i="44"/>
  <c r="H1140" i="44"/>
  <c r="I1136" i="44"/>
  <c r="H1136" i="44"/>
  <c r="I1135" i="44"/>
  <c r="H1135" i="44"/>
  <c r="I1126" i="44"/>
  <c r="H1126" i="44"/>
  <c r="I1125" i="44"/>
  <c r="H1125" i="44"/>
  <c r="I1124" i="44"/>
  <c r="H1124" i="44"/>
  <c r="I1123" i="44"/>
  <c r="H1123" i="44"/>
  <c r="I1122" i="44"/>
  <c r="H1122" i="44"/>
  <c r="I1118" i="44"/>
  <c r="H1118" i="44"/>
  <c r="I1117" i="44"/>
  <c r="H1117" i="44"/>
  <c r="I1116" i="44"/>
  <c r="H1116" i="44"/>
  <c r="I1115" i="44"/>
  <c r="H1115" i="44"/>
  <c r="I1114" i="44"/>
  <c r="H1114" i="44"/>
  <c r="I1113" i="44"/>
  <c r="H1113" i="44"/>
  <c r="H1105" i="44"/>
  <c r="F1105" i="44"/>
  <c r="D1105" i="44"/>
  <c r="H1104" i="44"/>
  <c r="F1104" i="44"/>
  <c r="D1104" i="44"/>
  <c r="H1103" i="44"/>
  <c r="F1103" i="44"/>
  <c r="D1103" i="44"/>
  <c r="H1102" i="44"/>
  <c r="F1102" i="44"/>
  <c r="D1102" i="44"/>
  <c r="H1100" i="44"/>
  <c r="F1100" i="44"/>
  <c r="D1100" i="44"/>
  <c r="H1099" i="44"/>
  <c r="F1099" i="44"/>
  <c r="D1099" i="44"/>
  <c r="H1098" i="44"/>
  <c r="F1098" i="44"/>
  <c r="D1098" i="44"/>
  <c r="H1097" i="44"/>
  <c r="F1097" i="44"/>
  <c r="D1097" i="44"/>
  <c r="H1096" i="44"/>
  <c r="F1096" i="44"/>
  <c r="D1096" i="44"/>
  <c r="H1094" i="44"/>
  <c r="F1094" i="44"/>
  <c r="D1094" i="44"/>
  <c r="I1082" i="44"/>
  <c r="H1082" i="44"/>
  <c r="I1081" i="44"/>
  <c r="H1081" i="44"/>
  <c r="I1080" i="44"/>
  <c r="H1080" i="44"/>
  <c r="I1079" i="44"/>
  <c r="H1079" i="44"/>
  <c r="I1077" i="44"/>
  <c r="H1077" i="44"/>
  <c r="I1073" i="44"/>
  <c r="H1073" i="44"/>
  <c r="I1072" i="44"/>
  <c r="H1072" i="44"/>
  <c r="I1071" i="44"/>
  <c r="H1071" i="44"/>
  <c r="I1062" i="44"/>
  <c r="H1062" i="44"/>
  <c r="I1061" i="44"/>
  <c r="H1061" i="44"/>
  <c r="I1060" i="44"/>
  <c r="H1060" i="44"/>
  <c r="I1059" i="44"/>
  <c r="H1059" i="44"/>
  <c r="I1058" i="44"/>
  <c r="H1058" i="44"/>
  <c r="I1054" i="44"/>
  <c r="H1054" i="44"/>
  <c r="I1053" i="44"/>
  <c r="H1053" i="44"/>
  <c r="I1052" i="44"/>
  <c r="H1052" i="44"/>
  <c r="I1051" i="44"/>
  <c r="H1051" i="44"/>
  <c r="I1050" i="44"/>
  <c r="H1050" i="44"/>
  <c r="I1049" i="44"/>
  <c r="H1049" i="44"/>
  <c r="I1044" i="44"/>
  <c r="H1044" i="44"/>
  <c r="I1043" i="44"/>
  <c r="H1043" i="44"/>
  <c r="I1042" i="44"/>
  <c r="H1042" i="44"/>
  <c r="I1041" i="44"/>
  <c r="H1041" i="44"/>
  <c r="I1040" i="44"/>
  <c r="H1040" i="44"/>
  <c r="I1039" i="44"/>
  <c r="H1039" i="44"/>
  <c r="H1032" i="44"/>
  <c r="F1032" i="44"/>
  <c r="D1032" i="44"/>
  <c r="H1031" i="44"/>
  <c r="F1031" i="44"/>
  <c r="D1031" i="44"/>
  <c r="H1030" i="44"/>
  <c r="F1030" i="44"/>
  <c r="D1030" i="44"/>
  <c r="H1029" i="44"/>
  <c r="F1029" i="44"/>
  <c r="D1029" i="44"/>
  <c r="H1028" i="44"/>
  <c r="F1028" i="44"/>
  <c r="D1028" i="44"/>
  <c r="H1027" i="44"/>
  <c r="F1027" i="44"/>
  <c r="D1027" i="44"/>
  <c r="H1026" i="44"/>
  <c r="F1026" i="44"/>
  <c r="D1026" i="44"/>
  <c r="H1025" i="44"/>
  <c r="F1025" i="44"/>
  <c r="D1025" i="44"/>
  <c r="H1024" i="44"/>
  <c r="F1024" i="44"/>
  <c r="D1024" i="44"/>
  <c r="H1023" i="44"/>
  <c r="F1023" i="44"/>
  <c r="D1023" i="44"/>
  <c r="I1011" i="44"/>
  <c r="H1011" i="44"/>
  <c r="I1010" i="44"/>
  <c r="H1010" i="44"/>
  <c r="I1009" i="44"/>
  <c r="H1009" i="44"/>
  <c r="I1006" i="44"/>
  <c r="H1006" i="44"/>
  <c r="I1005" i="44"/>
  <c r="H1005" i="44"/>
  <c r="I1004" i="44"/>
  <c r="H1004" i="44"/>
  <c r="I1003" i="44"/>
  <c r="H1003" i="44"/>
  <c r="I1002" i="44"/>
  <c r="H1002" i="44"/>
  <c r="I1001" i="44"/>
  <c r="H1001" i="44"/>
  <c r="I997" i="44"/>
  <c r="H997" i="44"/>
  <c r="I996" i="44"/>
  <c r="H996" i="44"/>
  <c r="I995" i="44"/>
  <c r="H995" i="44"/>
  <c r="I985" i="44"/>
  <c r="H985" i="44"/>
  <c r="I984" i="44"/>
  <c r="H984" i="44"/>
  <c r="I981" i="44"/>
  <c r="H981" i="44"/>
  <c r="I978" i="44"/>
  <c r="H978" i="44"/>
  <c r="I977" i="44"/>
  <c r="H977" i="44"/>
  <c r="I976" i="44"/>
  <c r="H976" i="44"/>
  <c r="I975" i="44"/>
  <c r="H975" i="44"/>
  <c r="I974" i="44"/>
  <c r="H974" i="44"/>
  <c r="I973" i="44"/>
  <c r="H973" i="44"/>
  <c r="I969" i="44"/>
  <c r="H969" i="44"/>
  <c r="I968" i="44"/>
  <c r="H968" i="44"/>
  <c r="I967" i="44"/>
  <c r="H967" i="44"/>
  <c r="I941" i="44"/>
  <c r="H941" i="44"/>
  <c r="I940" i="44"/>
  <c r="H940" i="44"/>
  <c r="I937" i="44"/>
  <c r="H937" i="44"/>
  <c r="I936" i="44"/>
  <c r="H936" i="44"/>
  <c r="I926" i="44"/>
  <c r="H926" i="44"/>
  <c r="I925" i="44"/>
  <c r="H925" i="44"/>
  <c r="I922" i="44"/>
  <c r="H922" i="44"/>
  <c r="I921" i="44"/>
  <c r="H921" i="44"/>
  <c r="I869" i="44"/>
  <c r="H869" i="44"/>
  <c r="G869" i="44"/>
  <c r="F869" i="44"/>
  <c r="E869" i="44"/>
  <c r="D869" i="44"/>
  <c r="I868" i="44"/>
  <c r="H868" i="44"/>
  <c r="G868" i="44"/>
  <c r="F868" i="44"/>
  <c r="E868" i="44"/>
  <c r="D868" i="44"/>
  <c r="I867" i="44"/>
  <c r="H867" i="44"/>
  <c r="G867" i="44"/>
  <c r="F867" i="44"/>
  <c r="E867" i="44"/>
  <c r="D867" i="44"/>
  <c r="I865" i="44"/>
  <c r="H865" i="44"/>
  <c r="G865" i="44"/>
  <c r="F865" i="44"/>
  <c r="E865" i="44"/>
  <c r="D865" i="44"/>
  <c r="I864" i="44"/>
  <c r="H864" i="44"/>
  <c r="G864" i="44"/>
  <c r="F864" i="44"/>
  <c r="E864" i="44"/>
  <c r="D864" i="44"/>
  <c r="I863" i="44"/>
  <c r="H863" i="44"/>
  <c r="G863" i="44"/>
  <c r="F863" i="44"/>
  <c r="E863" i="44"/>
  <c r="D863" i="44"/>
  <c r="I861" i="44"/>
  <c r="H861" i="44"/>
  <c r="G861" i="44"/>
  <c r="F861" i="44"/>
  <c r="E861" i="44"/>
  <c r="D861" i="44"/>
  <c r="I860" i="44"/>
  <c r="H860" i="44"/>
  <c r="G860" i="44"/>
  <c r="F860" i="44"/>
  <c r="E860" i="44"/>
  <c r="D860" i="44"/>
  <c r="I859" i="44"/>
  <c r="H859" i="44"/>
  <c r="G859" i="44"/>
  <c r="F859" i="44"/>
  <c r="E859" i="44"/>
  <c r="D859" i="44"/>
  <c r="I857" i="44"/>
  <c r="H857" i="44"/>
  <c r="G857" i="44"/>
  <c r="F857" i="44"/>
  <c r="E857" i="44"/>
  <c r="D857" i="44"/>
  <c r="I856" i="44"/>
  <c r="H856" i="44"/>
  <c r="G856" i="44"/>
  <c r="F856" i="44"/>
  <c r="E856" i="44"/>
  <c r="D856" i="44"/>
  <c r="I855" i="44"/>
  <c r="H855" i="44"/>
  <c r="G855" i="44"/>
  <c r="F855" i="44"/>
  <c r="E855" i="44"/>
  <c r="D855" i="44"/>
  <c r="I853" i="44"/>
  <c r="H853" i="44"/>
  <c r="G853" i="44"/>
  <c r="F853" i="44"/>
  <c r="E853" i="44"/>
  <c r="D853" i="44"/>
  <c r="I852" i="44"/>
  <c r="H852" i="44"/>
  <c r="G852" i="44"/>
  <c r="F852" i="44"/>
  <c r="E852" i="44"/>
  <c r="D852" i="44"/>
  <c r="I851" i="44"/>
  <c r="H851" i="44"/>
  <c r="G851" i="44"/>
  <c r="F851" i="44"/>
  <c r="E851" i="44"/>
  <c r="D851" i="44"/>
  <c r="I844" i="44"/>
  <c r="H844" i="44"/>
  <c r="I843" i="44"/>
  <c r="H843" i="44"/>
  <c r="I842" i="44"/>
  <c r="H842" i="44"/>
  <c r="I840" i="44"/>
  <c r="H840" i="44"/>
  <c r="I839" i="44"/>
  <c r="H839" i="44"/>
  <c r="I838" i="44"/>
  <c r="H838" i="44"/>
  <c r="I836" i="44"/>
  <c r="H836" i="44"/>
  <c r="I835" i="44"/>
  <c r="H835" i="44"/>
  <c r="I834" i="44"/>
  <c r="H834" i="44"/>
  <c r="I832" i="44"/>
  <c r="H832" i="44"/>
  <c r="I831" i="44"/>
  <c r="H831" i="44"/>
  <c r="I830" i="44"/>
  <c r="H830" i="44"/>
  <c r="I828" i="44"/>
  <c r="H828" i="44"/>
  <c r="I827" i="44"/>
  <c r="H827" i="44"/>
  <c r="I826" i="44"/>
  <c r="H826" i="44"/>
  <c r="I817" i="44"/>
  <c r="H817" i="44"/>
  <c r="I815" i="44"/>
  <c r="H815" i="44"/>
  <c r="I812" i="44"/>
  <c r="H806" i="44"/>
  <c r="F806" i="44"/>
  <c r="E806" i="44"/>
  <c r="H805" i="44"/>
  <c r="F805" i="44"/>
  <c r="E805" i="44"/>
  <c r="H804" i="44"/>
  <c r="F804" i="44"/>
  <c r="E804" i="44"/>
  <c r="H803" i="44"/>
  <c r="F803" i="44"/>
  <c r="E803" i="44"/>
  <c r="H802" i="44"/>
  <c r="F802" i="44"/>
  <c r="E802" i="44"/>
  <c r="I787" i="44"/>
  <c r="H787" i="44"/>
  <c r="I786" i="44"/>
  <c r="H786" i="44"/>
  <c r="I785" i="44"/>
  <c r="H785" i="44"/>
  <c r="I784" i="44"/>
  <c r="H784" i="44"/>
  <c r="I783" i="44"/>
  <c r="H783" i="44"/>
  <c r="I777" i="44"/>
  <c r="H777" i="44"/>
  <c r="I776" i="44"/>
  <c r="H776" i="44"/>
  <c r="I775" i="44"/>
  <c r="H775" i="44"/>
  <c r="I774" i="44"/>
  <c r="H774" i="44"/>
  <c r="I773" i="44"/>
  <c r="H773" i="44"/>
  <c r="I745" i="44"/>
  <c r="H745" i="44"/>
  <c r="I741" i="44"/>
  <c r="H741" i="44"/>
  <c r="G741" i="44"/>
  <c r="F741" i="44"/>
  <c r="I740" i="44"/>
  <c r="H740" i="44"/>
  <c r="G740" i="44"/>
  <c r="F740" i="44"/>
  <c r="I739" i="44"/>
  <c r="H739" i="44"/>
  <c r="G739" i="44"/>
  <c r="F739" i="44"/>
  <c r="I738" i="44"/>
  <c r="H738" i="44"/>
  <c r="G738" i="44"/>
  <c r="F738" i="44"/>
  <c r="I726" i="44"/>
  <c r="H726" i="44"/>
  <c r="I725" i="44"/>
  <c r="H725" i="44"/>
  <c r="I724" i="44"/>
  <c r="H724" i="44"/>
  <c r="I723" i="44"/>
  <c r="H723" i="44"/>
  <c r="I722" i="44"/>
  <c r="H722" i="44"/>
  <c r="I721" i="44"/>
  <c r="H721" i="44"/>
  <c r="I720" i="44"/>
  <c r="H720" i="44"/>
  <c r="I713" i="44"/>
  <c r="H713" i="44"/>
  <c r="G713" i="44"/>
  <c r="F713" i="44"/>
  <c r="E713" i="44"/>
  <c r="I712" i="44"/>
  <c r="H712" i="44"/>
  <c r="G712" i="44"/>
  <c r="F712" i="44"/>
  <c r="E712" i="44"/>
  <c r="I711" i="44"/>
  <c r="H711" i="44"/>
  <c r="G711" i="44"/>
  <c r="F711" i="44"/>
  <c r="E711" i="44"/>
  <c r="I710" i="44"/>
  <c r="H710" i="44"/>
  <c r="G710" i="44"/>
  <c r="F710" i="44"/>
  <c r="E710" i="44"/>
  <c r="I703" i="44"/>
  <c r="H703" i="44"/>
  <c r="G703" i="44"/>
  <c r="F703" i="44"/>
  <c r="E703" i="44"/>
  <c r="I700" i="44"/>
  <c r="H700" i="44"/>
  <c r="G700" i="44"/>
  <c r="F700" i="44"/>
  <c r="E700" i="44"/>
  <c r="I699" i="44"/>
  <c r="H699" i="44"/>
  <c r="G699" i="44"/>
  <c r="F699" i="44"/>
  <c r="E699" i="44"/>
  <c r="I698" i="44"/>
  <c r="H698" i="44"/>
  <c r="G698" i="44"/>
  <c r="F698" i="44"/>
  <c r="E698" i="44"/>
  <c r="I690" i="44"/>
  <c r="H690" i="44"/>
  <c r="G690" i="44"/>
  <c r="F690" i="44"/>
  <c r="E690" i="44"/>
  <c r="I687" i="44"/>
  <c r="H687" i="44"/>
  <c r="G687" i="44"/>
  <c r="F687" i="44"/>
  <c r="E687" i="44"/>
  <c r="I686" i="44"/>
  <c r="H686" i="44"/>
  <c r="G686" i="44"/>
  <c r="F686" i="44"/>
  <c r="E686" i="44"/>
  <c r="I685" i="44"/>
  <c r="H685" i="44"/>
  <c r="G685" i="44"/>
  <c r="F685" i="44"/>
  <c r="E685" i="44"/>
  <c r="I677" i="44"/>
  <c r="H677" i="44"/>
  <c r="G677" i="44"/>
  <c r="F677" i="44"/>
  <c r="E677" i="44"/>
  <c r="I674" i="44"/>
  <c r="H674" i="44"/>
  <c r="G674" i="44"/>
  <c r="F674" i="44"/>
  <c r="E674" i="44"/>
  <c r="I673" i="44"/>
  <c r="H673" i="44"/>
  <c r="G673" i="44"/>
  <c r="F673" i="44"/>
  <c r="E673" i="44"/>
  <c r="I672" i="44"/>
  <c r="H672" i="44"/>
  <c r="G672" i="44"/>
  <c r="F672" i="44"/>
  <c r="E672" i="44"/>
  <c r="H646" i="44"/>
  <c r="G646" i="44"/>
  <c r="F646" i="44"/>
  <c r="H645" i="44"/>
  <c r="G645" i="44"/>
  <c r="F645" i="44"/>
  <c r="H644" i="44"/>
  <c r="G644" i="44"/>
  <c r="F644" i="44"/>
  <c r="H643" i="44"/>
  <c r="G643" i="44"/>
  <c r="F643" i="44"/>
  <c r="H636" i="44"/>
  <c r="G636" i="44"/>
  <c r="F636" i="44"/>
  <c r="H635" i="44"/>
  <c r="G635" i="44"/>
  <c r="F635" i="44"/>
  <c r="H634" i="44"/>
  <c r="G634" i="44"/>
  <c r="F634" i="44"/>
  <c r="H633" i="44"/>
  <c r="G633" i="44"/>
  <c r="F633" i="44"/>
  <c r="H626" i="44"/>
  <c r="G626" i="44"/>
  <c r="H625" i="44"/>
  <c r="G625" i="44"/>
  <c r="H624" i="44"/>
  <c r="G624" i="44"/>
  <c r="H623" i="44"/>
  <c r="G623" i="44"/>
  <c r="H606" i="44"/>
  <c r="G606" i="44"/>
  <c r="F606" i="44"/>
  <c r="H605" i="44"/>
  <c r="G605" i="44"/>
  <c r="F605" i="44"/>
  <c r="H604" i="44"/>
  <c r="G604" i="44"/>
  <c r="F604" i="44"/>
  <c r="H596" i="44"/>
  <c r="C591" i="44" s="1"/>
  <c r="H595" i="44"/>
  <c r="H594" i="44"/>
  <c r="H593" i="44"/>
  <c r="H592" i="44"/>
  <c r="G577" i="44"/>
  <c r="F577" i="44"/>
  <c r="C577" i="44"/>
  <c r="G576" i="44"/>
  <c r="F576" i="44"/>
  <c r="C576" i="44"/>
  <c r="G575" i="44"/>
  <c r="F575" i="44"/>
  <c r="C575" i="44"/>
  <c r="G574" i="44"/>
  <c r="F574" i="44"/>
  <c r="C574" i="44"/>
  <c r="G573" i="44"/>
  <c r="F573" i="44"/>
  <c r="C573" i="44"/>
  <c r="G572" i="44"/>
  <c r="F572" i="44"/>
  <c r="C572" i="44"/>
  <c r="G571" i="44"/>
  <c r="F571" i="44"/>
  <c r="C571" i="44"/>
  <c r="G570" i="44"/>
  <c r="F570" i="44"/>
  <c r="C570" i="44"/>
  <c r="G569" i="44"/>
  <c r="F569" i="44"/>
  <c r="C569" i="44"/>
  <c r="G568" i="44"/>
  <c r="F568" i="44"/>
  <c r="C568" i="44"/>
  <c r="I559" i="44"/>
  <c r="H559" i="44"/>
  <c r="I558" i="44"/>
  <c r="H558" i="44"/>
  <c r="I557" i="44"/>
  <c r="H557" i="44"/>
  <c r="H548" i="44"/>
  <c r="G548" i="44"/>
  <c r="F548" i="44"/>
  <c r="E548" i="44"/>
  <c r="H547" i="44"/>
  <c r="G547" i="44"/>
  <c r="F547" i="44"/>
  <c r="E547" i="44"/>
  <c r="H546" i="44"/>
  <c r="G546" i="44"/>
  <c r="F546" i="44"/>
  <c r="E546" i="44"/>
  <c r="H545" i="44"/>
  <c r="G545" i="44"/>
  <c r="F545" i="44"/>
  <c r="E545" i="44"/>
  <c r="H542" i="44"/>
  <c r="G542" i="44"/>
  <c r="F542" i="44"/>
  <c r="E542" i="44"/>
  <c r="H541" i="44"/>
  <c r="G541" i="44"/>
  <c r="F541" i="44"/>
  <c r="E541" i="44"/>
  <c r="H540" i="44"/>
  <c r="G540" i="44"/>
  <c r="F540" i="44"/>
  <c r="E540" i="44"/>
  <c r="H538" i="44"/>
  <c r="G538" i="44"/>
  <c r="F538" i="44"/>
  <c r="E538" i="44"/>
  <c r="H532" i="44"/>
  <c r="G532" i="44"/>
  <c r="H531" i="44"/>
  <c r="G531" i="44"/>
  <c r="H530" i="44"/>
  <c r="G530" i="44"/>
  <c r="H529" i="44"/>
  <c r="G529" i="44"/>
  <c r="H527" i="44"/>
  <c r="G527" i="44"/>
  <c r="H525" i="44"/>
  <c r="G525" i="44"/>
  <c r="H524" i="44"/>
  <c r="G524" i="44"/>
  <c r="H523" i="44"/>
  <c r="G523" i="44"/>
  <c r="H522" i="44"/>
  <c r="G522" i="44"/>
  <c r="H520" i="44"/>
  <c r="G520" i="44"/>
  <c r="H518" i="44"/>
  <c r="G518" i="44"/>
  <c r="H517" i="44"/>
  <c r="G517" i="44"/>
  <c r="H516" i="44"/>
  <c r="G516" i="44"/>
  <c r="H515" i="44"/>
  <c r="G515" i="44"/>
  <c r="H513" i="44"/>
  <c r="G513" i="44"/>
  <c r="H506" i="44"/>
  <c r="G506" i="44"/>
  <c r="H505" i="44"/>
  <c r="G505" i="44"/>
  <c r="H504" i="44"/>
  <c r="G504" i="44"/>
  <c r="H503" i="44"/>
  <c r="G503" i="44"/>
  <c r="H502" i="44"/>
  <c r="G502" i="44"/>
  <c r="H499" i="44"/>
  <c r="G499" i="44"/>
  <c r="H498" i="44"/>
  <c r="G498" i="44"/>
  <c r="H497" i="44"/>
  <c r="G497" i="44"/>
  <c r="H494" i="44"/>
  <c r="G494" i="44"/>
  <c r="H493" i="44"/>
  <c r="G493" i="44"/>
  <c r="H492" i="44"/>
  <c r="G492" i="44"/>
  <c r="H485" i="44"/>
  <c r="G485" i="44"/>
  <c r="H484" i="44"/>
  <c r="G484" i="44"/>
  <c r="H483" i="44"/>
  <c r="G483" i="44"/>
  <c r="H482" i="44"/>
  <c r="G482" i="44"/>
  <c r="H481" i="44"/>
  <c r="G481" i="44"/>
  <c r="H478" i="44"/>
  <c r="G478" i="44"/>
  <c r="H477" i="44"/>
  <c r="G477" i="44"/>
  <c r="H476" i="44"/>
  <c r="G476" i="44"/>
  <c r="H473" i="44"/>
  <c r="G473" i="44"/>
  <c r="H472" i="44"/>
  <c r="G472" i="44"/>
  <c r="H471" i="44"/>
  <c r="G471" i="44"/>
  <c r="I458" i="44"/>
  <c r="H458" i="44"/>
  <c r="I457" i="44"/>
  <c r="H457" i="44"/>
  <c r="I454" i="44"/>
  <c r="H454" i="44"/>
  <c r="I453" i="44"/>
  <c r="H453" i="44"/>
  <c r="G444" i="44"/>
  <c r="F444" i="44"/>
  <c r="E444" i="44"/>
  <c r="D444" i="44"/>
  <c r="G443" i="44"/>
  <c r="F443" i="44"/>
  <c r="E443" i="44"/>
  <c r="D443" i="44"/>
  <c r="G442" i="44"/>
  <c r="F442" i="44"/>
  <c r="E442" i="44"/>
  <c r="D442" i="44"/>
  <c r="G441" i="44"/>
  <c r="F441" i="44"/>
  <c r="E441" i="44"/>
  <c r="D441" i="44"/>
  <c r="I436" i="44"/>
  <c r="H436" i="44"/>
  <c r="H431" i="44"/>
  <c r="G431" i="44"/>
  <c r="F431" i="44"/>
  <c r="E431" i="44"/>
  <c r="H430" i="44"/>
  <c r="G430" i="44"/>
  <c r="F430" i="44"/>
  <c r="E430" i="44"/>
  <c r="I417" i="44"/>
  <c r="H417" i="44"/>
  <c r="I416" i="44"/>
  <c r="H416" i="44"/>
  <c r="I415" i="44"/>
  <c r="H415" i="44"/>
  <c r="I414" i="44"/>
  <c r="H414" i="44"/>
  <c r="I413" i="44"/>
  <c r="H413" i="44"/>
  <c r="I412" i="44"/>
  <c r="H412" i="44"/>
  <c r="I411" i="44"/>
  <c r="H411" i="44"/>
  <c r="I410" i="44"/>
  <c r="H410" i="44"/>
  <c r="I409" i="44"/>
  <c r="H409" i="44"/>
  <c r="I408" i="44"/>
  <c r="H408" i="44"/>
  <c r="I404" i="44"/>
  <c r="H404" i="44"/>
  <c r="I403" i="44"/>
  <c r="H403" i="44"/>
  <c r="I402" i="44"/>
  <c r="H402" i="44"/>
  <c r="I401" i="44"/>
  <c r="H401" i="44"/>
  <c r="I400" i="44"/>
  <c r="H400" i="44"/>
  <c r="I399" i="44"/>
  <c r="H399" i="44"/>
  <c r="I398" i="44"/>
  <c r="H398" i="44"/>
  <c r="I397" i="44"/>
  <c r="H397" i="44"/>
  <c r="I396" i="44"/>
  <c r="H396" i="44"/>
  <c r="I395" i="44"/>
  <c r="H395" i="44"/>
  <c r="I387" i="44"/>
  <c r="H387" i="44"/>
  <c r="G387" i="44"/>
  <c r="F387" i="44"/>
  <c r="D387" i="44"/>
  <c r="I386" i="44"/>
  <c r="H386" i="44"/>
  <c r="G386" i="44"/>
  <c r="F386" i="44"/>
  <c r="D386" i="44"/>
  <c r="I385" i="44"/>
  <c r="H385" i="44"/>
  <c r="G385" i="44"/>
  <c r="F385" i="44"/>
  <c r="D385" i="44"/>
  <c r="H379" i="44"/>
  <c r="G379" i="44"/>
  <c r="F379" i="44"/>
  <c r="D379" i="44"/>
  <c r="H378" i="44"/>
  <c r="G378" i="44"/>
  <c r="F378" i="44"/>
  <c r="D378" i="44"/>
  <c r="C378" i="44"/>
  <c r="B378" i="44"/>
  <c r="H377" i="44"/>
  <c r="G377" i="44"/>
  <c r="F377" i="44"/>
  <c r="D377" i="44"/>
  <c r="H376" i="44"/>
  <c r="G376" i="44"/>
  <c r="F376" i="44"/>
  <c r="D376" i="44"/>
  <c r="C376" i="44"/>
  <c r="B376" i="44"/>
  <c r="H375" i="44"/>
  <c r="G375" i="44"/>
  <c r="F375" i="44"/>
  <c r="D375" i="44"/>
  <c r="H374" i="44"/>
  <c r="G374" i="44"/>
  <c r="F374" i="44"/>
  <c r="D374" i="44"/>
  <c r="C374" i="44"/>
  <c r="B374" i="44"/>
  <c r="H373" i="44"/>
  <c r="G373" i="44"/>
  <c r="F373" i="44"/>
  <c r="D373" i="44"/>
  <c r="H372" i="44"/>
  <c r="G372" i="44"/>
  <c r="F372" i="44"/>
  <c r="D372" i="44"/>
  <c r="C372" i="44"/>
  <c r="B372" i="44"/>
  <c r="H371" i="44"/>
  <c r="G371" i="44"/>
  <c r="F371" i="44"/>
  <c r="D371" i="44"/>
  <c r="H370" i="44"/>
  <c r="G370" i="44"/>
  <c r="F370" i="44"/>
  <c r="D370" i="44"/>
  <c r="C370" i="44"/>
  <c r="B370" i="44"/>
  <c r="H363" i="44"/>
  <c r="G363" i="44"/>
  <c r="F363" i="44"/>
  <c r="D363" i="44"/>
  <c r="H362" i="44"/>
  <c r="G362" i="44"/>
  <c r="F362" i="44"/>
  <c r="D362" i="44"/>
  <c r="C362" i="44"/>
  <c r="B362" i="44"/>
  <c r="H361" i="44"/>
  <c r="G361" i="44"/>
  <c r="F361" i="44"/>
  <c r="D361" i="44"/>
  <c r="H360" i="44"/>
  <c r="G360" i="44"/>
  <c r="F360" i="44"/>
  <c r="D360" i="44"/>
  <c r="C360" i="44"/>
  <c r="B360" i="44"/>
  <c r="H359" i="44"/>
  <c r="G359" i="44"/>
  <c r="F359" i="44"/>
  <c r="D359" i="44"/>
  <c r="H358" i="44"/>
  <c r="G358" i="44"/>
  <c r="F358" i="44"/>
  <c r="D358" i="44"/>
  <c r="C358" i="44"/>
  <c r="B358" i="44"/>
  <c r="H357" i="44"/>
  <c r="G357" i="44"/>
  <c r="F357" i="44"/>
  <c r="D357" i="44"/>
  <c r="H356" i="44"/>
  <c r="G356" i="44"/>
  <c r="F356" i="44"/>
  <c r="D356" i="44"/>
  <c r="C356" i="44"/>
  <c r="B356" i="44"/>
  <c r="H355" i="44"/>
  <c r="G355" i="44"/>
  <c r="F355" i="44"/>
  <c r="D355" i="44"/>
  <c r="H354" i="44"/>
  <c r="G354" i="44"/>
  <c r="F354" i="44"/>
  <c r="D354" i="44"/>
  <c r="C354" i="44"/>
  <c r="B354" i="44"/>
  <c r="H347" i="44"/>
  <c r="G347" i="44"/>
  <c r="F347" i="44"/>
  <c r="D347" i="44"/>
  <c r="H346" i="44"/>
  <c r="G346" i="44"/>
  <c r="F346" i="44"/>
  <c r="D346" i="44"/>
  <c r="C346" i="44"/>
  <c r="B346" i="44"/>
  <c r="H345" i="44"/>
  <c r="G345" i="44"/>
  <c r="F345" i="44"/>
  <c r="D345" i="44"/>
  <c r="H344" i="44"/>
  <c r="G344" i="44"/>
  <c r="F344" i="44"/>
  <c r="D344" i="44"/>
  <c r="C344" i="44"/>
  <c r="B344" i="44"/>
  <c r="H343" i="44"/>
  <c r="G343" i="44"/>
  <c r="F343" i="44"/>
  <c r="D343" i="44"/>
  <c r="H342" i="44"/>
  <c r="G342" i="44"/>
  <c r="F342" i="44"/>
  <c r="D342" i="44"/>
  <c r="C342" i="44"/>
  <c r="B342" i="44"/>
  <c r="H341" i="44"/>
  <c r="G341" i="44"/>
  <c r="F341" i="44"/>
  <c r="D341" i="44"/>
  <c r="H340" i="44"/>
  <c r="G340" i="44"/>
  <c r="F340" i="44"/>
  <c r="D340" i="44"/>
  <c r="C340" i="44"/>
  <c r="B340" i="44"/>
  <c r="H339" i="44"/>
  <c r="G339" i="44"/>
  <c r="F339" i="44"/>
  <c r="D339" i="44"/>
  <c r="H338" i="44"/>
  <c r="G338" i="44"/>
  <c r="F338" i="44"/>
  <c r="D338" i="44"/>
  <c r="C338" i="44"/>
  <c r="B338" i="44"/>
  <c r="H331" i="44"/>
  <c r="G331" i="44"/>
  <c r="F331" i="44"/>
  <c r="D331" i="44"/>
  <c r="H330" i="44"/>
  <c r="G330" i="44"/>
  <c r="F330" i="44"/>
  <c r="D330" i="44"/>
  <c r="C330" i="44"/>
  <c r="B330" i="44"/>
  <c r="H329" i="44"/>
  <c r="G329" i="44"/>
  <c r="F329" i="44"/>
  <c r="D329" i="44"/>
  <c r="H328" i="44"/>
  <c r="G328" i="44"/>
  <c r="F328" i="44"/>
  <c r="D328" i="44"/>
  <c r="C328" i="44"/>
  <c r="B328" i="44"/>
  <c r="H327" i="44"/>
  <c r="G327" i="44"/>
  <c r="F327" i="44"/>
  <c r="D327" i="44"/>
  <c r="H326" i="44"/>
  <c r="G326" i="44"/>
  <c r="F326" i="44"/>
  <c r="D326" i="44"/>
  <c r="C326" i="44"/>
  <c r="B326" i="44"/>
  <c r="H325" i="44"/>
  <c r="G325" i="44"/>
  <c r="F325" i="44"/>
  <c r="D325" i="44"/>
  <c r="H324" i="44"/>
  <c r="G324" i="44"/>
  <c r="F324" i="44"/>
  <c r="D324" i="44"/>
  <c r="C324" i="44"/>
  <c r="B324" i="44"/>
  <c r="H323" i="44"/>
  <c r="G323" i="44"/>
  <c r="F323" i="44"/>
  <c r="D323" i="44"/>
  <c r="H322" i="44"/>
  <c r="G322" i="44"/>
  <c r="F322" i="44"/>
  <c r="D322" i="44"/>
  <c r="C322" i="44"/>
  <c r="B322" i="44"/>
  <c r="F313" i="44"/>
  <c r="E313" i="44"/>
  <c r="F312" i="44"/>
  <c r="E312" i="44"/>
  <c r="F311" i="44"/>
  <c r="E311" i="44"/>
  <c r="F310" i="44"/>
  <c r="E310" i="44"/>
  <c r="F309" i="44"/>
  <c r="E309" i="44"/>
  <c r="F304" i="44"/>
  <c r="E304" i="44"/>
  <c r="F303" i="44"/>
  <c r="E303" i="44"/>
  <c r="F302" i="44"/>
  <c r="E302" i="44"/>
  <c r="F301" i="44"/>
  <c r="E301" i="44"/>
  <c r="F300" i="44"/>
  <c r="E300" i="44"/>
  <c r="H288" i="44"/>
  <c r="G288" i="44"/>
  <c r="F288" i="44"/>
  <c r="E288" i="44"/>
  <c r="H287" i="44"/>
  <c r="G287" i="44"/>
  <c r="F287" i="44"/>
  <c r="E287" i="44"/>
  <c r="H285" i="44"/>
  <c r="G285" i="44"/>
  <c r="F285" i="44"/>
  <c r="E285" i="44"/>
  <c r="H284" i="44"/>
  <c r="G284" i="44"/>
  <c r="F284" i="44"/>
  <c r="E284" i="44"/>
  <c r="H279" i="44"/>
  <c r="G279" i="44"/>
  <c r="F279" i="44"/>
  <c r="E279" i="44"/>
  <c r="H278" i="44"/>
  <c r="G278" i="44"/>
  <c r="F278" i="44"/>
  <c r="E278" i="44"/>
  <c r="H277" i="44"/>
  <c r="G277" i="44"/>
  <c r="F277" i="44"/>
  <c r="E277" i="44"/>
  <c r="H276" i="44"/>
  <c r="G276" i="44"/>
  <c r="F276" i="44"/>
  <c r="E276" i="44"/>
  <c r="H275" i="44"/>
  <c r="G275" i="44"/>
  <c r="F275" i="44"/>
  <c r="E275" i="44"/>
  <c r="H273" i="44"/>
  <c r="G273" i="44"/>
  <c r="F273" i="44"/>
  <c r="E273" i="44"/>
  <c r="H272" i="44"/>
  <c r="G272" i="44"/>
  <c r="F272" i="44"/>
  <c r="E272" i="44"/>
  <c r="H270" i="44"/>
  <c r="G270" i="44"/>
  <c r="F270" i="44"/>
  <c r="E270" i="44"/>
  <c r="H265" i="44"/>
  <c r="G265" i="44"/>
  <c r="F265" i="44"/>
  <c r="E265" i="44"/>
  <c r="H264" i="44"/>
  <c r="G264" i="44"/>
  <c r="F264" i="44"/>
  <c r="E264" i="44"/>
  <c r="H263" i="44"/>
  <c r="G263" i="44"/>
  <c r="F263" i="44"/>
  <c r="E263" i="44"/>
  <c r="H261" i="44"/>
  <c r="G261" i="44"/>
  <c r="F261" i="44"/>
  <c r="E261" i="44"/>
  <c r="H260" i="44"/>
  <c r="G260" i="44"/>
  <c r="F260" i="44"/>
  <c r="E260" i="44"/>
  <c r="H258" i="44"/>
  <c r="G258" i="44"/>
  <c r="F258" i="44"/>
  <c r="E258" i="44"/>
  <c r="H251" i="44"/>
  <c r="G251" i="44"/>
  <c r="F251" i="44"/>
  <c r="E251" i="44"/>
  <c r="H250" i="44"/>
  <c r="G250" i="44"/>
  <c r="F250" i="44"/>
  <c r="E250" i="44"/>
  <c r="H249" i="44"/>
  <c r="G249" i="44"/>
  <c r="F249" i="44"/>
  <c r="E249" i="44"/>
  <c r="H248" i="44"/>
  <c r="G248" i="44"/>
  <c r="F248" i="44"/>
  <c r="E248" i="44"/>
  <c r="H247" i="44"/>
  <c r="G247" i="44"/>
  <c r="F247" i="44"/>
  <c r="E247" i="44"/>
  <c r="H246" i="44"/>
  <c r="G246" i="44"/>
  <c r="F246" i="44"/>
  <c r="E246" i="44"/>
  <c r="H244" i="44"/>
  <c r="G244" i="44"/>
  <c r="F244" i="44"/>
  <c r="E244" i="44"/>
  <c r="H243" i="44"/>
  <c r="G243" i="44"/>
  <c r="F243" i="44"/>
  <c r="E243" i="44"/>
  <c r="H242" i="44"/>
  <c r="G242" i="44"/>
  <c r="F242" i="44"/>
  <c r="E242" i="44"/>
  <c r="H241" i="44"/>
  <c r="G241" i="44"/>
  <c r="F241" i="44"/>
  <c r="E241" i="44"/>
  <c r="H239" i="44"/>
  <c r="G239" i="44"/>
  <c r="F239" i="44"/>
  <c r="E239" i="44"/>
  <c r="G229" i="44"/>
  <c r="F229" i="44"/>
  <c r="G228" i="44"/>
  <c r="F228" i="44"/>
  <c r="G227" i="44"/>
  <c r="F227" i="44"/>
  <c r="G223" i="44"/>
  <c r="F223" i="44"/>
  <c r="G222" i="44"/>
  <c r="F222" i="44"/>
  <c r="G221" i="44"/>
  <c r="F221" i="44"/>
  <c r="H212" i="44"/>
  <c r="F212" i="44"/>
  <c r="D212" i="44"/>
  <c r="H211" i="44"/>
  <c r="F211" i="44"/>
  <c r="D211" i="44"/>
  <c r="H210" i="44"/>
  <c r="F210" i="44"/>
  <c r="D210" i="44"/>
  <c r="H209" i="44"/>
  <c r="F209" i="44"/>
  <c r="D209" i="44"/>
  <c r="G202" i="44"/>
  <c r="G201" i="44"/>
  <c r="G200" i="44"/>
  <c r="I188" i="44"/>
  <c r="I187" i="44"/>
  <c r="I185" i="44"/>
  <c r="I184" i="44"/>
  <c r="I180" i="44"/>
  <c r="I179" i="44"/>
  <c r="I178" i="44"/>
  <c r="I177" i="44"/>
  <c r="I176" i="44"/>
  <c r="I174" i="44"/>
  <c r="I173" i="44"/>
  <c r="I172" i="44"/>
  <c r="I171" i="44"/>
  <c r="I169" i="44"/>
  <c r="I157" i="44"/>
  <c r="H157" i="44"/>
  <c r="I148" i="44"/>
  <c r="H148" i="44"/>
  <c r="I140" i="44"/>
  <c r="H140" i="44"/>
  <c r="I136" i="44"/>
  <c r="H136" i="44"/>
  <c r="I135" i="44"/>
  <c r="H135" i="44"/>
  <c r="I134" i="44"/>
  <c r="H134" i="44"/>
  <c r="H123" i="44"/>
  <c r="G123" i="44"/>
  <c r="F123" i="44"/>
  <c r="E123" i="44"/>
  <c r="D123" i="44"/>
  <c r="H122" i="44"/>
  <c r="G122" i="44"/>
  <c r="F122" i="44"/>
  <c r="E122" i="44"/>
  <c r="D122" i="44"/>
  <c r="H121" i="44"/>
  <c r="G121" i="44"/>
  <c r="F121" i="44"/>
  <c r="E121" i="44"/>
  <c r="D121" i="44"/>
  <c r="H119" i="44"/>
  <c r="G119" i="44"/>
  <c r="F119" i="44"/>
  <c r="E119" i="44"/>
  <c r="D119" i="44"/>
  <c r="H118" i="44"/>
  <c r="G118" i="44"/>
  <c r="F118" i="44"/>
  <c r="E118" i="44"/>
  <c r="D118" i="44"/>
  <c r="H113" i="44"/>
  <c r="G113" i="44"/>
  <c r="F113" i="44"/>
  <c r="E113" i="44"/>
  <c r="D113" i="44"/>
  <c r="H112" i="44"/>
  <c r="G112" i="44"/>
  <c r="F112" i="44"/>
  <c r="E112" i="44"/>
  <c r="D112" i="44"/>
  <c r="H111" i="44"/>
  <c r="G111" i="44"/>
  <c r="F111" i="44"/>
  <c r="E111" i="44"/>
  <c r="D111" i="44"/>
  <c r="H110" i="44"/>
  <c r="G110" i="44"/>
  <c r="F110" i="44"/>
  <c r="E110" i="44"/>
  <c r="D110" i="44"/>
  <c r="H109" i="44"/>
  <c r="G109" i="44"/>
  <c r="F109" i="44"/>
  <c r="E109" i="44"/>
  <c r="D109" i="44"/>
  <c r="H108" i="44"/>
  <c r="G108" i="44"/>
  <c r="F108" i="44"/>
  <c r="E108" i="44"/>
  <c r="D108" i="44"/>
  <c r="H106" i="44"/>
  <c r="G106" i="44"/>
  <c r="F106" i="44"/>
  <c r="E106" i="44"/>
  <c r="D106" i="44"/>
  <c r="H105" i="44"/>
  <c r="G105" i="44"/>
  <c r="F105" i="44"/>
  <c r="E105" i="44"/>
  <c r="D105" i="44"/>
  <c r="H103" i="44"/>
  <c r="G103" i="44"/>
  <c r="F103" i="44"/>
  <c r="E103" i="44"/>
  <c r="D103" i="44"/>
  <c r="H98" i="44"/>
  <c r="G98" i="44"/>
  <c r="F98" i="44"/>
  <c r="E98" i="44"/>
  <c r="D98" i="44"/>
  <c r="H97" i="44"/>
  <c r="G97" i="44"/>
  <c r="F97" i="44"/>
  <c r="E97" i="44"/>
  <c r="D97" i="44"/>
  <c r="H96" i="44"/>
  <c r="G96" i="44"/>
  <c r="F96" i="44"/>
  <c r="E96" i="44"/>
  <c r="D96" i="44"/>
  <c r="H95" i="44"/>
  <c r="G95" i="44"/>
  <c r="F95" i="44"/>
  <c r="E95" i="44"/>
  <c r="D95" i="44"/>
  <c r="H94" i="44"/>
  <c r="G94" i="44"/>
  <c r="F94" i="44"/>
  <c r="E94" i="44"/>
  <c r="D94" i="44"/>
  <c r="H93" i="44"/>
  <c r="G93" i="44"/>
  <c r="F93" i="44"/>
  <c r="E93" i="44"/>
  <c r="D93" i="44"/>
  <c r="H91" i="44"/>
  <c r="G91" i="44"/>
  <c r="F91" i="44"/>
  <c r="E91" i="44"/>
  <c r="D91" i="44"/>
  <c r="H90" i="44"/>
  <c r="G90" i="44"/>
  <c r="F90" i="44"/>
  <c r="E90" i="44"/>
  <c r="D90" i="44"/>
  <c r="H89" i="44"/>
  <c r="G89" i="44"/>
  <c r="F89" i="44"/>
  <c r="E89" i="44"/>
  <c r="D89" i="44"/>
  <c r="H88" i="44"/>
  <c r="G88" i="44"/>
  <c r="F88" i="44"/>
  <c r="E88" i="44"/>
  <c r="D88" i="44"/>
  <c r="H87" i="44"/>
  <c r="G87" i="44"/>
  <c r="F87" i="44"/>
  <c r="E87" i="44"/>
  <c r="D87" i="44"/>
  <c r="H86" i="44"/>
  <c r="G86" i="44"/>
  <c r="F86" i="44"/>
  <c r="E86" i="44"/>
  <c r="D86" i="44"/>
  <c r="H84" i="44"/>
  <c r="G84" i="44"/>
  <c r="F84" i="44"/>
  <c r="E84" i="44"/>
  <c r="D84" i="44"/>
  <c r="I73" i="44"/>
  <c r="H73" i="44"/>
  <c r="F64" i="44"/>
  <c r="H61" i="44"/>
  <c r="H51" i="44"/>
  <c r="G51" i="44"/>
  <c r="F51" i="44"/>
  <c r="D51" i="44"/>
  <c r="H50" i="44"/>
  <c r="G50" i="44"/>
  <c r="F50" i="44"/>
  <c r="D50" i="44"/>
  <c r="H49" i="44"/>
  <c r="G49" i="44"/>
  <c r="F49" i="44"/>
  <c r="D49" i="44"/>
  <c r="H47" i="44"/>
  <c r="G47" i="44"/>
  <c r="F47" i="44"/>
  <c r="D47" i="44"/>
  <c r="H46" i="44"/>
  <c r="G46" i="44"/>
  <c r="F46" i="44"/>
  <c r="D46" i="44"/>
  <c r="H41" i="44"/>
  <c r="G41" i="44"/>
  <c r="F41" i="44"/>
  <c r="D41" i="44"/>
  <c r="H40" i="44"/>
  <c r="G40" i="44"/>
  <c r="F40" i="44"/>
  <c r="D40" i="44"/>
  <c r="H39" i="44"/>
  <c r="G39" i="44"/>
  <c r="F39" i="44"/>
  <c r="D39" i="44"/>
  <c r="H38" i="44"/>
  <c r="G38" i="44"/>
  <c r="F38" i="44"/>
  <c r="D38" i="44"/>
  <c r="H37" i="44"/>
  <c r="G37" i="44"/>
  <c r="F37" i="44"/>
  <c r="D37" i="44"/>
  <c r="H36" i="44"/>
  <c r="G36" i="44"/>
  <c r="F36" i="44"/>
  <c r="D36" i="44"/>
  <c r="H34" i="44"/>
  <c r="G34" i="44"/>
  <c r="F34" i="44"/>
  <c r="D34" i="44"/>
  <c r="H33" i="44"/>
  <c r="G33" i="44"/>
  <c r="F33" i="44"/>
  <c r="D33" i="44"/>
  <c r="H31" i="44"/>
  <c r="G31" i="44"/>
  <c r="F31" i="44"/>
  <c r="D31" i="44"/>
  <c r="H26" i="44"/>
  <c r="G26" i="44"/>
  <c r="F26" i="44"/>
  <c r="D26" i="44"/>
  <c r="H25" i="44"/>
  <c r="G25" i="44"/>
  <c r="F25" i="44"/>
  <c r="D25" i="44"/>
  <c r="H24" i="44"/>
  <c r="G24" i="44"/>
  <c r="F24" i="44"/>
  <c r="D24" i="44"/>
  <c r="H23" i="44"/>
  <c r="G23" i="44"/>
  <c r="F23" i="44"/>
  <c r="D23" i="44"/>
  <c r="H22" i="44"/>
  <c r="G22" i="44"/>
  <c r="F22" i="44"/>
  <c r="D22" i="44"/>
  <c r="H21" i="44"/>
  <c r="G21" i="44"/>
  <c r="F21" i="44"/>
  <c r="D21" i="44"/>
  <c r="H19" i="44"/>
  <c r="G19" i="44"/>
  <c r="F19" i="44"/>
  <c r="D19" i="44"/>
  <c r="H18" i="44"/>
  <c r="G18" i="44"/>
  <c r="F18" i="44"/>
  <c r="D18" i="44"/>
  <c r="H17" i="44"/>
  <c r="G17" i="44"/>
  <c r="F17" i="44"/>
  <c r="D17" i="44"/>
  <c r="H16" i="44"/>
  <c r="G16" i="44"/>
  <c r="F16" i="44"/>
  <c r="D16" i="44"/>
  <c r="H15" i="44"/>
  <c r="G15" i="44"/>
  <c r="F15" i="44"/>
  <c r="D15" i="44"/>
  <c r="H13" i="44"/>
  <c r="G13" i="44"/>
  <c r="F13" i="44"/>
  <c r="D13" i="44"/>
  <c r="A2" i="54"/>
  <c r="K66" i="44"/>
  <c r="K133" i="44"/>
  <c r="K147" i="44"/>
  <c r="K156" i="44"/>
  <c r="B197" i="54"/>
  <c r="B205" i="54" s="1"/>
  <c r="B218" i="54" s="1"/>
  <c r="G203" i="54"/>
  <c r="G203" i="44" s="1"/>
  <c r="K218" i="44"/>
  <c r="I221" i="54"/>
  <c r="I221" i="44" s="1"/>
  <c r="I222" i="54"/>
  <c r="I222" i="44" s="1"/>
  <c r="G224" i="54"/>
  <c r="G224" i="44" s="1"/>
  <c r="I227" i="54"/>
  <c r="I227" i="44" s="1"/>
  <c r="I228" i="54"/>
  <c r="I228" i="44" s="1"/>
  <c r="I229" i="54"/>
  <c r="I229" i="44" s="1"/>
  <c r="G230" i="54"/>
  <c r="G230" i="44" s="1"/>
  <c r="E240" i="54"/>
  <c r="E240" i="44" s="1"/>
  <c r="F240" i="54"/>
  <c r="F240" i="44" s="1"/>
  <c r="G240" i="54"/>
  <c r="G240" i="44" s="1"/>
  <c r="H240" i="54"/>
  <c r="H240" i="44" s="1"/>
  <c r="E245" i="54"/>
  <c r="E245" i="44" s="1"/>
  <c r="F245" i="54"/>
  <c r="F245" i="44" s="1"/>
  <c r="G245" i="54"/>
  <c r="G245" i="44" s="1"/>
  <c r="H245" i="54"/>
  <c r="H245" i="44" s="1"/>
  <c r="G293" i="54"/>
  <c r="G293" i="44" s="1"/>
  <c r="E305" i="54"/>
  <c r="E305" i="44" s="1"/>
  <c r="E314" i="54"/>
  <c r="E314" i="44" s="1"/>
  <c r="K318" i="44"/>
  <c r="H332" i="54"/>
  <c r="J332" i="54" s="1"/>
  <c r="K382" i="44"/>
  <c r="F388" i="54"/>
  <c r="F388" i="44" s="1"/>
  <c r="G388" i="54"/>
  <c r="G388" i="44" s="1"/>
  <c r="C92" i="3"/>
  <c r="D92" i="3" s="1"/>
  <c r="K424" i="44"/>
  <c r="B424" i="44" s="1"/>
  <c r="E428" i="54"/>
  <c r="D446" i="54"/>
  <c r="D446" i="44" s="1"/>
  <c r="E446" i="54"/>
  <c r="E446" i="44" s="1"/>
  <c r="F446" i="54"/>
  <c r="F446" i="44" s="1"/>
  <c r="G446" i="54"/>
  <c r="G446" i="44" s="1"/>
  <c r="K448" i="44"/>
  <c r="G467" i="54"/>
  <c r="F544" i="54"/>
  <c r="H544" i="54"/>
  <c r="B564" i="54"/>
  <c r="B589" i="54" s="1"/>
  <c r="B599" i="54" s="1"/>
  <c r="F578" i="54"/>
  <c r="F578" i="44" s="1"/>
  <c r="I606" i="44"/>
  <c r="F607" i="54"/>
  <c r="F607" i="44" s="1"/>
  <c r="G607" i="54"/>
  <c r="G607" i="44" s="1"/>
  <c r="H607" i="54"/>
  <c r="H607" i="44" s="1"/>
  <c r="F637" i="54"/>
  <c r="F637" i="44" s="1"/>
  <c r="G637" i="54"/>
  <c r="G637" i="44" s="1"/>
  <c r="H637" i="54"/>
  <c r="H637" i="44" s="1"/>
  <c r="F647" i="54"/>
  <c r="F647" i="44" s="1"/>
  <c r="G647" i="54"/>
  <c r="G647" i="44" s="1"/>
  <c r="H647" i="54"/>
  <c r="H647" i="44" s="1"/>
  <c r="K707" i="44"/>
  <c r="K798" i="44"/>
  <c r="K809" i="44"/>
  <c r="K822" i="44"/>
  <c r="B822" i="44" s="1"/>
  <c r="F850" i="54"/>
  <c r="F850" i="44" s="1"/>
  <c r="G850" i="54"/>
  <c r="G850" i="44" s="1"/>
  <c r="H850" i="54"/>
  <c r="H850" i="44" s="1"/>
  <c r="I850" i="54"/>
  <c r="I850" i="44" s="1"/>
  <c r="F854" i="54"/>
  <c r="F854" i="44" s="1"/>
  <c r="G854" i="54"/>
  <c r="G854" i="44" s="1"/>
  <c r="H854" i="54"/>
  <c r="H854" i="44" s="1"/>
  <c r="I854" i="54"/>
  <c r="I854" i="44" s="1"/>
  <c r="F858" i="54"/>
  <c r="F858" i="44" s="1"/>
  <c r="G858" i="54"/>
  <c r="G858" i="44" s="1"/>
  <c r="H858" i="54"/>
  <c r="H858" i="44" s="1"/>
  <c r="I858" i="54"/>
  <c r="I858" i="44" s="1"/>
  <c r="F862" i="54"/>
  <c r="F862" i="44" s="1"/>
  <c r="G862" i="54"/>
  <c r="G862" i="44" s="1"/>
  <c r="H862" i="54"/>
  <c r="H862" i="44" s="1"/>
  <c r="I862" i="54"/>
  <c r="I862" i="44" s="1"/>
  <c r="F866" i="54"/>
  <c r="F866" i="44" s="1"/>
  <c r="G866" i="54"/>
  <c r="G866" i="44" s="1"/>
  <c r="H866" i="54"/>
  <c r="H866" i="44" s="1"/>
  <c r="I866" i="54"/>
  <c r="I866" i="44" s="1"/>
  <c r="C1172" i="54"/>
  <c r="C1231" i="54"/>
  <c r="C1250" i="54"/>
  <c r="K1279" i="44"/>
  <c r="H1292" i="54"/>
  <c r="I1292" i="54"/>
  <c r="I1292" i="44" s="1"/>
  <c r="H1298" i="54"/>
  <c r="I1298" i="54"/>
  <c r="I1298" i="44" s="1"/>
  <c r="H1308" i="54"/>
  <c r="I1308" i="54"/>
  <c r="I1308" i="44" s="1"/>
  <c r="H1317" i="54"/>
  <c r="I1317" i="54"/>
  <c r="I1317" i="44" s="1"/>
  <c r="I1325" i="54"/>
  <c r="I1325" i="44" s="1"/>
  <c r="I1334" i="54"/>
  <c r="I1334" i="44" s="1"/>
  <c r="H1338" i="54"/>
  <c r="I1345" i="54"/>
  <c r="I1345" i="44" s="1"/>
  <c r="H1353" i="54"/>
  <c r="H1353" i="44" s="1"/>
  <c r="I1354" i="54"/>
  <c r="I1354" i="44" s="1"/>
  <c r="H1359" i="54"/>
  <c r="I1359" i="54"/>
  <c r="I1359" i="44" s="1"/>
  <c r="K1391" i="44"/>
  <c r="H1417" i="54"/>
  <c r="H1417" i="44" s="1"/>
  <c r="I1417" i="54"/>
  <c r="I1417" i="44" s="1"/>
  <c r="I1428" i="54"/>
  <c r="G1429" i="54"/>
  <c r="G1429" i="44" s="1"/>
  <c r="H1429" i="54"/>
  <c r="H1429" i="44" s="1"/>
  <c r="K1490" i="44"/>
  <c r="E1506" i="54"/>
  <c r="E1506" i="44" s="1"/>
  <c r="F1506" i="54"/>
  <c r="F1506" i="44" s="1"/>
  <c r="H1506" i="54"/>
  <c r="H1506" i="44" s="1"/>
  <c r="I1506" i="54"/>
  <c r="I1506" i="44" s="1"/>
  <c r="K1520" i="44"/>
  <c r="K1646" i="44"/>
  <c r="K1651" i="44"/>
  <c r="B1745" i="54"/>
  <c r="B1749" i="54"/>
  <c r="B1752" i="54"/>
  <c r="C75" i="3"/>
  <c r="D75" i="3" s="1"/>
  <c r="B79" i="54"/>
  <c r="B1441" i="54"/>
  <c r="I604" i="44"/>
  <c r="K1669" i="44"/>
  <c r="K1280" i="44"/>
  <c r="K1266" i="44"/>
  <c r="K1183" i="44"/>
  <c r="K1162" i="44"/>
  <c r="K694" i="44"/>
  <c r="K681" i="44"/>
  <c r="K613" i="44"/>
  <c r="K589" i="44"/>
  <c r="K564" i="44"/>
  <c r="B564" i="44" s="1"/>
  <c r="B424" i="54"/>
  <c r="B438" i="54" s="1"/>
  <c r="B448" i="54" s="1"/>
  <c r="K334" i="44"/>
  <c r="K1108" i="44"/>
  <c r="K1018" i="44"/>
  <c r="B1018" i="44" s="1"/>
  <c r="K931" i="44"/>
  <c r="B917" i="54"/>
  <c r="B931" i="54" s="1"/>
  <c r="K917" i="44"/>
  <c r="B917" i="44" s="1"/>
  <c r="K872" i="44"/>
  <c r="B770" i="54"/>
  <c r="B780" i="54" s="1"/>
  <c r="K770" i="44"/>
  <c r="B770" i="44" s="1"/>
  <c r="K535" i="44"/>
  <c r="K366" i="44"/>
  <c r="K70" i="44"/>
  <c r="K79" i="44"/>
  <c r="B79" i="44" s="1"/>
  <c r="K1412" i="44"/>
  <c r="K1363" i="44"/>
  <c r="K1131" i="44"/>
  <c r="K1089" i="44"/>
  <c r="B1089" i="44" s="1"/>
  <c r="K1035" i="44"/>
  <c r="K990" i="44"/>
  <c r="K889" i="44"/>
  <c r="K847" i="44"/>
  <c r="K780" i="44"/>
  <c r="B619" i="54"/>
  <c r="B629" i="54" s="1"/>
  <c r="K619" i="44"/>
  <c r="B619" i="44" s="1"/>
  <c r="K609" i="44"/>
  <c r="B234" i="54"/>
  <c r="K234" i="44"/>
  <c r="B234" i="44" s="1"/>
  <c r="K205" i="44"/>
  <c r="B8" i="54"/>
  <c r="K166" i="44"/>
  <c r="K1495" i="44"/>
  <c r="K1477" i="44"/>
  <c r="K629" i="44"/>
  <c r="B465" i="54"/>
  <c r="K465" i="44"/>
  <c r="B465" i="44" s="1"/>
  <c r="K438" i="44"/>
  <c r="K197" i="44"/>
  <c r="B197" i="44" s="1"/>
  <c r="K8" i="44"/>
  <c r="B8" i="44" s="1"/>
  <c r="G266" i="54"/>
  <c r="G266" i="44" s="1"/>
  <c r="E549" i="54"/>
  <c r="E549" i="44" s="1"/>
  <c r="B1089" i="54"/>
  <c r="B1108" i="54" s="1"/>
  <c r="B1131" i="54" s="1"/>
  <c r="B822" i="54"/>
  <c r="B847" i="54" s="1"/>
  <c r="B872" i="54" s="1"/>
  <c r="B1018" i="54"/>
  <c r="B1035" i="54" s="1"/>
  <c r="C436" i="44"/>
  <c r="C157" i="44"/>
  <c r="A2" i="53"/>
  <c r="G24" i="53"/>
  <c r="D79" i="53"/>
  <c r="B13" i="49"/>
  <c r="B12" i="49"/>
  <c r="B11" i="49"/>
  <c r="B10" i="49"/>
  <c r="B9" i="49"/>
  <c r="B8" i="49"/>
  <c r="B7" i="49"/>
  <c r="A13" i="49"/>
  <c r="A12" i="49"/>
  <c r="A11" i="49"/>
  <c r="A10" i="49"/>
  <c r="A9" i="49"/>
  <c r="A8" i="49"/>
  <c r="A7" i="49"/>
  <c r="K1682" i="44"/>
  <c r="C192" i="30"/>
  <c r="K1465" i="44"/>
  <c r="C181" i="30"/>
  <c r="K1457" i="44"/>
  <c r="C180" i="30"/>
  <c r="K1449" i="44"/>
  <c r="C179" i="30"/>
  <c r="K1441" i="44"/>
  <c r="B1441" i="44" s="1"/>
  <c r="C178" i="30"/>
  <c r="C991" i="44"/>
  <c r="C1019" i="44" s="1"/>
  <c r="C1036" i="44" s="1"/>
  <c r="C1068" i="44" s="1"/>
  <c r="C1090" i="44" s="1"/>
  <c r="C1109" i="44" s="1"/>
  <c r="C1132" i="44" s="1"/>
  <c r="K553" i="44"/>
  <c r="B553" i="44" s="1"/>
  <c r="C117" i="30"/>
  <c r="K551" i="44"/>
  <c r="C116" i="30"/>
  <c r="C607" i="44"/>
  <c r="C604" i="44"/>
  <c r="K599" i="44"/>
  <c r="C121" i="30"/>
  <c r="C68" i="3"/>
  <c r="D68" i="3" s="1"/>
  <c r="C63" i="3"/>
  <c r="D63" i="3" s="1"/>
  <c r="C59" i="3"/>
  <c r="D59" i="3" s="1"/>
  <c r="K19" i="17"/>
  <c r="K21" i="17" s="1"/>
  <c r="K22" i="17" s="1"/>
  <c r="D19" i="17"/>
  <c r="D21" i="17" s="1"/>
  <c r="D22" i="17" s="1"/>
  <c r="C19" i="17"/>
  <c r="C21" i="17" s="1"/>
  <c r="C22" i="17" s="1"/>
  <c r="C9" i="4"/>
  <c r="D9" i="4" s="1"/>
  <c r="H79" i="29"/>
  <c r="H1172" i="44"/>
  <c r="C93" i="3"/>
  <c r="D93" i="3" s="1"/>
  <c r="C94" i="3"/>
  <c r="D94" i="3" s="1"/>
  <c r="C27" i="4"/>
  <c r="D27" i="4" s="1"/>
  <c r="C23" i="4"/>
  <c r="D23" i="4" s="1"/>
  <c r="V3" i="50"/>
  <c r="D83" i="30"/>
  <c r="C31" i="4"/>
  <c r="D31" i="4" s="1"/>
  <c r="C30" i="4"/>
  <c r="D30" i="4" s="1"/>
  <c r="C32" i="4"/>
  <c r="D32" i="4" s="1"/>
  <c r="C65" i="4"/>
  <c r="D65" i="4" s="1"/>
  <c r="C66" i="4"/>
  <c r="D66" i="4" s="1"/>
  <c r="W574" i="47"/>
  <c r="W573" i="47"/>
  <c r="W572" i="47"/>
  <c r="W571" i="47"/>
  <c r="W570" i="47"/>
  <c r="W569" i="47"/>
  <c r="W568" i="47"/>
  <c r="B1" i="21"/>
  <c r="B1" i="49"/>
  <c r="B1" i="48"/>
  <c r="A1" i="21"/>
  <c r="A1" i="49"/>
  <c r="A1" i="48"/>
  <c r="M20" i="17"/>
  <c r="C1" i="47"/>
  <c r="C31" i="5"/>
  <c r="D31" i="5" s="1"/>
  <c r="G23" i="53"/>
  <c r="W491" i="47"/>
  <c r="V4" i="30"/>
  <c r="C46" i="5"/>
  <c r="D46" i="5" s="1"/>
  <c r="C42" i="5"/>
  <c r="D42" i="5" s="1"/>
  <c r="C47" i="5"/>
  <c r="D47" i="5" s="1"/>
  <c r="W637" i="47"/>
  <c r="W636" i="47"/>
  <c r="W635" i="47"/>
  <c r="W634" i="47"/>
  <c r="W633" i="47"/>
  <c r="W632" i="47"/>
  <c r="W631" i="47"/>
  <c r="W630" i="47"/>
  <c r="W629" i="47"/>
  <c r="W628" i="47"/>
  <c r="W627" i="47"/>
  <c r="W626" i="47"/>
  <c r="W625" i="47"/>
  <c r="W624" i="47"/>
  <c r="W623" i="47"/>
  <c r="W622" i="47"/>
  <c r="W621" i="47"/>
  <c r="W620" i="47"/>
  <c r="W619" i="47"/>
  <c r="W618" i="47"/>
  <c r="W617" i="47"/>
  <c r="W616" i="47"/>
  <c r="W615" i="47"/>
  <c r="W614" i="47"/>
  <c r="W613" i="47"/>
  <c r="W612" i="47"/>
  <c r="W611" i="47"/>
  <c r="W610" i="47"/>
  <c r="W609" i="47"/>
  <c r="W608" i="47"/>
  <c r="W607" i="47"/>
  <c r="W606" i="47"/>
  <c r="W605" i="47"/>
  <c r="W604" i="47"/>
  <c r="W603" i="47"/>
  <c r="W602" i="47"/>
  <c r="W601" i="47"/>
  <c r="W600" i="47"/>
  <c r="W599" i="47"/>
  <c r="W598" i="47"/>
  <c r="W597" i="47"/>
  <c r="W596" i="47"/>
  <c r="W595" i="47"/>
  <c r="W594" i="47"/>
  <c r="W593" i="47"/>
  <c r="W592" i="47"/>
  <c r="W591" i="47"/>
  <c r="W590" i="47"/>
  <c r="W589" i="47"/>
  <c r="W588" i="47"/>
  <c r="W587" i="47"/>
  <c r="W586" i="47"/>
  <c r="W585" i="47"/>
  <c r="W584" i="47"/>
  <c r="W583" i="47"/>
  <c r="W582" i="47"/>
  <c r="W581" i="47"/>
  <c r="W580" i="47"/>
  <c r="W579" i="47"/>
  <c r="W578" i="47"/>
  <c r="W577" i="47"/>
  <c r="W576" i="47"/>
  <c r="W575" i="47"/>
  <c r="S637" i="47"/>
  <c r="S636" i="47"/>
  <c r="S635" i="47"/>
  <c r="S634" i="47"/>
  <c r="S633" i="47"/>
  <c r="S632" i="47"/>
  <c r="S631" i="47"/>
  <c r="S630" i="47"/>
  <c r="S629" i="47"/>
  <c r="S628" i="47"/>
  <c r="S627" i="47"/>
  <c r="S626" i="47"/>
  <c r="S625" i="47"/>
  <c r="S624" i="47"/>
  <c r="S623" i="47"/>
  <c r="S622" i="47"/>
  <c r="S621" i="47"/>
  <c r="S620" i="47"/>
  <c r="S619" i="47"/>
  <c r="S618" i="47"/>
  <c r="S617" i="47"/>
  <c r="S616" i="47"/>
  <c r="S615" i="47"/>
  <c r="S614" i="47"/>
  <c r="S613" i="47"/>
  <c r="S612" i="47"/>
  <c r="S611" i="47"/>
  <c r="S610" i="47"/>
  <c r="S609" i="47"/>
  <c r="S608" i="47"/>
  <c r="S607" i="47"/>
  <c r="S606" i="47"/>
  <c r="S605" i="47"/>
  <c r="S604" i="47"/>
  <c r="S603" i="47"/>
  <c r="S602" i="47"/>
  <c r="S601" i="47"/>
  <c r="S600" i="47"/>
  <c r="S599" i="47"/>
  <c r="S598" i="47"/>
  <c r="S597" i="47"/>
  <c r="S596" i="47"/>
  <c r="S595" i="47"/>
  <c r="S594" i="47"/>
  <c r="S593" i="47"/>
  <c r="S592" i="47"/>
  <c r="S591" i="47"/>
  <c r="S590" i="47"/>
  <c r="S589" i="47"/>
  <c r="S588" i="47"/>
  <c r="S587" i="47"/>
  <c r="S586" i="47"/>
  <c r="S585" i="47"/>
  <c r="S584" i="47"/>
  <c r="S583" i="47"/>
  <c r="S582" i="47"/>
  <c r="C53" i="5"/>
  <c r="D53" i="5" s="1"/>
  <c r="C49" i="5"/>
  <c r="D49" i="5" s="1"/>
  <c r="C54" i="5"/>
  <c r="D54" i="5" s="1"/>
  <c r="W563" i="47"/>
  <c r="W560" i="47"/>
  <c r="W559" i="47"/>
  <c r="W558" i="47"/>
  <c r="W557" i="47"/>
  <c r="W556" i="47"/>
  <c r="W555" i="47"/>
  <c r="W554" i="47"/>
  <c r="W553" i="47"/>
  <c r="W552" i="47"/>
  <c r="W551" i="47"/>
  <c r="W550" i="47"/>
  <c r="W549" i="47"/>
  <c r="W548" i="47"/>
  <c r="W547" i="47"/>
  <c r="W546" i="47"/>
  <c r="W545" i="47"/>
  <c r="W544" i="47"/>
  <c r="W543" i="47"/>
  <c r="W542" i="47"/>
  <c r="W541" i="47"/>
  <c r="W540" i="47"/>
  <c r="W539" i="47"/>
  <c r="W538" i="47"/>
  <c r="W537" i="47"/>
  <c r="W536" i="47"/>
  <c r="W535" i="47"/>
  <c r="W534" i="47"/>
  <c r="W533" i="47"/>
  <c r="W532" i="47"/>
  <c r="W531" i="47"/>
  <c r="W530" i="47"/>
  <c r="W529" i="47"/>
  <c r="W528" i="47"/>
  <c r="W527" i="47"/>
  <c r="W526" i="47"/>
  <c r="W525" i="47"/>
  <c r="W524" i="47"/>
  <c r="W523" i="47"/>
  <c r="W522" i="47"/>
  <c r="W521" i="47"/>
  <c r="W520" i="47"/>
  <c r="W519" i="47"/>
  <c r="W518" i="47"/>
  <c r="W517" i="47"/>
  <c r="W516" i="47"/>
  <c r="W515" i="47"/>
  <c r="W514" i="47"/>
  <c r="W513" i="47"/>
  <c r="W512" i="47"/>
  <c r="W511" i="47"/>
  <c r="W510" i="47"/>
  <c r="W509" i="47"/>
  <c r="W508" i="47"/>
  <c r="W507" i="47"/>
  <c r="W506" i="47"/>
  <c r="W505" i="47"/>
  <c r="W504" i="47"/>
  <c r="W503" i="47"/>
  <c r="W502" i="47"/>
  <c r="W501" i="47"/>
  <c r="W500" i="47"/>
  <c r="W499" i="47"/>
  <c r="W498" i="47"/>
  <c r="W497" i="47"/>
  <c r="W496" i="47"/>
  <c r="W495" i="47"/>
  <c r="W494" i="47"/>
  <c r="W493" i="47"/>
  <c r="W492" i="47"/>
  <c r="W485" i="47"/>
  <c r="W484" i="47"/>
  <c r="W483" i="47"/>
  <c r="W482" i="47"/>
  <c r="W481" i="47"/>
  <c r="W480" i="47"/>
  <c r="W479" i="47"/>
  <c r="W478" i="47"/>
  <c r="W477" i="47"/>
  <c r="W476" i="47"/>
  <c r="W475" i="47"/>
  <c r="W474" i="47"/>
  <c r="W473" i="47"/>
  <c r="W472" i="47"/>
  <c r="W471" i="47"/>
  <c r="W470" i="47"/>
  <c r="W469" i="47"/>
  <c r="W468" i="47"/>
  <c r="W467" i="47"/>
  <c r="W466" i="47"/>
  <c r="W465" i="47"/>
  <c r="W464" i="47"/>
  <c r="W463" i="47"/>
  <c r="W462" i="47"/>
  <c r="W461" i="47"/>
  <c r="W460" i="47"/>
  <c r="W459" i="47"/>
  <c r="W458" i="47"/>
  <c r="W457" i="47"/>
  <c r="W456" i="47"/>
  <c r="W455" i="47"/>
  <c r="W454" i="47"/>
  <c r="W453" i="47"/>
  <c r="W452" i="47"/>
  <c r="W451" i="47"/>
  <c r="W450" i="47"/>
  <c r="W449" i="47"/>
  <c r="W448" i="47"/>
  <c r="W447" i="47"/>
  <c r="W446" i="47"/>
  <c r="W445" i="47"/>
  <c r="W444" i="47"/>
  <c r="W443" i="47"/>
  <c r="W442" i="47"/>
  <c r="W441" i="47"/>
  <c r="W440" i="47"/>
  <c r="W439" i="47"/>
  <c r="W438" i="47"/>
  <c r="W437" i="47"/>
  <c r="W436" i="47"/>
  <c r="W435" i="47"/>
  <c r="W434" i="47"/>
  <c r="W433" i="47"/>
  <c r="W432" i="47"/>
  <c r="W431" i="47"/>
  <c r="W430" i="47"/>
  <c r="W429" i="47"/>
  <c r="W428" i="47"/>
  <c r="W427" i="47"/>
  <c r="W426" i="47"/>
  <c r="W425" i="47"/>
  <c r="W424" i="47"/>
  <c r="W423" i="47"/>
  <c r="W422" i="47"/>
  <c r="W421" i="47"/>
  <c r="W420" i="47"/>
  <c r="W419" i="47"/>
  <c r="W418" i="47"/>
  <c r="W417" i="47"/>
  <c r="W416" i="47"/>
  <c r="W415" i="47"/>
  <c r="W414" i="47"/>
  <c r="W412" i="47"/>
  <c r="W411" i="47"/>
  <c r="W488" i="47"/>
  <c r="W409" i="47"/>
  <c r="C56" i="5"/>
  <c r="D56" i="5" s="1"/>
  <c r="C8" i="47"/>
  <c r="C48" i="3"/>
  <c r="D48" i="3" s="1"/>
  <c r="C22" i="4"/>
  <c r="D22" i="4" s="1"/>
  <c r="AW327" i="41"/>
  <c r="AX327" i="41" s="1"/>
  <c r="AY327" i="41" s="1"/>
  <c r="AV327" i="41"/>
  <c r="AW326" i="41"/>
  <c r="AX326" i="41" s="1"/>
  <c r="AY326" i="41" s="1"/>
  <c r="AZ326" i="41" s="1"/>
  <c r="AV326" i="41"/>
  <c r="AW325" i="41"/>
  <c r="AX325" i="41" s="1"/>
  <c r="AY325" i="41" s="1"/>
  <c r="AV325" i="41"/>
  <c r="AW324" i="41"/>
  <c r="AX324" i="41" s="1"/>
  <c r="AY324" i="41" s="1"/>
  <c r="AV324" i="41"/>
  <c r="AW323" i="41"/>
  <c r="AX323" i="41" s="1"/>
  <c r="AY323" i="41" s="1"/>
  <c r="AV323" i="41"/>
  <c r="AW322" i="41"/>
  <c r="AX322" i="41" s="1"/>
  <c r="AY322" i="41" s="1"/>
  <c r="AZ322" i="41" s="1"/>
  <c r="AV322" i="41"/>
  <c r="AW321" i="41"/>
  <c r="AX321" i="41" s="1"/>
  <c r="AY321" i="41" s="1"/>
  <c r="AV321" i="41"/>
  <c r="AW320" i="41"/>
  <c r="AX320" i="41" s="1"/>
  <c r="AY320" i="41" s="1"/>
  <c r="AV320" i="41"/>
  <c r="AW319" i="41"/>
  <c r="AX319" i="41" s="1"/>
  <c r="AY319" i="41" s="1"/>
  <c r="AV319" i="41"/>
  <c r="AW318" i="41"/>
  <c r="AX318" i="41" s="1"/>
  <c r="AY318" i="41" s="1"/>
  <c r="AV318" i="41"/>
  <c r="AW317" i="41"/>
  <c r="AX317" i="41" s="1"/>
  <c r="AY317" i="41" s="1"/>
  <c r="AV317" i="41"/>
  <c r="AW316" i="41"/>
  <c r="AX316" i="41" s="1"/>
  <c r="AY316" i="41" s="1"/>
  <c r="AZ316" i="41" s="1"/>
  <c r="BA316" i="41" s="1"/>
  <c r="AV316" i="41"/>
  <c r="AW315" i="41"/>
  <c r="AX315" i="41" s="1"/>
  <c r="AY315" i="41" s="1"/>
  <c r="AZ315" i="41" s="1"/>
  <c r="BA315" i="41" s="1"/>
  <c r="BB315" i="41" s="1"/>
  <c r="BC315" i="41" s="1"/>
  <c r="BD315" i="41" s="1"/>
  <c r="AV315" i="41"/>
  <c r="AW314" i="41"/>
  <c r="AX314" i="41" s="1"/>
  <c r="AY314" i="41" s="1"/>
  <c r="AV314" i="41"/>
  <c r="AW313" i="41"/>
  <c r="AX313" i="41" s="1"/>
  <c r="AY313" i="41" s="1"/>
  <c r="AZ313" i="41" s="1"/>
  <c r="AV313" i="41"/>
  <c r="AW312" i="41"/>
  <c r="AX312" i="41" s="1"/>
  <c r="AY312" i="41" s="1"/>
  <c r="AV312" i="41"/>
  <c r="AW311" i="41"/>
  <c r="AX311" i="41" s="1"/>
  <c r="AY311" i="41" s="1"/>
  <c r="AZ311" i="41" s="1"/>
  <c r="BA311" i="41" s="1"/>
  <c r="BB311" i="41" s="1"/>
  <c r="BC311" i="41" s="1"/>
  <c r="BD311" i="41" s="1"/>
  <c r="AV311" i="41"/>
  <c r="AW310" i="41"/>
  <c r="AX310" i="41" s="1"/>
  <c r="AY310" i="41" s="1"/>
  <c r="AZ310" i="41" s="1"/>
  <c r="AV310" i="41"/>
  <c r="AW309" i="41"/>
  <c r="AX309" i="41" s="1"/>
  <c r="AY309" i="41" s="1"/>
  <c r="AZ309" i="41" s="1"/>
  <c r="BA309" i="41" s="1"/>
  <c r="BB309" i="41" s="1"/>
  <c r="BC309" i="41" s="1"/>
  <c r="BD309" i="41" s="1"/>
  <c r="AV309" i="41"/>
  <c r="AW308" i="41"/>
  <c r="AX308" i="41" s="1"/>
  <c r="AY308" i="41" s="1"/>
  <c r="AZ308" i="41" s="1"/>
  <c r="BA308" i="41" s="1"/>
  <c r="AV308" i="41"/>
  <c r="AW307" i="41"/>
  <c r="AX307" i="41" s="1"/>
  <c r="AY307" i="41" s="1"/>
  <c r="AZ307" i="41" s="1"/>
  <c r="BA307" i="41" s="1"/>
  <c r="AV307" i="41"/>
  <c r="AW306" i="41"/>
  <c r="AX306" i="41" s="1"/>
  <c r="AY306" i="41" s="1"/>
  <c r="AZ306" i="41" s="1"/>
  <c r="BA306" i="41" s="1"/>
  <c r="BB306" i="41" s="1"/>
  <c r="AV306" i="41"/>
  <c r="AW305" i="41"/>
  <c r="AX305" i="41" s="1"/>
  <c r="AY305" i="41" s="1"/>
  <c r="AZ305" i="41" s="1"/>
  <c r="BA305" i="41" s="1"/>
  <c r="BB305" i="41" s="1"/>
  <c r="BC305" i="41" s="1"/>
  <c r="BD305" i="41" s="1"/>
  <c r="AV305" i="41"/>
  <c r="AW304" i="41"/>
  <c r="AX304" i="41" s="1"/>
  <c r="AY304" i="41" s="1"/>
  <c r="AZ304" i="41" s="1"/>
  <c r="BA304" i="41" s="1"/>
  <c r="AV304" i="41"/>
  <c r="AW303" i="41"/>
  <c r="AX303" i="41" s="1"/>
  <c r="AY303" i="41" s="1"/>
  <c r="AZ303" i="41" s="1"/>
  <c r="BA303" i="41" s="1"/>
  <c r="AV303" i="41"/>
  <c r="AW302" i="41"/>
  <c r="AX302" i="41" s="1"/>
  <c r="AY302" i="41" s="1"/>
  <c r="AZ302" i="41" s="1"/>
  <c r="BA302" i="41" s="1"/>
  <c r="BB302" i="41" s="1"/>
  <c r="BC302" i="41" s="1"/>
  <c r="BD302" i="41" s="1"/>
  <c r="AV302" i="41"/>
  <c r="AW301" i="41"/>
  <c r="AX301" i="41" s="1"/>
  <c r="AY301" i="41" s="1"/>
  <c r="AZ301" i="41" s="1"/>
  <c r="BA301" i="41" s="1"/>
  <c r="AV301" i="41"/>
  <c r="AW300" i="41"/>
  <c r="AX300" i="41" s="1"/>
  <c r="AY300" i="41" s="1"/>
  <c r="AZ300" i="41" s="1"/>
  <c r="BA300" i="41" s="1"/>
  <c r="BB300" i="41" s="1"/>
  <c r="BC300" i="41" s="1"/>
  <c r="BD300" i="41" s="1"/>
  <c r="AV300" i="41"/>
  <c r="AW299" i="41"/>
  <c r="AX299" i="41" s="1"/>
  <c r="AY299" i="41" s="1"/>
  <c r="AZ299" i="41"/>
  <c r="BA299" i="41" s="1"/>
  <c r="AV299" i="41"/>
  <c r="AW298" i="41"/>
  <c r="AX298" i="41" s="1"/>
  <c r="AY298" i="41" s="1"/>
  <c r="AZ298" i="41" s="1"/>
  <c r="BA298" i="41" s="1"/>
  <c r="AV298" i="41"/>
  <c r="AW297" i="41"/>
  <c r="AX297" i="41" s="1"/>
  <c r="AY297" i="41" s="1"/>
  <c r="AZ297" i="41" s="1"/>
  <c r="BA297" i="41" s="1"/>
  <c r="AV297" i="41"/>
  <c r="AW296" i="41"/>
  <c r="AX296" i="41" s="1"/>
  <c r="AY296" i="41" s="1"/>
  <c r="AZ296" i="41" s="1"/>
  <c r="BA296" i="41" s="1"/>
  <c r="BB296" i="41" s="1"/>
  <c r="BC296" i="41" s="1"/>
  <c r="BD296" i="41" s="1"/>
  <c r="AV296" i="41"/>
  <c r="AW295" i="41"/>
  <c r="AX295" i="41" s="1"/>
  <c r="AY295" i="41" s="1"/>
  <c r="AZ295" i="41" s="1"/>
  <c r="BA295" i="41" s="1"/>
  <c r="BB295" i="41" s="1"/>
  <c r="BC295" i="41" s="1"/>
  <c r="BD295" i="41" s="1"/>
  <c r="AV295" i="41"/>
  <c r="AW294" i="41"/>
  <c r="AX294" i="41" s="1"/>
  <c r="AY294" i="41" s="1"/>
  <c r="AV294" i="41"/>
  <c r="AW293" i="41"/>
  <c r="AX293" i="41" s="1"/>
  <c r="AY293" i="41" s="1"/>
  <c r="AZ293" i="41" s="1"/>
  <c r="AV293" i="41"/>
  <c r="AW292" i="41"/>
  <c r="AX292" i="41" s="1"/>
  <c r="AY292" i="41" s="1"/>
  <c r="AZ292" i="41" s="1"/>
  <c r="BA292" i="41" s="1"/>
  <c r="AV292" i="41"/>
  <c r="AW291" i="41"/>
  <c r="AX291" i="41" s="1"/>
  <c r="AY291" i="41" s="1"/>
  <c r="AZ291" i="41" s="1"/>
  <c r="BA291" i="41" s="1"/>
  <c r="BB291" i="41" s="1"/>
  <c r="BC291" i="41" s="1"/>
  <c r="AV291" i="41"/>
  <c r="AW290" i="41"/>
  <c r="AX290" i="41" s="1"/>
  <c r="AY290" i="41" s="1"/>
  <c r="AZ290" i="41" s="1"/>
  <c r="BA290" i="41" s="1"/>
  <c r="BB290" i="41" s="1"/>
  <c r="BC290" i="41" s="1"/>
  <c r="AV290" i="41"/>
  <c r="AW289" i="41"/>
  <c r="AX289" i="41" s="1"/>
  <c r="AY289" i="41" s="1"/>
  <c r="AZ289" i="41" s="1"/>
  <c r="BA289" i="41" s="1"/>
  <c r="BB289" i="41" s="1"/>
  <c r="AV289" i="41"/>
  <c r="AW288" i="41"/>
  <c r="AX288" i="41" s="1"/>
  <c r="AY288" i="41" s="1"/>
  <c r="AZ288" i="41" s="1"/>
  <c r="BA288" i="41" s="1"/>
  <c r="BB288" i="41" s="1"/>
  <c r="AV288" i="41"/>
  <c r="AW287" i="41"/>
  <c r="AX287" i="41" s="1"/>
  <c r="AY287" i="41" s="1"/>
  <c r="AZ287" i="41" s="1"/>
  <c r="BA287" i="41" s="1"/>
  <c r="AV287" i="41"/>
  <c r="AW286" i="41"/>
  <c r="AX286" i="41" s="1"/>
  <c r="AY286" i="41" s="1"/>
  <c r="AZ286" i="41" s="1"/>
  <c r="BA286" i="41" s="1"/>
  <c r="BB286" i="41" s="1"/>
  <c r="BC286" i="41" s="1"/>
  <c r="BD286" i="41" s="1"/>
  <c r="AV286" i="41"/>
  <c r="AW285" i="41"/>
  <c r="AX285" i="41" s="1"/>
  <c r="AY285" i="41" s="1"/>
  <c r="AZ285" i="41" s="1"/>
  <c r="BA285" i="41" s="1"/>
  <c r="AV285" i="41"/>
  <c r="AW284" i="41"/>
  <c r="AX284" i="41" s="1"/>
  <c r="AY284" i="41" s="1"/>
  <c r="AZ284" i="41" s="1"/>
  <c r="BA284" i="41" s="1"/>
  <c r="BB284" i="41" s="1"/>
  <c r="BC284" i="41" s="1"/>
  <c r="BD284" i="41" s="1"/>
  <c r="AV284" i="41"/>
  <c r="AW283" i="41"/>
  <c r="AX283" i="41" s="1"/>
  <c r="AY283" i="41" s="1"/>
  <c r="AZ283" i="41" s="1"/>
  <c r="BA283" i="41" s="1"/>
  <c r="BB283" i="41" s="1"/>
  <c r="BC283" i="41" s="1"/>
  <c r="BD283" i="41" s="1"/>
  <c r="AV283" i="41"/>
  <c r="AW282" i="41"/>
  <c r="AX282" i="41" s="1"/>
  <c r="AY282" i="41" s="1"/>
  <c r="AZ282" i="41" s="1"/>
  <c r="BA282" i="41" s="1"/>
  <c r="BB282" i="41" s="1"/>
  <c r="BC282" i="41" s="1"/>
  <c r="AV282" i="41"/>
  <c r="AW281" i="41"/>
  <c r="AX281" i="41" s="1"/>
  <c r="AY281" i="41" s="1"/>
  <c r="AZ281" i="41" s="1"/>
  <c r="BA281" i="41" s="1"/>
  <c r="BB281" i="41" s="1"/>
  <c r="BC281" i="41" s="1"/>
  <c r="AV281" i="41"/>
  <c r="AW280" i="41"/>
  <c r="AX280" i="41" s="1"/>
  <c r="AY280" i="41" s="1"/>
  <c r="AZ280" i="41" s="1"/>
  <c r="BA280" i="41" s="1"/>
  <c r="BB280" i="41" s="1"/>
  <c r="BC280" i="41" s="1"/>
  <c r="AV280" i="41"/>
  <c r="AW279" i="41"/>
  <c r="AX279" i="41" s="1"/>
  <c r="AY279" i="41" s="1"/>
  <c r="AZ279" i="41" s="1"/>
  <c r="BA279" i="41" s="1"/>
  <c r="BB279" i="41" s="1"/>
  <c r="BC279" i="41" s="1"/>
  <c r="BD279" i="41" s="1"/>
  <c r="AV279" i="41"/>
  <c r="AW278" i="41"/>
  <c r="AX278" i="41" s="1"/>
  <c r="AY278" i="41" s="1"/>
  <c r="AZ278" i="41" s="1"/>
  <c r="BA278" i="41" s="1"/>
  <c r="BB278" i="41" s="1"/>
  <c r="BC278" i="41" s="1"/>
  <c r="AV278" i="41"/>
  <c r="AW277" i="41"/>
  <c r="AX277" i="41" s="1"/>
  <c r="AY277" i="41" s="1"/>
  <c r="AZ277" i="41" s="1"/>
  <c r="BA277" i="41" s="1"/>
  <c r="BB277" i="41" s="1"/>
  <c r="AV277" i="41"/>
  <c r="AW276" i="41"/>
  <c r="AX276" i="41" s="1"/>
  <c r="AY276" i="41" s="1"/>
  <c r="AZ276" i="41" s="1"/>
  <c r="BA276" i="41" s="1"/>
  <c r="BB276" i="41" s="1"/>
  <c r="AV276" i="41"/>
  <c r="AW275" i="41"/>
  <c r="AX275" i="41" s="1"/>
  <c r="AY275" i="41" s="1"/>
  <c r="AZ275" i="41" s="1"/>
  <c r="BA275" i="41" s="1"/>
  <c r="BB275" i="41" s="1"/>
  <c r="AV275" i="41"/>
  <c r="AW274" i="41"/>
  <c r="AX274" i="41" s="1"/>
  <c r="AY274" i="41" s="1"/>
  <c r="AZ274" i="41" s="1"/>
  <c r="BA274" i="41" s="1"/>
  <c r="BB274" i="41" s="1"/>
  <c r="BC274" i="41" s="1"/>
  <c r="BD274" i="41" s="1"/>
  <c r="AV274" i="41"/>
  <c r="AW273" i="41"/>
  <c r="AX273" i="41" s="1"/>
  <c r="AY273" i="41" s="1"/>
  <c r="AZ273" i="41" s="1"/>
  <c r="BA273" i="41" s="1"/>
  <c r="AV273" i="41"/>
  <c r="AW272" i="41"/>
  <c r="AX272" i="41" s="1"/>
  <c r="AY272" i="41" s="1"/>
  <c r="AZ272" i="41" s="1"/>
  <c r="BA272" i="41" s="1"/>
  <c r="AV272" i="41"/>
  <c r="AW271" i="41"/>
  <c r="AX271" i="41" s="1"/>
  <c r="AY271" i="41" s="1"/>
  <c r="AZ271" i="41" s="1"/>
  <c r="AV271" i="41"/>
  <c r="AW270" i="41"/>
  <c r="AX270" i="41" s="1"/>
  <c r="AY270" i="41" s="1"/>
  <c r="AZ270" i="41" s="1"/>
  <c r="AV270" i="41"/>
  <c r="AW269" i="41"/>
  <c r="AX269" i="41" s="1"/>
  <c r="AY269" i="41" s="1"/>
  <c r="AZ269" i="41" s="1"/>
  <c r="BA269" i="41" s="1"/>
  <c r="AV269" i="41"/>
  <c r="AW268" i="41"/>
  <c r="AX268" i="41" s="1"/>
  <c r="AY268" i="41" s="1"/>
  <c r="AZ268" i="41" s="1"/>
  <c r="BA268" i="41" s="1"/>
  <c r="BB268" i="41" s="1"/>
  <c r="BC268" i="41" s="1"/>
  <c r="BD268" i="41" s="1"/>
  <c r="AV268" i="41"/>
  <c r="AW267" i="41"/>
  <c r="AX267" i="41" s="1"/>
  <c r="AY267" i="41" s="1"/>
  <c r="AZ267" i="41" s="1"/>
  <c r="BA267" i="41" s="1"/>
  <c r="BB267" i="41" s="1"/>
  <c r="BC267" i="41" s="1"/>
  <c r="BD267" i="41" s="1"/>
  <c r="AV267" i="41"/>
  <c r="AW266" i="41"/>
  <c r="AX266" i="41" s="1"/>
  <c r="AY266" i="41" s="1"/>
  <c r="AZ266" i="41" s="1"/>
  <c r="BA266" i="41" s="1"/>
  <c r="BB266" i="41" s="1"/>
  <c r="AV266" i="41"/>
  <c r="AW265" i="41"/>
  <c r="AX265" i="41" s="1"/>
  <c r="AY265" i="41" s="1"/>
  <c r="AZ265" i="41" s="1"/>
  <c r="BA265" i="41" s="1"/>
  <c r="AV265" i="41"/>
  <c r="AW264" i="41"/>
  <c r="AX264" i="41" s="1"/>
  <c r="AY264" i="41" s="1"/>
  <c r="AZ264" i="41" s="1"/>
  <c r="BA264" i="41" s="1"/>
  <c r="BB264" i="41" s="1"/>
  <c r="BC264" i="41" s="1"/>
  <c r="BD264" i="41" s="1"/>
  <c r="AV264" i="41"/>
  <c r="AW263" i="41"/>
  <c r="AX263" i="41" s="1"/>
  <c r="AY263" i="41" s="1"/>
  <c r="AZ263" i="41" s="1"/>
  <c r="BA263" i="41" s="1"/>
  <c r="BB263" i="41" s="1"/>
  <c r="BC263" i="41" s="1"/>
  <c r="BD263" i="41" s="1"/>
  <c r="AV263" i="41"/>
  <c r="AW262" i="41"/>
  <c r="AX262" i="41" s="1"/>
  <c r="AY262" i="41" s="1"/>
  <c r="AZ262" i="41" s="1"/>
  <c r="BA262" i="41" s="1"/>
  <c r="BB262" i="41" s="1"/>
  <c r="BC262" i="41" s="1"/>
  <c r="BD262" i="41" s="1"/>
  <c r="AV262" i="41"/>
  <c r="AW261" i="41"/>
  <c r="AX261" i="41" s="1"/>
  <c r="AY261" i="41" s="1"/>
  <c r="AZ261" i="41" s="1"/>
  <c r="BA261" i="41" s="1"/>
  <c r="BB261" i="41" s="1"/>
  <c r="BC261" i="41" s="1"/>
  <c r="BD261" i="41" s="1"/>
  <c r="AV261" i="41"/>
  <c r="AW260" i="41"/>
  <c r="AX260" i="41" s="1"/>
  <c r="AY260" i="41" s="1"/>
  <c r="AZ260" i="41" s="1"/>
  <c r="BA260" i="41" s="1"/>
  <c r="AV260" i="41"/>
  <c r="AW259" i="41"/>
  <c r="AX259" i="41" s="1"/>
  <c r="AY259" i="41" s="1"/>
  <c r="AZ259" i="41" s="1"/>
  <c r="BA259" i="41" s="1"/>
  <c r="BB259" i="41" s="1"/>
  <c r="BC259" i="41" s="1"/>
  <c r="BD259" i="41" s="1"/>
  <c r="AV259" i="41"/>
  <c r="AW258" i="41"/>
  <c r="AX258" i="41" s="1"/>
  <c r="AY258" i="41" s="1"/>
  <c r="AZ258" i="41" s="1"/>
  <c r="BA258" i="41" s="1"/>
  <c r="BB258" i="41" s="1"/>
  <c r="BC258" i="41" s="1"/>
  <c r="BD258" i="41" s="1"/>
  <c r="AV258" i="41"/>
  <c r="AW257" i="41"/>
  <c r="AX257" i="41" s="1"/>
  <c r="AY257" i="41" s="1"/>
  <c r="AV257" i="41"/>
  <c r="AW256" i="41"/>
  <c r="AX256" i="41" s="1"/>
  <c r="AY256" i="41" s="1"/>
  <c r="AZ256" i="41" s="1"/>
  <c r="BA256" i="41" s="1"/>
  <c r="BB256" i="41" s="1"/>
  <c r="BC256" i="41" s="1"/>
  <c r="BD256" i="41" s="1"/>
  <c r="AV256" i="41"/>
  <c r="AW255" i="41"/>
  <c r="AX255" i="41" s="1"/>
  <c r="AY255" i="41" s="1"/>
  <c r="AZ255" i="41" s="1"/>
  <c r="BA255" i="41" s="1"/>
  <c r="BB255" i="41" s="1"/>
  <c r="BC255" i="41" s="1"/>
  <c r="BD255" i="41" s="1"/>
  <c r="AV255" i="41"/>
  <c r="AW254" i="41"/>
  <c r="AX254" i="41" s="1"/>
  <c r="AY254" i="41" s="1"/>
  <c r="AZ254" i="41" s="1"/>
  <c r="AV254" i="41"/>
  <c r="AW253" i="41"/>
  <c r="AX253" i="41" s="1"/>
  <c r="AY253" i="41" s="1"/>
  <c r="AZ253" i="41" s="1"/>
  <c r="AV253" i="41"/>
  <c r="AW252" i="41"/>
  <c r="AX252" i="41" s="1"/>
  <c r="AY252" i="41" s="1"/>
  <c r="AZ252" i="41" s="1"/>
  <c r="BA252" i="41" s="1"/>
  <c r="BB252" i="41" s="1"/>
  <c r="BC252" i="41" s="1"/>
  <c r="BD252" i="41" s="1"/>
  <c r="AV252" i="41"/>
  <c r="AW251" i="41"/>
  <c r="AX251" i="41" s="1"/>
  <c r="AY251" i="41" s="1"/>
  <c r="AZ251" i="41" s="1"/>
  <c r="BA251" i="41" s="1"/>
  <c r="BB251" i="41" s="1"/>
  <c r="BC251" i="41" s="1"/>
  <c r="BD251" i="41" s="1"/>
  <c r="AV251" i="41"/>
  <c r="AW250" i="41"/>
  <c r="AX250" i="41" s="1"/>
  <c r="AY250" i="41" s="1"/>
  <c r="AZ250" i="41" s="1"/>
  <c r="BA250" i="41" s="1"/>
  <c r="AV250" i="41"/>
  <c r="AW249" i="41"/>
  <c r="AX249" i="41" s="1"/>
  <c r="AY249" i="41" s="1"/>
  <c r="AZ249" i="41" s="1"/>
  <c r="AV249" i="41"/>
  <c r="AW248" i="41"/>
  <c r="AX248" i="41" s="1"/>
  <c r="AY248" i="41" s="1"/>
  <c r="AZ248" i="41" s="1"/>
  <c r="BA248" i="41" s="1"/>
  <c r="BB248" i="41" s="1"/>
  <c r="BC248" i="41" s="1"/>
  <c r="BD248" i="41" s="1"/>
  <c r="AV248" i="41"/>
  <c r="AW247" i="41"/>
  <c r="AX247" i="41" s="1"/>
  <c r="AY247" i="41" s="1"/>
  <c r="AZ247" i="41" s="1"/>
  <c r="BA247" i="41" s="1"/>
  <c r="BB247" i="41" s="1"/>
  <c r="BC247" i="41" s="1"/>
  <c r="AV247" i="41"/>
  <c r="AW246" i="41"/>
  <c r="AX246" i="41" s="1"/>
  <c r="AY246" i="41" s="1"/>
  <c r="AZ246" i="41" s="1"/>
  <c r="BA246" i="41" s="1"/>
  <c r="BB246" i="41" s="1"/>
  <c r="AV246" i="41"/>
  <c r="AW245" i="41"/>
  <c r="AX245" i="41" s="1"/>
  <c r="AY245" i="41" s="1"/>
  <c r="AZ245" i="41" s="1"/>
  <c r="AV245" i="41"/>
  <c r="AW244" i="41"/>
  <c r="AX244" i="41" s="1"/>
  <c r="AY244" i="41" s="1"/>
  <c r="AZ244" i="41" s="1"/>
  <c r="BA244" i="41" s="1"/>
  <c r="BB244" i="41" s="1"/>
  <c r="BC244" i="41" s="1"/>
  <c r="BD244" i="41" s="1"/>
  <c r="AV244" i="41"/>
  <c r="AW243" i="41"/>
  <c r="AX243" i="41" s="1"/>
  <c r="AY243" i="41" s="1"/>
  <c r="AZ243" i="41" s="1"/>
  <c r="BA243" i="41" s="1"/>
  <c r="AV243" i="41"/>
  <c r="AW242" i="41"/>
  <c r="AX242" i="41" s="1"/>
  <c r="AY242" i="41" s="1"/>
  <c r="AZ242" i="41" s="1"/>
  <c r="AV242" i="41"/>
  <c r="AW241" i="41"/>
  <c r="AX241" i="41" s="1"/>
  <c r="AY241" i="41" s="1"/>
  <c r="AZ241" i="41" s="1"/>
  <c r="BA241" i="41" s="1"/>
  <c r="BB241" i="41" s="1"/>
  <c r="BC241" i="41" s="1"/>
  <c r="BD241" i="41" s="1"/>
  <c r="AV241" i="41"/>
  <c r="AW240" i="41"/>
  <c r="AX240" i="41" s="1"/>
  <c r="AY240" i="41" s="1"/>
  <c r="AZ240" i="41" s="1"/>
  <c r="BA240" i="41" s="1"/>
  <c r="AV240" i="41"/>
  <c r="AW239" i="41"/>
  <c r="AX239" i="41" s="1"/>
  <c r="AY239" i="41" s="1"/>
  <c r="AZ239" i="41" s="1"/>
  <c r="BA239" i="41" s="1"/>
  <c r="BB239" i="41" s="1"/>
  <c r="BC239" i="41" s="1"/>
  <c r="BD239" i="41" s="1"/>
  <c r="AV239" i="41"/>
  <c r="BE239" i="41" s="1"/>
  <c r="BG239" i="41" s="1"/>
  <c r="AW238" i="41"/>
  <c r="AX238" i="41" s="1"/>
  <c r="AY238" i="41" s="1"/>
  <c r="AZ238" i="41" s="1"/>
  <c r="BA238" i="41" s="1"/>
  <c r="BB238" i="41" s="1"/>
  <c r="AV238" i="41"/>
  <c r="AW237" i="41"/>
  <c r="AX237" i="41" s="1"/>
  <c r="AY237" i="41" s="1"/>
  <c r="AZ237" i="41" s="1"/>
  <c r="BA237" i="41" s="1"/>
  <c r="BB237" i="41" s="1"/>
  <c r="BC237" i="41" s="1"/>
  <c r="BD237" i="41" s="1"/>
  <c r="AV237" i="41"/>
  <c r="AW236" i="41"/>
  <c r="AX236" i="41" s="1"/>
  <c r="AY236" i="41" s="1"/>
  <c r="AZ236" i="41" s="1"/>
  <c r="BA236" i="41" s="1"/>
  <c r="AV236" i="41"/>
  <c r="AW235" i="41"/>
  <c r="AX235" i="41" s="1"/>
  <c r="AY235" i="41" s="1"/>
  <c r="AZ235" i="41" s="1"/>
  <c r="BA235" i="41" s="1"/>
  <c r="AV235" i="41"/>
  <c r="AW234" i="41"/>
  <c r="AX234" i="41" s="1"/>
  <c r="AY234" i="41" s="1"/>
  <c r="AZ234" i="41" s="1"/>
  <c r="AV234" i="41"/>
  <c r="AW233" i="41"/>
  <c r="AX233" i="41" s="1"/>
  <c r="AY233" i="41" s="1"/>
  <c r="AZ233" i="41" s="1"/>
  <c r="BA233" i="41" s="1"/>
  <c r="BB233" i="41" s="1"/>
  <c r="BC233" i="41" s="1"/>
  <c r="BD233" i="41" s="1"/>
  <c r="AV233" i="41"/>
  <c r="AW232" i="41"/>
  <c r="AX232" i="41" s="1"/>
  <c r="AY232" i="41" s="1"/>
  <c r="AZ232" i="41" s="1"/>
  <c r="BA232" i="41" s="1"/>
  <c r="BB232" i="41" s="1"/>
  <c r="BC232" i="41" s="1"/>
  <c r="BD232" i="41"/>
  <c r="AV232" i="41"/>
  <c r="AW231" i="41"/>
  <c r="AX231" i="41" s="1"/>
  <c r="AY231" i="41" s="1"/>
  <c r="AZ231" i="41" s="1"/>
  <c r="BA231" i="41" s="1"/>
  <c r="BB231" i="41" s="1"/>
  <c r="AV231" i="41"/>
  <c r="AW230" i="41"/>
  <c r="AX230" i="41" s="1"/>
  <c r="AY230" i="41" s="1"/>
  <c r="AZ230" i="41" s="1"/>
  <c r="BA230" i="41" s="1"/>
  <c r="AV230" i="41"/>
  <c r="AW229" i="41"/>
  <c r="AX229" i="41" s="1"/>
  <c r="AY229" i="41" s="1"/>
  <c r="AZ229" i="41" s="1"/>
  <c r="BA229" i="41" s="1"/>
  <c r="BB229" i="41" s="1"/>
  <c r="BC229" i="41" s="1"/>
  <c r="BD229" i="41" s="1"/>
  <c r="AV229" i="41"/>
  <c r="AW228" i="41"/>
  <c r="AX228" i="41" s="1"/>
  <c r="AY228" i="41" s="1"/>
  <c r="AZ228" i="41" s="1"/>
  <c r="BA228" i="41" s="1"/>
  <c r="BB228" i="41" s="1"/>
  <c r="BC228" i="41" s="1"/>
  <c r="BD228" i="41" s="1"/>
  <c r="AV228" i="41"/>
  <c r="AW227" i="41"/>
  <c r="AX227" i="41" s="1"/>
  <c r="AY227" i="41" s="1"/>
  <c r="AZ227" i="41" s="1"/>
  <c r="BA227" i="41" s="1"/>
  <c r="BB227" i="41" s="1"/>
  <c r="BC227" i="41" s="1"/>
  <c r="BD227" i="41" s="1"/>
  <c r="AV227" i="41"/>
  <c r="AW226" i="41"/>
  <c r="AX226" i="41" s="1"/>
  <c r="AY226" i="41" s="1"/>
  <c r="AZ226" i="41" s="1"/>
  <c r="BA226" i="41" s="1"/>
  <c r="BB226" i="41" s="1"/>
  <c r="AV226" i="41"/>
  <c r="AW225" i="41"/>
  <c r="AX225" i="41" s="1"/>
  <c r="AY225" i="41" s="1"/>
  <c r="AZ225" i="41" s="1"/>
  <c r="BA225" i="41" s="1"/>
  <c r="BB225" i="41" s="1"/>
  <c r="AV225" i="41"/>
  <c r="AW224" i="41"/>
  <c r="AX224" i="41" s="1"/>
  <c r="AY224" i="41" s="1"/>
  <c r="AZ224" i="41" s="1"/>
  <c r="BA224" i="41" s="1"/>
  <c r="AV224" i="41"/>
  <c r="AW223" i="41"/>
  <c r="AX223" i="41" s="1"/>
  <c r="AY223" i="41" s="1"/>
  <c r="AZ223" i="41" s="1"/>
  <c r="AV223" i="41"/>
  <c r="AW222" i="41"/>
  <c r="AX222" i="41" s="1"/>
  <c r="AY222" i="41" s="1"/>
  <c r="AZ222" i="41" s="1"/>
  <c r="AV222" i="41"/>
  <c r="AW221" i="41"/>
  <c r="AX221" i="41" s="1"/>
  <c r="AY221" i="41" s="1"/>
  <c r="AZ221" i="41" s="1"/>
  <c r="BA221" i="41" s="1"/>
  <c r="BB221" i="41" s="1"/>
  <c r="BC221" i="41" s="1"/>
  <c r="BD221" i="41" s="1"/>
  <c r="AV221" i="41"/>
  <c r="AW220" i="41"/>
  <c r="AX220" i="41" s="1"/>
  <c r="AY220" i="41" s="1"/>
  <c r="AZ220" i="41" s="1"/>
  <c r="BA220" i="41" s="1"/>
  <c r="BB220" i="41" s="1"/>
  <c r="AV220" i="41"/>
  <c r="AW219" i="41"/>
  <c r="AX219" i="41" s="1"/>
  <c r="AY219" i="41" s="1"/>
  <c r="AZ219" i="41" s="1"/>
  <c r="BA219" i="41" s="1"/>
  <c r="AV219" i="41"/>
  <c r="AW218" i="41"/>
  <c r="AX218" i="41" s="1"/>
  <c r="AY218" i="41" s="1"/>
  <c r="AZ218" i="41" s="1"/>
  <c r="BA218" i="41" s="1"/>
  <c r="BB218" i="41" s="1"/>
  <c r="AV218" i="41"/>
  <c r="AW217" i="41"/>
  <c r="AX217" i="41" s="1"/>
  <c r="AY217" i="41" s="1"/>
  <c r="AZ217" i="41" s="1"/>
  <c r="BA217" i="41" s="1"/>
  <c r="BB217" i="41" s="1"/>
  <c r="BC217" i="41" s="1"/>
  <c r="BD217" i="41" s="1"/>
  <c r="AV217" i="41"/>
  <c r="AW216" i="41"/>
  <c r="AX216" i="41" s="1"/>
  <c r="AY216" i="41" s="1"/>
  <c r="AZ216" i="41" s="1"/>
  <c r="BA216" i="41" s="1"/>
  <c r="BB216" i="41" s="1"/>
  <c r="BC216" i="41" s="1"/>
  <c r="BD216" i="41" s="1"/>
  <c r="AV216" i="41"/>
  <c r="AW215" i="41"/>
  <c r="AX215" i="41" s="1"/>
  <c r="AY215" i="41" s="1"/>
  <c r="AZ215" i="41" s="1"/>
  <c r="BA215" i="41" s="1"/>
  <c r="BB215" i="41" s="1"/>
  <c r="AV215" i="41"/>
  <c r="AW214" i="41"/>
  <c r="AX214" i="41" s="1"/>
  <c r="AY214" i="41" s="1"/>
  <c r="AZ214" i="41" s="1"/>
  <c r="BA214" i="41" s="1"/>
  <c r="AV214" i="41"/>
  <c r="AW213" i="41"/>
  <c r="AX213" i="41" s="1"/>
  <c r="AY213" i="41" s="1"/>
  <c r="AV213" i="41"/>
  <c r="AW212" i="41"/>
  <c r="AX212" i="41" s="1"/>
  <c r="AY212" i="41" s="1"/>
  <c r="AZ212" i="41" s="1"/>
  <c r="BA212" i="41" s="1"/>
  <c r="BB212" i="41" s="1"/>
  <c r="BC212" i="41" s="1"/>
  <c r="BD212" i="41" s="1"/>
  <c r="AV212" i="41"/>
  <c r="AW211" i="41"/>
  <c r="AX211" i="41" s="1"/>
  <c r="AY211" i="41" s="1"/>
  <c r="AZ211" i="41" s="1"/>
  <c r="BA211" i="41" s="1"/>
  <c r="BB211" i="41" s="1"/>
  <c r="BC211" i="41" s="1"/>
  <c r="AV211" i="41"/>
  <c r="AW210" i="41"/>
  <c r="AX210" i="41" s="1"/>
  <c r="AY210" i="41" s="1"/>
  <c r="AZ210" i="41" s="1"/>
  <c r="BA210" i="41" s="1"/>
  <c r="AV210" i="41"/>
  <c r="AW209" i="41"/>
  <c r="AX209" i="41" s="1"/>
  <c r="AY209" i="41" s="1"/>
  <c r="AZ209" i="41" s="1"/>
  <c r="BA209" i="41" s="1"/>
  <c r="BB209" i="41" s="1"/>
  <c r="AV209" i="41"/>
  <c r="AW208" i="41"/>
  <c r="AX208" i="41" s="1"/>
  <c r="AY208" i="41" s="1"/>
  <c r="AZ208" i="41" s="1"/>
  <c r="BA208" i="41" s="1"/>
  <c r="AV208" i="41"/>
  <c r="AW207" i="41"/>
  <c r="AX207" i="41" s="1"/>
  <c r="AY207" i="41" s="1"/>
  <c r="AZ207" i="41" s="1"/>
  <c r="AV207" i="41"/>
  <c r="AW206" i="41"/>
  <c r="AX206" i="41" s="1"/>
  <c r="AY206" i="41" s="1"/>
  <c r="AV206" i="41"/>
  <c r="AW205" i="41"/>
  <c r="AX205" i="41" s="1"/>
  <c r="AY205" i="41" s="1"/>
  <c r="AZ205" i="41" s="1"/>
  <c r="BA205" i="41" s="1"/>
  <c r="BB205" i="41" s="1"/>
  <c r="BC205" i="41" s="1"/>
  <c r="BD205" i="41" s="1"/>
  <c r="AV205" i="41"/>
  <c r="AW204" i="41"/>
  <c r="AX204" i="41" s="1"/>
  <c r="AY204" i="41" s="1"/>
  <c r="AV204" i="41"/>
  <c r="AW203" i="41"/>
  <c r="AX203" i="41" s="1"/>
  <c r="AY203" i="41" s="1"/>
  <c r="AV203" i="41"/>
  <c r="AW202" i="41"/>
  <c r="AX202" i="41"/>
  <c r="AY202" i="41" s="1"/>
  <c r="AV202" i="41"/>
  <c r="AW201" i="41"/>
  <c r="AX201" i="41" s="1"/>
  <c r="AY201" i="41" s="1"/>
  <c r="AZ201" i="41" s="1"/>
  <c r="BA201" i="41" s="1"/>
  <c r="BB201" i="41" s="1"/>
  <c r="BC201" i="41" s="1"/>
  <c r="BD201" i="41" s="1"/>
  <c r="AV201" i="41"/>
  <c r="AW200" i="41"/>
  <c r="AX200" i="41" s="1"/>
  <c r="AY200" i="41" s="1"/>
  <c r="AZ200" i="41" s="1"/>
  <c r="BA200" i="41" s="1"/>
  <c r="BB200" i="41" s="1"/>
  <c r="BC200" i="41" s="1"/>
  <c r="BD200" i="41" s="1"/>
  <c r="AV200" i="41"/>
  <c r="AW199" i="41"/>
  <c r="AX199" i="41" s="1"/>
  <c r="AY199" i="41" s="1"/>
  <c r="AV199" i="41"/>
  <c r="AW198" i="41"/>
  <c r="AX198" i="41" s="1"/>
  <c r="AY198" i="41" s="1"/>
  <c r="AZ198" i="41" s="1"/>
  <c r="AV198" i="41"/>
  <c r="AW197" i="41"/>
  <c r="AX197" i="41" s="1"/>
  <c r="AY197" i="41" s="1"/>
  <c r="AZ197" i="41" s="1"/>
  <c r="BA197" i="41" s="1"/>
  <c r="AV197" i="41"/>
  <c r="AW196" i="41"/>
  <c r="AX196" i="41" s="1"/>
  <c r="AY196" i="41" s="1"/>
  <c r="AZ196" i="41" s="1"/>
  <c r="BA196" i="41" s="1"/>
  <c r="BB196" i="41" s="1"/>
  <c r="BC196" i="41" s="1"/>
  <c r="BD196" i="41" s="1"/>
  <c r="AV196" i="41"/>
  <c r="AW195" i="41"/>
  <c r="AX195" i="41" s="1"/>
  <c r="AY195" i="41" s="1"/>
  <c r="AZ195" i="41" s="1"/>
  <c r="BA195" i="41" s="1"/>
  <c r="BB195" i="41" s="1"/>
  <c r="BC195" i="41" s="1"/>
  <c r="BD195" i="41" s="1"/>
  <c r="AV195" i="41"/>
  <c r="AW194" i="41"/>
  <c r="AX194" i="41" s="1"/>
  <c r="AY194" i="41" s="1"/>
  <c r="AZ194" i="41" s="1"/>
  <c r="AV194" i="41"/>
  <c r="AW193" i="41"/>
  <c r="AX193" i="41" s="1"/>
  <c r="AY193" i="41" s="1"/>
  <c r="AZ193" i="41" s="1"/>
  <c r="BA193" i="41" s="1"/>
  <c r="AV193" i="41"/>
  <c r="AW192" i="41"/>
  <c r="AX192" i="41" s="1"/>
  <c r="AY192" i="41" s="1"/>
  <c r="AZ192" i="41" s="1"/>
  <c r="BA192" i="41" s="1"/>
  <c r="AV192" i="41"/>
  <c r="AW191" i="41"/>
  <c r="AX191" i="41" s="1"/>
  <c r="AY191" i="41" s="1"/>
  <c r="AV191" i="41"/>
  <c r="AW190" i="41"/>
  <c r="AX190" i="41" s="1"/>
  <c r="AY190" i="41" s="1"/>
  <c r="AZ190" i="41" s="1"/>
  <c r="AV190" i="41"/>
  <c r="AW189" i="41"/>
  <c r="AX189" i="41" s="1"/>
  <c r="AY189" i="41" s="1"/>
  <c r="AZ189" i="41" s="1"/>
  <c r="BA189" i="41" s="1"/>
  <c r="BB189" i="41" s="1"/>
  <c r="BC189" i="41" s="1"/>
  <c r="BD189" i="41" s="1"/>
  <c r="AV189" i="41"/>
  <c r="AW188" i="41"/>
  <c r="AX188" i="41" s="1"/>
  <c r="AY188" i="41" s="1"/>
  <c r="AZ188" i="41" s="1"/>
  <c r="BA188" i="41" s="1"/>
  <c r="AV188" i="41"/>
  <c r="AW187" i="41"/>
  <c r="AX187" i="41" s="1"/>
  <c r="AY187" i="41" s="1"/>
  <c r="AZ187" i="41" s="1"/>
  <c r="BA187" i="41" s="1"/>
  <c r="BB187" i="41" s="1"/>
  <c r="BC187" i="41" s="1"/>
  <c r="BD187" i="41" s="1"/>
  <c r="AV187" i="41"/>
  <c r="AW186" i="41"/>
  <c r="AX186" i="41" s="1"/>
  <c r="AY186" i="41" s="1"/>
  <c r="AZ186" i="41" s="1"/>
  <c r="BA186" i="41" s="1"/>
  <c r="AV186" i="41"/>
  <c r="AW185" i="41"/>
  <c r="AX185" i="41" s="1"/>
  <c r="AY185" i="41" s="1"/>
  <c r="AZ185" i="41" s="1"/>
  <c r="BA185" i="41" s="1"/>
  <c r="BB185" i="41" s="1"/>
  <c r="BC185" i="41" s="1"/>
  <c r="BD185" i="41" s="1"/>
  <c r="AV185" i="41"/>
  <c r="AW184" i="41"/>
  <c r="AX184" i="41" s="1"/>
  <c r="AY184" i="41" s="1"/>
  <c r="AZ184" i="41" s="1"/>
  <c r="BA184" i="41" s="1"/>
  <c r="BB184" i="41" s="1"/>
  <c r="BC184" i="41" s="1"/>
  <c r="BD184" i="41" s="1"/>
  <c r="AV184" i="41"/>
  <c r="AW183" i="41"/>
  <c r="AX183" i="41" s="1"/>
  <c r="AY183" i="41" s="1"/>
  <c r="AZ183" i="41" s="1"/>
  <c r="BA183" i="41" s="1"/>
  <c r="BB183" i="41" s="1"/>
  <c r="BC183" i="41" s="1"/>
  <c r="BD183" i="41" s="1"/>
  <c r="AV183" i="41"/>
  <c r="AW182" i="41"/>
  <c r="AX182" i="41" s="1"/>
  <c r="AY182" i="41" s="1"/>
  <c r="AZ182" i="41" s="1"/>
  <c r="BA182" i="41" s="1"/>
  <c r="BB182" i="41" s="1"/>
  <c r="AV182" i="41"/>
  <c r="AW181" i="41"/>
  <c r="AX181" i="41" s="1"/>
  <c r="AY181" i="41" s="1"/>
  <c r="AZ181" i="41" s="1"/>
  <c r="BA181" i="41" s="1"/>
  <c r="AV181" i="41"/>
  <c r="AW180" i="41"/>
  <c r="AX180" i="41" s="1"/>
  <c r="AY180" i="41" s="1"/>
  <c r="AZ180" i="41" s="1"/>
  <c r="BA180" i="41" s="1"/>
  <c r="BB180" i="41" s="1"/>
  <c r="BC180" i="41" s="1"/>
  <c r="BD180" i="41" s="1"/>
  <c r="AV180" i="41"/>
  <c r="AW179" i="41"/>
  <c r="AX179" i="41" s="1"/>
  <c r="AY179" i="41" s="1"/>
  <c r="AZ179" i="41" s="1"/>
  <c r="BA179" i="41" s="1"/>
  <c r="BB179" i="41" s="1"/>
  <c r="BC179" i="41" s="1"/>
  <c r="BD179" i="41" s="1"/>
  <c r="AV179" i="41"/>
  <c r="AW178" i="41"/>
  <c r="AX178" i="41" s="1"/>
  <c r="AY178" i="41" s="1"/>
  <c r="AV178" i="41"/>
  <c r="AW177" i="41"/>
  <c r="AX177" i="41" s="1"/>
  <c r="AY177" i="41" s="1"/>
  <c r="AZ177" i="41" s="1"/>
  <c r="AV177" i="41"/>
  <c r="AW176" i="41"/>
  <c r="AX176" i="41" s="1"/>
  <c r="AY176" i="41" s="1"/>
  <c r="AZ176" i="41" s="1"/>
  <c r="AV176" i="41"/>
  <c r="AW175" i="41"/>
  <c r="AX175" i="41" s="1"/>
  <c r="AY175" i="41" s="1"/>
  <c r="AZ175" i="41" s="1"/>
  <c r="AV175" i="41"/>
  <c r="AW174" i="41"/>
  <c r="AX174" i="41" s="1"/>
  <c r="AY174" i="41" s="1"/>
  <c r="AZ174" i="41" s="1"/>
  <c r="AV174" i="41"/>
  <c r="AW173" i="41"/>
  <c r="AX173" i="41" s="1"/>
  <c r="AY173" i="41" s="1"/>
  <c r="AZ173" i="41" s="1"/>
  <c r="BA173" i="41" s="1"/>
  <c r="BB173" i="41" s="1"/>
  <c r="BC173" i="41" s="1"/>
  <c r="BD173" i="41" s="1"/>
  <c r="AV173" i="41"/>
  <c r="AW172" i="41"/>
  <c r="AX172" i="41" s="1"/>
  <c r="AY172" i="41" s="1"/>
  <c r="AZ172" i="41" s="1"/>
  <c r="AV172" i="41"/>
  <c r="AW171" i="41"/>
  <c r="AX171" i="41" s="1"/>
  <c r="AY171" i="41" s="1"/>
  <c r="AZ171" i="41" s="1"/>
  <c r="BA171" i="41" s="1"/>
  <c r="AV171" i="41"/>
  <c r="AW170" i="41"/>
  <c r="AX170" i="41" s="1"/>
  <c r="AY170" i="41" s="1"/>
  <c r="AZ170" i="41" s="1"/>
  <c r="BA170" i="41" s="1"/>
  <c r="BB170" i="41" s="1"/>
  <c r="BC170" i="41" s="1"/>
  <c r="BD170" i="41" s="1"/>
  <c r="AV170" i="41"/>
  <c r="AW169" i="41"/>
  <c r="AX169" i="41" s="1"/>
  <c r="AY169" i="41" s="1"/>
  <c r="AZ169" i="41" s="1"/>
  <c r="AV169" i="41"/>
  <c r="AW168" i="41"/>
  <c r="AX168" i="41" s="1"/>
  <c r="AY168" i="41" s="1"/>
  <c r="AV168" i="41"/>
  <c r="AW167" i="41"/>
  <c r="AX167" i="41" s="1"/>
  <c r="AY167" i="41" s="1"/>
  <c r="AZ167" i="41" s="1"/>
  <c r="AV167" i="41"/>
  <c r="AW166" i="41"/>
  <c r="AX166" i="41" s="1"/>
  <c r="AY166" i="41" s="1"/>
  <c r="AZ166" i="41" s="1"/>
  <c r="AV166" i="41"/>
  <c r="AW165" i="41"/>
  <c r="AX165" i="41" s="1"/>
  <c r="AY165" i="41" s="1"/>
  <c r="AZ165" i="41" s="1"/>
  <c r="BA165" i="41" s="1"/>
  <c r="BB165" i="41" s="1"/>
  <c r="BC165" i="41" s="1"/>
  <c r="BD165" i="41" s="1"/>
  <c r="AV165" i="41"/>
  <c r="AW164" i="41"/>
  <c r="AX164" i="41" s="1"/>
  <c r="AY164" i="41" s="1"/>
  <c r="AZ164" i="41" s="1"/>
  <c r="BA164" i="41" s="1"/>
  <c r="BB164" i="41" s="1"/>
  <c r="BC164" i="41" s="1"/>
  <c r="BD164" i="41" s="1"/>
  <c r="AV164" i="41"/>
  <c r="AW163" i="41"/>
  <c r="AX163" i="41" s="1"/>
  <c r="AY163" i="41" s="1"/>
  <c r="AZ163" i="41" s="1"/>
  <c r="AV163" i="41"/>
  <c r="AW162" i="41"/>
  <c r="AX162" i="41" s="1"/>
  <c r="AY162" i="41" s="1"/>
  <c r="AZ162" i="41" s="1"/>
  <c r="BA162" i="41" s="1"/>
  <c r="AV162" i="41"/>
  <c r="AW161" i="41"/>
  <c r="AX161" i="41" s="1"/>
  <c r="AY161" i="41" s="1"/>
  <c r="AZ161" i="41" s="1"/>
  <c r="AV161" i="41"/>
  <c r="AW160" i="41"/>
  <c r="AX160" i="41" s="1"/>
  <c r="AY160" i="41" s="1"/>
  <c r="AZ160" i="41" s="1"/>
  <c r="BA160" i="41" s="1"/>
  <c r="AV160" i="41"/>
  <c r="AW159" i="41"/>
  <c r="AX159" i="41" s="1"/>
  <c r="AY159" i="41" s="1"/>
  <c r="AZ159" i="41" s="1"/>
  <c r="BA159" i="41" s="1"/>
  <c r="BB159" i="41" s="1"/>
  <c r="BC159" i="41" s="1"/>
  <c r="BD159" i="41" s="1"/>
  <c r="AV159" i="41"/>
  <c r="AW158" i="41"/>
  <c r="AX158" i="41" s="1"/>
  <c r="AY158" i="41" s="1"/>
  <c r="AZ158" i="41" s="1"/>
  <c r="BA158" i="41" s="1"/>
  <c r="BB158" i="41" s="1"/>
  <c r="BC158" i="41" s="1"/>
  <c r="BD158" i="41" s="1"/>
  <c r="AV158" i="41"/>
  <c r="AW157" i="41"/>
  <c r="AX157" i="41" s="1"/>
  <c r="AY157" i="41" s="1"/>
  <c r="AV157" i="41"/>
  <c r="AW156" i="41"/>
  <c r="AX156" i="41" s="1"/>
  <c r="AY156" i="41" s="1"/>
  <c r="AZ156" i="41" s="1"/>
  <c r="BA156" i="41" s="1"/>
  <c r="BB156" i="41" s="1"/>
  <c r="BC156" i="41" s="1"/>
  <c r="BD156" i="41" s="1"/>
  <c r="AV156" i="41"/>
  <c r="AW155" i="41"/>
  <c r="AX155" i="41" s="1"/>
  <c r="AY155" i="41" s="1"/>
  <c r="AZ155" i="41" s="1"/>
  <c r="AV155" i="41"/>
  <c r="AW154" i="41"/>
  <c r="AX154" i="41" s="1"/>
  <c r="AY154" i="41" s="1"/>
  <c r="AZ154" i="41" s="1"/>
  <c r="AV154" i="41"/>
  <c r="AW153" i="41"/>
  <c r="AX153" i="41" s="1"/>
  <c r="AY153" i="41" s="1"/>
  <c r="AZ153" i="41" s="1"/>
  <c r="AV153" i="41"/>
  <c r="AW152" i="41"/>
  <c r="AX152" i="41" s="1"/>
  <c r="AY152" i="41" s="1"/>
  <c r="AZ152" i="41" s="1"/>
  <c r="BA152" i="41" s="1"/>
  <c r="AV152" i="41"/>
  <c r="AW151" i="41"/>
  <c r="AX151" i="41" s="1"/>
  <c r="AY151" i="41" s="1"/>
  <c r="AV151" i="41"/>
  <c r="AW150" i="41"/>
  <c r="AX150" i="41" s="1"/>
  <c r="AY150" i="41" s="1"/>
  <c r="AZ150" i="41" s="1"/>
  <c r="BA150" i="41" s="1"/>
  <c r="BB150" i="41" s="1"/>
  <c r="BC150" i="41" s="1"/>
  <c r="AV150" i="41"/>
  <c r="AW149" i="41"/>
  <c r="AX149" i="41" s="1"/>
  <c r="AY149" i="41" s="1"/>
  <c r="AZ149" i="41" s="1"/>
  <c r="BA149" i="41" s="1"/>
  <c r="BB149" i="41" s="1"/>
  <c r="AV149" i="41"/>
  <c r="AW148" i="41"/>
  <c r="AX148" i="41" s="1"/>
  <c r="AY148" i="41" s="1"/>
  <c r="AZ148" i="41" s="1"/>
  <c r="BA148" i="41" s="1"/>
  <c r="AV148" i="41"/>
  <c r="AW147" i="41"/>
  <c r="AX147" i="41" s="1"/>
  <c r="AY147" i="41" s="1"/>
  <c r="AZ147" i="41" s="1"/>
  <c r="BA147" i="41" s="1"/>
  <c r="BB147" i="41" s="1"/>
  <c r="BC147" i="41" s="1"/>
  <c r="BD147" i="41" s="1"/>
  <c r="AV147" i="41"/>
  <c r="AW146" i="41"/>
  <c r="AX146" i="41" s="1"/>
  <c r="AY146" i="41" s="1"/>
  <c r="AZ146" i="41" s="1"/>
  <c r="AV146" i="41"/>
  <c r="AW145" i="41"/>
  <c r="AX145" i="41" s="1"/>
  <c r="AY145" i="41" s="1"/>
  <c r="AZ145" i="41" s="1"/>
  <c r="BA145" i="41" s="1"/>
  <c r="AV145" i="41"/>
  <c r="AW144" i="41"/>
  <c r="AX144" i="41" s="1"/>
  <c r="AY144" i="41" s="1"/>
  <c r="AZ144" i="41" s="1"/>
  <c r="BA144" i="41" s="1"/>
  <c r="BB144" i="41" s="1"/>
  <c r="BC144" i="41" s="1"/>
  <c r="AV144" i="41"/>
  <c r="AW143" i="41"/>
  <c r="AX143" i="41" s="1"/>
  <c r="AY143" i="41" s="1"/>
  <c r="AZ143" i="41" s="1"/>
  <c r="BA143" i="41" s="1"/>
  <c r="BB143" i="41" s="1"/>
  <c r="BC143" i="41" s="1"/>
  <c r="AV143" i="41"/>
  <c r="AW142" i="41"/>
  <c r="AX142" i="41" s="1"/>
  <c r="AY142" i="41" s="1"/>
  <c r="AZ142" i="41" s="1"/>
  <c r="BA142" i="41" s="1"/>
  <c r="BB142" i="41" s="1"/>
  <c r="AV142" i="41"/>
  <c r="AW141" i="41"/>
  <c r="AX141" i="41" s="1"/>
  <c r="AY141" i="41" s="1"/>
  <c r="AZ141" i="41" s="1"/>
  <c r="BA141" i="41" s="1"/>
  <c r="BB141" i="41" s="1"/>
  <c r="BC141" i="41" s="1"/>
  <c r="BD141" i="41" s="1"/>
  <c r="AV141" i="41"/>
  <c r="AW140" i="41"/>
  <c r="AX140" i="41" s="1"/>
  <c r="AY140" i="41" s="1"/>
  <c r="AZ140" i="41" s="1"/>
  <c r="BA140" i="41" s="1"/>
  <c r="BB140" i="41" s="1"/>
  <c r="AV140" i="41"/>
  <c r="AW139" i="41"/>
  <c r="AX139" i="41" s="1"/>
  <c r="AY139" i="41" s="1"/>
  <c r="AZ139" i="41" s="1"/>
  <c r="BA139" i="41" s="1"/>
  <c r="BB139" i="41" s="1"/>
  <c r="BC139" i="41" s="1"/>
  <c r="AV139" i="41"/>
  <c r="AW138" i="41"/>
  <c r="AX138" i="41" s="1"/>
  <c r="AY138" i="41" s="1"/>
  <c r="AZ138" i="41" s="1"/>
  <c r="BA138" i="41" s="1"/>
  <c r="BB138" i="41" s="1"/>
  <c r="BC138" i="41" s="1"/>
  <c r="AV138" i="41"/>
  <c r="AW137" i="41"/>
  <c r="AX137" i="41" s="1"/>
  <c r="AY137" i="41" s="1"/>
  <c r="AZ137" i="41" s="1"/>
  <c r="BA137" i="41" s="1"/>
  <c r="BB137" i="41" s="1"/>
  <c r="BC137" i="41" s="1"/>
  <c r="BD137" i="41" s="1"/>
  <c r="AV137" i="41"/>
  <c r="AW136" i="41"/>
  <c r="AX136" i="41" s="1"/>
  <c r="AY136" i="41" s="1"/>
  <c r="AZ136" i="41" s="1"/>
  <c r="BA136" i="41" s="1"/>
  <c r="BB136" i="41" s="1"/>
  <c r="BC136" i="41" s="1"/>
  <c r="BD136" i="41" s="1"/>
  <c r="AV136" i="41"/>
  <c r="AW135" i="41"/>
  <c r="AX135" i="41" s="1"/>
  <c r="AY135" i="41" s="1"/>
  <c r="AZ135" i="41" s="1"/>
  <c r="BA135" i="41" s="1"/>
  <c r="BB135" i="41" s="1"/>
  <c r="AV135" i="41"/>
  <c r="AW134" i="41"/>
  <c r="AX134" i="41" s="1"/>
  <c r="AY134" i="41" s="1"/>
  <c r="AZ134" i="41" s="1"/>
  <c r="BA134" i="41" s="1"/>
  <c r="BB134" i="41" s="1"/>
  <c r="BC134" i="41" s="1"/>
  <c r="AV134" i="41"/>
  <c r="AW133" i="41"/>
  <c r="AX133" i="41" s="1"/>
  <c r="AY133" i="41" s="1"/>
  <c r="AZ133" i="41" s="1"/>
  <c r="BA133" i="41" s="1"/>
  <c r="AV133" i="41"/>
  <c r="AW132" i="41"/>
  <c r="AX132" i="41" s="1"/>
  <c r="AY132" i="41" s="1"/>
  <c r="AZ132" i="41" s="1"/>
  <c r="BA132" i="41" s="1"/>
  <c r="BB132" i="41" s="1"/>
  <c r="BC132" i="41" s="1"/>
  <c r="BD132" i="41" s="1"/>
  <c r="AV132" i="41"/>
  <c r="AW131" i="41"/>
  <c r="AX131" i="41" s="1"/>
  <c r="AY131" i="41" s="1"/>
  <c r="AZ131" i="41" s="1"/>
  <c r="BA131" i="41" s="1"/>
  <c r="BB131" i="41" s="1"/>
  <c r="BC131" i="41" s="1"/>
  <c r="AV131" i="41"/>
  <c r="AW130" i="41"/>
  <c r="AX130" i="41" s="1"/>
  <c r="AY130" i="41" s="1"/>
  <c r="AZ130" i="41" s="1"/>
  <c r="BA130" i="41" s="1"/>
  <c r="BB130" i="41" s="1"/>
  <c r="BC130" i="41" s="1"/>
  <c r="BD130" i="41" s="1"/>
  <c r="AV130" i="41"/>
  <c r="AW129" i="41"/>
  <c r="AX129" i="41" s="1"/>
  <c r="AY129" i="41" s="1"/>
  <c r="AZ129" i="41" s="1"/>
  <c r="BA129" i="41" s="1"/>
  <c r="BB129" i="41" s="1"/>
  <c r="AV129" i="41"/>
  <c r="AW128" i="41"/>
  <c r="AX128" i="41" s="1"/>
  <c r="AY128" i="41" s="1"/>
  <c r="AZ128" i="41" s="1"/>
  <c r="BA128" i="41" s="1"/>
  <c r="BB128" i="41" s="1"/>
  <c r="AV128" i="41"/>
  <c r="AW127" i="41"/>
  <c r="AX127" i="41" s="1"/>
  <c r="AY127" i="41" s="1"/>
  <c r="AZ127" i="41" s="1"/>
  <c r="BA127" i="41" s="1"/>
  <c r="BB127" i="41" s="1"/>
  <c r="BC127" i="41" s="1"/>
  <c r="AV127" i="41"/>
  <c r="AW126" i="41"/>
  <c r="AX126" i="41" s="1"/>
  <c r="AY126" i="41" s="1"/>
  <c r="AZ126" i="41" s="1"/>
  <c r="BA126" i="41" s="1"/>
  <c r="BB126" i="41" s="1"/>
  <c r="BC126" i="41" s="1"/>
  <c r="AV126" i="41"/>
  <c r="AW125" i="41"/>
  <c r="AX125" i="41" s="1"/>
  <c r="AY125" i="41" s="1"/>
  <c r="AZ125" i="41" s="1"/>
  <c r="BA125" i="41" s="1"/>
  <c r="BB125" i="41" s="1"/>
  <c r="BC125" i="41" s="1"/>
  <c r="AV125" i="41"/>
  <c r="AW124" i="41"/>
  <c r="AX124" i="41" s="1"/>
  <c r="AY124" i="41" s="1"/>
  <c r="AZ124" i="41" s="1"/>
  <c r="BA124" i="41" s="1"/>
  <c r="BB124" i="41" s="1"/>
  <c r="AV124" i="41"/>
  <c r="AW123" i="41"/>
  <c r="AX123" i="41" s="1"/>
  <c r="AY123" i="41" s="1"/>
  <c r="AZ123" i="41" s="1"/>
  <c r="BA123" i="41" s="1"/>
  <c r="AV123" i="41"/>
  <c r="AW122" i="41"/>
  <c r="AX122" i="41"/>
  <c r="AY122" i="41" s="1"/>
  <c r="AZ122" i="41" s="1"/>
  <c r="BA122" i="41" s="1"/>
  <c r="BB122" i="41" s="1"/>
  <c r="BC122" i="41" s="1"/>
  <c r="BD122" i="41" s="1"/>
  <c r="AV122" i="41"/>
  <c r="AW121" i="41"/>
  <c r="AX121" i="41" s="1"/>
  <c r="AY121" i="41" s="1"/>
  <c r="AZ121" i="41" s="1"/>
  <c r="BA121" i="41" s="1"/>
  <c r="BB121" i="41" s="1"/>
  <c r="AV121" i="41"/>
  <c r="AW120" i="41"/>
  <c r="AX120" i="41" s="1"/>
  <c r="AY120" i="41" s="1"/>
  <c r="AZ120" i="41" s="1"/>
  <c r="BA120" i="41" s="1"/>
  <c r="BB120" i="41" s="1"/>
  <c r="AV120" i="41"/>
  <c r="AW119" i="41"/>
  <c r="AX119" i="41" s="1"/>
  <c r="AY119" i="41" s="1"/>
  <c r="AZ119" i="41" s="1"/>
  <c r="BA119" i="41" s="1"/>
  <c r="BB119" i="41" s="1"/>
  <c r="AV119" i="41"/>
  <c r="AW118" i="41"/>
  <c r="AX118" i="41" s="1"/>
  <c r="AY118" i="41" s="1"/>
  <c r="AZ118" i="41" s="1"/>
  <c r="BA118" i="41" s="1"/>
  <c r="BB118" i="41" s="1"/>
  <c r="BC118" i="41" s="1"/>
  <c r="BD118" i="41" s="1"/>
  <c r="AV118" i="41"/>
  <c r="AW117" i="41"/>
  <c r="AX117" i="41" s="1"/>
  <c r="AY117" i="41" s="1"/>
  <c r="AZ117" i="41" s="1"/>
  <c r="BA117" i="41" s="1"/>
  <c r="BB117" i="41" s="1"/>
  <c r="BC117" i="41" s="1"/>
  <c r="BD117" i="41" s="1"/>
  <c r="AV117" i="41"/>
  <c r="AW116" i="41"/>
  <c r="AX116" i="41" s="1"/>
  <c r="AY116" i="41" s="1"/>
  <c r="AZ116" i="41" s="1"/>
  <c r="BA116" i="41" s="1"/>
  <c r="AV116" i="41"/>
  <c r="AW115" i="41"/>
  <c r="AX115" i="41" s="1"/>
  <c r="AY115" i="41" s="1"/>
  <c r="AZ115" i="41" s="1"/>
  <c r="BA115" i="41" s="1"/>
  <c r="AV115" i="41"/>
  <c r="AW114" i="41"/>
  <c r="AX114" i="41" s="1"/>
  <c r="AY114" i="41" s="1"/>
  <c r="AZ114" i="41" s="1"/>
  <c r="BA114" i="41" s="1"/>
  <c r="AV114" i="41"/>
  <c r="AW113" i="41"/>
  <c r="AX113" i="41" s="1"/>
  <c r="AY113" i="41" s="1"/>
  <c r="AZ113" i="41" s="1"/>
  <c r="BA113" i="41" s="1"/>
  <c r="BB113" i="41" s="1"/>
  <c r="BC113" i="41" s="1"/>
  <c r="BD113" i="41" s="1"/>
  <c r="AV113" i="41"/>
  <c r="AW112" i="41"/>
  <c r="AX112" i="41" s="1"/>
  <c r="AY112" i="41" s="1"/>
  <c r="AZ112" i="41" s="1"/>
  <c r="BA112" i="41" s="1"/>
  <c r="BB112" i="41" s="1"/>
  <c r="BC112" i="41" s="1"/>
  <c r="AV112" i="41"/>
  <c r="AW111" i="41"/>
  <c r="AX111" i="41" s="1"/>
  <c r="AY111" i="41" s="1"/>
  <c r="AZ111" i="41" s="1"/>
  <c r="BA111" i="41" s="1"/>
  <c r="BB111" i="41" s="1"/>
  <c r="AV111" i="41"/>
  <c r="AW110" i="41"/>
  <c r="AX110" i="41" s="1"/>
  <c r="AY110" i="41" s="1"/>
  <c r="AZ110" i="41" s="1"/>
  <c r="BA110" i="41" s="1"/>
  <c r="BB110" i="41" s="1"/>
  <c r="BC110" i="41" s="1"/>
  <c r="BD110" i="41" s="1"/>
  <c r="AV110" i="41"/>
  <c r="AW109" i="41"/>
  <c r="AX109" i="41" s="1"/>
  <c r="AY109" i="41" s="1"/>
  <c r="AZ109" i="41" s="1"/>
  <c r="BA109" i="41" s="1"/>
  <c r="BB109" i="41" s="1"/>
  <c r="BC109" i="41" s="1"/>
  <c r="BD109" i="41" s="1"/>
  <c r="AV109" i="41"/>
  <c r="AW108" i="41"/>
  <c r="AX108" i="41" s="1"/>
  <c r="AY108" i="41" s="1"/>
  <c r="AZ108" i="41" s="1"/>
  <c r="BA108" i="41" s="1"/>
  <c r="BB108" i="41" s="1"/>
  <c r="AV108" i="41"/>
  <c r="AW107" i="41"/>
  <c r="AX107" i="41" s="1"/>
  <c r="AY107" i="41" s="1"/>
  <c r="AZ107" i="41" s="1"/>
  <c r="BA107" i="41" s="1"/>
  <c r="BB107" i="41" s="1"/>
  <c r="AV107" i="41"/>
  <c r="AW106" i="41"/>
  <c r="AX106" i="41" s="1"/>
  <c r="AY106" i="41" s="1"/>
  <c r="AZ106" i="41" s="1"/>
  <c r="BA106" i="41" s="1"/>
  <c r="AV106" i="41"/>
  <c r="AW105" i="41"/>
  <c r="AX105" i="41" s="1"/>
  <c r="AY105" i="41" s="1"/>
  <c r="AZ105" i="41" s="1"/>
  <c r="BA105" i="41" s="1"/>
  <c r="BB105" i="41" s="1"/>
  <c r="BC105" i="41" s="1"/>
  <c r="BD105" i="41" s="1"/>
  <c r="AV105" i="41"/>
  <c r="AW104" i="41"/>
  <c r="AX104" i="41" s="1"/>
  <c r="AY104" i="41" s="1"/>
  <c r="AZ104" i="41" s="1"/>
  <c r="BA104" i="41" s="1"/>
  <c r="BB104" i="41" s="1"/>
  <c r="BC104" i="41" s="1"/>
  <c r="BD104" i="41" s="1"/>
  <c r="AV104" i="41"/>
  <c r="AW103" i="41"/>
  <c r="AX103" i="41" s="1"/>
  <c r="AY103" i="41" s="1"/>
  <c r="AZ103" i="41" s="1"/>
  <c r="AV103" i="41"/>
  <c r="AW102" i="41"/>
  <c r="AX102" i="41" s="1"/>
  <c r="AY102" i="41" s="1"/>
  <c r="AZ102" i="41" s="1"/>
  <c r="AV102" i="41"/>
  <c r="AW101" i="41"/>
  <c r="AX101" i="41" s="1"/>
  <c r="AY101" i="41" s="1"/>
  <c r="AZ101" i="41" s="1"/>
  <c r="BA101" i="41" s="1"/>
  <c r="AV101" i="41"/>
  <c r="AW100" i="41"/>
  <c r="AX100" i="41" s="1"/>
  <c r="AY100" i="41" s="1"/>
  <c r="AZ100" i="41" s="1"/>
  <c r="BA100" i="41" s="1"/>
  <c r="AV100" i="41"/>
  <c r="AW99" i="41"/>
  <c r="AX99" i="41" s="1"/>
  <c r="AY99" i="41" s="1"/>
  <c r="AZ99" i="41" s="1"/>
  <c r="BA99" i="41" s="1"/>
  <c r="AV99" i="41"/>
  <c r="AW98" i="41"/>
  <c r="AX98" i="41" s="1"/>
  <c r="AY98" i="41" s="1"/>
  <c r="AZ98" i="41" s="1"/>
  <c r="BA98" i="41" s="1"/>
  <c r="BB98" i="41" s="1"/>
  <c r="AV98" i="41"/>
  <c r="AW97" i="41"/>
  <c r="AX97" i="41" s="1"/>
  <c r="AY97" i="41" s="1"/>
  <c r="AZ97" i="41" s="1"/>
  <c r="BA97" i="41" s="1"/>
  <c r="AV97" i="41"/>
  <c r="AW96" i="41"/>
  <c r="AX96" i="41" s="1"/>
  <c r="AY96" i="41" s="1"/>
  <c r="AZ96" i="41" s="1"/>
  <c r="AV96" i="41"/>
  <c r="AW95" i="41"/>
  <c r="AX95" i="41" s="1"/>
  <c r="AY95" i="41" s="1"/>
  <c r="AZ95" i="41" s="1"/>
  <c r="BA95" i="41" s="1"/>
  <c r="BB95" i="41" s="1"/>
  <c r="BC95" i="41" s="1"/>
  <c r="BD95" i="41" s="1"/>
  <c r="AV95" i="41"/>
  <c r="AW94" i="41"/>
  <c r="AX94" i="41" s="1"/>
  <c r="AY94" i="41" s="1"/>
  <c r="AZ94" i="41" s="1"/>
  <c r="AV94" i="41"/>
  <c r="AW93" i="41"/>
  <c r="AX93" i="41" s="1"/>
  <c r="AY93" i="41" s="1"/>
  <c r="AZ93" i="41" s="1"/>
  <c r="AV93" i="41"/>
  <c r="AW92" i="41"/>
  <c r="AX92" i="41" s="1"/>
  <c r="AY92" i="41" s="1"/>
  <c r="AV92" i="41"/>
  <c r="AW91" i="41"/>
  <c r="AX91" i="41" s="1"/>
  <c r="AV91" i="41"/>
  <c r="AW90" i="41"/>
  <c r="AX90" i="41" s="1"/>
  <c r="AY90" i="41" s="1"/>
  <c r="AV90" i="41"/>
  <c r="AW89" i="41"/>
  <c r="AX89" i="41" s="1"/>
  <c r="AY89" i="41" s="1"/>
  <c r="AZ89" i="41" s="1"/>
  <c r="AV89" i="41"/>
  <c r="AW88" i="41"/>
  <c r="AX88" i="41" s="1"/>
  <c r="AY88" i="41" s="1"/>
  <c r="AZ88" i="41" s="1"/>
  <c r="BA88" i="41" s="1"/>
  <c r="AV88" i="41"/>
  <c r="AW87" i="41"/>
  <c r="AX87" i="41" s="1"/>
  <c r="AY87" i="41" s="1"/>
  <c r="AZ87" i="41" s="1"/>
  <c r="BA87" i="41" s="1"/>
  <c r="BB87" i="41" s="1"/>
  <c r="BC87" i="41" s="1"/>
  <c r="BD87" i="41" s="1"/>
  <c r="AV87" i="41"/>
  <c r="AW86" i="41"/>
  <c r="AX86" i="41" s="1"/>
  <c r="AY86" i="41" s="1"/>
  <c r="AZ86" i="41" s="1"/>
  <c r="BA86" i="41" s="1"/>
  <c r="BB86" i="41" s="1"/>
  <c r="BC86" i="41" s="1"/>
  <c r="BD86" i="41" s="1"/>
  <c r="AV86" i="41"/>
  <c r="AW85" i="41"/>
  <c r="AX85" i="41" s="1"/>
  <c r="AY85" i="41" s="1"/>
  <c r="AZ85" i="41" s="1"/>
  <c r="BA85" i="41" s="1"/>
  <c r="BB85" i="41" s="1"/>
  <c r="BC85" i="41" s="1"/>
  <c r="AV85" i="41"/>
  <c r="AW84" i="41"/>
  <c r="AX84" i="41" s="1"/>
  <c r="AY84" i="41" s="1"/>
  <c r="AZ84" i="41" s="1"/>
  <c r="BA84" i="41" s="1"/>
  <c r="BB84" i="41" s="1"/>
  <c r="AV84" i="41"/>
  <c r="AW83" i="41"/>
  <c r="AX83" i="41" s="1"/>
  <c r="AY83" i="41" s="1"/>
  <c r="AZ83" i="41" s="1"/>
  <c r="BA83" i="41" s="1"/>
  <c r="BB83" i="41" s="1"/>
  <c r="BC83" i="41" s="1"/>
  <c r="AV83" i="41"/>
  <c r="AW82" i="41"/>
  <c r="AX82" i="41" s="1"/>
  <c r="AY82" i="41" s="1"/>
  <c r="AZ82" i="41" s="1"/>
  <c r="BA82" i="41" s="1"/>
  <c r="BB82" i="41" s="1"/>
  <c r="BC82" i="41" s="1"/>
  <c r="BD82" i="41" s="1"/>
  <c r="AV82" i="41"/>
  <c r="AW81" i="41"/>
  <c r="AX81" i="41" s="1"/>
  <c r="AY81" i="41" s="1"/>
  <c r="AZ81" i="41" s="1"/>
  <c r="BA81" i="41" s="1"/>
  <c r="BB81" i="41" s="1"/>
  <c r="BC81" i="41" s="1"/>
  <c r="AV81" i="41"/>
  <c r="AW80" i="41"/>
  <c r="AX80" i="41" s="1"/>
  <c r="AY80" i="41" s="1"/>
  <c r="AZ80" i="41" s="1"/>
  <c r="BA80" i="41" s="1"/>
  <c r="BB80" i="41" s="1"/>
  <c r="BC80" i="41" s="1"/>
  <c r="AV80" i="41"/>
  <c r="AW79" i="41"/>
  <c r="AX79" i="41" s="1"/>
  <c r="AY79" i="41" s="1"/>
  <c r="AZ79" i="41" s="1"/>
  <c r="BA79" i="41" s="1"/>
  <c r="BB79" i="41" s="1"/>
  <c r="AV79" i="41"/>
  <c r="AW78" i="41"/>
  <c r="AX78" i="41" s="1"/>
  <c r="AY78" i="41" s="1"/>
  <c r="AZ78" i="41" s="1"/>
  <c r="BA78" i="41" s="1"/>
  <c r="BB78" i="41" s="1"/>
  <c r="BC78" i="41" s="1"/>
  <c r="AV78" i="41"/>
  <c r="AW77" i="41"/>
  <c r="AX77" i="41" s="1"/>
  <c r="AY77" i="41" s="1"/>
  <c r="AZ77" i="41" s="1"/>
  <c r="BA77" i="41" s="1"/>
  <c r="BB77" i="41" s="1"/>
  <c r="BC77" i="41" s="1"/>
  <c r="BD77" i="41" s="1"/>
  <c r="AV77" i="41"/>
  <c r="AW76" i="41"/>
  <c r="AX76" i="41" s="1"/>
  <c r="AY76" i="41" s="1"/>
  <c r="AZ76" i="41" s="1"/>
  <c r="BA76" i="41" s="1"/>
  <c r="BB76" i="41" s="1"/>
  <c r="BC76" i="41" s="1"/>
  <c r="AV76" i="41"/>
  <c r="AW75" i="41"/>
  <c r="AX75" i="41" s="1"/>
  <c r="AY75" i="41" s="1"/>
  <c r="AZ75" i="41" s="1"/>
  <c r="BA75" i="41" s="1"/>
  <c r="BB75" i="41" s="1"/>
  <c r="BC75" i="41" s="1"/>
  <c r="AV75" i="41"/>
  <c r="AW74" i="41"/>
  <c r="AX74" i="41" s="1"/>
  <c r="AY74" i="41" s="1"/>
  <c r="AZ74" i="41" s="1"/>
  <c r="BA74" i="41" s="1"/>
  <c r="BB74" i="41" s="1"/>
  <c r="AV74" i="41"/>
  <c r="AW73" i="41"/>
  <c r="AX73" i="41" s="1"/>
  <c r="AY73" i="41" s="1"/>
  <c r="AZ73" i="41" s="1"/>
  <c r="BA73" i="41" s="1"/>
  <c r="AV73" i="41"/>
  <c r="AW72" i="41"/>
  <c r="AX72" i="41" s="1"/>
  <c r="AY72" i="41" s="1"/>
  <c r="AZ72" i="41" s="1"/>
  <c r="AV72" i="41"/>
  <c r="AW71" i="41"/>
  <c r="AX71" i="41" s="1"/>
  <c r="AY71" i="41" s="1"/>
  <c r="AZ71" i="41" s="1"/>
  <c r="BA71" i="41" s="1"/>
  <c r="BB71" i="41" s="1"/>
  <c r="AV71" i="41"/>
  <c r="AW70" i="41"/>
  <c r="AX70" i="41" s="1"/>
  <c r="AY70" i="41" s="1"/>
  <c r="AZ70" i="41" s="1"/>
  <c r="BA70" i="41" s="1"/>
  <c r="BB70" i="41" s="1"/>
  <c r="BC70" i="41" s="1"/>
  <c r="BD70" i="41" s="1"/>
  <c r="AV70" i="41"/>
  <c r="AW69" i="41"/>
  <c r="AX69" i="41" s="1"/>
  <c r="AY69" i="41" s="1"/>
  <c r="AZ69" i="41" s="1"/>
  <c r="BA69" i="41" s="1"/>
  <c r="BB69" i="41" s="1"/>
  <c r="AV69" i="41"/>
  <c r="AW68" i="41"/>
  <c r="AX68" i="41" s="1"/>
  <c r="AY68" i="41" s="1"/>
  <c r="AZ68" i="41" s="1"/>
  <c r="BA68" i="41" s="1"/>
  <c r="BB68" i="41" s="1"/>
  <c r="BC68" i="41" s="1"/>
  <c r="BD68" i="41" s="1"/>
  <c r="AV68" i="41"/>
  <c r="AW67" i="41"/>
  <c r="AX67" i="41" s="1"/>
  <c r="AY67" i="41" s="1"/>
  <c r="AZ67" i="41" s="1"/>
  <c r="BA67" i="41" s="1"/>
  <c r="BB67" i="41" s="1"/>
  <c r="BC67" i="41" s="1"/>
  <c r="AV67" i="41"/>
  <c r="AW66" i="41"/>
  <c r="AX66" i="41" s="1"/>
  <c r="AY66" i="41" s="1"/>
  <c r="AZ66" i="41" s="1"/>
  <c r="BA66" i="41" s="1"/>
  <c r="BB66" i="41" s="1"/>
  <c r="AV66" i="41"/>
  <c r="AW65" i="41"/>
  <c r="AX65" i="41" s="1"/>
  <c r="AY65" i="41" s="1"/>
  <c r="AZ65" i="41" s="1"/>
  <c r="BA65" i="41" s="1"/>
  <c r="AV65" i="41"/>
  <c r="AW64" i="41"/>
  <c r="AX64" i="41" s="1"/>
  <c r="AY64" i="41" s="1"/>
  <c r="AZ64" i="41" s="1"/>
  <c r="BA64" i="41" s="1"/>
  <c r="BB64" i="41" s="1"/>
  <c r="BC64" i="41" s="1"/>
  <c r="BD64" i="41" s="1"/>
  <c r="AV64" i="41"/>
  <c r="AW63" i="41"/>
  <c r="AX63" i="41" s="1"/>
  <c r="AY63" i="41" s="1"/>
  <c r="AZ63" i="41" s="1"/>
  <c r="BA63" i="41" s="1"/>
  <c r="BB63" i="41" s="1"/>
  <c r="BC63" i="41"/>
  <c r="BD63" i="41" s="1"/>
  <c r="AV63" i="41"/>
  <c r="AW62" i="41"/>
  <c r="AX62" i="41" s="1"/>
  <c r="AY62" i="41" s="1"/>
  <c r="AZ62" i="41" s="1"/>
  <c r="BA62" i="41" s="1"/>
  <c r="BB62" i="41" s="1"/>
  <c r="BC62" i="41" s="1"/>
  <c r="BD62" i="41" s="1"/>
  <c r="AV62" i="41"/>
  <c r="AW61" i="41"/>
  <c r="AX61" i="41" s="1"/>
  <c r="AY61" i="41" s="1"/>
  <c r="AZ61" i="41" s="1"/>
  <c r="BA61" i="41" s="1"/>
  <c r="BB61" i="41" s="1"/>
  <c r="AV61" i="41"/>
  <c r="AW60" i="41"/>
  <c r="AX60" i="41" s="1"/>
  <c r="AY60" i="41" s="1"/>
  <c r="AZ60" i="41" s="1"/>
  <c r="BA60" i="41" s="1"/>
  <c r="BB60" i="41" s="1"/>
  <c r="AV60" i="41"/>
  <c r="AW59" i="41"/>
  <c r="AX59" i="41" s="1"/>
  <c r="AY59" i="41" s="1"/>
  <c r="AZ59" i="41" s="1"/>
  <c r="BA59" i="41" s="1"/>
  <c r="BB59" i="41" s="1"/>
  <c r="BC59" i="41" s="1"/>
  <c r="BD59" i="41" s="1"/>
  <c r="AV59" i="41"/>
  <c r="AW58" i="41"/>
  <c r="AX58" i="41" s="1"/>
  <c r="AY58" i="41" s="1"/>
  <c r="AZ58" i="41" s="1"/>
  <c r="BA58" i="41" s="1"/>
  <c r="BB58" i="41" s="1"/>
  <c r="BC58" i="41" s="1"/>
  <c r="AV58" i="41"/>
  <c r="AW57" i="41"/>
  <c r="AX57" i="41" s="1"/>
  <c r="AY57" i="41" s="1"/>
  <c r="AZ57" i="41" s="1"/>
  <c r="BA57" i="41" s="1"/>
  <c r="BB57" i="41" s="1"/>
  <c r="BC57" i="41" s="1"/>
  <c r="BD57" i="41" s="1"/>
  <c r="AV57" i="41"/>
  <c r="AW56" i="41"/>
  <c r="AX56" i="41" s="1"/>
  <c r="AY56" i="41" s="1"/>
  <c r="AZ56" i="41" s="1"/>
  <c r="BA56" i="41" s="1"/>
  <c r="BB56" i="41" s="1"/>
  <c r="BC56" i="41" s="1"/>
  <c r="BD56" i="41" s="1"/>
  <c r="AV56" i="41"/>
  <c r="AW55" i="41"/>
  <c r="AX55" i="41" s="1"/>
  <c r="AY55" i="41" s="1"/>
  <c r="AZ55" i="41" s="1"/>
  <c r="BA55" i="41" s="1"/>
  <c r="AV55" i="41"/>
  <c r="AW54" i="41"/>
  <c r="AX54" i="41" s="1"/>
  <c r="AY54" i="41" s="1"/>
  <c r="AZ54" i="41" s="1"/>
  <c r="BA54" i="41" s="1"/>
  <c r="BB54" i="41" s="1"/>
  <c r="BC54" i="41" s="1"/>
  <c r="BD54" i="41" s="1"/>
  <c r="AV54" i="41"/>
  <c r="AW53" i="41"/>
  <c r="AX53" i="41" s="1"/>
  <c r="AY53" i="41" s="1"/>
  <c r="AZ53" i="41" s="1"/>
  <c r="BA53" i="41" s="1"/>
  <c r="BB53" i="41" s="1"/>
  <c r="BC53" i="41" s="1"/>
  <c r="BD53" i="41" s="1"/>
  <c r="AV53" i="41"/>
  <c r="AW52" i="41"/>
  <c r="AX52" i="41" s="1"/>
  <c r="AY52" i="41" s="1"/>
  <c r="AZ52" i="41" s="1"/>
  <c r="BA52" i="41" s="1"/>
  <c r="BB52" i="41" s="1"/>
  <c r="AV52" i="41"/>
  <c r="AW51" i="41"/>
  <c r="AX51" i="41" s="1"/>
  <c r="AY51" i="41" s="1"/>
  <c r="AZ51" i="41" s="1"/>
  <c r="BA51" i="41" s="1"/>
  <c r="AV51" i="41"/>
  <c r="AW50" i="41"/>
  <c r="AX50" i="41" s="1"/>
  <c r="AY50" i="41" s="1"/>
  <c r="AZ50" i="41" s="1"/>
  <c r="BA50" i="41" s="1"/>
  <c r="AV50" i="41"/>
  <c r="AW49" i="41"/>
  <c r="AX49" i="41" s="1"/>
  <c r="AY49" i="41" s="1"/>
  <c r="AZ49" i="41" s="1"/>
  <c r="BA49" i="41" s="1"/>
  <c r="BB49" i="41" s="1"/>
  <c r="BC49" i="41" s="1"/>
  <c r="BD49" i="41" s="1"/>
  <c r="AV49" i="41"/>
  <c r="AW48" i="41"/>
  <c r="AX48" i="41" s="1"/>
  <c r="AY48" i="41" s="1"/>
  <c r="AZ48" i="41" s="1"/>
  <c r="AV48" i="41"/>
  <c r="AW47" i="41"/>
  <c r="AX47" i="41" s="1"/>
  <c r="AY47" i="41" s="1"/>
  <c r="AV47" i="41"/>
  <c r="AW46" i="41"/>
  <c r="AX46" i="41" s="1"/>
  <c r="AY46" i="41" s="1"/>
  <c r="AZ46" i="41" s="1"/>
  <c r="BA46" i="41" s="1"/>
  <c r="BB46" i="41" s="1"/>
  <c r="AV46" i="41"/>
  <c r="AW45" i="41"/>
  <c r="AX45" i="41" s="1"/>
  <c r="AY45" i="41" s="1"/>
  <c r="AZ45" i="41" s="1"/>
  <c r="BA45" i="41" s="1"/>
  <c r="AV45" i="41"/>
  <c r="AW44" i="41"/>
  <c r="AX44" i="41" s="1"/>
  <c r="AY44" i="41" s="1"/>
  <c r="AZ44" i="41" s="1"/>
  <c r="AV44" i="41"/>
  <c r="AW43" i="41"/>
  <c r="AX43" i="41" s="1"/>
  <c r="AY43" i="41" s="1"/>
  <c r="AZ43" i="41" s="1"/>
  <c r="BA43" i="41" s="1"/>
  <c r="AV43" i="41"/>
  <c r="AW42" i="41"/>
  <c r="AX42" i="41" s="1"/>
  <c r="AY42" i="41" s="1"/>
  <c r="AZ42" i="41" s="1"/>
  <c r="BA42" i="41" s="1"/>
  <c r="BB42" i="41" s="1"/>
  <c r="BC42" i="41" s="1"/>
  <c r="AV42" i="41"/>
  <c r="AW41" i="41"/>
  <c r="AX41" i="41" s="1"/>
  <c r="AY41" i="41" s="1"/>
  <c r="AZ41" i="41" s="1"/>
  <c r="BA41" i="41" s="1"/>
  <c r="BB41" i="41" s="1"/>
  <c r="BC41" i="41" s="1"/>
  <c r="AV41" i="41"/>
  <c r="AW40" i="41"/>
  <c r="AX40" i="41" s="1"/>
  <c r="AY40" i="41" s="1"/>
  <c r="AZ40" i="41" s="1"/>
  <c r="BA40" i="41" s="1"/>
  <c r="BB40" i="41" s="1"/>
  <c r="BC40" i="41" s="1"/>
  <c r="BD40" i="41" s="1"/>
  <c r="AV40" i="41"/>
  <c r="AW39" i="41"/>
  <c r="AX39" i="41" s="1"/>
  <c r="AY39" i="41" s="1"/>
  <c r="AZ39" i="41" s="1"/>
  <c r="BA39" i="41" s="1"/>
  <c r="BB39" i="41" s="1"/>
  <c r="BC39" i="41" s="1"/>
  <c r="AV39" i="41"/>
  <c r="AW38" i="41"/>
  <c r="AX38" i="41" s="1"/>
  <c r="AY38" i="41" s="1"/>
  <c r="AZ38" i="41" s="1"/>
  <c r="BA38" i="41" s="1"/>
  <c r="BB38" i="41" s="1"/>
  <c r="AV38" i="41"/>
  <c r="AW37" i="41"/>
  <c r="AX37" i="41" s="1"/>
  <c r="AY37" i="41" s="1"/>
  <c r="AZ37" i="41" s="1"/>
  <c r="BA37" i="41" s="1"/>
  <c r="BB37" i="41" s="1"/>
  <c r="BC37" i="41" s="1"/>
  <c r="BD37" i="41" s="1"/>
  <c r="AV37" i="41"/>
  <c r="AW36" i="41"/>
  <c r="AX36" i="41" s="1"/>
  <c r="AY36" i="41" s="1"/>
  <c r="AZ36" i="41" s="1"/>
  <c r="BA36" i="41" s="1"/>
  <c r="BB36" i="41" s="1"/>
  <c r="BC36" i="41" s="1"/>
  <c r="BD36" i="41" s="1"/>
  <c r="AV36" i="41"/>
  <c r="AW35" i="41"/>
  <c r="AX35" i="41" s="1"/>
  <c r="AY35" i="41" s="1"/>
  <c r="AZ35" i="41" s="1"/>
  <c r="BA35" i="41" s="1"/>
  <c r="BB35" i="41" s="1"/>
  <c r="BC35" i="41" s="1"/>
  <c r="BD35" i="41" s="1"/>
  <c r="AV35" i="41"/>
  <c r="AW34" i="41"/>
  <c r="AX34" i="41" s="1"/>
  <c r="AY34" i="41" s="1"/>
  <c r="AZ34" i="41" s="1"/>
  <c r="BA34" i="41" s="1"/>
  <c r="BB34" i="41" s="1"/>
  <c r="BC34" i="41" s="1"/>
  <c r="AV34" i="41"/>
  <c r="AW33" i="41"/>
  <c r="AX33" i="41" s="1"/>
  <c r="AY33" i="41" s="1"/>
  <c r="AZ33" i="41" s="1"/>
  <c r="BA33" i="41" s="1"/>
  <c r="BB33" i="41" s="1"/>
  <c r="AV33" i="41"/>
  <c r="AW32" i="41"/>
  <c r="AX32" i="41" s="1"/>
  <c r="AY32" i="41" s="1"/>
  <c r="AZ32" i="41" s="1"/>
  <c r="BA32" i="41" s="1"/>
  <c r="BB32" i="41" s="1"/>
  <c r="BC32" i="41" s="1"/>
  <c r="AV32" i="41"/>
  <c r="AW31" i="41"/>
  <c r="AX31" i="41" s="1"/>
  <c r="AY31" i="41" s="1"/>
  <c r="AZ31" i="41" s="1"/>
  <c r="BA31" i="41" s="1"/>
  <c r="BB31" i="41" s="1"/>
  <c r="BC31" i="41" s="1"/>
  <c r="BD31" i="41" s="1"/>
  <c r="AV31" i="41"/>
  <c r="AW30" i="41"/>
  <c r="AX30" i="41" s="1"/>
  <c r="AY30" i="41" s="1"/>
  <c r="AZ30" i="41" s="1"/>
  <c r="BA30" i="41" s="1"/>
  <c r="BB30" i="41" s="1"/>
  <c r="BC30" i="41" s="1"/>
  <c r="AV30" i="41"/>
  <c r="AW29" i="41"/>
  <c r="AX29" i="41" s="1"/>
  <c r="AY29" i="41" s="1"/>
  <c r="AZ29" i="41" s="1"/>
  <c r="BA29" i="41" s="1"/>
  <c r="BB29" i="41" s="1"/>
  <c r="BC29" i="41" s="1"/>
  <c r="BD29" i="41" s="1"/>
  <c r="AV29" i="41"/>
  <c r="AW28" i="41"/>
  <c r="AX28" i="41" s="1"/>
  <c r="AY28" i="41" s="1"/>
  <c r="AZ28" i="41" s="1"/>
  <c r="BA28" i="41" s="1"/>
  <c r="BB28" i="41" s="1"/>
  <c r="BC28" i="41" s="1"/>
  <c r="BD28" i="41" s="1"/>
  <c r="AV28" i="41"/>
  <c r="AW27" i="41"/>
  <c r="AX27" i="41" s="1"/>
  <c r="AY27" i="41" s="1"/>
  <c r="AZ27" i="41" s="1"/>
  <c r="BA27" i="41" s="1"/>
  <c r="BB27" i="41" s="1"/>
  <c r="BC27" i="41" s="1"/>
  <c r="BD27" i="41" s="1"/>
  <c r="AV27" i="41"/>
  <c r="AW26" i="41"/>
  <c r="AX26" i="41" s="1"/>
  <c r="AY26" i="41" s="1"/>
  <c r="AZ26" i="41" s="1"/>
  <c r="BA26" i="41" s="1"/>
  <c r="AV26" i="41"/>
  <c r="AW25" i="41"/>
  <c r="AX25" i="41" s="1"/>
  <c r="AY25" i="41" s="1"/>
  <c r="AZ25" i="41" s="1"/>
  <c r="BA25" i="41" s="1"/>
  <c r="AV25" i="41"/>
  <c r="AW24" i="41"/>
  <c r="AX24" i="41" s="1"/>
  <c r="AY24" i="41" s="1"/>
  <c r="AZ24" i="41" s="1"/>
  <c r="AV24" i="41"/>
  <c r="AW23" i="41"/>
  <c r="AX23" i="41" s="1"/>
  <c r="AY23" i="41" s="1"/>
  <c r="AZ23" i="41" s="1"/>
  <c r="BA23" i="41" s="1"/>
  <c r="BB23" i="41" s="1"/>
  <c r="BC23" i="41" s="1"/>
  <c r="BD23" i="41" s="1"/>
  <c r="AV23" i="41"/>
  <c r="AW22" i="41"/>
  <c r="AX22" i="41" s="1"/>
  <c r="AY22" i="41" s="1"/>
  <c r="AZ22" i="41" s="1"/>
  <c r="BA22" i="41" s="1"/>
  <c r="BB22" i="41" s="1"/>
  <c r="BC22" i="41" s="1"/>
  <c r="BD22" i="41" s="1"/>
  <c r="AV22" i="41"/>
  <c r="AW21" i="41"/>
  <c r="AX21" i="41" s="1"/>
  <c r="AY21" i="41" s="1"/>
  <c r="AZ21" i="41" s="1"/>
  <c r="BA21" i="41" s="1"/>
  <c r="AV21" i="41"/>
  <c r="AW20" i="41"/>
  <c r="AX20" i="41" s="1"/>
  <c r="AY20" i="41" s="1"/>
  <c r="AZ20" i="41" s="1"/>
  <c r="AV20" i="41"/>
  <c r="AW19" i="41"/>
  <c r="AX19" i="41" s="1"/>
  <c r="AY19" i="41" s="1"/>
  <c r="AZ19" i="41" s="1"/>
  <c r="BA19" i="41" s="1"/>
  <c r="BB19" i="41" s="1"/>
  <c r="BC19" i="41" s="1"/>
  <c r="BD19" i="41" s="1"/>
  <c r="AV19" i="41"/>
  <c r="AW18" i="41"/>
  <c r="AX18" i="41" s="1"/>
  <c r="AY18" i="41" s="1"/>
  <c r="AZ18" i="41" s="1"/>
  <c r="BA18" i="41" s="1"/>
  <c r="AV18" i="41"/>
  <c r="AW17" i="41"/>
  <c r="AX17" i="41" s="1"/>
  <c r="AY17" i="41" s="1"/>
  <c r="AZ17" i="41" s="1"/>
  <c r="BA17" i="41" s="1"/>
  <c r="BB17" i="41" s="1"/>
  <c r="AV17" i="41"/>
  <c r="AW16" i="41"/>
  <c r="AX16" i="41" s="1"/>
  <c r="AY16" i="41" s="1"/>
  <c r="AZ16" i="41" s="1"/>
  <c r="BA16" i="41" s="1"/>
  <c r="BB16" i="41" s="1"/>
  <c r="BC16" i="41" s="1"/>
  <c r="AV16" i="41"/>
  <c r="AW15" i="41"/>
  <c r="AX15" i="41" s="1"/>
  <c r="AY15" i="41" s="1"/>
  <c r="AZ15" i="41" s="1"/>
  <c r="BA15" i="41" s="1"/>
  <c r="BB15" i="41" s="1"/>
  <c r="BC15" i="41" s="1"/>
  <c r="AV15" i="41"/>
  <c r="AW14" i="41"/>
  <c r="AX14" i="41" s="1"/>
  <c r="AY14" i="41" s="1"/>
  <c r="AZ14" i="41" s="1"/>
  <c r="BA14" i="41" s="1"/>
  <c r="BB14" i="41" s="1"/>
  <c r="BC14" i="41" s="1"/>
  <c r="BD14" i="41" s="1"/>
  <c r="AV14" i="41"/>
  <c r="AW13" i="41"/>
  <c r="AX13" i="41" s="1"/>
  <c r="AY13" i="41" s="1"/>
  <c r="AZ13" i="41" s="1"/>
  <c r="BA13" i="41" s="1"/>
  <c r="BB13" i="41" s="1"/>
  <c r="BC13" i="41" s="1"/>
  <c r="BD13" i="41" s="1"/>
  <c r="AV13" i="41"/>
  <c r="AW12" i="41"/>
  <c r="AX12" i="41" s="1"/>
  <c r="AY12" i="41" s="1"/>
  <c r="AZ12" i="41" s="1"/>
  <c r="BA12" i="41" s="1"/>
  <c r="AV12" i="41"/>
  <c r="AW11" i="41"/>
  <c r="AX11" i="41" s="1"/>
  <c r="AY11" i="41" s="1"/>
  <c r="AZ11" i="41" s="1"/>
  <c r="BA11" i="41" s="1"/>
  <c r="BB11" i="41" s="1"/>
  <c r="BC11" i="41" s="1"/>
  <c r="BD11" i="41" s="1"/>
  <c r="AV11" i="41"/>
  <c r="AW10" i="41"/>
  <c r="AX10" i="41" s="1"/>
  <c r="AY10" i="41" s="1"/>
  <c r="AZ10" i="41" s="1"/>
  <c r="BA10" i="41" s="1"/>
  <c r="AV10" i="41"/>
  <c r="AW9" i="41"/>
  <c r="AX9" i="41" s="1"/>
  <c r="AY9" i="41" s="1"/>
  <c r="AZ9" i="41" s="1"/>
  <c r="BA9" i="41" s="1"/>
  <c r="BB9" i="41" s="1"/>
  <c r="BC9" i="41" s="1"/>
  <c r="BD9" i="41" s="1"/>
  <c r="AV9" i="41"/>
  <c r="AW8" i="41"/>
  <c r="AX8" i="41" s="1"/>
  <c r="AY8" i="41" s="1"/>
  <c r="AZ8" i="41" s="1"/>
  <c r="BA8" i="41" s="1"/>
  <c r="BB8" i="41"/>
  <c r="AV8" i="41"/>
  <c r="AW7" i="41"/>
  <c r="AX7" i="41" s="1"/>
  <c r="AY7" i="41" s="1"/>
  <c r="AZ7" i="41" s="1"/>
  <c r="BA7" i="41" s="1"/>
  <c r="BB7" i="41" s="1"/>
  <c r="BC7" i="41" s="1"/>
  <c r="BD7" i="41" s="1"/>
  <c r="AV7" i="41"/>
  <c r="AW6" i="41"/>
  <c r="AX6" i="41" s="1"/>
  <c r="AY6" i="41" s="1"/>
  <c r="AZ6" i="41" s="1"/>
  <c r="BA6" i="41" s="1"/>
  <c r="BB6" i="41" s="1"/>
  <c r="BC6" i="41" s="1"/>
  <c r="BD6" i="41" s="1"/>
  <c r="AV6" i="41"/>
  <c r="AW5" i="41"/>
  <c r="AX5" i="41" s="1"/>
  <c r="AY5" i="41" s="1"/>
  <c r="AZ5" i="41" s="1"/>
  <c r="BA5" i="41" s="1"/>
  <c r="BB5" i="41" s="1"/>
  <c r="BC5" i="41" s="1"/>
  <c r="BD5" i="41" s="1"/>
  <c r="AV5" i="41"/>
  <c r="AW4" i="41"/>
  <c r="AX4" i="41" s="1"/>
  <c r="AV4" i="41"/>
  <c r="BE174" i="41"/>
  <c r="BG174" i="41" s="1"/>
  <c r="BC98" i="41"/>
  <c r="BD98" i="41" s="1"/>
  <c r="BE311" i="41"/>
  <c r="BG311" i="41" s="1"/>
  <c r="BE237" i="41"/>
  <c r="BG237" i="41" s="1"/>
  <c r="BF256" i="41"/>
  <c r="AZ324" i="41"/>
  <c r="BA324" i="41" s="1"/>
  <c r="BB324" i="41" s="1"/>
  <c r="AZ325" i="41"/>
  <c r="BA325" i="41" s="1"/>
  <c r="BH326" i="41"/>
  <c r="BH327" i="41"/>
  <c r="AZ327" i="41"/>
  <c r="BE327" i="41"/>
  <c r="BA322" i="41"/>
  <c r="BB322" i="41" s="1"/>
  <c r="BF274" i="41"/>
  <c r="BH317" i="41"/>
  <c r="AZ317" i="41"/>
  <c r="AZ318" i="41"/>
  <c r="BA318" i="41" s="1"/>
  <c r="BB318" i="41" s="1"/>
  <c r="BC318" i="41" s="1"/>
  <c r="BD318" i="41" s="1"/>
  <c r="AZ319" i="41"/>
  <c r="BA319" i="41" s="1"/>
  <c r="BE316" i="41"/>
  <c r="BG316" i="41" s="1"/>
  <c r="AZ320" i="41"/>
  <c r="BA320" i="41" s="1"/>
  <c r="AZ321" i="41"/>
  <c r="BA321" i="41" s="1"/>
  <c r="AZ323" i="41"/>
  <c r="BA323" i="41" s="1"/>
  <c r="S658" i="47"/>
  <c r="S657" i="47"/>
  <c r="S656" i="47"/>
  <c r="S655" i="47"/>
  <c r="S654" i="47"/>
  <c r="S653" i="47"/>
  <c r="S652" i="47"/>
  <c r="S651" i="47"/>
  <c r="S650" i="47"/>
  <c r="S649" i="47"/>
  <c r="S648" i="47"/>
  <c r="S647" i="47"/>
  <c r="S646" i="47"/>
  <c r="S645" i="47"/>
  <c r="S581" i="47"/>
  <c r="S580" i="47"/>
  <c r="S579" i="47"/>
  <c r="S578" i="47"/>
  <c r="S577" i="47"/>
  <c r="S576" i="47"/>
  <c r="S575" i="47"/>
  <c r="S574" i="47"/>
  <c r="S573" i="47"/>
  <c r="S572" i="47"/>
  <c r="S571" i="47"/>
  <c r="S570" i="47"/>
  <c r="S569" i="47"/>
  <c r="S568" i="47"/>
  <c r="S567" i="47"/>
  <c r="S564" i="47"/>
  <c r="S563" i="47"/>
  <c r="S562" i="47"/>
  <c r="S561" i="47"/>
  <c r="S560" i="47"/>
  <c r="S559" i="47"/>
  <c r="S558" i="47"/>
  <c r="S557" i="47"/>
  <c r="S556" i="47"/>
  <c r="S555" i="47"/>
  <c r="S554" i="47"/>
  <c r="S553" i="47"/>
  <c r="S552" i="47"/>
  <c r="S551" i="47"/>
  <c r="S550" i="47"/>
  <c r="S549" i="47"/>
  <c r="S548" i="47"/>
  <c r="S547" i="47"/>
  <c r="S546" i="47"/>
  <c r="S545" i="47"/>
  <c r="S544" i="47"/>
  <c r="S543" i="47"/>
  <c r="S542" i="47"/>
  <c r="S541" i="47"/>
  <c r="S540" i="47"/>
  <c r="S539" i="47"/>
  <c r="S538" i="47"/>
  <c r="S537" i="47"/>
  <c r="S536" i="47"/>
  <c r="S535" i="47"/>
  <c r="S534" i="47"/>
  <c r="S533" i="47"/>
  <c r="S532" i="47"/>
  <c r="S531" i="47"/>
  <c r="S530" i="47"/>
  <c r="S529" i="47"/>
  <c r="S528" i="47"/>
  <c r="S527" i="47"/>
  <c r="S526" i="47"/>
  <c r="S525" i="47"/>
  <c r="S524" i="47"/>
  <c r="S523" i="47"/>
  <c r="S522" i="47"/>
  <c r="S521" i="47"/>
  <c r="S520" i="47"/>
  <c r="S519" i="47"/>
  <c r="S518" i="47"/>
  <c r="S517" i="47"/>
  <c r="S516" i="47"/>
  <c r="S515" i="47"/>
  <c r="S514" i="47"/>
  <c r="S513" i="47"/>
  <c r="S512" i="47"/>
  <c r="S511" i="47"/>
  <c r="S510" i="47"/>
  <c r="S509" i="47"/>
  <c r="S508" i="47"/>
  <c r="S507" i="47"/>
  <c r="S506" i="47"/>
  <c r="S505" i="47"/>
  <c r="S504" i="47"/>
  <c r="S503" i="47"/>
  <c r="S502" i="47"/>
  <c r="S501" i="47"/>
  <c r="S500" i="47"/>
  <c r="S499" i="47"/>
  <c r="S498" i="47"/>
  <c r="S497" i="47"/>
  <c r="S496" i="47"/>
  <c r="S495" i="47"/>
  <c r="S494" i="47"/>
  <c r="S493" i="47"/>
  <c r="S492" i="47"/>
  <c r="S491" i="47"/>
  <c r="S487" i="47"/>
  <c r="S486" i="47"/>
  <c r="S485" i="47"/>
  <c r="S484" i="47"/>
  <c r="S483" i="47"/>
  <c r="S482" i="47"/>
  <c r="S481" i="47"/>
  <c r="S480" i="47"/>
  <c r="S479" i="47"/>
  <c r="S478" i="47"/>
  <c r="S477" i="47"/>
  <c r="S476" i="47"/>
  <c r="S475" i="47"/>
  <c r="S474" i="47"/>
  <c r="S473" i="47"/>
  <c r="S472" i="47"/>
  <c r="S471" i="47"/>
  <c r="S470" i="47"/>
  <c r="S469" i="47"/>
  <c r="S468" i="47"/>
  <c r="S467" i="47"/>
  <c r="S466" i="47"/>
  <c r="S465" i="47"/>
  <c r="S464" i="47"/>
  <c r="S463" i="47"/>
  <c r="S462" i="47"/>
  <c r="S461" i="47"/>
  <c r="S460" i="47"/>
  <c r="S459" i="47"/>
  <c r="S458" i="47"/>
  <c r="S457" i="47"/>
  <c r="S456" i="47"/>
  <c r="S455" i="47"/>
  <c r="S454" i="47"/>
  <c r="S453" i="47"/>
  <c r="S452" i="47"/>
  <c r="S451" i="47"/>
  <c r="S450" i="47"/>
  <c r="S449" i="47"/>
  <c r="S448" i="47"/>
  <c r="S447" i="47"/>
  <c r="S446" i="47"/>
  <c r="S445" i="47"/>
  <c r="S444" i="47"/>
  <c r="S443" i="47"/>
  <c r="S442" i="47"/>
  <c r="S441" i="47"/>
  <c r="S440" i="47"/>
  <c r="S439" i="47"/>
  <c r="S438" i="47"/>
  <c r="S437" i="47"/>
  <c r="S436" i="47"/>
  <c r="S435" i="47"/>
  <c r="S434" i="47"/>
  <c r="S433" i="47"/>
  <c r="S432" i="47"/>
  <c r="S431" i="47"/>
  <c r="S430" i="47"/>
  <c r="S429" i="47"/>
  <c r="S428" i="47"/>
  <c r="S427" i="47"/>
  <c r="S426" i="47"/>
  <c r="S425" i="47"/>
  <c r="S424" i="47"/>
  <c r="S423" i="47"/>
  <c r="S422" i="47"/>
  <c r="S421" i="47"/>
  <c r="S420" i="47"/>
  <c r="S419" i="47"/>
  <c r="S418" i="47"/>
  <c r="S417" i="47"/>
  <c r="S416" i="47"/>
  <c r="S415" i="47"/>
  <c r="S414" i="47"/>
  <c r="S413" i="47"/>
  <c r="S412" i="47"/>
  <c r="S411" i="47"/>
  <c r="S410" i="47"/>
  <c r="S408" i="47"/>
  <c r="S347" i="47"/>
  <c r="S346" i="47"/>
  <c r="S345" i="47"/>
  <c r="S344" i="47"/>
  <c r="S343" i="47"/>
  <c r="S342" i="47"/>
  <c r="S341" i="47"/>
  <c r="S340" i="47"/>
  <c r="S339" i="47"/>
  <c r="S338" i="47"/>
  <c r="S337" i="47"/>
  <c r="S336" i="47"/>
  <c r="S335" i="47"/>
  <c r="S334" i="47"/>
  <c r="S333" i="47"/>
  <c r="S332" i="47"/>
  <c r="S331" i="47"/>
  <c r="S330" i="47"/>
  <c r="S329" i="47"/>
  <c r="S328" i="47"/>
  <c r="S327" i="47"/>
  <c r="S326" i="47"/>
  <c r="S325" i="47"/>
  <c r="S324" i="47"/>
  <c r="S323" i="47"/>
  <c r="S322" i="47"/>
  <c r="S321" i="47"/>
  <c r="S320" i="47"/>
  <c r="S319" i="47"/>
  <c r="S318" i="47"/>
  <c r="S317" i="47"/>
  <c r="S316" i="47"/>
  <c r="S315" i="47"/>
  <c r="S314" i="47"/>
  <c r="S313" i="47"/>
  <c r="S312" i="47"/>
  <c r="S311" i="47"/>
  <c r="S310" i="47"/>
  <c r="S309" i="47"/>
  <c r="S308" i="47"/>
  <c r="S307" i="47"/>
  <c r="S306" i="47"/>
  <c r="S305" i="47"/>
  <c r="S304" i="47"/>
  <c r="S303" i="47"/>
  <c r="S302" i="47"/>
  <c r="S301" i="47"/>
  <c r="S300" i="47"/>
  <c r="S299" i="47"/>
  <c r="S298" i="47"/>
  <c r="S297" i="47"/>
  <c r="S296" i="47"/>
  <c r="S295" i="47"/>
  <c r="S294" i="47"/>
  <c r="S293" i="47"/>
  <c r="S292" i="47"/>
  <c r="S291" i="47"/>
  <c r="S290" i="47"/>
  <c r="S289" i="47"/>
  <c r="S288" i="47"/>
  <c r="S287" i="47"/>
  <c r="S286" i="47"/>
  <c r="S285" i="47"/>
  <c r="S284" i="47"/>
  <c r="S283" i="47"/>
  <c r="S282" i="47"/>
  <c r="S281" i="47"/>
  <c r="S280" i="47"/>
  <c r="S279" i="47"/>
  <c r="S278" i="47"/>
  <c r="S277" i="47"/>
  <c r="S276" i="47"/>
  <c r="S275" i="47"/>
  <c r="S274" i="47"/>
  <c r="S273" i="47"/>
  <c r="S272" i="47"/>
  <c r="S271" i="47"/>
  <c r="S270" i="47"/>
  <c r="S269" i="47"/>
  <c r="S268" i="47"/>
  <c r="S267" i="47"/>
  <c r="S266" i="47"/>
  <c r="S265" i="47"/>
  <c r="S264" i="47"/>
  <c r="S263" i="47"/>
  <c r="S262" i="47"/>
  <c r="S261" i="47"/>
  <c r="S260" i="47"/>
  <c r="S259" i="47"/>
  <c r="S258" i="47"/>
  <c r="S257" i="47"/>
  <c r="S256" i="47"/>
  <c r="S255" i="47"/>
  <c r="S254" i="47"/>
  <c r="S253" i="47"/>
  <c r="S252" i="47"/>
  <c r="S251" i="47"/>
  <c r="S250" i="47"/>
  <c r="S249" i="47"/>
  <c r="S248" i="47"/>
  <c r="S247" i="47"/>
  <c r="S246" i="47"/>
  <c r="S245" i="47"/>
  <c r="S244" i="47"/>
  <c r="S243" i="47"/>
  <c r="S242" i="47"/>
  <c r="S241" i="47"/>
  <c r="S240" i="47"/>
  <c r="S239" i="47"/>
  <c r="S238" i="47"/>
  <c r="S237" i="47"/>
  <c r="S236" i="47"/>
  <c r="S235" i="47"/>
  <c r="S234" i="47"/>
  <c r="S233" i="47"/>
  <c r="S232" i="47"/>
  <c r="S231" i="47"/>
  <c r="S230" i="47"/>
  <c r="S229" i="47"/>
  <c r="S228" i="47"/>
  <c r="S227" i="47"/>
  <c r="S226" i="47"/>
  <c r="S225" i="47"/>
  <c r="S224" i="47"/>
  <c r="S223" i="47"/>
  <c r="S222" i="47"/>
  <c r="S221" i="47"/>
  <c r="S220" i="47"/>
  <c r="S219" i="47"/>
  <c r="S218" i="47"/>
  <c r="S217" i="47"/>
  <c r="S216" i="47"/>
  <c r="S215" i="47"/>
  <c r="S214" i="47"/>
  <c r="S213" i="47"/>
  <c r="S212" i="47"/>
  <c r="S211" i="47"/>
  <c r="S210" i="47"/>
  <c r="S209" i="47"/>
  <c r="S208" i="47"/>
  <c r="S207" i="47"/>
  <c r="S206" i="47"/>
  <c r="S205" i="47"/>
  <c r="S204" i="47"/>
  <c r="S203" i="47"/>
  <c r="S202" i="47"/>
  <c r="S201" i="47"/>
  <c r="S200" i="47"/>
  <c r="S199" i="47"/>
  <c r="S198" i="47"/>
  <c r="S197" i="47"/>
  <c r="S196" i="47"/>
  <c r="S195" i="47"/>
  <c r="S194" i="47"/>
  <c r="S193" i="47"/>
  <c r="S192" i="47"/>
  <c r="S191" i="47"/>
  <c r="S190" i="47"/>
  <c r="S189" i="47"/>
  <c r="S188" i="47"/>
  <c r="S187" i="47"/>
  <c r="S186" i="47"/>
  <c r="S185" i="47"/>
  <c r="S184" i="47"/>
  <c r="S183" i="47"/>
  <c r="S182" i="47"/>
  <c r="S181" i="47"/>
  <c r="S180" i="47"/>
  <c r="S179" i="47"/>
  <c r="S178" i="47"/>
  <c r="S177" i="47"/>
  <c r="S176" i="47"/>
  <c r="S175" i="47"/>
  <c r="S174" i="47"/>
  <c r="S173" i="47"/>
  <c r="S172" i="47"/>
  <c r="S171" i="47"/>
  <c r="S170" i="47"/>
  <c r="S169" i="47"/>
  <c r="S168" i="47"/>
  <c r="S167" i="47"/>
  <c r="S166" i="47"/>
  <c r="S165" i="47"/>
  <c r="S164" i="47"/>
  <c r="S163" i="47"/>
  <c r="S162" i="47"/>
  <c r="S161" i="47"/>
  <c r="S160" i="47"/>
  <c r="S159" i="47"/>
  <c r="S158" i="47"/>
  <c r="S157" i="47"/>
  <c r="S156" i="47"/>
  <c r="S155" i="47"/>
  <c r="S154" i="47"/>
  <c r="S153" i="47"/>
  <c r="S152" i="47"/>
  <c r="S151" i="47"/>
  <c r="S150" i="47"/>
  <c r="S149" i="47"/>
  <c r="S148" i="47"/>
  <c r="S147" i="47"/>
  <c r="S146" i="47"/>
  <c r="S145" i="47"/>
  <c r="S144" i="47"/>
  <c r="S143" i="47"/>
  <c r="S142" i="47"/>
  <c r="S141" i="47"/>
  <c r="S140" i="47"/>
  <c r="S139" i="47"/>
  <c r="S138" i="47"/>
  <c r="S137" i="47"/>
  <c r="S136" i="47"/>
  <c r="S135" i="47"/>
  <c r="S134" i="47"/>
  <c r="S133" i="47"/>
  <c r="S132" i="47"/>
  <c r="S131" i="47"/>
  <c r="S130" i="47"/>
  <c r="S129" i="47"/>
  <c r="S128" i="47"/>
  <c r="S127" i="47"/>
  <c r="S126" i="47"/>
  <c r="S125" i="47"/>
  <c r="S124" i="47"/>
  <c r="S123" i="47"/>
  <c r="S122" i="47"/>
  <c r="S121" i="47"/>
  <c r="S120" i="47"/>
  <c r="S119" i="47"/>
  <c r="S118" i="47"/>
  <c r="S117" i="47"/>
  <c r="S116" i="47"/>
  <c r="S115" i="47"/>
  <c r="S114" i="47"/>
  <c r="S113" i="47"/>
  <c r="S112" i="47"/>
  <c r="S111" i="47"/>
  <c r="S110" i="47"/>
  <c r="S109" i="47"/>
  <c r="S108" i="47"/>
  <c r="S107" i="47"/>
  <c r="S106" i="47"/>
  <c r="S105" i="47"/>
  <c r="S104" i="47"/>
  <c r="S103" i="47"/>
  <c r="S102" i="47"/>
  <c r="S101" i="47"/>
  <c r="S100" i="47"/>
  <c r="S99" i="47"/>
  <c r="S98" i="47"/>
  <c r="S97" i="47"/>
  <c r="S96" i="47"/>
  <c r="S95" i="47"/>
  <c r="S94" i="47"/>
  <c r="S93" i="47"/>
  <c r="S92" i="47"/>
  <c r="S91" i="47"/>
  <c r="S90" i="47"/>
  <c r="S89" i="47"/>
  <c r="S88" i="47"/>
  <c r="S87" i="47"/>
  <c r="S86" i="47"/>
  <c r="S85" i="47"/>
  <c r="S84" i="47"/>
  <c r="X1" i="47"/>
  <c r="W1" i="47"/>
  <c r="V1" i="47"/>
  <c r="U1" i="47"/>
  <c r="T1" i="47"/>
  <c r="S1" i="47"/>
  <c r="V3" i="30"/>
  <c r="W56" i="4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58" i="5"/>
  <c r="D57" i="5"/>
  <c r="D55" i="5"/>
  <c r="D52" i="5"/>
  <c r="D51" i="5"/>
  <c r="D50" i="5"/>
  <c r="D45" i="5"/>
  <c r="D44" i="5"/>
  <c r="D43" i="5"/>
  <c r="D41" i="5"/>
  <c r="D40" i="5"/>
  <c r="D39" i="5"/>
  <c r="D38" i="5"/>
  <c r="D37" i="5"/>
  <c r="D35" i="5"/>
  <c r="D34" i="5"/>
  <c r="D33" i="5"/>
  <c r="D32" i="5"/>
  <c r="D30" i="5"/>
  <c r="D29" i="5"/>
  <c r="D28" i="5"/>
  <c r="D27" i="5"/>
  <c r="D25" i="5"/>
  <c r="D24" i="5"/>
  <c r="D23" i="5"/>
  <c r="D22" i="5"/>
  <c r="D21" i="5"/>
  <c r="D20" i="5"/>
  <c r="D19" i="5"/>
  <c r="D18" i="5"/>
  <c r="D17" i="5"/>
  <c r="D16" i="5"/>
  <c r="D15" i="5"/>
  <c r="D14" i="5"/>
  <c r="D13" i="5"/>
  <c r="D12" i="5"/>
  <c r="D11" i="5"/>
  <c r="D10" i="5"/>
  <c r="D9" i="5"/>
  <c r="D67" i="4"/>
  <c r="D63" i="4"/>
  <c r="D62" i="4"/>
  <c r="D61" i="4"/>
  <c r="D60" i="4"/>
  <c r="D59" i="4"/>
  <c r="D58" i="4"/>
  <c r="D57" i="4"/>
  <c r="D56" i="4"/>
  <c r="D55" i="4"/>
  <c r="D54" i="4"/>
  <c r="D52" i="4"/>
  <c r="D51" i="4"/>
  <c r="D50" i="4"/>
  <c r="D49" i="4"/>
  <c r="D48" i="4"/>
  <c r="D47" i="4"/>
  <c r="D46" i="4"/>
  <c r="D44" i="4"/>
  <c r="D43" i="4"/>
  <c r="D42" i="4"/>
  <c r="D41" i="4"/>
  <c r="D39" i="4"/>
  <c r="D38" i="4"/>
  <c r="D37" i="4"/>
  <c r="D36" i="4"/>
  <c r="D35" i="4"/>
  <c r="D34" i="4"/>
  <c r="D33" i="4"/>
  <c r="D26" i="4"/>
  <c r="D25" i="4"/>
  <c r="D24" i="4"/>
  <c r="D21" i="4"/>
  <c r="D20" i="4"/>
  <c r="D19" i="4"/>
  <c r="D18" i="4"/>
  <c r="D17" i="4"/>
  <c r="D16" i="4"/>
  <c r="D15" i="4"/>
  <c r="D14" i="4"/>
  <c r="D13" i="4"/>
  <c r="D12" i="4"/>
  <c r="D11" i="4"/>
  <c r="D10" i="4"/>
  <c r="D95" i="3"/>
  <c r="D91" i="3"/>
  <c r="D90" i="3"/>
  <c r="D89" i="3"/>
  <c r="D87" i="3"/>
  <c r="D86" i="3"/>
  <c r="D85" i="3"/>
  <c r="D84" i="3"/>
  <c r="D83" i="3"/>
  <c r="D82" i="3"/>
  <c r="D81" i="3"/>
  <c r="D80" i="3"/>
  <c r="D79" i="3"/>
  <c r="D78" i="3"/>
  <c r="D77" i="3"/>
  <c r="D76" i="3"/>
  <c r="D74" i="3"/>
  <c r="D73" i="3"/>
  <c r="D72" i="3"/>
  <c r="D71" i="3"/>
  <c r="D70" i="3"/>
  <c r="D69" i="3"/>
  <c r="D67" i="3"/>
  <c r="D66" i="3"/>
  <c r="D65" i="3"/>
  <c r="D64" i="3"/>
  <c r="D62" i="3"/>
  <c r="D61" i="3"/>
  <c r="D60" i="3"/>
  <c r="D58" i="3"/>
  <c r="D56" i="3"/>
  <c r="D55" i="3"/>
  <c r="D54" i="3"/>
  <c r="D53" i="3"/>
  <c r="D52" i="3"/>
  <c r="D50" i="3"/>
  <c r="D47" i="3"/>
  <c r="D46" i="3"/>
  <c r="D45" i="3"/>
  <c r="D44" i="3"/>
  <c r="D43" i="3"/>
  <c r="D42" i="3"/>
  <c r="D41" i="3"/>
  <c r="D40" i="3"/>
  <c r="D39" i="3"/>
  <c r="D38" i="3"/>
  <c r="D37" i="3"/>
  <c r="D36" i="3"/>
  <c r="D35" i="3"/>
  <c r="D34" i="3"/>
  <c r="D33" i="3"/>
  <c r="D32" i="3"/>
  <c r="D31" i="3"/>
  <c r="D30" i="3"/>
  <c r="D29" i="3"/>
  <c r="D28" i="3"/>
  <c r="D26" i="3"/>
  <c r="D25" i="3"/>
  <c r="D24" i="3"/>
  <c r="D22" i="3"/>
  <c r="D20" i="3"/>
  <c r="D19" i="3"/>
  <c r="D18" i="3"/>
  <c r="D17" i="3"/>
  <c r="D16" i="3"/>
  <c r="D14" i="3"/>
  <c r="D13" i="3"/>
  <c r="D12" i="3"/>
  <c r="D11" i="3"/>
  <c r="D10" i="3"/>
  <c r="A2" i="44"/>
  <c r="C13" i="44"/>
  <c r="C27" i="44"/>
  <c r="C31" i="44"/>
  <c r="C42" i="44"/>
  <c r="C46" i="44"/>
  <c r="C52" i="44"/>
  <c r="C56" i="44"/>
  <c r="C57" i="44"/>
  <c r="C84" i="44"/>
  <c r="C99" i="44"/>
  <c r="C103" i="44"/>
  <c r="C114" i="44"/>
  <c r="C118" i="44"/>
  <c r="C124" i="44"/>
  <c r="C128" i="44"/>
  <c r="C129" i="44"/>
  <c r="C169" i="44"/>
  <c r="C181" i="44"/>
  <c r="C184" i="44"/>
  <c r="C189" i="44"/>
  <c r="C192" i="44"/>
  <c r="C193" i="44"/>
  <c r="C209" i="44"/>
  <c r="C213" i="44"/>
  <c r="C239" i="44"/>
  <c r="C252" i="44"/>
  <c r="C258" i="44"/>
  <c r="C266" i="44"/>
  <c r="C270" i="44"/>
  <c r="C280" i="44"/>
  <c r="C284" i="44"/>
  <c r="C289" i="44"/>
  <c r="C293" i="44"/>
  <c r="C294" i="44"/>
  <c r="H320" i="44"/>
  <c r="H336" i="44"/>
  <c r="H352" i="44"/>
  <c r="H368" i="44"/>
  <c r="E384" i="44"/>
  <c r="C441" i="44"/>
  <c r="C446" i="44"/>
  <c r="C538" i="44"/>
  <c r="C549" i="44"/>
  <c r="C623" i="44"/>
  <c r="C627" i="44"/>
  <c r="C633" i="44"/>
  <c r="C637" i="44"/>
  <c r="C643" i="44"/>
  <c r="C647" i="44"/>
  <c r="G709" i="44"/>
  <c r="H709" i="44"/>
  <c r="C1172" i="44"/>
  <c r="C1250" i="44"/>
  <c r="D158" i="30"/>
  <c r="D154" i="30"/>
  <c r="D148" i="30"/>
  <c r="D143" i="30"/>
  <c r="D139" i="30"/>
  <c r="D136" i="30"/>
  <c r="D124" i="30"/>
  <c r="D118" i="30"/>
  <c r="D112" i="30"/>
  <c r="D108" i="30"/>
  <c r="D99" i="30"/>
  <c r="D95" i="30"/>
  <c r="C190" i="30"/>
  <c r="C189" i="30"/>
  <c r="C188" i="30"/>
  <c r="C187" i="30"/>
  <c r="C186" i="30"/>
  <c r="C185" i="30"/>
  <c r="C184" i="30"/>
  <c r="C183" i="30"/>
  <c r="C182" i="30"/>
  <c r="C177" i="30"/>
  <c r="C176" i="30"/>
  <c r="C175" i="30"/>
  <c r="C174" i="30"/>
  <c r="C173" i="30"/>
  <c r="C172" i="30"/>
  <c r="C170" i="30"/>
  <c r="C169" i="30"/>
  <c r="C168" i="30"/>
  <c r="C167" i="30"/>
  <c r="C166" i="30"/>
  <c r="C165" i="30"/>
  <c r="C163" i="30"/>
  <c r="C161" i="30"/>
  <c r="C160" i="30"/>
  <c r="C159" i="30"/>
  <c r="C158" i="30"/>
  <c r="C157" i="30"/>
  <c r="C156" i="30"/>
  <c r="C155" i="30"/>
  <c r="C154" i="30"/>
  <c r="C153" i="30"/>
  <c r="C152" i="30"/>
  <c r="C150" i="30"/>
  <c r="C149" i="30"/>
  <c r="C148" i="30"/>
  <c r="C147" i="30"/>
  <c r="C146" i="30"/>
  <c r="C145" i="30"/>
  <c r="C144" i="30"/>
  <c r="C143" i="30"/>
  <c r="C142" i="30"/>
  <c r="C141" i="30"/>
  <c r="C140" i="30"/>
  <c r="C139" i="30"/>
  <c r="C138" i="30"/>
  <c r="C137" i="30"/>
  <c r="C136" i="30"/>
  <c r="C134" i="30"/>
  <c r="C133" i="30"/>
  <c r="C132" i="30"/>
  <c r="C131" i="30"/>
  <c r="C130" i="30"/>
  <c r="C129" i="30"/>
  <c r="C128" i="30"/>
  <c r="C127" i="30"/>
  <c r="C126" i="30"/>
  <c r="C125" i="30"/>
  <c r="C124" i="30"/>
  <c r="C123" i="30"/>
  <c r="C122" i="30"/>
  <c r="C120" i="30"/>
  <c r="C119" i="30"/>
  <c r="C118" i="30"/>
  <c r="C115" i="30"/>
  <c r="C114" i="30"/>
  <c r="C113" i="30"/>
  <c r="C112" i="30"/>
  <c r="C111" i="30"/>
  <c r="C110" i="30"/>
  <c r="C109" i="30"/>
  <c r="C108" i="30"/>
  <c r="C106" i="30"/>
  <c r="C107" i="30"/>
  <c r="C105" i="30"/>
  <c r="C104" i="30"/>
  <c r="C103" i="30"/>
  <c r="C102" i="30"/>
  <c r="C101" i="30"/>
  <c r="C100" i="30"/>
  <c r="C99" i="30"/>
  <c r="C98" i="30"/>
  <c r="C97" i="30"/>
  <c r="C96" i="30"/>
  <c r="C95" i="30"/>
  <c r="C94" i="30"/>
  <c r="C93" i="30"/>
  <c r="C92" i="30"/>
  <c r="C91" i="30"/>
  <c r="C90" i="30"/>
  <c r="C89" i="30"/>
  <c r="C88" i="30"/>
  <c r="C87" i="30"/>
  <c r="C86" i="30"/>
  <c r="C85" i="30"/>
  <c r="C84" i="30"/>
  <c r="C83" i="30"/>
  <c r="AA3" i="36"/>
  <c r="V3" i="39"/>
  <c r="B2" i="17"/>
  <c r="B2" i="7"/>
  <c r="B2" i="6"/>
  <c r="B2" i="5"/>
  <c r="B28" i="4"/>
  <c r="B27" i="4"/>
  <c r="B2" i="4"/>
  <c r="B2" i="3"/>
  <c r="A2" i="29"/>
  <c r="A2" i="17"/>
  <c r="A2" i="6"/>
  <c r="A2" i="5"/>
  <c r="A2" i="4"/>
  <c r="A2" i="3"/>
  <c r="L14" i="21"/>
  <c r="P13" i="30"/>
  <c r="R13" i="30" s="1"/>
  <c r="P11" i="30"/>
  <c r="P10" i="30"/>
  <c r="I1178" i="54" s="1"/>
  <c r="I1178" i="44" s="1"/>
  <c r="P6" i="30"/>
  <c r="H752" i="54"/>
  <c r="H1154" i="54"/>
  <c r="H1154" i="44" s="1"/>
  <c r="C57" i="54"/>
  <c r="H133" i="54"/>
  <c r="H133" i="44" s="1"/>
  <c r="H139" i="54"/>
  <c r="H139" i="44" s="1"/>
  <c r="H156" i="54"/>
  <c r="H156" i="44" s="1"/>
  <c r="C189" i="54"/>
  <c r="C289" i="54"/>
  <c r="H450" i="54"/>
  <c r="H450" i="44" s="1"/>
  <c r="G709" i="54"/>
  <c r="H824" i="54"/>
  <c r="H824" i="44" s="1"/>
  <c r="H1184" i="54"/>
  <c r="H1184" i="44" s="1"/>
  <c r="C27" i="54"/>
  <c r="H147" i="54"/>
  <c r="H147" i="44" s="1"/>
  <c r="H737" i="54"/>
  <c r="H737" i="44" s="1"/>
  <c r="H1443" i="54"/>
  <c r="H1443" i="44" s="1"/>
  <c r="H1467" i="54"/>
  <c r="H1467" i="44" s="1"/>
  <c r="C42" i="54"/>
  <c r="C124" i="54"/>
  <c r="H392" i="54"/>
  <c r="H392" i="44" s="1"/>
  <c r="H709" i="54"/>
  <c r="H718" i="54"/>
  <c r="H718" i="44" s="1"/>
  <c r="F737" i="54"/>
  <c r="F737" i="44" s="1"/>
  <c r="H781" i="54"/>
  <c r="H781" i="44" s="1"/>
  <c r="C52" i="54"/>
  <c r="C252" i="54"/>
  <c r="C607" i="54"/>
  <c r="H1459" i="54"/>
  <c r="H1459" i="44" s="1"/>
  <c r="C99" i="54"/>
  <c r="C114" i="54"/>
  <c r="C181" i="54"/>
  <c r="C193" i="54"/>
  <c r="C213" i="54"/>
  <c r="C266" i="54"/>
  <c r="C294" i="54"/>
  <c r="H336" i="54"/>
  <c r="H352" i="54"/>
  <c r="H368" i="54"/>
  <c r="E384" i="54"/>
  <c r="C446" i="54"/>
  <c r="C549" i="54"/>
  <c r="H555" i="54"/>
  <c r="H555" i="44" s="1"/>
  <c r="C627" i="54"/>
  <c r="C637" i="54"/>
  <c r="H1268" i="54"/>
  <c r="H1268" i="44" s="1"/>
  <c r="H1603" i="54"/>
  <c r="H1603" i="44" s="1"/>
  <c r="H72" i="54"/>
  <c r="H72" i="44" s="1"/>
  <c r="C129" i="54"/>
  <c r="C280" i="54"/>
  <c r="H435" i="54"/>
  <c r="H435" i="44" s="1"/>
  <c r="C647" i="54"/>
  <c r="H771" i="54"/>
  <c r="H771" i="44" s="1"/>
  <c r="H1286" i="54"/>
  <c r="H1286" i="44" s="1"/>
  <c r="H1451" i="54"/>
  <c r="H1451" i="44" s="1"/>
  <c r="C103" i="54"/>
  <c r="H1069" i="54"/>
  <c r="H1069" i="44" s="1"/>
  <c r="H1110" i="54"/>
  <c r="H1110" i="44" s="1"/>
  <c r="B2" i="49"/>
  <c r="R7" i="30"/>
  <c r="G467" i="44"/>
  <c r="E428" i="44"/>
  <c r="F6" i="4"/>
  <c r="F6" i="3"/>
  <c r="L114" i="5"/>
  <c r="J19" i="17"/>
  <c r="J21" i="17" s="1"/>
  <c r="J22" i="17" s="1"/>
  <c r="D40" i="4"/>
  <c r="D53" i="4"/>
  <c r="D45" i="4"/>
  <c r="W39" i="47"/>
  <c r="W40" i="47"/>
  <c r="W49" i="47"/>
  <c r="W74" i="47"/>
  <c r="W60" i="47"/>
  <c r="W53" i="47"/>
  <c r="W73" i="47"/>
  <c r="W50" i="47"/>
  <c r="W45" i="47"/>
  <c r="W48" i="47"/>
  <c r="W70" i="47"/>
  <c r="W47" i="47"/>
  <c r="W30" i="47"/>
  <c r="W52" i="47"/>
  <c r="W51" i="47"/>
  <c r="W36" i="47"/>
  <c r="W46" i="47"/>
  <c r="W59" i="47"/>
  <c r="W38" i="47"/>
  <c r="W37" i="47"/>
  <c r="C1221" i="44" l="1"/>
  <c r="B4" i="39"/>
  <c r="C1180" i="44"/>
  <c r="C1181" i="54"/>
  <c r="H948" i="54"/>
  <c r="H948" i="44" s="1"/>
  <c r="H1178" i="54"/>
  <c r="H1178" i="44" s="1"/>
  <c r="J6" i="7"/>
  <c r="J6" i="6"/>
  <c r="J6" i="5"/>
  <c r="J6" i="4"/>
  <c r="J6" i="3"/>
  <c r="I584" i="54"/>
  <c r="I584" i="44" s="1"/>
  <c r="I761" i="54"/>
  <c r="BE51" i="41"/>
  <c r="BG51" i="41" s="1"/>
  <c r="BF62" i="41"/>
  <c r="BF63" i="41"/>
  <c r="BE121" i="41"/>
  <c r="BG121" i="41" s="1"/>
  <c r="BE139" i="41"/>
  <c r="BG139" i="41" s="1"/>
  <c r="BE193" i="41"/>
  <c r="BG193" i="41" s="1"/>
  <c r="BE226" i="41"/>
  <c r="BG226" i="41" s="1"/>
  <c r="BE230" i="41"/>
  <c r="BG230" i="41" s="1"/>
  <c r="H584" i="54"/>
  <c r="H584" i="44" s="1"/>
  <c r="H761" i="54"/>
  <c r="D1617" i="52"/>
  <c r="J1045" i="54"/>
  <c r="J1137" i="54"/>
  <c r="D2317" i="52"/>
  <c r="D2310" i="52"/>
  <c r="D392" i="52"/>
  <c r="D2225" i="52"/>
  <c r="G549" i="54"/>
  <c r="G549" i="44" s="1"/>
  <c r="G289" i="54"/>
  <c r="G289" i="44" s="1"/>
  <c r="D1463" i="52"/>
  <c r="D1685" i="52"/>
  <c r="D2144" i="52"/>
  <c r="D1245" i="52"/>
  <c r="D1407" i="52"/>
  <c r="D1734" i="52"/>
  <c r="D213" i="52"/>
  <c r="D256" i="52"/>
  <c r="D1253" i="52"/>
  <c r="D1634" i="52"/>
  <c r="D1782" i="52"/>
  <c r="D1254" i="52"/>
  <c r="D1674" i="52"/>
  <c r="E280" i="54"/>
  <c r="E280" i="44" s="1"/>
  <c r="D217" i="52"/>
  <c r="D259" i="52"/>
  <c r="D1434" i="52"/>
  <c r="D1803" i="52"/>
  <c r="D2008" i="52"/>
  <c r="D2584" i="52"/>
  <c r="D2598" i="52"/>
  <c r="D1540" i="52"/>
  <c r="B1067" i="54"/>
  <c r="K509" i="44"/>
  <c r="B509" i="44" s="1"/>
  <c r="B535" i="44" s="1"/>
  <c r="B668" i="54"/>
  <c r="B681" i="54" s="1"/>
  <c r="B694" i="54" s="1"/>
  <c r="D1324" i="52"/>
  <c r="D1454" i="52"/>
  <c r="C49" i="3"/>
  <c r="D49" i="3" s="1"/>
  <c r="B296" i="54"/>
  <c r="B318" i="54" s="1"/>
  <c r="B334" i="54" s="1"/>
  <c r="B350" i="54" s="1"/>
  <c r="B366" i="54" s="1"/>
  <c r="B382" i="54" s="1"/>
  <c r="K1067" i="44"/>
  <c r="K390" i="44"/>
  <c r="K668" i="44"/>
  <c r="B668" i="44" s="1"/>
  <c r="B681" i="44" s="1"/>
  <c r="B694" i="44" s="1"/>
  <c r="D1548" i="52"/>
  <c r="D2760" i="52"/>
  <c r="C21" i="3"/>
  <c r="D21" i="3" s="1"/>
  <c r="D1320" i="52"/>
  <c r="K162" i="44"/>
  <c r="K734" i="44"/>
  <c r="D1667" i="52"/>
  <c r="B847" i="44"/>
  <c r="B872" i="44" s="1"/>
  <c r="B889" i="44" s="1"/>
  <c r="J459" i="54"/>
  <c r="J459" i="44" s="1"/>
  <c r="A4" i="54"/>
  <c r="B59" i="54"/>
  <c r="B66" i="54" s="1"/>
  <c r="B70" i="54" s="1"/>
  <c r="K59" i="44"/>
  <c r="B59" i="44" s="1"/>
  <c r="B66" i="44" s="1"/>
  <c r="B70" i="44" s="1"/>
  <c r="K639" i="44"/>
  <c r="K1510" i="44"/>
  <c r="K350" i="44"/>
  <c r="D1543" i="52"/>
  <c r="D1952" i="52"/>
  <c r="D2667" i="52"/>
  <c r="I605" i="44"/>
  <c r="D1199" i="52"/>
  <c r="D1711" i="52"/>
  <c r="D1892" i="52"/>
  <c r="D2016" i="52"/>
  <c r="D2355" i="52"/>
  <c r="J1455" i="54"/>
  <c r="J1456" i="54" s="1"/>
  <c r="J1456" i="44" s="1"/>
  <c r="B931" i="44"/>
  <c r="C28" i="4"/>
  <c r="D28" i="4" s="1"/>
  <c r="B509" i="54"/>
  <c r="B535" i="54" s="1"/>
  <c r="C88" i="3"/>
  <c r="D88" i="3" s="1"/>
  <c r="D1797" i="52"/>
  <c r="D2170" i="52"/>
  <c r="A4" i="5"/>
  <c r="A4" i="6"/>
  <c r="C26" i="5"/>
  <c r="D26" i="5" s="1"/>
  <c r="G280" i="54"/>
  <c r="G280" i="44" s="1"/>
  <c r="K794" i="44"/>
  <c r="B794" i="44" s="1"/>
  <c r="B798" i="44" s="1"/>
  <c r="B809" i="44" s="1"/>
  <c r="H202" i="54"/>
  <c r="A4" i="17"/>
  <c r="D275" i="52"/>
  <c r="D1217" i="52"/>
  <c r="H201" i="54"/>
  <c r="J1183" i="54"/>
  <c r="J1184" i="54" s="1"/>
  <c r="D2335" i="52" s="1"/>
  <c r="K962" i="44"/>
  <c r="B1449" i="54"/>
  <c r="B1457" i="54" s="1"/>
  <c r="B1465" i="54" s="1"/>
  <c r="K1398" i="44"/>
  <c r="D1446" i="52"/>
  <c r="D1728" i="52"/>
  <c r="H266" i="54"/>
  <c r="H266" i="44" s="1"/>
  <c r="A4" i="4"/>
  <c r="B639" i="54"/>
  <c r="B794" i="54"/>
  <c r="B798" i="54" s="1"/>
  <c r="B809" i="54" s="1"/>
  <c r="D204" i="52"/>
  <c r="D2366" i="52"/>
  <c r="J814" i="54"/>
  <c r="J814" i="44" s="1"/>
  <c r="H8" i="5"/>
  <c r="H25" i="5" s="1"/>
  <c r="G18" i="29"/>
  <c r="K18" i="29" s="1"/>
  <c r="K18" i="53" s="1"/>
  <c r="G18" i="53"/>
  <c r="J79" i="54"/>
  <c r="J198" i="54"/>
  <c r="J197" i="44"/>
  <c r="J205" i="54"/>
  <c r="J438" i="54"/>
  <c r="J564" i="54"/>
  <c r="J614" i="54"/>
  <c r="D1773" i="52" s="1"/>
  <c r="J613" i="44"/>
  <c r="J629" i="54"/>
  <c r="J681" i="54"/>
  <c r="J708" i="54"/>
  <c r="J707" i="44"/>
  <c r="D2075" i="52"/>
  <c r="J917" i="54"/>
  <c r="J1019" i="54"/>
  <c r="J1018" i="44"/>
  <c r="J1035" i="44"/>
  <c r="J1036" i="54"/>
  <c r="D2195" i="52" s="1"/>
  <c r="J1089" i="44"/>
  <c r="J1091" i="54"/>
  <c r="C104" i="5"/>
  <c r="D104" i="5" s="1"/>
  <c r="J1131" i="54"/>
  <c r="J1162" i="44"/>
  <c r="J1163" i="54"/>
  <c r="J1266" i="44"/>
  <c r="J1267" i="54"/>
  <c r="J1363" i="54"/>
  <c r="J1413" i="54"/>
  <c r="D2571" i="52" s="1"/>
  <c r="J1412" i="44"/>
  <c r="J1466" i="54"/>
  <c r="D2624" i="52" s="1"/>
  <c r="J1465" i="44"/>
  <c r="D2647" i="52"/>
  <c r="J1490" i="54"/>
  <c r="D2803" i="52"/>
  <c r="J1646" i="54"/>
  <c r="B1748" i="54"/>
  <c r="K27" i="21"/>
  <c r="B1760" i="54"/>
  <c r="K47" i="21"/>
  <c r="D372" i="52" s="1"/>
  <c r="BE25" i="41"/>
  <c r="BG25" i="41" s="1"/>
  <c r="BF86" i="41"/>
  <c r="BF251" i="41"/>
  <c r="BF255" i="41"/>
  <c r="BF283" i="41"/>
  <c r="D218" i="52"/>
  <c r="D260" i="52"/>
  <c r="D351" i="52"/>
  <c r="D1174" i="52"/>
  <c r="D1252" i="52"/>
  <c r="D1363" i="52"/>
  <c r="D1423" i="52"/>
  <c r="D1506" i="52"/>
  <c r="D1599" i="52"/>
  <c r="D1698" i="52"/>
  <c r="D1764" i="52"/>
  <c r="D2100" i="52"/>
  <c r="D2569" i="52"/>
  <c r="D2612" i="52"/>
  <c r="D2622" i="52"/>
  <c r="K23" i="21"/>
  <c r="K24" i="21" s="1"/>
  <c r="K25" i="21" s="1"/>
  <c r="K21" i="21"/>
  <c r="G19" i="29"/>
  <c r="K19" i="29" s="1"/>
  <c r="K19" i="53" s="1"/>
  <c r="G19" i="53"/>
  <c r="J60" i="54"/>
  <c r="J60" i="44" s="1"/>
  <c r="J59" i="44"/>
  <c r="J218" i="44"/>
  <c r="J219" i="54"/>
  <c r="J318" i="54"/>
  <c r="D1477" i="52" s="1"/>
  <c r="J350" i="44"/>
  <c r="J351" i="54"/>
  <c r="J448" i="54"/>
  <c r="D1619" i="52" s="1"/>
  <c r="J511" i="54"/>
  <c r="J511" i="44" s="1"/>
  <c r="J510" i="54"/>
  <c r="J510" i="44" s="1"/>
  <c r="J509" i="44"/>
  <c r="J553" i="54"/>
  <c r="D1777" i="52"/>
  <c r="J619" i="54"/>
  <c r="J640" i="54"/>
  <c r="D1799" i="52" s="1"/>
  <c r="J639" i="44"/>
  <c r="J735" i="54"/>
  <c r="J734" i="44"/>
  <c r="J795" i="54"/>
  <c r="J795" i="44" s="1"/>
  <c r="J794" i="44"/>
  <c r="J932" i="54"/>
  <c r="J931" i="44"/>
  <c r="J991" i="54"/>
  <c r="J990" i="44"/>
  <c r="J1391" i="54"/>
  <c r="D2549" i="52" s="1"/>
  <c r="J1457" i="54"/>
  <c r="J1495" i="44"/>
  <c r="J1496" i="54"/>
  <c r="D2654" i="52" s="1"/>
  <c r="J1651" i="44"/>
  <c r="J1652" i="54"/>
  <c r="K33" i="21"/>
  <c r="K34" i="21" s="1"/>
  <c r="K35" i="21" s="1"/>
  <c r="K31" i="21"/>
  <c r="D269" i="52"/>
  <c r="D371" i="52"/>
  <c r="D1268" i="52"/>
  <c r="D1280" i="52"/>
  <c r="D1406" i="52"/>
  <c r="D1418" i="52"/>
  <c r="D1729" i="52"/>
  <c r="D1771" i="52"/>
  <c r="D1783" i="52"/>
  <c r="D2128" i="52"/>
  <c r="D2374" i="52"/>
  <c r="D2520" i="52"/>
  <c r="D2570" i="52"/>
  <c r="D2623" i="52"/>
  <c r="G16" i="29"/>
  <c r="G16" i="53"/>
  <c r="F124" i="54"/>
  <c r="F124" i="44" s="1"/>
  <c r="J9" i="54"/>
  <c r="J9" i="44" s="1"/>
  <c r="J8" i="44"/>
  <c r="J67" i="54"/>
  <c r="J66" i="44"/>
  <c r="J163" i="54"/>
  <c r="J162" i="44"/>
  <c r="J296" i="54"/>
  <c r="D1455" i="52" s="1"/>
  <c r="J382" i="44"/>
  <c r="J383" i="54"/>
  <c r="D1542" i="52" s="1"/>
  <c r="J391" i="54"/>
  <c r="J390" i="44"/>
  <c r="J552" i="54"/>
  <c r="J552" i="44" s="1"/>
  <c r="J551" i="44"/>
  <c r="D1747" i="52"/>
  <c r="J589" i="54"/>
  <c r="J668" i="44"/>
  <c r="J669" i="54"/>
  <c r="J694" i="54"/>
  <c r="D1853" i="52" s="1"/>
  <c r="J749" i="54"/>
  <c r="J749" i="44" s="1"/>
  <c r="J748" i="44"/>
  <c r="J780" i="54"/>
  <c r="D1939" i="52" s="1"/>
  <c r="J798" i="54"/>
  <c r="D1957" i="52" s="1"/>
  <c r="J809" i="54"/>
  <c r="D1968" i="52" s="1"/>
  <c r="D2005" i="52"/>
  <c r="J847" i="54"/>
  <c r="D2006" i="52" s="1"/>
  <c r="J872" i="54"/>
  <c r="D2031" i="52" s="1"/>
  <c r="J963" i="54"/>
  <c r="J962" i="44"/>
  <c r="K1401" i="54"/>
  <c r="K1396" i="54" s="1"/>
  <c r="J1396" i="54" s="1"/>
  <c r="J1398" i="54"/>
  <c r="K1433" i="54"/>
  <c r="K1433" i="44" s="1"/>
  <c r="J1424" i="54"/>
  <c r="J1449" i="54"/>
  <c r="D2607" i="52" s="1"/>
  <c r="J1510" i="44"/>
  <c r="J1514" i="54"/>
  <c r="J1514" i="44" s="1"/>
  <c r="J1669" i="44"/>
  <c r="J1670" i="54"/>
  <c r="B1754" i="54"/>
  <c r="D2911" i="52" s="1"/>
  <c r="K37" i="21"/>
  <c r="BE136" i="41"/>
  <c r="BG136" i="41" s="1"/>
  <c r="H918" i="54"/>
  <c r="H918" i="44" s="1"/>
  <c r="BE274" i="41"/>
  <c r="BG274" i="41" s="1"/>
  <c r="BE222" i="41"/>
  <c r="BG222" i="41" s="1"/>
  <c r="BE271" i="41"/>
  <c r="BG271" i="41" s="1"/>
  <c r="BF40" i="41"/>
  <c r="BE103" i="41"/>
  <c r="BG103" i="41" s="1"/>
  <c r="BF107" i="41"/>
  <c r="BE221" i="41"/>
  <c r="BG221" i="41" s="1"/>
  <c r="D304" i="52"/>
  <c r="D391" i="52"/>
  <c r="D1263" i="52"/>
  <c r="D1355" i="52"/>
  <c r="D1680" i="52"/>
  <c r="D1690" i="52"/>
  <c r="D1704" i="52"/>
  <c r="D1772" i="52"/>
  <c r="D2423" i="52"/>
  <c r="D2778" i="52"/>
  <c r="G17" i="29"/>
  <c r="G17" i="53"/>
  <c r="J70" i="54"/>
  <c r="D1291" i="52"/>
  <c r="J133" i="54"/>
  <c r="J133" i="44" s="1"/>
  <c r="J166" i="44"/>
  <c r="J167" i="54"/>
  <c r="J167" i="44" s="1"/>
  <c r="J334" i="44"/>
  <c r="J335" i="54"/>
  <c r="D1494" i="52" s="1"/>
  <c r="J366" i="44"/>
  <c r="J367" i="54"/>
  <c r="J436" i="54"/>
  <c r="J424" i="44"/>
  <c r="J425" i="54"/>
  <c r="J466" i="54"/>
  <c r="J465" i="44"/>
  <c r="J535" i="54"/>
  <c r="D1694" i="52" s="1"/>
  <c r="J601" i="54"/>
  <c r="D1760" i="52" s="1"/>
  <c r="J599" i="44"/>
  <c r="D1767" i="52"/>
  <c r="J609" i="54"/>
  <c r="D1768" i="52" s="1"/>
  <c r="J770" i="54"/>
  <c r="D1929" i="52" s="1"/>
  <c r="J823" i="54"/>
  <c r="J822" i="44"/>
  <c r="J889" i="44"/>
  <c r="J890" i="54"/>
  <c r="J1067" i="44"/>
  <c r="J1069" i="54"/>
  <c r="J1069" i="44" s="1"/>
  <c r="J1110" i="54"/>
  <c r="J1110" i="44" s="1"/>
  <c r="J1108" i="44"/>
  <c r="K1154" i="54"/>
  <c r="J1152" i="54"/>
  <c r="J1152" i="44" s="1"/>
  <c r="J1260" i="54"/>
  <c r="D2418" i="52" s="1"/>
  <c r="D2478" i="52"/>
  <c r="J1352" i="54"/>
  <c r="J1352" i="44" s="1"/>
  <c r="J1344" i="54"/>
  <c r="J1344" i="44" s="1"/>
  <c r="J1333" i="54"/>
  <c r="J1333" i="44" s="1"/>
  <c r="J1330" i="54"/>
  <c r="J1330" i="44" s="1"/>
  <c r="J1322" i="54"/>
  <c r="J1322" i="44" s="1"/>
  <c r="J1312" i="54"/>
  <c r="J1312" i="44" s="1"/>
  <c r="J1307" i="54"/>
  <c r="J1307" i="44" s="1"/>
  <c r="J1296" i="54"/>
  <c r="J1296" i="44" s="1"/>
  <c r="J1290" i="54"/>
  <c r="J1290" i="44" s="1"/>
  <c r="J1282" i="54"/>
  <c r="J1357" i="54"/>
  <c r="J1357" i="44" s="1"/>
  <c r="J1350" i="54"/>
  <c r="J1350" i="44" s="1"/>
  <c r="J1341" i="54"/>
  <c r="J1341" i="44" s="1"/>
  <c r="J1332" i="54"/>
  <c r="J1332" i="44" s="1"/>
  <c r="J1324" i="54"/>
  <c r="J1324" i="44" s="1"/>
  <c r="J1321" i="54"/>
  <c r="J1321" i="44" s="1"/>
  <c r="J1315" i="54"/>
  <c r="J1315" i="44" s="1"/>
  <c r="J1306" i="54"/>
  <c r="J1306" i="44" s="1"/>
  <c r="J1289" i="54"/>
  <c r="J1289" i="44" s="1"/>
  <c r="J1358" i="54"/>
  <c r="J1358" i="44" s="1"/>
  <c r="J1349" i="54"/>
  <c r="J1349" i="44" s="1"/>
  <c r="J1339" i="54"/>
  <c r="J1339" i="44" s="1"/>
  <c r="J1323" i="54"/>
  <c r="J1323" i="44" s="1"/>
  <c r="J1313" i="54"/>
  <c r="J1313" i="44" s="1"/>
  <c r="J1297" i="54"/>
  <c r="J1297" i="44" s="1"/>
  <c r="J1343" i="54"/>
  <c r="J1343" i="44" s="1"/>
  <c r="J1320" i="54"/>
  <c r="J1320" i="44" s="1"/>
  <c r="J1311" i="54"/>
  <c r="J1311" i="44" s="1"/>
  <c r="J1295" i="54"/>
  <c r="J1295" i="44" s="1"/>
  <c r="J1353" i="54"/>
  <c r="J1353" i="44" s="1"/>
  <c r="J1342" i="54"/>
  <c r="J1342" i="44" s="1"/>
  <c r="J1331" i="54"/>
  <c r="J1331" i="44" s="1"/>
  <c r="J1316" i="54"/>
  <c r="J1316" i="44" s="1"/>
  <c r="J1291" i="54"/>
  <c r="J1291" i="44" s="1"/>
  <c r="J1340" i="54"/>
  <c r="J1340" i="44" s="1"/>
  <c r="J1314" i="54"/>
  <c r="J1314" i="44" s="1"/>
  <c r="J1305" i="54"/>
  <c r="J1305" i="44" s="1"/>
  <c r="J1288" i="54"/>
  <c r="J1288" i="44" s="1"/>
  <c r="D2562" i="52"/>
  <c r="J1405" i="54"/>
  <c r="J1442" i="54"/>
  <c r="D2600" i="52" s="1"/>
  <c r="J1441" i="44"/>
  <c r="J1477" i="44"/>
  <c r="J1478" i="54"/>
  <c r="J1478" i="44" s="1"/>
  <c r="K1595" i="54"/>
  <c r="K1518" i="54" s="1"/>
  <c r="J1518" i="54" s="1"/>
  <c r="J1520" i="54"/>
  <c r="K1634" i="54"/>
  <c r="D2791" i="52" s="1"/>
  <c r="J1603" i="54"/>
  <c r="D2761" i="52" s="1"/>
  <c r="J1683" i="54"/>
  <c r="D2841" i="52" s="1"/>
  <c r="J1682" i="44"/>
  <c r="B1757" i="54"/>
  <c r="D2914" i="52" s="1"/>
  <c r="K42" i="21"/>
  <c r="A2" i="7"/>
  <c r="I948" i="54"/>
  <c r="I948" i="44" s="1"/>
  <c r="C307" i="44"/>
  <c r="C307" i="54"/>
  <c r="H320" i="54"/>
  <c r="B364" i="54"/>
  <c r="B332" i="54"/>
  <c r="C298" i="54"/>
  <c r="B380" i="44"/>
  <c r="B348" i="44"/>
  <c r="B380" i="54"/>
  <c r="B348" i="54"/>
  <c r="B364" i="44"/>
  <c r="B332" i="44"/>
  <c r="C298" i="44"/>
  <c r="C1219" i="54"/>
  <c r="C643" i="54"/>
  <c r="F6" i="7"/>
  <c r="C623" i="54"/>
  <c r="H811" i="54"/>
  <c r="H811" i="44" s="1"/>
  <c r="C633" i="54"/>
  <c r="E7" i="17"/>
  <c r="C293" i="54"/>
  <c r="H1169" i="54"/>
  <c r="H1169" i="44" s="1"/>
  <c r="C258" i="54"/>
  <c r="C441" i="54"/>
  <c r="B4" i="48"/>
  <c r="C169" i="54"/>
  <c r="H1037" i="54"/>
  <c r="H1037" i="44" s="1"/>
  <c r="C128" i="54"/>
  <c r="C538" i="54"/>
  <c r="D1146" i="52"/>
  <c r="F128" i="44"/>
  <c r="H18" i="3"/>
  <c r="I33" i="44"/>
  <c r="J33" i="54"/>
  <c r="J33" i="44" s="1"/>
  <c r="I106" i="44"/>
  <c r="J106" i="54"/>
  <c r="J106" i="44" s="1"/>
  <c r="I186" i="44"/>
  <c r="J186" i="54"/>
  <c r="J186" i="44" s="1"/>
  <c r="I272" i="44"/>
  <c r="J272" i="54"/>
  <c r="J272" i="44" s="1"/>
  <c r="I258" i="44"/>
  <c r="J258" i="54"/>
  <c r="J258" i="44" s="1"/>
  <c r="J381" i="54"/>
  <c r="J381" i="44" s="1"/>
  <c r="J380" i="44"/>
  <c r="H405" i="44"/>
  <c r="J405" i="54"/>
  <c r="F49" i="3"/>
  <c r="K49" i="3" s="1"/>
  <c r="F432" i="44"/>
  <c r="F54" i="3"/>
  <c r="K54" i="3" s="1"/>
  <c r="J445" i="54"/>
  <c r="J445" i="44" s="1"/>
  <c r="J444" i="44"/>
  <c r="J478" i="54"/>
  <c r="J478" i="44" s="1"/>
  <c r="F67" i="3"/>
  <c r="J484" i="54"/>
  <c r="J484" i="44" s="1"/>
  <c r="F73" i="3"/>
  <c r="I493" i="44"/>
  <c r="J493" i="54"/>
  <c r="J493" i="44" s="1"/>
  <c r="H61" i="3"/>
  <c r="H65" i="3"/>
  <c r="J497" i="54"/>
  <c r="J497" i="44" s="1"/>
  <c r="I503" i="44"/>
  <c r="J503" i="54"/>
  <c r="J503" i="44" s="1"/>
  <c r="H71" i="3"/>
  <c r="I541" i="44"/>
  <c r="J541" i="54"/>
  <c r="J541" i="44" s="1"/>
  <c r="I547" i="44"/>
  <c r="J547" i="54"/>
  <c r="J547" i="44" s="1"/>
  <c r="H574" i="44"/>
  <c r="J574" i="54"/>
  <c r="J574" i="44" s="1"/>
  <c r="I626" i="44"/>
  <c r="J626" i="54"/>
  <c r="J626" i="44" s="1"/>
  <c r="I636" i="44"/>
  <c r="J636" i="54"/>
  <c r="J636" i="44" s="1"/>
  <c r="J643" i="54"/>
  <c r="J643" i="44" s="1"/>
  <c r="H28" i="4"/>
  <c r="D664" i="44"/>
  <c r="J664" i="54"/>
  <c r="J688" i="54"/>
  <c r="H727" i="44"/>
  <c r="J727" i="54"/>
  <c r="H757" i="44"/>
  <c r="J757" i="54"/>
  <c r="I778" i="44"/>
  <c r="H65" i="4"/>
  <c r="J788" i="54"/>
  <c r="F66" i="4"/>
  <c r="H829" i="44"/>
  <c r="J829" i="54"/>
  <c r="J829" i="44" s="1"/>
  <c r="J880" i="54"/>
  <c r="J880" i="44" s="1"/>
  <c r="H927" i="44"/>
  <c r="J927" i="54"/>
  <c r="F13" i="5"/>
  <c r="K13" i="5" s="1"/>
  <c r="I986" i="44"/>
  <c r="H30" i="5"/>
  <c r="H970" i="44"/>
  <c r="J970" i="54"/>
  <c r="F27" i="5"/>
  <c r="H1063" i="44"/>
  <c r="J1063" i="54"/>
  <c r="J1137" i="44"/>
  <c r="J1138" i="54"/>
  <c r="J1138" i="44" s="1"/>
  <c r="J1134" i="54"/>
  <c r="J1134" i="44" s="1"/>
  <c r="H1198" i="44"/>
  <c r="J1198" i="54"/>
  <c r="H1629" i="44"/>
  <c r="J1629" i="54"/>
  <c r="B296" i="44"/>
  <c r="B318" i="44" s="1"/>
  <c r="B334" i="44" s="1"/>
  <c r="H1359" i="44"/>
  <c r="J1359" i="54"/>
  <c r="H1338" i="44"/>
  <c r="J1338" i="54"/>
  <c r="J1338" i="44" s="1"/>
  <c r="H1317" i="44"/>
  <c r="J1317" i="54"/>
  <c r="H1298" i="44"/>
  <c r="J1298" i="54"/>
  <c r="H1325" i="44"/>
  <c r="J1325" i="54"/>
  <c r="I51" i="44"/>
  <c r="J51" i="54"/>
  <c r="J51" i="44" s="1"/>
  <c r="I31" i="44"/>
  <c r="J31" i="54"/>
  <c r="J31" i="44" s="1"/>
  <c r="I112" i="44"/>
  <c r="J112" i="54"/>
  <c r="J112" i="44" s="1"/>
  <c r="I137" i="44"/>
  <c r="J137" i="54"/>
  <c r="J224" i="44"/>
  <c r="J225" i="54"/>
  <c r="J365" i="54"/>
  <c r="J365" i="44" s="1"/>
  <c r="J364" i="44"/>
  <c r="J418" i="54"/>
  <c r="F92" i="3"/>
  <c r="E432" i="44"/>
  <c r="J432" i="54"/>
  <c r="J432" i="44" s="1"/>
  <c r="F52" i="3"/>
  <c r="H455" i="44"/>
  <c r="J455" i="54"/>
  <c r="D1614" i="52" s="1"/>
  <c r="J471" i="54"/>
  <c r="J471" i="44" s="1"/>
  <c r="F60" i="3"/>
  <c r="G475" i="44"/>
  <c r="F70" i="3"/>
  <c r="J481" i="54"/>
  <c r="J481" i="44" s="1"/>
  <c r="I485" i="44"/>
  <c r="F74" i="3"/>
  <c r="J485" i="54"/>
  <c r="J485" i="44" s="1"/>
  <c r="J494" i="54"/>
  <c r="J494" i="44" s="1"/>
  <c r="H62" i="3"/>
  <c r="J498" i="54"/>
  <c r="J498" i="44" s="1"/>
  <c r="H66" i="3"/>
  <c r="I504" i="44"/>
  <c r="J504" i="54"/>
  <c r="J504" i="44" s="1"/>
  <c r="H72" i="3"/>
  <c r="I524" i="44"/>
  <c r="J524" i="54"/>
  <c r="J524" i="44" s="1"/>
  <c r="D661" i="44"/>
  <c r="J661" i="54"/>
  <c r="J661" i="44" s="1"/>
  <c r="G714" i="44"/>
  <c r="J714" i="54"/>
  <c r="H778" i="44"/>
  <c r="J778" i="54"/>
  <c r="D1937" i="52" s="1"/>
  <c r="F65" i="4"/>
  <c r="J807" i="54"/>
  <c r="H841" i="44"/>
  <c r="J841" i="54"/>
  <c r="J841" i="44" s="1"/>
  <c r="H825" i="44"/>
  <c r="J825" i="54"/>
  <c r="J825" i="44" s="1"/>
  <c r="J876" i="54"/>
  <c r="J876" i="44" s="1"/>
  <c r="H942" i="44"/>
  <c r="J942" i="54"/>
  <c r="D2101" i="52" s="1"/>
  <c r="I970" i="44"/>
  <c r="H27" i="5"/>
  <c r="H1012" i="44"/>
  <c r="J1012" i="54"/>
  <c r="F34" i="5"/>
  <c r="K34" i="5" s="1"/>
  <c r="H1055" i="44"/>
  <c r="J1055" i="54"/>
  <c r="D1095" i="44"/>
  <c r="J1095" i="54"/>
  <c r="J1095" i="44" s="1"/>
  <c r="H1213" i="44"/>
  <c r="J1213" i="54"/>
  <c r="J1213" i="44" s="1"/>
  <c r="H1193" i="44"/>
  <c r="J1193" i="54"/>
  <c r="H1447" i="44"/>
  <c r="J1447" i="54"/>
  <c r="D2605" i="52" s="1"/>
  <c r="H1613" i="44"/>
  <c r="J1613" i="54"/>
  <c r="D2763" i="52" s="1"/>
  <c r="E43" i="29"/>
  <c r="K43" i="29" s="1"/>
  <c r="K43" i="53" s="1"/>
  <c r="K44" i="29"/>
  <c r="K44" i="53" s="1"/>
  <c r="H9" i="3"/>
  <c r="G128" i="44"/>
  <c r="H19" i="3"/>
  <c r="I40" i="44"/>
  <c r="J40" i="54"/>
  <c r="J40" i="44" s="1"/>
  <c r="I26" i="44"/>
  <c r="J26" i="54"/>
  <c r="J26" i="44" s="1"/>
  <c r="J170" i="54"/>
  <c r="J170" i="44" s="1"/>
  <c r="J213" i="54"/>
  <c r="D1372" i="52" s="1"/>
  <c r="J230" i="44"/>
  <c r="J231" i="54"/>
  <c r="J231" i="44" s="1"/>
  <c r="I244" i="44"/>
  <c r="J244" i="54"/>
  <c r="J244" i="44" s="1"/>
  <c r="I239" i="44"/>
  <c r="J239" i="54"/>
  <c r="J239" i="44" s="1"/>
  <c r="I284" i="44"/>
  <c r="J284" i="54"/>
  <c r="J284" i="44" s="1"/>
  <c r="J305" i="44"/>
  <c r="J306" i="54"/>
  <c r="J472" i="54"/>
  <c r="J472" i="44" s="1"/>
  <c r="F61" i="3"/>
  <c r="J476" i="54"/>
  <c r="J476" i="44" s="1"/>
  <c r="F65" i="3"/>
  <c r="J482" i="54"/>
  <c r="J482" i="44" s="1"/>
  <c r="F71" i="3"/>
  <c r="J499" i="54"/>
  <c r="J499" i="44" s="1"/>
  <c r="H67" i="3"/>
  <c r="D871" i="52" s="1"/>
  <c r="J505" i="54"/>
  <c r="J505" i="44" s="1"/>
  <c r="H73" i="3"/>
  <c r="I515" i="44"/>
  <c r="J515" i="54"/>
  <c r="J515" i="44" s="1"/>
  <c r="I520" i="44"/>
  <c r="J520" i="54"/>
  <c r="J520" i="44" s="1"/>
  <c r="F65" i="7"/>
  <c r="H76" i="3"/>
  <c r="H75" i="3" s="1"/>
  <c r="H572" i="44"/>
  <c r="J572" i="54"/>
  <c r="J572" i="44" s="1"/>
  <c r="G627" i="44"/>
  <c r="F24" i="4"/>
  <c r="D922" i="52" s="1"/>
  <c r="I634" i="44"/>
  <c r="J634" i="54"/>
  <c r="J634" i="44" s="1"/>
  <c r="D660" i="44"/>
  <c r="J660" i="54"/>
  <c r="J660" i="44" s="1"/>
  <c r="E675" i="44"/>
  <c r="J675" i="54"/>
  <c r="J701" i="54"/>
  <c r="F33" i="4"/>
  <c r="D931" i="52" s="1"/>
  <c r="H766" i="44"/>
  <c r="J766" i="54"/>
  <c r="H837" i="44"/>
  <c r="J837" i="54"/>
  <c r="J837" i="44" s="1"/>
  <c r="J923" i="54"/>
  <c r="F10" i="5"/>
  <c r="D970" i="52" s="1"/>
  <c r="J979" i="54"/>
  <c r="F29" i="5"/>
  <c r="J1007" i="54"/>
  <c r="D2158" i="52" s="1"/>
  <c r="F33" i="5"/>
  <c r="J1046" i="54"/>
  <c r="J1046" i="44" s="1"/>
  <c r="J1038" i="54"/>
  <c r="J1038" i="44" s="1"/>
  <c r="J1045" i="44"/>
  <c r="H1078" i="44"/>
  <c r="J1078" i="54"/>
  <c r="J1078" i="44" s="1"/>
  <c r="D1101" i="44"/>
  <c r="J1101" i="54"/>
  <c r="J1101" i="44" s="1"/>
  <c r="J1127" i="54"/>
  <c r="H1159" i="44"/>
  <c r="J1159" i="54"/>
  <c r="J1159" i="44" s="1"/>
  <c r="J1172" i="54"/>
  <c r="J1172" i="44" s="1"/>
  <c r="H1246" i="44"/>
  <c r="J1246" i="54"/>
  <c r="J1433" i="54"/>
  <c r="J1471" i="54"/>
  <c r="F1484" i="44"/>
  <c r="J1484" i="54"/>
  <c r="J1484" i="44" s="1"/>
  <c r="H1308" i="44"/>
  <c r="J1308" i="54"/>
  <c r="H1292" i="44"/>
  <c r="J1292" i="54"/>
  <c r="J333" i="54"/>
  <c r="J333" i="44" s="1"/>
  <c r="J332" i="44"/>
  <c r="K9" i="4"/>
  <c r="F8" i="4"/>
  <c r="I21" i="44"/>
  <c r="J21" i="54"/>
  <c r="J21" i="44" s="1"/>
  <c r="I37" i="44"/>
  <c r="J37" i="54"/>
  <c r="J37" i="44" s="1"/>
  <c r="J46" i="54"/>
  <c r="J46" i="44" s="1"/>
  <c r="I13" i="44"/>
  <c r="J13" i="54"/>
  <c r="J13" i="44" s="1"/>
  <c r="J118" i="54"/>
  <c r="J118" i="44" s="1"/>
  <c r="I103" i="44"/>
  <c r="J103" i="54"/>
  <c r="J103" i="44" s="1"/>
  <c r="J84" i="54"/>
  <c r="J84" i="44" s="1"/>
  <c r="J192" i="54"/>
  <c r="J192" i="44" s="1"/>
  <c r="H21" i="3"/>
  <c r="J270" i="54"/>
  <c r="J270" i="44" s="1"/>
  <c r="J315" i="54"/>
  <c r="J315" i="44" s="1"/>
  <c r="J314" i="44"/>
  <c r="J316" i="54"/>
  <c r="D1475" i="52" s="1"/>
  <c r="J349" i="54"/>
  <c r="J349" i="44" s="1"/>
  <c r="J348" i="44"/>
  <c r="I418" i="44"/>
  <c r="H92" i="3"/>
  <c r="J473" i="54"/>
  <c r="J473" i="44" s="1"/>
  <c r="F62" i="3"/>
  <c r="J477" i="54"/>
  <c r="J477" i="44" s="1"/>
  <c r="F66" i="3"/>
  <c r="J483" i="54"/>
  <c r="J483" i="44" s="1"/>
  <c r="F72" i="3"/>
  <c r="J492" i="54"/>
  <c r="J492" i="44" s="1"/>
  <c r="H60" i="3"/>
  <c r="J502" i="54"/>
  <c r="J502" i="44" s="1"/>
  <c r="H70" i="3"/>
  <c r="J506" i="54"/>
  <c r="J506" i="44" s="1"/>
  <c r="H74" i="3"/>
  <c r="H560" i="44"/>
  <c r="J560" i="54"/>
  <c r="J560" i="44" s="1"/>
  <c r="F88" i="3"/>
  <c r="J633" i="54"/>
  <c r="J633" i="44" s="1"/>
  <c r="H27" i="4"/>
  <c r="D659" i="44"/>
  <c r="J659" i="54"/>
  <c r="J659" i="44" s="1"/>
  <c r="J742" i="54"/>
  <c r="I788" i="44"/>
  <c r="H66" i="4"/>
  <c r="J816" i="54"/>
  <c r="J816" i="44" s="1"/>
  <c r="H833" i="44"/>
  <c r="J833" i="54"/>
  <c r="J833" i="44" s="1"/>
  <c r="E866" i="44"/>
  <c r="J866" i="54"/>
  <c r="J866" i="44" s="1"/>
  <c r="J883" i="54"/>
  <c r="J883" i="44" s="1"/>
  <c r="H938" i="44"/>
  <c r="J938" i="54"/>
  <c r="D2097" i="52" s="1"/>
  <c r="I979" i="44"/>
  <c r="H29" i="5"/>
  <c r="H986" i="44"/>
  <c r="J986" i="54"/>
  <c r="F30" i="5"/>
  <c r="I1007" i="44"/>
  <c r="H33" i="5"/>
  <c r="H31" i="5" s="1"/>
  <c r="H998" i="44"/>
  <c r="J998" i="54"/>
  <c r="D2152" i="52" s="1"/>
  <c r="F32" i="5"/>
  <c r="D992" i="52" s="1"/>
  <c r="D1033" i="44"/>
  <c r="J1033" i="54"/>
  <c r="H1074" i="44"/>
  <c r="J1074" i="54"/>
  <c r="H1119" i="44"/>
  <c r="J1119" i="54"/>
  <c r="J1141" i="54"/>
  <c r="J1141" i="44" s="1"/>
  <c r="H1221" i="44"/>
  <c r="J1221" i="54"/>
  <c r="J1240" i="54"/>
  <c r="D2398" i="52" s="1"/>
  <c r="H1463" i="44"/>
  <c r="J1463" i="54"/>
  <c r="H1621" i="44"/>
  <c r="J1621" i="54"/>
  <c r="D2771" i="52" s="1"/>
  <c r="BA293" i="41"/>
  <c r="BE293" i="41"/>
  <c r="BG293" i="41" s="1"/>
  <c r="BF77" i="41"/>
  <c r="BE100" i="41"/>
  <c r="BG100" i="41" s="1"/>
  <c r="BE102" i="41"/>
  <c r="BG102" i="41" s="1"/>
  <c r="BE152" i="41"/>
  <c r="BG152" i="41" s="1"/>
  <c r="BF156" i="41"/>
  <c r="BE179" i="41"/>
  <c r="BG179" i="41" s="1"/>
  <c r="BF309" i="41"/>
  <c r="BF311" i="41"/>
  <c r="BE318" i="41"/>
  <c r="BG318" i="41" s="1"/>
  <c r="BE205" i="41"/>
  <c r="BG205" i="41" s="1"/>
  <c r="BE256" i="41"/>
  <c r="BG256" i="41" s="1"/>
  <c r="BE286" i="41"/>
  <c r="BG286" i="41" s="1"/>
  <c r="BE317" i="41"/>
  <c r="H549" i="54"/>
  <c r="H549" i="44" s="1"/>
  <c r="H544" i="44"/>
  <c r="B4" i="5"/>
  <c r="B4" i="17"/>
  <c r="B4" i="7"/>
  <c r="B4" i="6"/>
  <c r="H56" i="44"/>
  <c r="H128" i="44"/>
  <c r="I18" i="44"/>
  <c r="I23" i="44"/>
  <c r="I38" i="44"/>
  <c r="I50" i="44"/>
  <c r="F52" i="54"/>
  <c r="F52" i="44" s="1"/>
  <c r="F48" i="44"/>
  <c r="I41" i="44"/>
  <c r="I89" i="44"/>
  <c r="I94" i="44"/>
  <c r="I108" i="44"/>
  <c r="H124" i="54"/>
  <c r="H124" i="44" s="1"/>
  <c r="H120" i="44"/>
  <c r="D124" i="54"/>
  <c r="D124" i="44" s="1"/>
  <c r="D120" i="44"/>
  <c r="D114" i="54"/>
  <c r="D114" i="44" s="1"/>
  <c r="D107" i="44"/>
  <c r="G99" i="54"/>
  <c r="G99" i="44" s="1"/>
  <c r="G92" i="44"/>
  <c r="I98" i="44"/>
  <c r="I192" i="44"/>
  <c r="I250" i="44"/>
  <c r="D1404" i="52"/>
  <c r="I246" i="44"/>
  <c r="I241" i="44"/>
  <c r="I260" i="44"/>
  <c r="I265" i="44"/>
  <c r="I276" i="44"/>
  <c r="F266" i="54"/>
  <c r="F266" i="44" s="1"/>
  <c r="F262" i="44"/>
  <c r="D1523" i="52"/>
  <c r="H364" i="44"/>
  <c r="H418" i="44"/>
  <c r="H432" i="44"/>
  <c r="I441" i="44"/>
  <c r="H459" i="44"/>
  <c r="I472" i="44"/>
  <c r="I476" i="44"/>
  <c r="I482" i="44"/>
  <c r="H495" i="54"/>
  <c r="H495" i="44" s="1"/>
  <c r="H496" i="44"/>
  <c r="I499" i="44"/>
  <c r="I505" i="44"/>
  <c r="G500" i="54"/>
  <c r="G501" i="44"/>
  <c r="I525" i="44"/>
  <c r="I531" i="44"/>
  <c r="H512" i="54"/>
  <c r="H512" i="44" s="1"/>
  <c r="H514" i="44"/>
  <c r="I545" i="44"/>
  <c r="H575" i="44"/>
  <c r="H571" i="44"/>
  <c r="I624" i="44"/>
  <c r="I646" i="44"/>
  <c r="D1826" i="52"/>
  <c r="K655" i="54"/>
  <c r="J655" i="54" s="1"/>
  <c r="F679" i="54"/>
  <c r="F679" i="44" s="1"/>
  <c r="F675" i="44"/>
  <c r="H692" i="54"/>
  <c r="H692" i="44" s="1"/>
  <c r="H688" i="44"/>
  <c r="F705" i="54"/>
  <c r="F705" i="44" s="1"/>
  <c r="F701" i="44"/>
  <c r="G744" i="54"/>
  <c r="G744" i="44" s="1"/>
  <c r="G742" i="44"/>
  <c r="H744" i="54"/>
  <c r="H742" i="44"/>
  <c r="E854" i="44"/>
  <c r="D2120" i="52"/>
  <c r="C76" i="5"/>
  <c r="D76" i="5" s="1"/>
  <c r="C81" i="5"/>
  <c r="D81" i="5" s="1"/>
  <c r="H1045" i="44"/>
  <c r="D2249" i="52"/>
  <c r="C99" i="5"/>
  <c r="D99" i="5" s="1"/>
  <c r="D2285" i="52"/>
  <c r="H1127" i="44"/>
  <c r="H1146" i="54"/>
  <c r="H1148" i="54" s="1"/>
  <c r="H1141" i="44"/>
  <c r="H1207" i="54"/>
  <c r="J1207" i="54" s="1"/>
  <c r="H1204" i="44"/>
  <c r="H1240" i="44"/>
  <c r="H1455" i="44"/>
  <c r="D2628" i="52"/>
  <c r="H1471" i="44"/>
  <c r="K1673" i="54"/>
  <c r="D2830" i="52" s="1"/>
  <c r="D94" i="53"/>
  <c r="D94" i="29"/>
  <c r="H761" i="44"/>
  <c r="H752" i="44"/>
  <c r="L16" i="21"/>
  <c r="I1429" i="54"/>
  <c r="I1429" i="44" s="1"/>
  <c r="I1428" i="44"/>
  <c r="F549" i="54"/>
  <c r="F549" i="44" s="1"/>
  <c r="F544" i="44"/>
  <c r="D203" i="52"/>
  <c r="D56" i="44"/>
  <c r="I15" i="44"/>
  <c r="I19" i="44"/>
  <c r="I24" i="44"/>
  <c r="I34" i="44"/>
  <c r="I39" i="44"/>
  <c r="D52" i="54"/>
  <c r="D52" i="44" s="1"/>
  <c r="D48" i="44"/>
  <c r="G42" i="54"/>
  <c r="G42" i="44" s="1"/>
  <c r="G35" i="44"/>
  <c r="I86" i="44"/>
  <c r="I90" i="44"/>
  <c r="I95" i="44"/>
  <c r="I109" i="44"/>
  <c r="I121" i="44"/>
  <c r="G124" i="54"/>
  <c r="G124" i="44" s="1"/>
  <c r="G120" i="44"/>
  <c r="I119" i="44"/>
  <c r="I202" i="54"/>
  <c r="H202" i="44"/>
  <c r="I249" i="44"/>
  <c r="I261" i="44"/>
  <c r="I277" i="44"/>
  <c r="I287" i="44"/>
  <c r="F289" i="54"/>
  <c r="F289" i="44" s="1"/>
  <c r="F286" i="44"/>
  <c r="I270" i="44"/>
  <c r="E266" i="54"/>
  <c r="E266" i="44" s="1"/>
  <c r="E262" i="44"/>
  <c r="D1464" i="52"/>
  <c r="F305" i="44"/>
  <c r="D1507" i="52"/>
  <c r="H348" i="44"/>
  <c r="E387" i="44"/>
  <c r="I405" i="44"/>
  <c r="D235" i="52"/>
  <c r="G432" i="44"/>
  <c r="D1602" i="52"/>
  <c r="I444" i="44"/>
  <c r="I473" i="44"/>
  <c r="D240" i="52"/>
  <c r="I477" i="44"/>
  <c r="I483" i="44"/>
  <c r="H469" i="54"/>
  <c r="H469" i="44" s="1"/>
  <c r="H470" i="44"/>
  <c r="I492" i="44"/>
  <c r="G495" i="54"/>
  <c r="G496" i="44"/>
  <c r="I502" i="44"/>
  <c r="I506" i="44"/>
  <c r="G490" i="54"/>
  <c r="G491" i="44"/>
  <c r="I516" i="44"/>
  <c r="I522" i="44"/>
  <c r="I527" i="44"/>
  <c r="I532" i="44"/>
  <c r="G519" i="54"/>
  <c r="G521" i="44"/>
  <c r="I540" i="44"/>
  <c r="I546" i="44"/>
  <c r="H570" i="44"/>
  <c r="H597" i="44"/>
  <c r="I625" i="44"/>
  <c r="I633" i="44"/>
  <c r="I645" i="44"/>
  <c r="I679" i="54"/>
  <c r="I679" i="44" s="1"/>
  <c r="I675" i="44"/>
  <c r="G692" i="54"/>
  <c r="G692" i="44" s="1"/>
  <c r="G688" i="44"/>
  <c r="I705" i="54"/>
  <c r="I705" i="44" s="1"/>
  <c r="I701" i="44"/>
  <c r="E705" i="54"/>
  <c r="E701" i="44"/>
  <c r="F744" i="54"/>
  <c r="F742" i="44"/>
  <c r="E850" i="44"/>
  <c r="D2041" i="52"/>
  <c r="I923" i="44"/>
  <c r="D2085" i="52"/>
  <c r="I927" i="44"/>
  <c r="H979" i="44"/>
  <c r="I1012" i="44"/>
  <c r="H1007" i="44"/>
  <c r="D2194" i="52"/>
  <c r="C96" i="5"/>
  <c r="D96" i="5" s="1"/>
  <c r="D2295" i="52"/>
  <c r="H1137" i="44"/>
  <c r="H1217" i="44"/>
  <c r="F56" i="44"/>
  <c r="D128" i="44"/>
  <c r="G578" i="44"/>
  <c r="D988" i="52"/>
  <c r="I16" i="44"/>
  <c r="I25" i="44"/>
  <c r="I36" i="44"/>
  <c r="H52" i="54"/>
  <c r="H52" i="44" s="1"/>
  <c r="H48" i="44"/>
  <c r="I47" i="44"/>
  <c r="I87" i="44"/>
  <c r="I91" i="44"/>
  <c r="I96" i="44"/>
  <c r="I105" i="44"/>
  <c r="I110" i="44"/>
  <c r="I122" i="44"/>
  <c r="I118" i="44"/>
  <c r="I84" i="44"/>
  <c r="I175" i="44"/>
  <c r="I201" i="54"/>
  <c r="H201" i="44"/>
  <c r="F224" i="44"/>
  <c r="D1389" i="52"/>
  <c r="F230" i="44"/>
  <c r="I248" i="44"/>
  <c r="I243" i="44"/>
  <c r="I263" i="44"/>
  <c r="I273" i="44"/>
  <c r="I278" i="44"/>
  <c r="I288" i="44"/>
  <c r="E289" i="54"/>
  <c r="E289" i="44" s="1"/>
  <c r="E286" i="44"/>
  <c r="D1544" i="52"/>
  <c r="E386" i="44"/>
  <c r="I443" i="44"/>
  <c r="I478" i="44"/>
  <c r="I484" i="44"/>
  <c r="G479" i="54"/>
  <c r="G480" i="44"/>
  <c r="I497" i="44"/>
  <c r="I517" i="44"/>
  <c r="I523" i="44"/>
  <c r="I529" i="44"/>
  <c r="H519" i="54"/>
  <c r="H519" i="44" s="1"/>
  <c r="H521" i="44"/>
  <c r="G526" i="54"/>
  <c r="G528" i="44"/>
  <c r="I538" i="44"/>
  <c r="H577" i="44"/>
  <c r="H573" i="44"/>
  <c r="H569" i="44"/>
  <c r="D1802" i="52"/>
  <c r="I644" i="44"/>
  <c r="H679" i="54"/>
  <c r="H679" i="44" s="1"/>
  <c r="H675" i="44"/>
  <c r="H705" i="54"/>
  <c r="H705" i="44" s="1"/>
  <c r="H701" i="44"/>
  <c r="H788" i="44"/>
  <c r="D1965" i="52"/>
  <c r="E807" i="44"/>
  <c r="D1974" i="52"/>
  <c r="H816" i="44"/>
  <c r="D1999" i="52"/>
  <c r="I841" i="44"/>
  <c r="E862" i="44"/>
  <c r="H923" i="44"/>
  <c r="C97" i="5"/>
  <c r="D97" i="5" s="1"/>
  <c r="D2268" i="52"/>
  <c r="C103" i="5"/>
  <c r="D103" i="5" s="1"/>
  <c r="D2321" i="52"/>
  <c r="C106" i="5"/>
  <c r="D106" i="5" s="1"/>
  <c r="B205" i="44"/>
  <c r="B218" i="44" s="1"/>
  <c r="D1490" i="52"/>
  <c r="H332" i="44"/>
  <c r="D205" i="52"/>
  <c r="G56" i="44"/>
  <c r="E128" i="44"/>
  <c r="I17" i="44"/>
  <c r="I22" i="44"/>
  <c r="I49" i="44"/>
  <c r="G52" i="54"/>
  <c r="G52" i="44" s="1"/>
  <c r="G48" i="44"/>
  <c r="I46" i="44"/>
  <c r="I88" i="44"/>
  <c r="I93" i="44"/>
  <c r="I97" i="44"/>
  <c r="I111" i="44"/>
  <c r="I123" i="44"/>
  <c r="E124" i="54"/>
  <c r="E124" i="44" s="1"/>
  <c r="E120" i="44"/>
  <c r="D1271" i="52"/>
  <c r="I113" i="44"/>
  <c r="D1328" i="52"/>
  <c r="I170" i="44"/>
  <c r="I200" i="54"/>
  <c r="D1358" i="52" s="1"/>
  <c r="H200" i="44"/>
  <c r="D213" i="44"/>
  <c r="I251" i="44"/>
  <c r="D1405" i="52"/>
  <c r="I247" i="44"/>
  <c r="I242" i="44"/>
  <c r="I264" i="44"/>
  <c r="I275" i="44"/>
  <c r="I279" i="44"/>
  <c r="H289" i="54"/>
  <c r="H289" i="44" s="1"/>
  <c r="H286" i="44"/>
  <c r="I285" i="44"/>
  <c r="F314" i="44"/>
  <c r="H380" i="44"/>
  <c r="E385" i="44"/>
  <c r="I442" i="44"/>
  <c r="I471" i="44"/>
  <c r="I481" i="44"/>
  <c r="G469" i="54"/>
  <c r="G470" i="44"/>
  <c r="I494" i="44"/>
  <c r="I498" i="44"/>
  <c r="H490" i="54"/>
  <c r="H490" i="44" s="1"/>
  <c r="H491" i="44"/>
  <c r="I513" i="44"/>
  <c r="I518" i="44"/>
  <c r="I530" i="44"/>
  <c r="G512" i="54"/>
  <c r="G514" i="44"/>
  <c r="I542" i="44"/>
  <c r="I548" i="44"/>
  <c r="D318" i="52"/>
  <c r="I560" i="44"/>
  <c r="H576" i="44"/>
  <c r="D1726" i="52"/>
  <c r="H568" i="44"/>
  <c r="I623" i="44"/>
  <c r="H627" i="44"/>
  <c r="I635" i="44"/>
  <c r="I643" i="44"/>
  <c r="G679" i="54"/>
  <c r="G679" i="44" s="1"/>
  <c r="G675" i="44"/>
  <c r="I692" i="54"/>
  <c r="I692" i="44" s="1"/>
  <c r="I688" i="44"/>
  <c r="E692" i="54"/>
  <c r="E688" i="44"/>
  <c r="G701" i="44"/>
  <c r="D1893" i="52"/>
  <c r="I744" i="54"/>
  <c r="I742" i="44"/>
  <c r="D1972" i="52"/>
  <c r="H814" i="44"/>
  <c r="E858" i="44"/>
  <c r="I998" i="44"/>
  <c r="D2176" i="52"/>
  <c r="C92" i="5"/>
  <c r="D92" i="5" s="1"/>
  <c r="I1083" i="54"/>
  <c r="I1083" i="44" s="1"/>
  <c r="I1078" i="44"/>
  <c r="H1209" i="44"/>
  <c r="I1427" i="44"/>
  <c r="D2786" i="52"/>
  <c r="I1629" i="44"/>
  <c r="D2641" i="52"/>
  <c r="B1035" i="44"/>
  <c r="D1052" i="52"/>
  <c r="D1817" i="52"/>
  <c r="D2096" i="52"/>
  <c r="B780" i="44"/>
  <c r="D853" i="52"/>
  <c r="I1459" i="54"/>
  <c r="I1459" i="44" s="1"/>
  <c r="I435" i="54"/>
  <c r="I435" i="44" s="1"/>
  <c r="I450" i="54"/>
  <c r="I450" i="44" s="1"/>
  <c r="I147" i="54"/>
  <c r="I147" i="44" s="1"/>
  <c r="B1108" i="44"/>
  <c r="B1131" i="44" s="1"/>
  <c r="BF259" i="41"/>
  <c r="F870" i="54"/>
  <c r="F870" i="44" s="1"/>
  <c r="F252" i="54"/>
  <c r="F252" i="44" s="1"/>
  <c r="G488" i="44"/>
  <c r="I139" i="54"/>
  <c r="I139" i="44" s="1"/>
  <c r="I392" i="54"/>
  <c r="I392" i="44" s="1"/>
  <c r="BB171" i="41"/>
  <c r="BC171" i="41" s="1"/>
  <c r="BD171" i="41" s="1"/>
  <c r="BF171" i="41"/>
  <c r="I133" i="54"/>
  <c r="I133" i="44" s="1"/>
  <c r="I1443" i="54"/>
  <c r="I1443" i="44" s="1"/>
  <c r="I752" i="54"/>
  <c r="BE309" i="41"/>
  <c r="BG309" i="41" s="1"/>
  <c r="BF128" i="41"/>
  <c r="H252" i="54"/>
  <c r="H252" i="44" s="1"/>
  <c r="H6" i="3"/>
  <c r="I824" i="54"/>
  <c r="I824" i="44" s="1"/>
  <c r="G488" i="54"/>
  <c r="G737" i="54"/>
  <c r="G737" i="44" s="1"/>
  <c r="BE255" i="41"/>
  <c r="BG255" i="41" s="1"/>
  <c r="BE15" i="41"/>
  <c r="BG15" i="41" s="1"/>
  <c r="BE59" i="41"/>
  <c r="BG59" i="41" s="1"/>
  <c r="BE159" i="41"/>
  <c r="BG159" i="41" s="1"/>
  <c r="BA166" i="41"/>
  <c r="BE166" i="41"/>
  <c r="BG166" i="41" s="1"/>
  <c r="BF184" i="41"/>
  <c r="BF237" i="41"/>
  <c r="BE5" i="41"/>
  <c r="BG5" i="41" s="1"/>
  <c r="BE16" i="41"/>
  <c r="BG16" i="41" s="1"/>
  <c r="BF46" i="41"/>
  <c r="BE88" i="41"/>
  <c r="BG88" i="41" s="1"/>
  <c r="BF173" i="41"/>
  <c r="BF196" i="41"/>
  <c r="BE238" i="41"/>
  <c r="BG238" i="41" s="1"/>
  <c r="BF261" i="41"/>
  <c r="BE268" i="41"/>
  <c r="BG268" i="41" s="1"/>
  <c r="D286" i="52"/>
  <c r="D291" i="52"/>
  <c r="D306" i="52"/>
  <c r="D390" i="52"/>
  <c r="D1196" i="52"/>
  <c r="D1228" i="52"/>
  <c r="D1371" i="52"/>
  <c r="D1392" i="52"/>
  <c r="D1443" i="52"/>
  <c r="D1472" i="52"/>
  <c r="D1563" i="52"/>
  <c r="D1635" i="52"/>
  <c r="D1641" i="52"/>
  <c r="D1693" i="52"/>
  <c r="D1709" i="52"/>
  <c r="D1798" i="52"/>
  <c r="D1839" i="52"/>
  <c r="D2247" i="52"/>
  <c r="D2417" i="52"/>
  <c r="D2452" i="52"/>
  <c r="D2498" i="52"/>
  <c r="D2770" i="52"/>
  <c r="D910" i="52"/>
  <c r="D1129" i="52"/>
  <c r="I9" i="36"/>
  <c r="J9" i="36" s="1"/>
  <c r="D94" i="52"/>
  <c r="D119" i="52"/>
  <c r="D244" i="52"/>
  <c r="D1207" i="52"/>
  <c r="D1246" i="52"/>
  <c r="D1409" i="52"/>
  <c r="D1473" i="52"/>
  <c r="D1650" i="52"/>
  <c r="D1703" i="52"/>
  <c r="D1710" i="52"/>
  <c r="D1731" i="52"/>
  <c r="D1833" i="52"/>
  <c r="D1849" i="52"/>
  <c r="D1938" i="52"/>
  <c r="D2422" i="52"/>
  <c r="D2468" i="52"/>
  <c r="D2593" i="52"/>
  <c r="D1088" i="52"/>
  <c r="I475" i="54"/>
  <c r="I475" i="44" s="1"/>
  <c r="BF322" i="41"/>
  <c r="BF324" i="41"/>
  <c r="BE10" i="41"/>
  <c r="BG10" i="41" s="1"/>
  <c r="BF37" i="41"/>
  <c r="BF87" i="41"/>
  <c r="BE155" i="41"/>
  <c r="BG155" i="41" s="1"/>
  <c r="BF189" i="41"/>
  <c r="BE228" i="41"/>
  <c r="BG228" i="41" s="1"/>
  <c r="BF267" i="41"/>
  <c r="BE275" i="41"/>
  <c r="BG275" i="41" s="1"/>
  <c r="D219" i="52"/>
  <c r="D253" i="52"/>
  <c r="D276" i="52"/>
  <c r="D298" i="52"/>
  <c r="D401" i="52"/>
  <c r="D948" i="52"/>
  <c r="D1269" i="52"/>
  <c r="D1422" i="52"/>
  <c r="D1433" i="52"/>
  <c r="D1437" i="52"/>
  <c r="D1492" i="52"/>
  <c r="D1631" i="52"/>
  <c r="D1660" i="52"/>
  <c r="D1683" i="52"/>
  <c r="D1689" i="52"/>
  <c r="D1727" i="52"/>
  <c r="D2020" i="52"/>
  <c r="D2081" i="52"/>
  <c r="D2193" i="52"/>
  <c r="D2361" i="52"/>
  <c r="D2664" i="52"/>
  <c r="D2826" i="52"/>
  <c r="D881" i="52"/>
  <c r="H27" i="54"/>
  <c r="H27" i="44" s="1"/>
  <c r="D1991" i="52"/>
  <c r="D2191" i="52"/>
  <c r="BE65" i="41"/>
  <c r="BG65" i="41" s="1"/>
  <c r="BB65" i="41"/>
  <c r="BC65" i="41" s="1"/>
  <c r="BD65" i="41" s="1"/>
  <c r="BE231" i="41"/>
  <c r="BG231" i="41" s="1"/>
  <c r="BB10" i="41"/>
  <c r="BF318" i="41"/>
  <c r="BH318" i="41" s="1"/>
  <c r="BE189" i="41"/>
  <c r="BG189" i="41" s="1"/>
  <c r="BE214" i="41"/>
  <c r="BG214" i="41" s="1"/>
  <c r="BE200" i="41"/>
  <c r="BG200" i="41" s="1"/>
  <c r="BF8" i="41"/>
  <c r="AZ47" i="41"/>
  <c r="BA47" i="41" s="1"/>
  <c r="BB47" i="41" s="1"/>
  <c r="BC47" i="41" s="1"/>
  <c r="BD47" i="41" s="1"/>
  <c r="BE47" i="41"/>
  <c r="BG47" i="41" s="1"/>
  <c r="BD282" i="41"/>
  <c r="BF282" i="41" s="1"/>
  <c r="BE282" i="41"/>
  <c r="BG282" i="41" s="1"/>
  <c r="AZ294" i="41"/>
  <c r="BE294" i="41"/>
  <c r="BG294" i="41" s="1"/>
  <c r="I1268" i="54"/>
  <c r="I1268" i="44" s="1"/>
  <c r="BE8" i="41"/>
  <c r="BG8" i="41" s="1"/>
  <c r="BF101" i="41"/>
  <c r="BB101" i="41"/>
  <c r="BC101" i="41" s="1"/>
  <c r="BD101" i="41" s="1"/>
  <c r="BE131" i="41"/>
  <c r="BG131" i="41" s="1"/>
  <c r="BB145" i="41"/>
  <c r="BE145" i="41"/>
  <c r="BG145" i="41" s="1"/>
  <c r="BB299" i="41"/>
  <c r="BC299" i="41" s="1"/>
  <c r="BD299" i="41" s="1"/>
  <c r="BE299" i="41"/>
  <c r="BG299" i="41" s="1"/>
  <c r="BE289" i="41"/>
  <c r="BG289" i="41" s="1"/>
  <c r="BC289" i="41"/>
  <c r="C84" i="54"/>
  <c r="C46" i="54"/>
  <c r="C31" i="54"/>
  <c r="H1133" i="54"/>
  <c r="H1133" i="44" s="1"/>
  <c r="C192" i="54"/>
  <c r="F6" i="6"/>
  <c r="C184" i="54"/>
  <c r="C209" i="54"/>
  <c r="C56" i="54"/>
  <c r="H1302" i="54"/>
  <c r="H1302" i="44" s="1"/>
  <c r="C5" i="30"/>
  <c r="A2" i="49" s="1"/>
  <c r="F6" i="5"/>
  <c r="C284" i="54"/>
  <c r="H933" i="54"/>
  <c r="H933" i="44" s="1"/>
  <c r="C13" i="54"/>
  <c r="I555" i="54"/>
  <c r="I555" i="44" s="1"/>
  <c r="BE261" i="41"/>
  <c r="BG261" i="41" s="1"/>
  <c r="BE9" i="41"/>
  <c r="BG9" i="41" s="1"/>
  <c r="BE90" i="41"/>
  <c r="BG90" i="41" s="1"/>
  <c r="AZ90" i="41"/>
  <c r="BA90" i="41" s="1"/>
  <c r="BB90" i="41" s="1"/>
  <c r="BC90" i="41" s="1"/>
  <c r="BD90" i="41" s="1"/>
  <c r="BF136" i="41"/>
  <c r="BF187" i="41"/>
  <c r="BF195" i="41"/>
  <c r="BE248" i="41"/>
  <c r="BG248" i="41" s="1"/>
  <c r="BF248" i="41"/>
  <c r="BB316" i="41"/>
  <c r="BC316" i="41" s="1"/>
  <c r="BD316" i="41" s="1"/>
  <c r="BF316" i="41"/>
  <c r="D70" i="52"/>
  <c r="BF23" i="41"/>
  <c r="BE177" i="41"/>
  <c r="BG177" i="41" s="1"/>
  <c r="BA177" i="41"/>
  <c r="BF177" i="41" s="1"/>
  <c r="BE114" i="41"/>
  <c r="BG114" i="41" s="1"/>
  <c r="BB114" i="41"/>
  <c r="BC114" i="41" s="1"/>
  <c r="BD114" i="41" s="1"/>
  <c r="BA242" i="41"/>
  <c r="BE242" i="41"/>
  <c r="BG242" i="41" s="1"/>
  <c r="I1451" i="54"/>
  <c r="I1451" i="44" s="1"/>
  <c r="I1154" i="54"/>
  <c r="I1154" i="44" s="1"/>
  <c r="I156" i="54"/>
  <c r="I156" i="44" s="1"/>
  <c r="I718" i="54"/>
  <c r="I718" i="44" s="1"/>
  <c r="I1184" i="54"/>
  <c r="I1184" i="44" s="1"/>
  <c r="R11" i="30"/>
  <c r="S11" i="30" s="1"/>
  <c r="I771" i="54"/>
  <c r="I771" i="44" s="1"/>
  <c r="I1286" i="54"/>
  <c r="I1286" i="44" s="1"/>
  <c r="BA146" i="41"/>
  <c r="BE146" i="41"/>
  <c r="BG146" i="41" s="1"/>
  <c r="BF300" i="41"/>
  <c r="BE300" i="41"/>
  <c r="BG300" i="41" s="1"/>
  <c r="D214" i="52"/>
  <c r="D463" i="52"/>
  <c r="K1087" i="54"/>
  <c r="BE326" i="41"/>
  <c r="BE29" i="41"/>
  <c r="BG29" i="41" s="1"/>
  <c r="BF180" i="41"/>
  <c r="D421" i="52"/>
  <c r="D1995" i="52"/>
  <c r="BF109" i="41"/>
  <c r="BE127" i="41"/>
  <c r="BG127" i="41" s="1"/>
  <c r="BE258" i="41"/>
  <c r="BG258" i="41" s="1"/>
  <c r="BE272" i="41"/>
  <c r="BG272" i="41" s="1"/>
  <c r="BE302" i="41"/>
  <c r="BG302" i="41" s="1"/>
  <c r="BE305" i="41"/>
  <c r="BG305" i="41" s="1"/>
  <c r="D192" i="52"/>
  <c r="D1180" i="52"/>
  <c r="D1247" i="52"/>
  <c r="D840" i="52"/>
  <c r="D97" i="52"/>
  <c r="H114" i="54"/>
  <c r="H114" i="44" s="1"/>
  <c r="I274" i="54"/>
  <c r="J274" i="54" s="1"/>
  <c r="J274" i="44" s="1"/>
  <c r="BF317" i="41"/>
  <c r="BG317" i="41" s="1"/>
  <c r="BF258" i="41"/>
  <c r="BE259" i="41"/>
  <c r="BG259" i="41" s="1"/>
  <c r="BF47" i="41"/>
  <c r="BE122" i="41"/>
  <c r="BG122" i="41" s="1"/>
  <c r="BE172" i="41"/>
  <c r="BG172" i="41" s="1"/>
  <c r="BE202" i="41"/>
  <c r="BG202" i="41" s="1"/>
  <c r="D398" i="52"/>
  <c r="H1219" i="54"/>
  <c r="J1219" i="54" s="1"/>
  <c r="D2377" i="52" s="1"/>
  <c r="D68" i="52"/>
  <c r="D163" i="52"/>
  <c r="D189" i="52"/>
  <c r="D337" i="52"/>
  <c r="D399" i="52"/>
  <c r="D1031" i="52"/>
  <c r="BE171" i="41"/>
  <c r="BG171" i="41" s="1"/>
  <c r="BE150" i="41"/>
  <c r="BG150" i="41" s="1"/>
  <c r="BF200" i="41"/>
  <c r="D190" i="52"/>
  <c r="D934" i="52"/>
  <c r="D1118" i="52"/>
  <c r="D1192" i="52"/>
  <c r="D1208" i="52"/>
  <c r="H99" i="54"/>
  <c r="H99" i="44" s="1"/>
  <c r="I181" i="54"/>
  <c r="J181" i="54" s="1"/>
  <c r="D1872" i="52"/>
  <c r="D2203" i="52"/>
  <c r="H1106" i="54"/>
  <c r="H1106" i="44" s="1"/>
  <c r="I1248" i="54"/>
  <c r="BF296" i="41"/>
  <c r="D1915" i="52"/>
  <c r="D2221" i="52"/>
  <c r="D2232" i="52"/>
  <c r="D2253" i="52"/>
  <c r="C1219" i="44"/>
  <c r="B438" i="44"/>
  <c r="B448" i="44" s="1"/>
  <c r="D1224" i="52"/>
  <c r="I293" i="54"/>
  <c r="D1509" i="52"/>
  <c r="D1508" i="52"/>
  <c r="D1582" i="52"/>
  <c r="D1661" i="52"/>
  <c r="D1763" i="52"/>
  <c r="D1784" i="52"/>
  <c r="D1794" i="52"/>
  <c r="D1818" i="52"/>
  <c r="D1980" i="52"/>
  <c r="D2383" i="52"/>
  <c r="D2365" i="52"/>
  <c r="D2436" i="52"/>
  <c r="G870" i="54"/>
  <c r="G870" i="44" s="1"/>
  <c r="D27" i="54"/>
  <c r="D27" i="44" s="1"/>
  <c r="D1730" i="52"/>
  <c r="B1751" i="54"/>
  <c r="J1751" i="54" s="1"/>
  <c r="D357" i="52"/>
  <c r="Q18" i="30"/>
  <c r="D28" i="29" s="1"/>
  <c r="S18" i="30"/>
  <c r="D28" i="53" s="1"/>
  <c r="D875" i="52"/>
  <c r="F294" i="54"/>
  <c r="F294" i="44" s="1"/>
  <c r="D1699" i="52"/>
  <c r="D2653" i="52"/>
  <c r="D1673" i="52"/>
  <c r="D1678" i="52"/>
  <c r="D2090" i="52"/>
  <c r="D2089" i="52"/>
  <c r="D2290" i="52"/>
  <c r="D2289" i="52"/>
  <c r="D2604" i="52"/>
  <c r="D2620" i="52"/>
  <c r="D42" i="54"/>
  <c r="D42" i="44" s="1"/>
  <c r="E99" i="54"/>
  <c r="E99" i="44" s="1"/>
  <c r="D1297" i="52"/>
  <c r="H280" i="54"/>
  <c r="H280" i="44" s="1"/>
  <c r="D1613" i="52"/>
  <c r="D1822" i="52"/>
  <c r="D1885" i="52"/>
  <c r="D2350" i="52"/>
  <c r="I627" i="54"/>
  <c r="D1873" i="52"/>
  <c r="D1924" i="52"/>
  <c r="D1983" i="52"/>
  <c r="D2629" i="52"/>
  <c r="BF10" i="41"/>
  <c r="BC10" i="41"/>
  <c r="BD10" i="41" s="1"/>
  <c r="BC60" i="41"/>
  <c r="BD60" i="41" s="1"/>
  <c r="BF60" i="41"/>
  <c r="BF16" i="41"/>
  <c r="BD16" i="41"/>
  <c r="BB45" i="41"/>
  <c r="BC45" i="41" s="1"/>
  <c r="BD45" i="41" s="1"/>
  <c r="BE45" i="41"/>
  <c r="BG45" i="41" s="1"/>
  <c r="BF88" i="41"/>
  <c r="BB88" i="41"/>
  <c r="BC88" i="41" s="1"/>
  <c r="BD88" i="41" s="1"/>
  <c r="AZ191" i="41"/>
  <c r="BE191" i="41"/>
  <c r="BG191" i="41" s="1"/>
  <c r="BB298" i="41"/>
  <c r="BE298" i="41"/>
  <c r="BG298" i="41" s="1"/>
  <c r="BF6" i="41"/>
  <c r="BA154" i="41"/>
  <c r="BE154" i="41"/>
  <c r="BG154" i="41" s="1"/>
  <c r="BE182" i="41"/>
  <c r="BG182" i="41" s="1"/>
  <c r="BC182" i="41"/>
  <c r="BD182" i="41" s="1"/>
  <c r="BB273" i="41"/>
  <c r="BE273" i="41"/>
  <c r="BG273" i="41" s="1"/>
  <c r="BE21" i="41"/>
  <c r="BG21" i="41" s="1"/>
  <c r="BB21" i="41"/>
  <c r="BC21" i="41" s="1"/>
  <c r="BD21" i="41" s="1"/>
  <c r="BE62" i="41"/>
  <c r="BG62" i="41" s="1"/>
  <c r="BE99" i="41"/>
  <c r="BG99" i="41" s="1"/>
  <c r="BB99" i="41"/>
  <c r="BF99" i="41" s="1"/>
  <c r="BE108" i="41"/>
  <c r="BG108" i="41" s="1"/>
  <c r="BC108" i="41"/>
  <c r="BD108" i="41" s="1"/>
  <c r="BA254" i="41"/>
  <c r="BE254" i="41"/>
  <c r="BG254" i="41" s="1"/>
  <c r="AZ257" i="41"/>
  <c r="BE257" i="41"/>
  <c r="BG257" i="41" s="1"/>
  <c r="BC277" i="41"/>
  <c r="BE277" i="41"/>
  <c r="BG277" i="41" s="1"/>
  <c r="BF137" i="41"/>
  <c r="BE137" i="41"/>
  <c r="BG137" i="41" s="1"/>
  <c r="BA175" i="41"/>
  <c r="BE175" i="41"/>
  <c r="BG175" i="41" s="1"/>
  <c r="BA103" i="41"/>
  <c r="BB103" i="41" s="1"/>
  <c r="BC103" i="41" s="1"/>
  <c r="BD103" i="41" s="1"/>
  <c r="BA176" i="41"/>
  <c r="BF176" i="41" s="1"/>
  <c r="BE176" i="41"/>
  <c r="BG176" i="41" s="1"/>
  <c r="AZ203" i="41"/>
  <c r="BE203" i="41"/>
  <c r="BG203" i="41" s="1"/>
  <c r="BF271" i="41"/>
  <c r="BA271" i="41"/>
  <c r="BB271" i="41" s="1"/>
  <c r="BC271" i="41" s="1"/>
  <c r="BD271" i="41" s="1"/>
  <c r="BA326" i="41"/>
  <c r="BB326" i="41" s="1"/>
  <c r="BC326" i="41" s="1"/>
  <c r="BD326" i="41" s="1"/>
  <c r="BF326" i="41"/>
  <c r="BG326" i="41" s="1"/>
  <c r="BE7" i="41"/>
  <c r="BG7" i="41" s="1"/>
  <c r="BF7" i="41"/>
  <c r="BE142" i="41"/>
  <c r="BG142" i="41" s="1"/>
  <c r="BC142" i="41"/>
  <c r="BF142" i="41" s="1"/>
  <c r="BE186" i="41"/>
  <c r="BG186" i="41" s="1"/>
  <c r="BB186" i="41"/>
  <c r="AZ204" i="41"/>
  <c r="BF204" i="41" s="1"/>
  <c r="BE204" i="41"/>
  <c r="BG204" i="41" s="1"/>
  <c r="BB325" i="41"/>
  <c r="BE325" i="41"/>
  <c r="BG325" i="41" s="1"/>
  <c r="BA93" i="41"/>
  <c r="BE93" i="41"/>
  <c r="BG93" i="41" s="1"/>
  <c r="BB133" i="41"/>
  <c r="BC133" i="41" s="1"/>
  <c r="BD133" i="41" s="1"/>
  <c r="BE133" i="41"/>
  <c r="BG133" i="41" s="1"/>
  <c r="AZ168" i="41"/>
  <c r="BA168" i="41" s="1"/>
  <c r="BB168" i="41" s="1"/>
  <c r="BC168" i="41" s="1"/>
  <c r="BD168" i="41" s="1"/>
  <c r="BE168" i="41"/>
  <c r="BG168" i="41" s="1"/>
  <c r="BE199" i="41"/>
  <c r="BG199" i="41" s="1"/>
  <c r="AZ199" i="41"/>
  <c r="BE60" i="41"/>
  <c r="BG60" i="41" s="1"/>
  <c r="BB73" i="41"/>
  <c r="BE73" i="41"/>
  <c r="BG73" i="41" s="1"/>
  <c r="BF144" i="41"/>
  <c r="BD144" i="41"/>
  <c r="BE12" i="41"/>
  <c r="BG12" i="41" s="1"/>
  <c r="BB12" i="41"/>
  <c r="BF12" i="41" s="1"/>
  <c r="BE33" i="41"/>
  <c r="BG33" i="41" s="1"/>
  <c r="BC33" i="41"/>
  <c r="BD33" i="41" s="1"/>
  <c r="BE96" i="41"/>
  <c r="BG96" i="41" s="1"/>
  <c r="BA96" i="41"/>
  <c r="BA310" i="41"/>
  <c r="BE310" i="41"/>
  <c r="BG310" i="41" s="1"/>
  <c r="BE321" i="41"/>
  <c r="BG321" i="41" s="1"/>
  <c r="BB321" i="41"/>
  <c r="BC321" i="41" s="1"/>
  <c r="BD321" i="41" s="1"/>
  <c r="BF29" i="41"/>
  <c r="BF52" i="41"/>
  <c r="BE98" i="41"/>
  <c r="BG98" i="41" s="1"/>
  <c r="BF98" i="41"/>
  <c r="BD138" i="41"/>
  <c r="BF138" i="41" s="1"/>
  <c r="BE138" i="41"/>
  <c r="BG138" i="41" s="1"/>
  <c r="BF246" i="41"/>
  <c r="BC246" i="41"/>
  <c r="BD246" i="41" s="1"/>
  <c r="BC306" i="41"/>
  <c r="BD306" i="41" s="1"/>
  <c r="BF306" i="41"/>
  <c r="H6" i="4"/>
  <c r="I72" i="54"/>
  <c r="I72" i="44" s="1"/>
  <c r="I781" i="54"/>
  <c r="I781" i="44" s="1"/>
  <c r="I1603" i="54"/>
  <c r="I1603" i="44" s="1"/>
  <c r="BE315" i="41"/>
  <c r="BG315" i="41" s="1"/>
  <c r="BE296" i="41"/>
  <c r="BG296" i="41" s="1"/>
  <c r="BE252" i="41"/>
  <c r="BG252" i="41" s="1"/>
  <c r="BE183" i="41"/>
  <c r="BG183" i="41" s="1"/>
  <c r="BC128" i="41"/>
  <c r="BD128" i="41" s="1"/>
  <c r="BF22" i="41"/>
  <c r="BF105" i="41"/>
  <c r="BE105" i="41"/>
  <c r="BG105" i="41" s="1"/>
  <c r="BE147" i="41"/>
  <c r="BG147" i="41" s="1"/>
  <c r="BF147" i="41"/>
  <c r="BE158" i="41"/>
  <c r="BG158" i="41" s="1"/>
  <c r="BA169" i="41"/>
  <c r="BB169" i="41" s="1"/>
  <c r="BC169" i="41" s="1"/>
  <c r="BD169" i="41" s="1"/>
  <c r="BF169" i="41"/>
  <c r="BE250" i="41"/>
  <c r="BG250" i="41" s="1"/>
  <c r="BF14" i="41"/>
  <c r="AZ314" i="41"/>
  <c r="BE314" i="41"/>
  <c r="BG314" i="41" s="1"/>
  <c r="I1467" i="54"/>
  <c r="I1467" i="44" s="1"/>
  <c r="I737" i="54"/>
  <c r="I737" i="44" s="1"/>
  <c r="BF315" i="41"/>
  <c r="BE246" i="41"/>
  <c r="BG246" i="41" s="1"/>
  <c r="BF112" i="41"/>
  <c r="BD112" i="41"/>
  <c r="BF59" i="41"/>
  <c r="BB230" i="41"/>
  <c r="BE233" i="41"/>
  <c r="BG233" i="41" s="1"/>
  <c r="BF233" i="41"/>
  <c r="BE244" i="41"/>
  <c r="BG244" i="41" s="1"/>
  <c r="BF244" i="41"/>
  <c r="BF284" i="41"/>
  <c r="BE284" i="41"/>
  <c r="BG284" i="41" s="1"/>
  <c r="BE304" i="41"/>
  <c r="BG304" i="41" s="1"/>
  <c r="BB304" i="41"/>
  <c r="AZ312" i="41"/>
  <c r="BE312" i="41"/>
  <c r="BG312" i="41" s="1"/>
  <c r="A11" i="29"/>
  <c r="A11" i="53" s="1"/>
  <c r="A31" i="29"/>
  <c r="A31" i="53" s="1"/>
  <c r="A48" i="29"/>
  <c r="A48" i="53" s="1"/>
  <c r="A7" i="29"/>
  <c r="A7" i="53" s="1"/>
  <c r="A70" i="29"/>
  <c r="A26" i="29"/>
  <c r="A26" i="53" s="1"/>
  <c r="A52" i="29"/>
  <c r="A52" i="53" s="1"/>
  <c r="BE306" i="41"/>
  <c r="BG306" i="41" s="1"/>
  <c r="BE198" i="41"/>
  <c r="BG198" i="41" s="1"/>
  <c r="BE17" i="41"/>
  <c r="BG17" i="41" s="1"/>
  <c r="BC17" i="41"/>
  <c r="BD17" i="41" s="1"/>
  <c r="BE38" i="41"/>
  <c r="BG38" i="41" s="1"/>
  <c r="BC38" i="41"/>
  <c r="BB51" i="41"/>
  <c r="BE66" i="41"/>
  <c r="BG66" i="41" s="1"/>
  <c r="BC66" i="41"/>
  <c r="BD66" i="41" s="1"/>
  <c r="BE187" i="41"/>
  <c r="BG187" i="41" s="1"/>
  <c r="BE201" i="41"/>
  <c r="BG201" i="41" s="1"/>
  <c r="BE262" i="41"/>
  <c r="BG262" i="41" s="1"/>
  <c r="BE14" i="41"/>
  <c r="BG14" i="41" s="1"/>
  <c r="BF13" i="41"/>
  <c r="BE13" i="41"/>
  <c r="BG13" i="41" s="1"/>
  <c r="BB43" i="41"/>
  <c r="BF43" i="41" s="1"/>
  <c r="BE43" i="41"/>
  <c r="BG43" i="41" s="1"/>
  <c r="BE46" i="41"/>
  <c r="BG46" i="41" s="1"/>
  <c r="BF104" i="41"/>
  <c r="BE132" i="41"/>
  <c r="BG132" i="41" s="1"/>
  <c r="BF132" i="41"/>
  <c r="BE165" i="41"/>
  <c r="BG165" i="41" s="1"/>
  <c r="BF165" i="41"/>
  <c r="BF239" i="41"/>
  <c r="BE295" i="41"/>
  <c r="BG295" i="41" s="1"/>
  <c r="BF295" i="41"/>
  <c r="BA270" i="41"/>
  <c r="BE270" i="41"/>
  <c r="BG270" i="41" s="1"/>
  <c r="BF302" i="41"/>
  <c r="BF305" i="41"/>
  <c r="BE247" i="41"/>
  <c r="BG247" i="41" s="1"/>
  <c r="BE283" i="41"/>
  <c r="BG283" i="41" s="1"/>
  <c r="BE11" i="41"/>
  <c r="BG11" i="41" s="1"/>
  <c r="BE140" i="41"/>
  <c r="BG140" i="41" s="1"/>
  <c r="BE215" i="41"/>
  <c r="BG215" i="41" s="1"/>
  <c r="BF286" i="41"/>
  <c r="BE267" i="41"/>
  <c r="BG267" i="41" s="1"/>
  <c r="BF36" i="41"/>
  <c r="BE63" i="41"/>
  <c r="BG63" i="41" s="1"/>
  <c r="BE107" i="41"/>
  <c r="BG107" i="41" s="1"/>
  <c r="BE141" i="41"/>
  <c r="BG141" i="41" s="1"/>
  <c r="BE185" i="41"/>
  <c r="BG185" i="41" s="1"/>
  <c r="BE197" i="41"/>
  <c r="BG197" i="41" s="1"/>
  <c r="BF214" i="41"/>
  <c r="BB214" i="41"/>
  <c r="BC214" i="41" s="1"/>
  <c r="BD214" i="41" s="1"/>
  <c r="BE251" i="41"/>
  <c r="BG251" i="41" s="1"/>
  <c r="BF228" i="41"/>
  <c r="BF252" i="41"/>
  <c r="BF268" i="41"/>
  <c r="BF272" i="41"/>
  <c r="BB272" i="41"/>
  <c r="BC272" i="41" s="1"/>
  <c r="BD272" i="41" s="1"/>
  <c r="BE241" i="41"/>
  <c r="BG241" i="41" s="1"/>
  <c r="H870" i="54"/>
  <c r="H870" i="44" s="1"/>
  <c r="D93" i="52"/>
  <c r="D1116" i="52"/>
  <c r="D1430" i="52"/>
  <c r="D1643" i="52"/>
  <c r="D246" i="52"/>
  <c r="D1732" i="52"/>
  <c r="F692" i="54"/>
  <c r="D1846" i="52"/>
  <c r="G252" i="54"/>
  <c r="G252" i="44" s="1"/>
  <c r="D1176" i="52"/>
  <c r="D215" i="52"/>
  <c r="D115" i="52"/>
  <c r="D112" i="52"/>
  <c r="D1171" i="52"/>
  <c r="D231" i="52"/>
  <c r="I420" i="54"/>
  <c r="I420" i="44" s="1"/>
  <c r="D1590" i="52"/>
  <c r="I1146" i="54"/>
  <c r="I1146" i="44" s="1"/>
  <c r="D2299" i="52"/>
  <c r="D2516" i="52"/>
  <c r="D2506" i="52"/>
  <c r="D2496" i="52"/>
  <c r="D2474" i="52"/>
  <c r="D2464" i="52"/>
  <c r="D2448" i="52"/>
  <c r="D2515" i="52"/>
  <c r="D2495" i="52"/>
  <c r="D2473" i="52"/>
  <c r="D2463" i="52"/>
  <c r="D2447" i="52"/>
  <c r="D2514" i="52"/>
  <c r="D2482" i="52"/>
  <c r="D2472" i="52"/>
  <c r="D2462" i="52"/>
  <c r="D2446" i="52"/>
  <c r="K1282" i="44"/>
  <c r="D2501" i="52"/>
  <c r="D2481" i="52"/>
  <c r="D2471" i="52"/>
  <c r="D2455" i="52"/>
  <c r="D2445" i="52"/>
  <c r="D2510" i="52"/>
  <c r="D2500" i="52"/>
  <c r="D2490" i="52"/>
  <c r="D2480" i="52"/>
  <c r="D2470" i="52"/>
  <c r="D2454" i="52"/>
  <c r="D2439" i="52"/>
  <c r="D2509" i="52"/>
  <c r="D2499" i="52"/>
  <c r="D2489" i="52"/>
  <c r="D2479" i="52"/>
  <c r="D2469" i="52"/>
  <c r="D2453" i="52"/>
  <c r="D2507" i="52"/>
  <c r="D2497" i="52"/>
  <c r="D2487" i="52"/>
  <c r="D2477" i="52"/>
  <c r="D2465" i="52"/>
  <c r="D2449" i="52"/>
  <c r="BF205" i="41"/>
  <c r="BE229" i="41"/>
  <c r="BG229" i="41" s="1"/>
  <c r="B1449" i="44"/>
  <c r="B1457" i="44" s="1"/>
  <c r="B1465" i="44" s="1"/>
  <c r="D79" i="52"/>
  <c r="D1198" i="52"/>
  <c r="F114" i="54"/>
  <c r="F114" i="44" s="1"/>
  <c r="I104" i="54"/>
  <c r="D1262" i="52" s="1"/>
  <c r="D1299" i="52"/>
  <c r="D1451" i="52"/>
  <c r="D1705" i="52"/>
  <c r="D1718" i="52"/>
  <c r="D317" i="52"/>
  <c r="BF31" i="41"/>
  <c r="BE101" i="41"/>
  <c r="BG101" i="41" s="1"/>
  <c r="BE112" i="41"/>
  <c r="BG112" i="41" s="1"/>
  <c r="D397" i="52"/>
  <c r="D835" i="52"/>
  <c r="D1048" i="52"/>
  <c r="D164" i="52"/>
  <c r="D287" i="52"/>
  <c r="D1936" i="52"/>
  <c r="D299" i="52"/>
  <c r="D2204" i="52"/>
  <c r="D2196" i="52"/>
  <c r="D2378" i="52"/>
  <c r="H1223" i="54"/>
  <c r="D2403" i="52"/>
  <c r="BF221" i="41"/>
  <c r="D943" i="52"/>
  <c r="D951" i="52"/>
  <c r="D1432" i="52"/>
  <c r="D1487" i="52"/>
  <c r="D1505" i="52"/>
  <c r="D1792" i="52"/>
  <c r="D2137" i="52"/>
  <c r="D302" i="52"/>
  <c r="D1682" i="52"/>
  <c r="D360" i="52"/>
  <c r="D478" i="52"/>
  <c r="D938" i="52"/>
  <c r="D1866" i="52"/>
  <c r="D1865" i="52"/>
  <c r="D42" i="52"/>
  <c r="D1038" i="52"/>
  <c r="D64" i="52"/>
  <c r="D248" i="52"/>
  <c r="D2048" i="52"/>
  <c r="D2047" i="52"/>
  <c r="D292" i="52"/>
  <c r="I539" i="54"/>
  <c r="J539" i="54" s="1"/>
  <c r="D2192" i="52"/>
  <c r="D245" i="52"/>
  <c r="D1069" i="52"/>
  <c r="D1242" i="52"/>
  <c r="D1281" i="52"/>
  <c r="D1503" i="52"/>
  <c r="D1664" i="52"/>
  <c r="D1967" i="52"/>
  <c r="E42" i="29"/>
  <c r="K42" i="29" s="1"/>
  <c r="K42" i="53" s="1"/>
  <c r="I20" i="54"/>
  <c r="J20" i="54" s="1"/>
  <c r="J20" i="44" s="1"/>
  <c r="E114" i="54"/>
  <c r="D2735" i="52"/>
  <c r="D72" i="52"/>
  <c r="D1681" i="52"/>
  <c r="D1900" i="52"/>
  <c r="D2030" i="52"/>
  <c r="D2156" i="52"/>
  <c r="I32" i="54"/>
  <c r="I988" i="54"/>
  <c r="I988" i="44" s="1"/>
  <c r="K1424" i="44"/>
  <c r="I10" i="36"/>
  <c r="J10" i="36" s="1"/>
  <c r="D247" i="52"/>
  <c r="D366" i="52"/>
  <c r="D1124" i="52"/>
  <c r="D1183" i="52"/>
  <c r="D1485" i="52"/>
  <c r="D1656" i="52"/>
  <c r="D1671" i="52"/>
  <c r="D2726" i="52"/>
  <c r="H420" i="54"/>
  <c r="J420" i="54" s="1"/>
  <c r="I495" i="54"/>
  <c r="B889" i="54"/>
  <c r="D9" i="29"/>
  <c r="D100" i="52"/>
  <c r="D396" i="52"/>
  <c r="F99" i="54"/>
  <c r="D2827" i="52"/>
  <c r="D233" i="52"/>
  <c r="D257" i="52"/>
  <c r="D1519" i="52"/>
  <c r="D1642" i="52"/>
  <c r="D1733" i="52"/>
  <c r="D1793" i="52"/>
  <c r="D1987" i="52"/>
  <c r="D456" i="52"/>
  <c r="I14" i="54"/>
  <c r="G474" i="54"/>
  <c r="C117" i="29"/>
  <c r="D436" i="52"/>
  <c r="D1175" i="52"/>
  <c r="D1248" i="52"/>
  <c r="D1295" i="52"/>
  <c r="D1633" i="52"/>
  <c r="D1859" i="52"/>
  <c r="D2259" i="52"/>
  <c r="I128" i="54"/>
  <c r="I262" i="54"/>
  <c r="D1493" i="52"/>
  <c r="D1181" i="52"/>
  <c r="D1316" i="52"/>
  <c r="D1483" i="52"/>
  <c r="D1491" i="52"/>
  <c r="D1531" i="52"/>
  <c r="D1539" i="52"/>
  <c r="D1596" i="52"/>
  <c r="D1722" i="52"/>
  <c r="D1956" i="52"/>
  <c r="D2320" i="52"/>
  <c r="D2699" i="52"/>
  <c r="D2840" i="52"/>
  <c r="D1318" i="52"/>
  <c r="D2121" i="52"/>
  <c r="D933" i="52"/>
  <c r="D949" i="52"/>
  <c r="D958" i="52"/>
  <c r="D1314" i="52"/>
  <c r="D1474" i="52"/>
  <c r="D1787" i="52"/>
  <c r="D2430" i="52"/>
  <c r="D2437" i="52"/>
  <c r="D2581" i="52"/>
  <c r="D2614" i="52"/>
  <c r="D2717" i="52"/>
  <c r="K143" i="54"/>
  <c r="J143" i="54" s="1"/>
  <c r="D1166" i="52"/>
  <c r="D1513" i="52"/>
  <c r="D1517" i="52"/>
  <c r="D1521" i="52"/>
  <c r="D1606" i="52"/>
  <c r="D1788" i="52"/>
  <c r="D1906" i="52"/>
  <c r="D2140" i="52"/>
  <c r="D2333" i="52"/>
  <c r="D2708" i="52"/>
  <c r="D2744" i="52"/>
  <c r="D2839" i="52"/>
  <c r="D1541" i="52"/>
  <c r="D1759" i="52"/>
  <c r="D1668" i="52"/>
  <c r="D1669" i="52"/>
  <c r="D1907" i="52"/>
  <c r="K1420" i="54"/>
  <c r="K1437" i="54"/>
  <c r="J1437" i="54" s="1"/>
  <c r="D1982" i="52"/>
  <c r="K1150" i="54"/>
  <c r="J1150" i="54" s="1"/>
  <c r="I224" i="54"/>
  <c r="I224" i="44" s="1"/>
  <c r="D347" i="52"/>
  <c r="D346" i="52"/>
  <c r="D435" i="52"/>
  <c r="F27" i="54"/>
  <c r="F27" i="44" s="1"/>
  <c r="D955" i="52"/>
  <c r="D1179" i="52"/>
  <c r="D1191" i="52"/>
  <c r="I120" i="54"/>
  <c r="J120" i="54" s="1"/>
  <c r="J120" i="44" s="1"/>
  <c r="I92" i="54"/>
  <c r="D99" i="54"/>
  <c r="B629" i="44"/>
  <c r="D857" i="52"/>
  <c r="D923" i="52"/>
  <c r="D1264" i="52"/>
  <c r="I107" i="54"/>
  <c r="J107" i="54" s="1"/>
  <c r="J107" i="44" s="1"/>
  <c r="G114" i="54"/>
  <c r="I230" i="54"/>
  <c r="I230" i="44" s="1"/>
  <c r="D355" i="52"/>
  <c r="D1209" i="52"/>
  <c r="D1189" i="52"/>
  <c r="G27" i="54"/>
  <c r="D932" i="52"/>
  <c r="D1195" i="52"/>
  <c r="D1270" i="52"/>
  <c r="I245" i="54"/>
  <c r="H474" i="54"/>
  <c r="H474" i="44" s="1"/>
  <c r="I480" i="54"/>
  <c r="J480" i="54" s="1"/>
  <c r="J480" i="44" s="1"/>
  <c r="H479" i="54"/>
  <c r="J887" i="54"/>
  <c r="J887" i="44" s="1"/>
  <c r="H1215" i="54"/>
  <c r="J1215" i="54" s="1"/>
  <c r="I48" i="54"/>
  <c r="J48" i="54" s="1"/>
  <c r="J48" i="44" s="1"/>
  <c r="K152" i="54"/>
  <c r="J152" i="54" s="1"/>
  <c r="I286" i="54"/>
  <c r="E388" i="54"/>
  <c r="I496" i="54"/>
  <c r="J496" i="54" s="1"/>
  <c r="J496" i="44" s="1"/>
  <c r="I35" i="54"/>
  <c r="J35" i="54" s="1"/>
  <c r="J35" i="44" s="1"/>
  <c r="H578" i="54"/>
  <c r="I271" i="54"/>
  <c r="H662" i="54"/>
  <c r="I818" i="54"/>
  <c r="H845" i="54"/>
  <c r="H1083" i="54"/>
  <c r="J1083" i="54" s="1"/>
  <c r="I240" i="54"/>
  <c r="J240" i="54" s="1"/>
  <c r="J240" i="44" s="1"/>
  <c r="I259" i="54"/>
  <c r="J259" i="54" s="1"/>
  <c r="J259" i="44" s="1"/>
  <c r="I491" i="54"/>
  <c r="I491" i="44" s="1"/>
  <c r="I607" i="54"/>
  <c r="H988" i="54"/>
  <c r="D2648" i="52"/>
  <c r="K1493" i="54"/>
  <c r="I637" i="54"/>
  <c r="K820" i="54"/>
  <c r="J820" i="54" s="1"/>
  <c r="K1408" i="54"/>
  <c r="I1085" i="54"/>
  <c r="K768" i="54"/>
  <c r="J768" i="54" s="1"/>
  <c r="I845" i="54"/>
  <c r="H1014" i="54"/>
  <c r="H1065" i="54"/>
  <c r="H1211" i="54"/>
  <c r="J1211" i="54" s="1"/>
  <c r="K1380" i="54"/>
  <c r="K1394" i="54"/>
  <c r="J1394" i="54" s="1"/>
  <c r="I1631" i="54"/>
  <c r="I1631" i="44" s="1"/>
  <c r="I1014" i="54"/>
  <c r="I1014" i="44" s="1"/>
  <c r="I1065" i="54"/>
  <c r="I1173" i="54"/>
  <c r="D2330" i="52"/>
  <c r="I1172" i="44"/>
  <c r="B4" i="4"/>
  <c r="BE26" i="41"/>
  <c r="BG26" i="41" s="1"/>
  <c r="BB26" i="41"/>
  <c r="BD81" i="41"/>
  <c r="BF81" i="41" s="1"/>
  <c r="BE81" i="41"/>
  <c r="BG81" i="41" s="1"/>
  <c r="BD125" i="41"/>
  <c r="BF125" i="41" s="1"/>
  <c r="BE125" i="41"/>
  <c r="BG125" i="41" s="1"/>
  <c r="BC135" i="41"/>
  <c r="BE135" i="41"/>
  <c r="BG135" i="41" s="1"/>
  <c r="BB148" i="41"/>
  <c r="BC148" i="41" s="1"/>
  <c r="BD148" i="41" s="1"/>
  <c r="BE148" i="41"/>
  <c r="BG148" i="41" s="1"/>
  <c r="BB166" i="41"/>
  <c r="BC166" i="41" s="1"/>
  <c r="BD166" i="41" s="1"/>
  <c r="BF166" i="41"/>
  <c r="BB192" i="41"/>
  <c r="BC192" i="41" s="1"/>
  <c r="BD192" i="41" s="1"/>
  <c r="BF192" i="41"/>
  <c r="BC209" i="41"/>
  <c r="BE209" i="41"/>
  <c r="BG209" i="41" s="1"/>
  <c r="BB236" i="41"/>
  <c r="BE236" i="41"/>
  <c r="BG236" i="41" s="1"/>
  <c r="BD278" i="41"/>
  <c r="BF278" i="41" s="1"/>
  <c r="BE278" i="41"/>
  <c r="BG278" i="41" s="1"/>
  <c r="BE319" i="41"/>
  <c r="BG319" i="41" s="1"/>
  <c r="BB319" i="41"/>
  <c r="BB18" i="41"/>
  <c r="BE18" i="41"/>
  <c r="BG18" i="41" s="1"/>
  <c r="BA20" i="41"/>
  <c r="BE20" i="41"/>
  <c r="BG20" i="41" s="1"/>
  <c r="BD30" i="41"/>
  <c r="BF30" i="41" s="1"/>
  <c r="BE30" i="41"/>
  <c r="BG30" i="41" s="1"/>
  <c r="BD80" i="41"/>
  <c r="BE80" i="41"/>
  <c r="BG80" i="41" s="1"/>
  <c r="BE119" i="41"/>
  <c r="BG119" i="41" s="1"/>
  <c r="BC119" i="41"/>
  <c r="BE124" i="41"/>
  <c r="BG124" i="41" s="1"/>
  <c r="BC124" i="41"/>
  <c r="BD134" i="41"/>
  <c r="BF134" i="41"/>
  <c r="BB146" i="41"/>
  <c r="BC146" i="41" s="1"/>
  <c r="BD146" i="41" s="1"/>
  <c r="BF146" i="41"/>
  <c r="BA153" i="41"/>
  <c r="BE153" i="41"/>
  <c r="BG153" i="41" s="1"/>
  <c r="BA163" i="41"/>
  <c r="BE163" i="41"/>
  <c r="BG163" i="41" s="1"/>
  <c r="BB208" i="41"/>
  <c r="BE208" i="41"/>
  <c r="BG208" i="41" s="1"/>
  <c r="BE116" i="41"/>
  <c r="BG116" i="41" s="1"/>
  <c r="BB116" i="41"/>
  <c r="BB123" i="41"/>
  <c r="BE123" i="41"/>
  <c r="BG123" i="41" s="1"/>
  <c r="BC129" i="41"/>
  <c r="BE129" i="41"/>
  <c r="BG129" i="41" s="1"/>
  <c r="BB162" i="41"/>
  <c r="BE162" i="41"/>
  <c r="BG162" i="41" s="1"/>
  <c r="BD211" i="41"/>
  <c r="BF211" i="41"/>
  <c r="BC220" i="41"/>
  <c r="BE220" i="41"/>
  <c r="BG220" i="41" s="1"/>
  <c r="BC225" i="41"/>
  <c r="BD225" i="41" s="1"/>
  <c r="BF225" i="41"/>
  <c r="BC74" i="41"/>
  <c r="BE74" i="41"/>
  <c r="BG74" i="41" s="1"/>
  <c r="BE111" i="41"/>
  <c r="BG111" i="41" s="1"/>
  <c r="BC111" i="41"/>
  <c r="BE120" i="41"/>
  <c r="BG120" i="41" s="1"/>
  <c r="BC120" i="41"/>
  <c r="BB323" i="41"/>
  <c r="BE323" i="41"/>
  <c r="BG323" i="41" s="1"/>
  <c r="BA24" i="41"/>
  <c r="BE24" i="41"/>
  <c r="BG24" i="41" s="1"/>
  <c r="BD42" i="41"/>
  <c r="BF42" i="41" s="1"/>
  <c r="BE42" i="41"/>
  <c r="BG42" i="41" s="1"/>
  <c r="BC79" i="41"/>
  <c r="BE79" i="41"/>
  <c r="BG79" i="41" s="1"/>
  <c r="AZ92" i="41"/>
  <c r="BE92" i="41"/>
  <c r="BG92" i="41" s="1"/>
  <c r="BD41" i="41"/>
  <c r="BF41" i="41" s="1"/>
  <c r="BE41" i="41"/>
  <c r="BG41" i="41" s="1"/>
  <c r="BC61" i="41"/>
  <c r="BE61" i="41"/>
  <c r="BG61" i="41" s="1"/>
  <c r="BD78" i="41"/>
  <c r="BF78" i="41" s="1"/>
  <c r="BE78" i="41"/>
  <c r="BG78" i="41" s="1"/>
  <c r="BB115" i="41"/>
  <c r="BE115" i="41"/>
  <c r="BG115" i="41" s="1"/>
  <c r="BD126" i="41"/>
  <c r="BF126" i="41" s="1"/>
  <c r="BE126" i="41"/>
  <c r="BG126" i="41" s="1"/>
  <c r="BA167" i="41"/>
  <c r="BE167" i="41"/>
  <c r="BG167" i="41" s="1"/>
  <c r="BB188" i="41"/>
  <c r="BE188" i="41"/>
  <c r="BG188" i="41" s="1"/>
  <c r="BB224" i="41"/>
  <c r="BE224" i="41"/>
  <c r="BG224" i="41" s="1"/>
  <c r="BB240" i="41"/>
  <c r="BE240" i="41"/>
  <c r="BG240" i="41" s="1"/>
  <c r="BD280" i="41"/>
  <c r="BF280" i="41" s="1"/>
  <c r="BE280" i="41"/>
  <c r="BG280" i="41" s="1"/>
  <c r="I933" i="54"/>
  <c r="I933" i="44" s="1"/>
  <c r="I992" i="54"/>
  <c r="I992" i="44" s="1"/>
  <c r="I918" i="54"/>
  <c r="I918" i="44" s="1"/>
  <c r="H6" i="6"/>
  <c r="H6" i="5"/>
  <c r="L7" i="17"/>
  <c r="I1169" i="54"/>
  <c r="I1169" i="44" s="1"/>
  <c r="I1163" i="54"/>
  <c r="I1163" i="44" s="1"/>
  <c r="I1037" i="54"/>
  <c r="I1037" i="44" s="1"/>
  <c r="R10" i="30"/>
  <c r="AA4" i="36" s="1"/>
  <c r="BC84" i="41"/>
  <c r="BE84" i="41"/>
  <c r="BG84" i="41" s="1"/>
  <c r="BA89" i="41"/>
  <c r="BB89" i="41" s="1"/>
  <c r="BC89" i="41" s="1"/>
  <c r="BD89" i="41" s="1"/>
  <c r="BF89" i="41"/>
  <c r="BA161" i="41"/>
  <c r="BE161" i="41"/>
  <c r="BG161" i="41" s="1"/>
  <c r="BB181" i="41"/>
  <c r="BE181" i="41"/>
  <c r="BG181" i="41" s="1"/>
  <c r="BC186" i="41"/>
  <c r="BD186" i="41" s="1"/>
  <c r="BF186" i="41"/>
  <c r="BE210" i="41"/>
  <c r="BG210" i="41" s="1"/>
  <c r="BB210" i="41"/>
  <c r="BF212" i="41"/>
  <c r="BE212" i="41"/>
  <c r="BG212" i="41" s="1"/>
  <c r="BC218" i="41"/>
  <c r="BE218" i="41"/>
  <c r="BG218" i="41" s="1"/>
  <c r="BA253" i="41"/>
  <c r="BE253" i="41"/>
  <c r="BG253" i="41" s="1"/>
  <c r="BB303" i="41"/>
  <c r="BE303" i="41"/>
  <c r="BG303" i="41" s="1"/>
  <c r="BA313" i="41"/>
  <c r="BE313" i="41"/>
  <c r="BG313" i="41" s="1"/>
  <c r="BC324" i="41"/>
  <c r="BD324" i="41" s="1"/>
  <c r="BF103" i="41"/>
  <c r="BE324" i="41"/>
  <c r="BG324" i="41" s="1"/>
  <c r="BF262" i="41"/>
  <c r="BA327" i="41"/>
  <c r="BB327" i="41" s="1"/>
  <c r="BC327" i="41" s="1"/>
  <c r="BD327" i="41" s="1"/>
  <c r="BF327" i="41"/>
  <c r="BG327" i="41" s="1"/>
  <c r="BE264" i="41"/>
  <c r="BG264" i="41" s="1"/>
  <c r="BE227" i="41"/>
  <c r="BG227" i="41" s="1"/>
  <c r="BE196" i="41"/>
  <c r="BG196" i="41" s="1"/>
  <c r="BE180" i="41"/>
  <c r="BG180" i="41" s="1"/>
  <c r="BF229" i="41"/>
  <c r="BF241" i="41"/>
  <c r="BE192" i="41"/>
  <c r="BG192" i="41" s="1"/>
  <c r="BF64" i="41"/>
  <c r="BD142" i="41"/>
  <c r="BF5" i="41"/>
  <c r="BE128" i="41"/>
  <c r="BG128" i="41" s="1"/>
  <c r="BE40" i="41"/>
  <c r="BG40" i="41" s="1"/>
  <c r="BE28" i="41"/>
  <c r="BG28" i="41" s="1"/>
  <c r="BE130" i="41"/>
  <c r="BG130" i="41" s="1"/>
  <c r="BC8" i="41"/>
  <c r="BD8" i="41" s="1"/>
  <c r="BF9" i="41"/>
  <c r="BF11" i="41"/>
  <c r="BE49" i="41"/>
  <c r="BG49" i="41" s="1"/>
  <c r="BE89" i="41"/>
  <c r="BG89" i="41" s="1"/>
  <c r="BD15" i="41"/>
  <c r="BF15" i="41"/>
  <c r="BF19" i="41"/>
  <c r="BE19" i="41"/>
  <c r="BG19" i="41" s="1"/>
  <c r="BD32" i="41"/>
  <c r="BF32" i="41" s="1"/>
  <c r="BE32" i="41"/>
  <c r="BG32" i="41" s="1"/>
  <c r="BF57" i="41"/>
  <c r="BE57" i="41"/>
  <c r="BG57" i="41" s="1"/>
  <c r="BD58" i="41"/>
  <c r="BF58" i="41" s="1"/>
  <c r="BE58" i="41"/>
  <c r="BG58" i="41" s="1"/>
  <c r="BD67" i="41"/>
  <c r="BF67" i="41" s="1"/>
  <c r="BE67" i="41"/>
  <c r="BG67" i="41" s="1"/>
  <c r="BB97" i="41"/>
  <c r="BE97" i="41"/>
  <c r="BG97" i="41" s="1"/>
  <c r="BE106" i="41"/>
  <c r="BG106" i="41" s="1"/>
  <c r="BB106" i="41"/>
  <c r="BD150" i="41"/>
  <c r="BF150" i="41"/>
  <c r="AZ151" i="41"/>
  <c r="BE151" i="41"/>
  <c r="BG151" i="41" s="1"/>
  <c r="AZ157" i="41"/>
  <c r="BE157" i="41"/>
  <c r="BG157" i="41" s="1"/>
  <c r="BF160" i="41"/>
  <c r="BB160" i="41"/>
  <c r="BC160" i="41" s="1"/>
  <c r="BD160" i="41" s="1"/>
  <c r="BA174" i="41"/>
  <c r="BB174" i="41" s="1"/>
  <c r="BC174" i="41" s="1"/>
  <c r="BD174" i="41" s="1"/>
  <c r="BF174" i="41"/>
  <c r="BA190" i="41"/>
  <c r="BE190" i="41"/>
  <c r="BG190" i="41" s="1"/>
  <c r="BA199" i="41"/>
  <c r="BB199" i="41" s="1"/>
  <c r="BC199" i="41" s="1"/>
  <c r="BD199" i="41" s="1"/>
  <c r="BF199" i="41"/>
  <c r="AZ202" i="41"/>
  <c r="BA202" i="41" s="1"/>
  <c r="BB202" i="41" s="1"/>
  <c r="BC202" i="41" s="1"/>
  <c r="BD202" i="41" s="1"/>
  <c r="BF202" i="41"/>
  <c r="AZ206" i="41"/>
  <c r="BE206" i="41"/>
  <c r="BG206" i="41" s="1"/>
  <c r="AZ213" i="41"/>
  <c r="BE213" i="41"/>
  <c r="BG213" i="41" s="1"/>
  <c r="BC215" i="41"/>
  <c r="BD215" i="41" s="1"/>
  <c r="BF215" i="41"/>
  <c r="BF216" i="41"/>
  <c r="BE216" i="41"/>
  <c r="BG216" i="41" s="1"/>
  <c r="BA222" i="41"/>
  <c r="BB222" i="41" s="1"/>
  <c r="BC222" i="41" s="1"/>
  <c r="BD222" i="41" s="1"/>
  <c r="BF222" i="41"/>
  <c r="BC231" i="41"/>
  <c r="BD231" i="41" s="1"/>
  <c r="BF231" i="41"/>
  <c r="BF232" i="41"/>
  <c r="BE232" i="41"/>
  <c r="BG232" i="41" s="1"/>
  <c r="BA234" i="41"/>
  <c r="BE234" i="41"/>
  <c r="BG234" i="41" s="1"/>
  <c r="BC238" i="41"/>
  <c r="BD238" i="41" s="1"/>
  <c r="BF238" i="41"/>
  <c r="BA245" i="41"/>
  <c r="BE245" i="41"/>
  <c r="BG245" i="41" s="1"/>
  <c r="BB250" i="41"/>
  <c r="BC250" i="41" s="1"/>
  <c r="BD250" i="41" s="1"/>
  <c r="BF250" i="41"/>
  <c r="BC275" i="41"/>
  <c r="BD275" i="41" s="1"/>
  <c r="BF275" i="41"/>
  <c r="BB287" i="41"/>
  <c r="BE287" i="41"/>
  <c r="BG287" i="41" s="1"/>
  <c r="BC288" i="41"/>
  <c r="BE288" i="41"/>
  <c r="BG288" i="41" s="1"/>
  <c r="BB297" i="41"/>
  <c r="BE297" i="41"/>
  <c r="BG297" i="41" s="1"/>
  <c r="BB301" i="41"/>
  <c r="BE301" i="41"/>
  <c r="BG301" i="41" s="1"/>
  <c r="BB308" i="41"/>
  <c r="BE308" i="41"/>
  <c r="BG308" i="41" s="1"/>
  <c r="B589" i="44"/>
  <c r="B599" i="44" s="1"/>
  <c r="BC71" i="41"/>
  <c r="BE71" i="41"/>
  <c r="BG71" i="41" s="1"/>
  <c r="BD83" i="41"/>
  <c r="BF83" i="41" s="1"/>
  <c r="BE83" i="41"/>
  <c r="BG83" i="41" s="1"/>
  <c r="AY91" i="41"/>
  <c r="BE91" i="41"/>
  <c r="BG91" i="41" s="1"/>
  <c r="BF143" i="41"/>
  <c r="BD143" i="41"/>
  <c r="BF217" i="41"/>
  <c r="BE217" i="41"/>
  <c r="BG217" i="41" s="1"/>
  <c r="BB260" i="41"/>
  <c r="BE260" i="41"/>
  <c r="BG260" i="41" s="1"/>
  <c r="BC304" i="41"/>
  <c r="BD304" i="41" s="1"/>
  <c r="BF304" i="41"/>
  <c r="C1215" i="54"/>
  <c r="C1221" i="54"/>
  <c r="C1223" i="54"/>
  <c r="C1211" i="44"/>
  <c r="C1213" i="44"/>
  <c r="C1209" i="44"/>
  <c r="C1225" i="54"/>
  <c r="C1204" i="54"/>
  <c r="C1211" i="54"/>
  <c r="C1217" i="44"/>
  <c r="C1225" i="44"/>
  <c r="C1215" i="44"/>
  <c r="Q7" i="30"/>
  <c r="C1217" i="54"/>
  <c r="C1209" i="54"/>
  <c r="F345" i="29"/>
  <c r="F345" i="53" s="1"/>
  <c r="I1110" i="54"/>
  <c r="I1110" i="44" s="1"/>
  <c r="I1412" i="54"/>
  <c r="I1412" i="44" s="1"/>
  <c r="BF114" i="41"/>
  <c r="BF122" i="41"/>
  <c r="BF264" i="41"/>
  <c r="BF227" i="41"/>
  <c r="BE173" i="41"/>
  <c r="BG173" i="41" s="1"/>
  <c r="BE169" i="41"/>
  <c r="BG169" i="41" s="1"/>
  <c r="BE164" i="41"/>
  <c r="BG164" i="41" s="1"/>
  <c r="BE160" i="41"/>
  <c r="BG160" i="41" s="1"/>
  <c r="BE156" i="41"/>
  <c r="BG156" i="41" s="1"/>
  <c r="BE184" i="41"/>
  <c r="BG184" i="41" s="1"/>
  <c r="BD139" i="41"/>
  <c r="BF139" i="41" s="1"/>
  <c r="BB100" i="41"/>
  <c r="BF185" i="41"/>
  <c r="BD131" i="41"/>
  <c r="BF131" i="41" s="1"/>
  <c r="BE37" i="41"/>
  <c r="BG37" i="41" s="1"/>
  <c r="BE143" i="41"/>
  <c r="BG143" i="41" s="1"/>
  <c r="BF70" i="41"/>
  <c r="BC46" i="41"/>
  <c r="BD46" i="41" s="1"/>
  <c r="BF28" i="41"/>
  <c r="BF21" i="41"/>
  <c r="BF183" i="41"/>
  <c r="BF158" i="41"/>
  <c r="BE22" i="41"/>
  <c r="BG22" i="41" s="1"/>
  <c r="BE27" i="41"/>
  <c r="BG27" i="41" s="1"/>
  <c r="BD34" i="41"/>
  <c r="BF34" i="41" s="1"/>
  <c r="BE34" i="41"/>
  <c r="BG34" i="41" s="1"/>
  <c r="BF35" i="41"/>
  <c r="BE35" i="41"/>
  <c r="BG35" i="41" s="1"/>
  <c r="BD38" i="41"/>
  <c r="BF38" i="41"/>
  <c r="BD39" i="41"/>
  <c r="BF39" i="41" s="1"/>
  <c r="BE39" i="41"/>
  <c r="BG39" i="41" s="1"/>
  <c r="BA48" i="41"/>
  <c r="BE48" i="41"/>
  <c r="BG48" i="41" s="1"/>
  <c r="BE53" i="41"/>
  <c r="BG53" i="41" s="1"/>
  <c r="BF53" i="41"/>
  <c r="BB55" i="41"/>
  <c r="BE55" i="41"/>
  <c r="BG55" i="41" s="1"/>
  <c r="BE68" i="41"/>
  <c r="BG68" i="41" s="1"/>
  <c r="BF68" i="41"/>
  <c r="BC69" i="41"/>
  <c r="BE69" i="41"/>
  <c r="BG69" i="41" s="1"/>
  <c r="BD75" i="41"/>
  <c r="BF75" i="41" s="1"/>
  <c r="BE75" i="41"/>
  <c r="BG75" i="41" s="1"/>
  <c r="BD76" i="41"/>
  <c r="BF76" i="41" s="1"/>
  <c r="BE76" i="41"/>
  <c r="BG76" i="41" s="1"/>
  <c r="BF80" i="41"/>
  <c r="BE109" i="41"/>
  <c r="BG109" i="41" s="1"/>
  <c r="BF110" i="41"/>
  <c r="BE110" i="41"/>
  <c r="BG110" i="41" s="1"/>
  <c r="BE118" i="41"/>
  <c r="BG118" i="41" s="1"/>
  <c r="BF118" i="41"/>
  <c r="BF127" i="41"/>
  <c r="BD127" i="41"/>
  <c r="BF133" i="41"/>
  <c r="BE134" i="41"/>
  <c r="BG134" i="41" s="1"/>
  <c r="BC145" i="41"/>
  <c r="BD145" i="41" s="1"/>
  <c r="BF145" i="41"/>
  <c r="BF148" i="41"/>
  <c r="BC149" i="41"/>
  <c r="BE149" i="41"/>
  <c r="BG149" i="41" s="1"/>
  <c r="BF170" i="41"/>
  <c r="BE170" i="41"/>
  <c r="BG170" i="41" s="1"/>
  <c r="BA198" i="41"/>
  <c r="BB198" i="41" s="1"/>
  <c r="BC198" i="41" s="1"/>
  <c r="BD198" i="41" s="1"/>
  <c r="BF198" i="41"/>
  <c r="BB219" i="41"/>
  <c r="BE219" i="41"/>
  <c r="BG219" i="41" s="1"/>
  <c r="BB235" i="41"/>
  <c r="BE235" i="41"/>
  <c r="BG235" i="41" s="1"/>
  <c r="BD247" i="41"/>
  <c r="BF247" i="41"/>
  <c r="BD277" i="41"/>
  <c r="BF277" i="41"/>
  <c r="BD281" i="41"/>
  <c r="BF281" i="41" s="1"/>
  <c r="BE281" i="41"/>
  <c r="BG281" i="41" s="1"/>
  <c r="BB285" i="41"/>
  <c r="BE285" i="41"/>
  <c r="BG285" i="41" s="1"/>
  <c r="BD290" i="41"/>
  <c r="BF290" i="41" s="1"/>
  <c r="BE290" i="41"/>
  <c r="BG290" i="41" s="1"/>
  <c r="BB292" i="41"/>
  <c r="BE292" i="41"/>
  <c r="BG292" i="41" s="1"/>
  <c r="BC298" i="41"/>
  <c r="BD298" i="41" s="1"/>
  <c r="BF298" i="41"/>
  <c r="H6" i="7"/>
  <c r="I1302" i="54"/>
  <c r="I1302" i="44" s="1"/>
  <c r="I1069" i="54"/>
  <c r="I1069" i="44" s="1"/>
  <c r="BH324" i="41"/>
  <c r="BB50" i="41"/>
  <c r="BE50" i="41"/>
  <c r="BG50" i="41" s="1"/>
  <c r="BF82" i="41"/>
  <c r="BE82" i="41"/>
  <c r="BG82" i="41" s="1"/>
  <c r="BD85" i="41"/>
  <c r="BF85" i="41" s="1"/>
  <c r="BE85" i="41"/>
  <c r="BG85" i="41" s="1"/>
  <c r="BF90" i="41"/>
  <c r="AZ178" i="41"/>
  <c r="BE178" i="41"/>
  <c r="BG178" i="41" s="1"/>
  <c r="BA194" i="41"/>
  <c r="BE194" i="41"/>
  <c r="BG194" i="41" s="1"/>
  <c r="BB197" i="41"/>
  <c r="BC197" i="41" s="1"/>
  <c r="BD197" i="41" s="1"/>
  <c r="BF197" i="41"/>
  <c r="BA249" i="41"/>
  <c r="BE249" i="41"/>
  <c r="BG249" i="41" s="1"/>
  <c r="BF263" i="41"/>
  <c r="BE263" i="41"/>
  <c r="BG263" i="41" s="1"/>
  <c r="BC266" i="41"/>
  <c r="BD266" i="41" s="1"/>
  <c r="BF266" i="41"/>
  <c r="BD291" i="41"/>
  <c r="BF291" i="41" s="1"/>
  <c r="BE291" i="41"/>
  <c r="BG291" i="41" s="1"/>
  <c r="C1204" i="44"/>
  <c r="P16" i="30"/>
  <c r="C1213" i="54"/>
  <c r="I964" i="54"/>
  <c r="I964" i="44" s="1"/>
  <c r="C1152" i="54"/>
  <c r="C1223" i="44"/>
  <c r="C1207" i="44"/>
  <c r="S7" i="30"/>
  <c r="C1152" i="44" s="1"/>
  <c r="C1207" i="54"/>
  <c r="I811" i="54"/>
  <c r="I811" i="44" s="1"/>
  <c r="I1133" i="54"/>
  <c r="I1133" i="44" s="1"/>
  <c r="BE322" i="41"/>
  <c r="BG322" i="41" s="1"/>
  <c r="BC322" i="41"/>
  <c r="BD322" i="41" s="1"/>
  <c r="BB320" i="41"/>
  <c r="BE320" i="41"/>
  <c r="BG320" i="41" s="1"/>
  <c r="BA317" i="41"/>
  <c r="BB317" i="41" s="1"/>
  <c r="BC317" i="41" s="1"/>
  <c r="BD317" i="41" s="1"/>
  <c r="BE266" i="41"/>
  <c r="BG266" i="41" s="1"/>
  <c r="BE211" i="41"/>
  <c r="BG211" i="41" s="1"/>
  <c r="BF201" i="41"/>
  <c r="BE195" i="41"/>
  <c r="BG195" i="41" s="1"/>
  <c r="BF182" i="41"/>
  <c r="BF168" i="41"/>
  <c r="BE113" i="41"/>
  <c r="BG113" i="41" s="1"/>
  <c r="BE225" i="41"/>
  <c r="BG225" i="41" s="1"/>
  <c r="BC107" i="41"/>
  <c r="BD107" i="41" s="1"/>
  <c r="BA102" i="41"/>
  <c r="BF159" i="41"/>
  <c r="BE144" i="41"/>
  <c r="BG144" i="41" s="1"/>
  <c r="BC52" i="41"/>
  <c r="BD52" i="41" s="1"/>
  <c r="BC140" i="41"/>
  <c r="BC99" i="41"/>
  <c r="BD99" i="41" s="1"/>
  <c r="BE87" i="41"/>
  <c r="BG87" i="41" s="1"/>
  <c r="BF49" i="41"/>
  <c r="BE104" i="41"/>
  <c r="BG104" i="41" s="1"/>
  <c r="BE52" i="41"/>
  <c r="BG52" i="41" s="1"/>
  <c r="BE36" i="41"/>
  <c r="BG36" i="41" s="1"/>
  <c r="BE31" i="41"/>
  <c r="BG31" i="41" s="1"/>
  <c r="BE6" i="41"/>
  <c r="BG6" i="41" s="1"/>
  <c r="BF179" i="41"/>
  <c r="BE77" i="41"/>
  <c r="BG77" i="41" s="1"/>
  <c r="BF141" i="41"/>
  <c r="BE86" i="41"/>
  <c r="BG86" i="41" s="1"/>
  <c r="BE70" i="41"/>
  <c r="BG70" i="41" s="1"/>
  <c r="BE54" i="41"/>
  <c r="BG54" i="41" s="1"/>
  <c r="AY4" i="41"/>
  <c r="BE4" i="41"/>
  <c r="BG4" i="41" s="1"/>
  <c r="BE23" i="41"/>
  <c r="BG23" i="41" s="1"/>
  <c r="BB25" i="41"/>
  <c r="BC25" i="41" s="1"/>
  <c r="BD25" i="41" s="1"/>
  <c r="BA44" i="41"/>
  <c r="BE44" i="41"/>
  <c r="BG44" i="41" s="1"/>
  <c r="BF54" i="41"/>
  <c r="BF56" i="41"/>
  <c r="BE56" i="41"/>
  <c r="BG56" i="41" s="1"/>
  <c r="BE64" i="41"/>
  <c r="BG64" i="41" s="1"/>
  <c r="BF65" i="41"/>
  <c r="BA72" i="41"/>
  <c r="BE72" i="41"/>
  <c r="BG72" i="41" s="1"/>
  <c r="BA94" i="41"/>
  <c r="BE94" i="41"/>
  <c r="BG94" i="41" s="1"/>
  <c r="BE95" i="41"/>
  <c r="BG95" i="41" s="1"/>
  <c r="BF95" i="41"/>
  <c r="BF113" i="41"/>
  <c r="BE117" i="41"/>
  <c r="BG117" i="41" s="1"/>
  <c r="BF117" i="41"/>
  <c r="BC121" i="41"/>
  <c r="BF130" i="41"/>
  <c r="BB152" i="41"/>
  <c r="BC152" i="41" s="1"/>
  <c r="BD152" i="41" s="1"/>
  <c r="BF152" i="41"/>
  <c r="BA155" i="41"/>
  <c r="BF164" i="41"/>
  <c r="BA172" i="41"/>
  <c r="BB172" i="41" s="1"/>
  <c r="BC172" i="41" s="1"/>
  <c r="BD172" i="41" s="1"/>
  <c r="BB175" i="41"/>
  <c r="BC175" i="41" s="1"/>
  <c r="BD175" i="41" s="1"/>
  <c r="BF175" i="41"/>
  <c r="BB177" i="41"/>
  <c r="BC177" i="41" s="1"/>
  <c r="BD177" i="41" s="1"/>
  <c r="BA191" i="41"/>
  <c r="BB191" i="41" s="1"/>
  <c r="BC191" i="41" s="1"/>
  <c r="BD191" i="41" s="1"/>
  <c r="BF191" i="41"/>
  <c r="BB193" i="41"/>
  <c r="BA204" i="41"/>
  <c r="BB204" i="41" s="1"/>
  <c r="BC204" i="41" s="1"/>
  <c r="BD204" i="41" s="1"/>
  <c r="BA207" i="41"/>
  <c r="BE207" i="41"/>
  <c r="BG207" i="41" s="1"/>
  <c r="BA223" i="41"/>
  <c r="BE223" i="41"/>
  <c r="BG223" i="41" s="1"/>
  <c r="BC226" i="41"/>
  <c r="BB243" i="41"/>
  <c r="BE243" i="41"/>
  <c r="BG243" i="41" s="1"/>
  <c r="BB265" i="41"/>
  <c r="BE265" i="41"/>
  <c r="BG265" i="41" s="1"/>
  <c r="BB269" i="41"/>
  <c r="BE269" i="41"/>
  <c r="BG269" i="41" s="1"/>
  <c r="BC276" i="41"/>
  <c r="BE276" i="41"/>
  <c r="BG276" i="41" s="1"/>
  <c r="BF279" i="41"/>
  <c r="BE279" i="41"/>
  <c r="BG279" i="41" s="1"/>
  <c r="BB307" i="41"/>
  <c r="BE307" i="41"/>
  <c r="BG307" i="41" s="1"/>
  <c r="R6" i="30"/>
  <c r="A4" i="48"/>
  <c r="H992" i="54"/>
  <c r="H992" i="44" s="1"/>
  <c r="H1163" i="54"/>
  <c r="H1163" i="44" s="1"/>
  <c r="H1412" i="54"/>
  <c r="H1412" i="44" s="1"/>
  <c r="H964" i="54"/>
  <c r="H964" i="44" s="1"/>
  <c r="C270" i="54"/>
  <c r="C118" i="54"/>
  <c r="C604" i="54"/>
  <c r="C239" i="54"/>
  <c r="BF27" i="41"/>
  <c r="I870" i="54"/>
  <c r="I870" i="44" s="1"/>
  <c r="E252" i="54"/>
  <c r="E252" i="44" s="1"/>
  <c r="B7" i="53"/>
  <c r="B11" i="29"/>
  <c r="C355" i="53"/>
  <c r="C374" i="29"/>
  <c r="I578" i="54"/>
  <c r="I578" i="44" s="1"/>
  <c r="B90" i="29"/>
  <c r="A5" i="53"/>
  <c r="C394" i="29"/>
  <c r="C394" i="53" s="1"/>
  <c r="A76" i="29"/>
  <c r="A76" i="53" s="1"/>
  <c r="A84" i="29"/>
  <c r="E41" i="29"/>
  <c r="K41" i="29" s="1"/>
  <c r="K41" i="53" s="1"/>
  <c r="D1037" i="52"/>
  <c r="D90" i="52"/>
  <c r="D350" i="52"/>
  <c r="D419" i="52"/>
  <c r="D339" i="52"/>
  <c r="D1104" i="52"/>
  <c r="D1190" i="52"/>
  <c r="I114" i="54"/>
  <c r="D352" i="52"/>
  <c r="D907" i="52"/>
  <c r="D1139" i="52"/>
  <c r="D1167" i="52"/>
  <c r="I189" i="54"/>
  <c r="J189" i="54" s="1"/>
  <c r="I252" i="54"/>
  <c r="J252" i="54" s="1"/>
  <c r="J252" i="44" s="1"/>
  <c r="F42" i="54"/>
  <c r="F42" i="44" s="1"/>
  <c r="H42" i="54"/>
  <c r="I56" i="54"/>
  <c r="K195" i="54"/>
  <c r="J195" i="54" s="1"/>
  <c r="K6" i="54"/>
  <c r="J6" i="54" s="1"/>
  <c r="I85" i="54"/>
  <c r="K232" i="54"/>
  <c r="J232" i="54" s="1"/>
  <c r="K463" i="54"/>
  <c r="J463" i="54" s="1"/>
  <c r="G533" i="54"/>
  <c r="I512" i="54"/>
  <c r="I512" i="44" s="1"/>
  <c r="I544" i="54"/>
  <c r="D662" i="54"/>
  <c r="E679" i="54"/>
  <c r="D1106" i="54"/>
  <c r="I446" i="54"/>
  <c r="I501" i="54"/>
  <c r="J501" i="54" s="1"/>
  <c r="J501" i="44" s="1"/>
  <c r="H526" i="54"/>
  <c r="H526" i="44" s="1"/>
  <c r="I528" i="54"/>
  <c r="J528" i="54" s="1"/>
  <c r="J528" i="44" s="1"/>
  <c r="I521" i="54"/>
  <c r="J521" i="54" s="1"/>
  <c r="J521" i="44" s="1"/>
  <c r="I514" i="54"/>
  <c r="J514" i="54" s="1"/>
  <c r="J514" i="44" s="1"/>
  <c r="K562" i="54"/>
  <c r="J562" i="54" s="1"/>
  <c r="I647" i="54"/>
  <c r="F662" i="54"/>
  <c r="G705" i="54"/>
  <c r="G705" i="44" s="1"/>
  <c r="K422" i="54"/>
  <c r="J422" i="54" s="1"/>
  <c r="I470" i="54"/>
  <c r="J470" i="54" s="1"/>
  <c r="J470" i="44" s="1"/>
  <c r="H500" i="54"/>
  <c r="H500" i="44" s="1"/>
  <c r="K617" i="54"/>
  <c r="J617" i="54" s="1"/>
  <c r="K915" i="54"/>
  <c r="I1129" i="54"/>
  <c r="I1227" i="54"/>
  <c r="I1227" i="44" s="1"/>
  <c r="I1200" i="54"/>
  <c r="I1200" i="44" s="1"/>
  <c r="K792" i="54"/>
  <c r="J792" i="54" s="1"/>
  <c r="E870" i="54"/>
  <c r="K1016" i="54"/>
  <c r="F1106" i="54"/>
  <c r="F1106" i="44" s="1"/>
  <c r="H1200" i="54"/>
  <c r="K1516" i="54"/>
  <c r="H1129" i="54"/>
  <c r="H1173" i="54"/>
  <c r="K1277" i="54"/>
  <c r="J1277" i="54" s="1"/>
  <c r="H1248" i="54"/>
  <c r="K1649" i="54"/>
  <c r="J1649" i="54" s="1"/>
  <c r="K1486" i="54"/>
  <c r="J1486" i="54" s="1"/>
  <c r="J1486" i="44" s="1"/>
  <c r="H1631" i="54"/>
  <c r="W72" i="47"/>
  <c r="W75" i="47" s="1"/>
  <c r="W41" i="47"/>
  <c r="W35" i="47"/>
  <c r="W58" i="47"/>
  <c r="W61" i="47" s="1"/>
  <c r="I474" i="54" l="1"/>
  <c r="G486" i="54"/>
  <c r="I203" i="54"/>
  <c r="H203" i="54"/>
  <c r="H203" i="44" s="1"/>
  <c r="V5" i="39"/>
  <c r="V4" i="39"/>
  <c r="D2157" i="52"/>
  <c r="B639" i="44"/>
  <c r="D2334" i="52"/>
  <c r="K1601" i="54"/>
  <c r="J1601" i="54" s="1"/>
  <c r="J1601" i="44" s="1"/>
  <c r="D994" i="52"/>
  <c r="K1667" i="54"/>
  <c r="J1667" i="54" s="1"/>
  <c r="I519" i="54"/>
  <c r="I490" i="54"/>
  <c r="K1389" i="54"/>
  <c r="J1389" i="54" s="1"/>
  <c r="J1390" i="54" s="1"/>
  <c r="J1390" i="44" s="1"/>
  <c r="D420" i="52"/>
  <c r="B1067" i="44"/>
  <c r="H15" i="3"/>
  <c r="H14" i="3" s="1"/>
  <c r="K61" i="3"/>
  <c r="D964" i="52"/>
  <c r="D7" i="52"/>
  <c r="D876" i="52"/>
  <c r="J1455" i="44"/>
  <c r="D2613" i="52"/>
  <c r="D19" i="52"/>
  <c r="D17" i="52"/>
  <c r="H26" i="4"/>
  <c r="D869" i="52"/>
  <c r="D877" i="52"/>
  <c r="D878" i="52"/>
  <c r="D2558" i="52"/>
  <c r="D865" i="52"/>
  <c r="D1607" i="52"/>
  <c r="D858" i="52"/>
  <c r="D896" i="52"/>
  <c r="J1183" i="44"/>
  <c r="D18" i="52"/>
  <c r="H59" i="3"/>
  <c r="H58" i="3" s="1"/>
  <c r="D987" i="52"/>
  <c r="K72" i="3"/>
  <c r="H69" i="3"/>
  <c r="H68" i="3" s="1"/>
  <c r="D993" i="52"/>
  <c r="K71" i="3"/>
  <c r="D866" i="52"/>
  <c r="D864" i="52"/>
  <c r="D973" i="52"/>
  <c r="D4" i="52"/>
  <c r="K131" i="54"/>
  <c r="J131" i="54" s="1"/>
  <c r="J132" i="54" s="1"/>
  <c r="J132" i="44" s="1"/>
  <c r="D990" i="52"/>
  <c r="K62" i="3"/>
  <c r="B350" i="44"/>
  <c r="B366" i="44" s="1"/>
  <c r="B382" i="44" s="1"/>
  <c r="D870" i="52"/>
  <c r="D874" i="52"/>
  <c r="G507" i="54"/>
  <c r="K1422" i="54"/>
  <c r="J1422" i="54" s="1"/>
  <c r="J1423" i="54" s="1"/>
  <c r="J1423" i="44" s="1"/>
  <c r="I469" i="54"/>
  <c r="H129" i="54"/>
  <c r="F20" i="3" s="1"/>
  <c r="K20" i="3" s="1"/>
  <c r="D2590" i="52"/>
  <c r="H294" i="54"/>
  <c r="H294" i="44" s="1"/>
  <c r="E294" i="54"/>
  <c r="E294" i="44" s="1"/>
  <c r="J988" i="54"/>
  <c r="D2147" i="52" s="1"/>
  <c r="D395" i="52"/>
  <c r="H1227" i="54"/>
  <c r="I266" i="54"/>
  <c r="J266" i="54" s="1"/>
  <c r="J266" i="44" s="1"/>
  <c r="K66" i="3"/>
  <c r="G294" i="54"/>
  <c r="G294" i="44" s="1"/>
  <c r="K30" i="5"/>
  <c r="D1902" i="52"/>
  <c r="J1751" i="44"/>
  <c r="J1752" i="54"/>
  <c r="J1684" i="54"/>
  <c r="D2842" i="52" s="1"/>
  <c r="J1683" i="44"/>
  <c r="J1595" i="54"/>
  <c r="D2753" i="52" s="1"/>
  <c r="D2752" i="52"/>
  <c r="K1595" i="44"/>
  <c r="J1442" i="44"/>
  <c r="J1443" i="54"/>
  <c r="J1443" i="44" s="1"/>
  <c r="J891" i="54"/>
  <c r="J890" i="44"/>
  <c r="J771" i="54"/>
  <c r="J770" i="44"/>
  <c r="J436" i="44"/>
  <c r="J437" i="54"/>
  <c r="J437" i="44" s="1"/>
  <c r="K17" i="29"/>
  <c r="K17" i="53" s="1"/>
  <c r="D394" i="52"/>
  <c r="K38" i="21"/>
  <c r="K39" i="21" s="1"/>
  <c r="K40" i="21" s="1"/>
  <c r="K36" i="21"/>
  <c r="D362" i="52"/>
  <c r="J1425" i="54"/>
  <c r="J1424" i="44"/>
  <c r="J847" i="44"/>
  <c r="J848" i="54"/>
  <c r="D2007" i="52" s="1"/>
  <c r="J799" i="54"/>
  <c r="D1958" i="52" s="1"/>
  <c r="J798" i="44"/>
  <c r="J670" i="54"/>
  <c r="J669" i="44"/>
  <c r="J384" i="54"/>
  <c r="J384" i="44" s="1"/>
  <c r="J383" i="44"/>
  <c r="K16" i="29"/>
  <c r="K16" i="53" s="1"/>
  <c r="D393" i="52"/>
  <c r="J932" i="44"/>
  <c r="J933" i="54"/>
  <c r="J736" i="54"/>
  <c r="J735" i="44"/>
  <c r="J351" i="44"/>
  <c r="J352" i="54"/>
  <c r="J220" i="54"/>
  <c r="J220" i="44" s="1"/>
  <c r="J219" i="44"/>
  <c r="K48" i="21"/>
  <c r="K49" i="21" s="1"/>
  <c r="K50" i="21" s="1"/>
  <c r="K46" i="21"/>
  <c r="D370" i="52"/>
  <c r="J1646" i="44"/>
  <c r="J1647" i="54"/>
  <c r="J1647" i="44" s="1"/>
  <c r="J1364" i="54"/>
  <c r="D2522" i="52" s="1"/>
  <c r="J1363" i="44"/>
  <c r="J1164" i="54"/>
  <c r="J1164" i="44" s="1"/>
  <c r="J1163" i="44"/>
  <c r="J1091" i="44"/>
  <c r="J1092" i="54"/>
  <c r="J630" i="54"/>
  <c r="J629" i="44"/>
  <c r="J564" i="44"/>
  <c r="J565" i="54"/>
  <c r="D1737" i="52" s="1"/>
  <c r="J206" i="54"/>
  <c r="D1365" i="52" s="1"/>
  <c r="J205" i="44"/>
  <c r="J79" i="44"/>
  <c r="J80" i="54"/>
  <c r="D1239" i="52" s="1"/>
  <c r="K29" i="5"/>
  <c r="H64" i="3"/>
  <c r="H63" i="3" s="1"/>
  <c r="K43" i="21"/>
  <c r="K44" i="21" s="1"/>
  <c r="K45" i="21" s="1"/>
  <c r="K41" i="21"/>
  <c r="J1603" i="44"/>
  <c r="J1604" i="54"/>
  <c r="J1604" i="44" s="1"/>
  <c r="J1406" i="54"/>
  <c r="J1406" i="44" s="1"/>
  <c r="J1405" i="44"/>
  <c r="J1185" i="54"/>
  <c r="J1185" i="44" s="1"/>
  <c r="J1184" i="44"/>
  <c r="J601" i="44"/>
  <c r="J602" i="54"/>
  <c r="J466" i="44"/>
  <c r="J467" i="54"/>
  <c r="J367" i="44"/>
  <c r="J368" i="54"/>
  <c r="D1527" i="52" s="1"/>
  <c r="D1526" i="52"/>
  <c r="J71" i="54"/>
  <c r="J70" i="44"/>
  <c r="J1754" i="54"/>
  <c r="J964" i="54"/>
  <c r="J963" i="44"/>
  <c r="J164" i="54"/>
  <c r="D1323" i="52" s="1"/>
  <c r="J163" i="44"/>
  <c r="D1322" i="52"/>
  <c r="J1653" i="54"/>
  <c r="J1652" i="44"/>
  <c r="J1458" i="54"/>
  <c r="D2616" i="52" s="1"/>
  <c r="J1457" i="44"/>
  <c r="J554" i="54"/>
  <c r="D1719" i="52" s="1"/>
  <c r="J553" i="44"/>
  <c r="J1760" i="54"/>
  <c r="D2917" i="52"/>
  <c r="J1467" i="54"/>
  <c r="J1467" i="44" s="1"/>
  <c r="J1466" i="44"/>
  <c r="D2521" i="52"/>
  <c r="J1020" i="54"/>
  <c r="J1019" i="44"/>
  <c r="J709" i="54"/>
  <c r="J709" i="44" s="1"/>
  <c r="J708" i="44"/>
  <c r="D1723" i="52"/>
  <c r="D1364" i="52"/>
  <c r="D1238" i="52"/>
  <c r="J1757" i="54"/>
  <c r="D2915" i="52" s="1"/>
  <c r="J1634" i="54"/>
  <c r="K1634" i="44"/>
  <c r="J1260" i="44"/>
  <c r="J1261" i="54"/>
  <c r="D2419" i="52" s="1"/>
  <c r="J610" i="54"/>
  <c r="J609" i="44"/>
  <c r="J536" i="54"/>
  <c r="J535" i="44"/>
  <c r="J425" i="44"/>
  <c r="J427" i="54"/>
  <c r="D1229" i="52"/>
  <c r="J1670" i="44"/>
  <c r="J1671" i="54"/>
  <c r="J1671" i="44" s="1"/>
  <c r="J1450" i="54"/>
  <c r="D2608" i="52" s="1"/>
  <c r="J1449" i="44"/>
  <c r="J1399" i="54"/>
  <c r="J1399" i="44" s="1"/>
  <c r="J1398" i="44"/>
  <c r="J873" i="54"/>
  <c r="D2032" i="52" s="1"/>
  <c r="J872" i="44"/>
  <c r="J809" i="44"/>
  <c r="J810" i="54"/>
  <c r="J780" i="44"/>
  <c r="J781" i="54"/>
  <c r="J695" i="54"/>
  <c r="J694" i="44"/>
  <c r="J590" i="54"/>
  <c r="J589" i="44"/>
  <c r="J297" i="54"/>
  <c r="D1456" i="52" s="1"/>
  <c r="J296" i="44"/>
  <c r="D2615" i="52"/>
  <c r="J991" i="44"/>
  <c r="J992" i="54"/>
  <c r="J641" i="54"/>
  <c r="J640" i="44"/>
  <c r="D1712" i="52"/>
  <c r="J461" i="54"/>
  <c r="D1620" i="52" s="1"/>
  <c r="J449" i="54"/>
  <c r="J448" i="44"/>
  <c r="J318" i="44"/>
  <c r="J319" i="54"/>
  <c r="D1478" i="52" s="1"/>
  <c r="K28" i="21"/>
  <c r="K26" i="21"/>
  <c r="J1490" i="44"/>
  <c r="J1491" i="54"/>
  <c r="J1491" i="44" s="1"/>
  <c r="J1268" i="54"/>
  <c r="J1267" i="44"/>
  <c r="J1131" i="44"/>
  <c r="J1132" i="54"/>
  <c r="D2291" i="52" s="1"/>
  <c r="J1037" i="54"/>
  <c r="J1037" i="44" s="1"/>
  <c r="J1036" i="44"/>
  <c r="J917" i="44"/>
  <c r="J918" i="54"/>
  <c r="J681" i="44"/>
  <c r="J682" i="54"/>
  <c r="D1841" i="52" s="1"/>
  <c r="J438" i="44"/>
  <c r="J439" i="54"/>
  <c r="D1598" i="52" s="1"/>
  <c r="J1521" i="54"/>
  <c r="J1520" i="44"/>
  <c r="J1282" i="44"/>
  <c r="J1283" i="54"/>
  <c r="J1154" i="54"/>
  <c r="K1154" i="44"/>
  <c r="D2312" i="52"/>
  <c r="J824" i="54"/>
  <c r="J824" i="44" s="1"/>
  <c r="J823" i="44"/>
  <c r="J336" i="54"/>
  <c r="J335" i="44"/>
  <c r="J1401" i="54"/>
  <c r="K1401" i="44"/>
  <c r="J392" i="54"/>
  <c r="J391" i="44"/>
  <c r="J67" i="44"/>
  <c r="J68" i="54"/>
  <c r="J1497" i="54"/>
  <c r="J1496" i="44"/>
  <c r="J1392" i="54"/>
  <c r="J1392" i="44" s="1"/>
  <c r="J1391" i="44"/>
  <c r="J620" i="54"/>
  <c r="J619" i="44"/>
  <c r="J1748" i="54"/>
  <c r="D2905" i="52"/>
  <c r="J1414" i="54"/>
  <c r="D2572" i="52" s="1"/>
  <c r="J1413" i="44"/>
  <c r="D1840" i="52"/>
  <c r="J615" i="54"/>
  <c r="D1774" i="52" s="1"/>
  <c r="J614" i="44"/>
  <c r="D1597" i="52"/>
  <c r="J199" i="54"/>
  <c r="J199" i="44" s="1"/>
  <c r="J198" i="44"/>
  <c r="V4" i="50"/>
  <c r="AA5" i="36"/>
  <c r="J1519" i="54"/>
  <c r="J1519" i="44" s="1"/>
  <c r="J1518" i="44"/>
  <c r="H1200" i="44"/>
  <c r="J1200" i="54"/>
  <c r="H1173" i="44"/>
  <c r="J1173" i="54"/>
  <c r="I1065" i="44"/>
  <c r="H46" i="5"/>
  <c r="J1395" i="54"/>
  <c r="J1395" i="44" s="1"/>
  <c r="J1394" i="44"/>
  <c r="H1014" i="44"/>
  <c r="J1014" i="54"/>
  <c r="K1488" i="54"/>
  <c r="J1488" i="54" s="1"/>
  <c r="J1493" i="54"/>
  <c r="H845" i="44"/>
  <c r="J845" i="54"/>
  <c r="D2004" i="52" s="1"/>
  <c r="I271" i="44"/>
  <c r="J271" i="54"/>
  <c r="J271" i="44" s="1"/>
  <c r="I245" i="44"/>
  <c r="J245" i="54"/>
  <c r="J245" i="44" s="1"/>
  <c r="J1151" i="54"/>
  <c r="J1151" i="44" s="1"/>
  <c r="J1150" i="44"/>
  <c r="J1161" i="54"/>
  <c r="J1161" i="44" s="1"/>
  <c r="K1410" i="54"/>
  <c r="J1410" i="54" s="1"/>
  <c r="J1420" i="54"/>
  <c r="J144" i="54"/>
  <c r="J144" i="44" s="1"/>
  <c r="J143" i="44"/>
  <c r="J1602" i="54"/>
  <c r="J1602" i="44" s="1"/>
  <c r="I627" i="44"/>
  <c r="J627" i="54"/>
  <c r="J182" i="54"/>
  <c r="J182" i="44" s="1"/>
  <c r="J181" i="44"/>
  <c r="J1220" i="54"/>
  <c r="J1220" i="44" s="1"/>
  <c r="J1219" i="44"/>
  <c r="C98" i="5"/>
  <c r="D98" i="5" s="1"/>
  <c r="J1087" i="54"/>
  <c r="E692" i="44"/>
  <c r="J692" i="54"/>
  <c r="E705" i="44"/>
  <c r="J705" i="54"/>
  <c r="J705" i="44" s="1"/>
  <c r="H1146" i="44"/>
  <c r="J1146" i="54"/>
  <c r="J667" i="54"/>
  <c r="J667" i="44" s="1"/>
  <c r="J656" i="54"/>
  <c r="J655" i="44"/>
  <c r="G500" i="44"/>
  <c r="J1614" i="54"/>
  <c r="J1614" i="44" s="1"/>
  <c r="J1621" i="44"/>
  <c r="J1464" i="54"/>
  <c r="J1464" i="44" s="1"/>
  <c r="J1463" i="44"/>
  <c r="J1119" i="44"/>
  <c r="J1111" i="54"/>
  <c r="J1111" i="44" s="1"/>
  <c r="J1112" i="54"/>
  <c r="J1112" i="44" s="1"/>
  <c r="J1120" i="54"/>
  <c r="J1120" i="44" s="1"/>
  <c r="J1034" i="54"/>
  <c r="J1034" i="44" s="1"/>
  <c r="J1033" i="44"/>
  <c r="J987" i="54"/>
  <c r="J987" i="44" s="1"/>
  <c r="J983" i="54"/>
  <c r="J983" i="44" s="1"/>
  <c r="J986" i="44"/>
  <c r="J938" i="44"/>
  <c r="J939" i="54"/>
  <c r="J939" i="44" s="1"/>
  <c r="J1434" i="54"/>
  <c r="J1434" i="44" s="1"/>
  <c r="J1433" i="44"/>
  <c r="J1246" i="44"/>
  <c r="J1242" i="54"/>
  <c r="J1242" i="44" s="1"/>
  <c r="J1247" i="54"/>
  <c r="J1247" i="44" s="1"/>
  <c r="J980" i="54"/>
  <c r="J980" i="44" s="1"/>
  <c r="J972" i="54"/>
  <c r="J972" i="44" s="1"/>
  <c r="J979" i="44"/>
  <c r="J706" i="54"/>
  <c r="J706" i="44" s="1"/>
  <c r="J702" i="54"/>
  <c r="J702" i="44" s="1"/>
  <c r="J701" i="44"/>
  <c r="F66" i="7"/>
  <c r="K66" i="7" s="1"/>
  <c r="K65" i="7"/>
  <c r="K65" i="3"/>
  <c r="F64" i="3"/>
  <c r="J307" i="54"/>
  <c r="J306" i="44"/>
  <c r="J168" i="54"/>
  <c r="J168" i="44" s="1"/>
  <c r="J1448" i="54"/>
  <c r="J1448" i="44" s="1"/>
  <c r="J1447" i="44"/>
  <c r="J1056" i="54"/>
  <c r="J1056" i="44" s="1"/>
  <c r="J1048" i="54"/>
  <c r="J1048" i="44" s="1"/>
  <c r="J1055" i="44"/>
  <c r="K65" i="4"/>
  <c r="F64" i="4"/>
  <c r="K92" i="3"/>
  <c r="J226" i="54"/>
  <c r="J226" i="44" s="1"/>
  <c r="J225" i="44"/>
  <c r="J1630" i="54"/>
  <c r="J1630" i="44" s="1"/>
  <c r="J1622" i="54"/>
  <c r="J1622" i="44" s="1"/>
  <c r="J1629" i="44"/>
  <c r="J1198" i="44"/>
  <c r="J1195" i="54"/>
  <c r="J1195" i="44" s="1"/>
  <c r="J1199" i="54"/>
  <c r="J1199" i="44" s="1"/>
  <c r="K27" i="5"/>
  <c r="F26" i="5"/>
  <c r="K66" i="4"/>
  <c r="J757" i="44"/>
  <c r="J758" i="54"/>
  <c r="J758" i="44" s="1"/>
  <c r="J754" i="54"/>
  <c r="J754" i="44" s="1"/>
  <c r="J750" i="54"/>
  <c r="J689" i="54"/>
  <c r="J689" i="44" s="1"/>
  <c r="J688" i="44"/>
  <c r="H1227" i="44"/>
  <c r="J1227" i="54"/>
  <c r="C64" i="5"/>
  <c r="D64" i="5" s="1"/>
  <c r="J915" i="54"/>
  <c r="E679" i="44"/>
  <c r="J679" i="54"/>
  <c r="G533" i="44"/>
  <c r="I203" i="44"/>
  <c r="J203" i="54"/>
  <c r="J1397" i="54"/>
  <c r="J1397" i="44" s="1"/>
  <c r="J1396" i="44"/>
  <c r="C86" i="5"/>
  <c r="D86" i="5" s="1"/>
  <c r="J1016" i="54"/>
  <c r="F662" i="44"/>
  <c r="F31" i="4"/>
  <c r="K31" i="4" s="1"/>
  <c r="I446" i="44"/>
  <c r="J446" i="54"/>
  <c r="D662" i="44"/>
  <c r="J662" i="54"/>
  <c r="F30" i="4"/>
  <c r="J464" i="54"/>
  <c r="J464" i="44" s="1"/>
  <c r="J463" i="44"/>
  <c r="I85" i="44"/>
  <c r="J85" i="54"/>
  <c r="J85" i="44" s="1"/>
  <c r="J196" i="54"/>
  <c r="J196" i="44" s="1"/>
  <c r="J195" i="44"/>
  <c r="K1361" i="54"/>
  <c r="J1361" i="54" s="1"/>
  <c r="J1380" i="54"/>
  <c r="I1085" i="44"/>
  <c r="H47" i="5"/>
  <c r="I637" i="44"/>
  <c r="J637" i="54"/>
  <c r="F27" i="4"/>
  <c r="E388" i="44"/>
  <c r="J388" i="54"/>
  <c r="I92" i="44"/>
  <c r="J92" i="54"/>
  <c r="J92" i="44" s="1"/>
  <c r="I262" i="44"/>
  <c r="J262" i="54"/>
  <c r="J262" i="44" s="1"/>
  <c r="G512" i="44"/>
  <c r="J512" i="54"/>
  <c r="J512" i="44" s="1"/>
  <c r="G526" i="44"/>
  <c r="G479" i="44"/>
  <c r="G490" i="44"/>
  <c r="J490" i="54"/>
  <c r="J490" i="44" s="1"/>
  <c r="G495" i="44"/>
  <c r="J495" i="54"/>
  <c r="J495" i="44" s="1"/>
  <c r="J202" i="54"/>
  <c r="J202" i="44" s="1"/>
  <c r="F26" i="3"/>
  <c r="K26" i="3" s="1"/>
  <c r="J317" i="54"/>
  <c r="J317" i="44" s="1"/>
  <c r="J316" i="44"/>
  <c r="K8" i="4"/>
  <c r="J1292" i="44"/>
  <c r="J1293" i="54"/>
  <c r="J1293" i="44" s="1"/>
  <c r="J1287" i="54"/>
  <c r="D2443" i="52" s="1"/>
  <c r="J1127" i="44"/>
  <c r="J1121" i="54"/>
  <c r="J1121" i="44" s="1"/>
  <c r="J1128" i="54"/>
  <c r="J1128" i="44" s="1"/>
  <c r="K33" i="5"/>
  <c r="K10" i="5"/>
  <c r="F8" i="5"/>
  <c r="D968" i="52" s="1"/>
  <c r="J767" i="54"/>
  <c r="J767" i="44" s="1"/>
  <c r="J763" i="54"/>
  <c r="J763" i="44" s="1"/>
  <c r="J759" i="54"/>
  <c r="D1918" i="52" s="1"/>
  <c r="J766" i="44"/>
  <c r="J676" i="54"/>
  <c r="J676" i="44" s="1"/>
  <c r="J675" i="44"/>
  <c r="H26" i="5"/>
  <c r="D20" i="52" s="1"/>
  <c r="J779" i="54"/>
  <c r="J779" i="44" s="1"/>
  <c r="J778" i="44"/>
  <c r="F59" i="3"/>
  <c r="K60" i="3"/>
  <c r="K52" i="3"/>
  <c r="F51" i="3"/>
  <c r="D856" i="52"/>
  <c r="J418" i="44"/>
  <c r="J407" i="54"/>
  <c r="J407" i="44" s="1"/>
  <c r="J419" i="54"/>
  <c r="J419" i="44" s="1"/>
  <c r="J1298" i="44"/>
  <c r="J1294" i="54"/>
  <c r="J1294" i="44" s="1"/>
  <c r="J1299" i="54"/>
  <c r="J1064" i="54"/>
  <c r="J1064" i="44" s="1"/>
  <c r="J1063" i="44"/>
  <c r="J1057" i="54"/>
  <c r="J1057" i="44" s="1"/>
  <c r="J966" i="54"/>
  <c r="J966" i="44" s="1"/>
  <c r="J971" i="54"/>
  <c r="J971" i="44" s="1"/>
  <c r="J970" i="44"/>
  <c r="J788" i="44"/>
  <c r="J790" i="54"/>
  <c r="J664" i="44"/>
  <c r="J665" i="54"/>
  <c r="J665" i="44" s="1"/>
  <c r="K73" i="3"/>
  <c r="J422" i="44"/>
  <c r="J423" i="54"/>
  <c r="J423" i="44" s="1"/>
  <c r="J1649" i="44"/>
  <c r="J1650" i="54"/>
  <c r="J1650" i="44" s="1"/>
  <c r="J618" i="54"/>
  <c r="J618" i="44" s="1"/>
  <c r="J617" i="44"/>
  <c r="J1667" i="44"/>
  <c r="J1668" i="54"/>
  <c r="J1668" i="44" s="1"/>
  <c r="H1248" i="44"/>
  <c r="J1248" i="54"/>
  <c r="H1129" i="44"/>
  <c r="J1129" i="54"/>
  <c r="F53" i="5"/>
  <c r="H1631" i="44"/>
  <c r="J1631" i="54"/>
  <c r="J1278" i="54"/>
  <c r="J1277" i="44"/>
  <c r="K1508" i="54"/>
  <c r="J1508" i="54" s="1"/>
  <c r="J1516" i="54"/>
  <c r="E870" i="44"/>
  <c r="J870" i="54"/>
  <c r="I1129" i="44"/>
  <c r="H53" i="5"/>
  <c r="I647" i="44"/>
  <c r="J647" i="54"/>
  <c r="F28" i="4"/>
  <c r="K28" i="4" s="1"/>
  <c r="I544" i="44"/>
  <c r="J544" i="54"/>
  <c r="J544" i="44" s="1"/>
  <c r="J232" i="44"/>
  <c r="J233" i="54"/>
  <c r="J233" i="44" s="1"/>
  <c r="J7" i="54"/>
  <c r="J7" i="44" s="1"/>
  <c r="J6" i="44"/>
  <c r="I56" i="44"/>
  <c r="J56" i="54"/>
  <c r="J56" i="44" s="1"/>
  <c r="J190" i="54"/>
  <c r="J190" i="44" s="1"/>
  <c r="J189" i="44"/>
  <c r="J1212" i="54"/>
  <c r="J1212" i="44" s="1"/>
  <c r="J1211" i="44"/>
  <c r="K1403" i="54"/>
  <c r="J1403" i="54" s="1"/>
  <c r="J1408" i="54"/>
  <c r="H578" i="44"/>
  <c r="J578" i="54"/>
  <c r="J578" i="44" s="1"/>
  <c r="H1148" i="44"/>
  <c r="F54" i="5"/>
  <c r="I286" i="44"/>
  <c r="J286" i="54"/>
  <c r="J286" i="44" s="1"/>
  <c r="J1216" i="54"/>
  <c r="J1216" i="44" s="1"/>
  <c r="J1215" i="44"/>
  <c r="J128" i="54"/>
  <c r="J128" i="44" s="1"/>
  <c r="G474" i="44"/>
  <c r="J474" i="54"/>
  <c r="J474" i="44" s="1"/>
  <c r="J421" i="54"/>
  <c r="J421" i="44" s="1"/>
  <c r="J420" i="44"/>
  <c r="I32" i="44"/>
  <c r="J32" i="54"/>
  <c r="J32" i="44" s="1"/>
  <c r="H1223" i="44"/>
  <c r="J1223" i="54"/>
  <c r="J1223" i="44" s="1"/>
  <c r="G507" i="44"/>
  <c r="D1326" i="52"/>
  <c r="G469" i="44"/>
  <c r="J469" i="54"/>
  <c r="J469" i="44" s="1"/>
  <c r="J200" i="54"/>
  <c r="J200" i="44" s="1"/>
  <c r="F24" i="3"/>
  <c r="F744" i="44"/>
  <c r="J744" i="54"/>
  <c r="J744" i="44" s="1"/>
  <c r="J1208" i="54"/>
  <c r="J1208" i="44" s="1"/>
  <c r="J1207" i="44"/>
  <c r="J1240" i="44"/>
  <c r="J1236" i="54"/>
  <c r="J1236" i="44" s="1"/>
  <c r="J1241" i="54"/>
  <c r="J1241" i="44" s="1"/>
  <c r="J1074" i="44"/>
  <c r="J1070" i="54"/>
  <c r="J1070" i="44" s="1"/>
  <c r="J1075" i="54"/>
  <c r="J1075" i="44" s="1"/>
  <c r="F31" i="5"/>
  <c r="K31" i="5" s="1"/>
  <c r="K32" i="5"/>
  <c r="J743" i="54"/>
  <c r="J743" i="44" s="1"/>
  <c r="J742" i="44"/>
  <c r="J1000" i="54"/>
  <c r="J1000" i="44" s="1"/>
  <c r="J1007" i="44"/>
  <c r="J924" i="54"/>
  <c r="J924" i="44" s="1"/>
  <c r="J923" i="44"/>
  <c r="J1606" i="54"/>
  <c r="J1606" i="44" s="1"/>
  <c r="J1613" i="44"/>
  <c r="J1194" i="54"/>
  <c r="J1194" i="44" s="1"/>
  <c r="J1186" i="54"/>
  <c r="J1186" i="44" s="1"/>
  <c r="J1193" i="44"/>
  <c r="F69" i="3"/>
  <c r="K70" i="3"/>
  <c r="J137" i="44"/>
  <c r="J139" i="54"/>
  <c r="J139" i="44" s="1"/>
  <c r="J928" i="54"/>
  <c r="J928" i="44" s="1"/>
  <c r="J927" i="44"/>
  <c r="H64" i="4"/>
  <c r="H62" i="4" s="1"/>
  <c r="J729" i="54"/>
  <c r="J729" i="44" s="1"/>
  <c r="J728" i="54"/>
  <c r="J728" i="44" s="1"/>
  <c r="J727" i="44"/>
  <c r="J406" i="54"/>
  <c r="J406" i="44" s="1"/>
  <c r="J394" i="54"/>
  <c r="J394" i="44" s="1"/>
  <c r="J405" i="44"/>
  <c r="J256" i="54"/>
  <c r="D1415" i="52" s="1"/>
  <c r="J793" i="54"/>
  <c r="J793" i="44" s="1"/>
  <c r="J792" i="44"/>
  <c r="J562" i="44"/>
  <c r="J563" i="54"/>
  <c r="J563" i="44" s="1"/>
  <c r="D1106" i="44"/>
  <c r="J1106" i="54"/>
  <c r="G486" i="44"/>
  <c r="I114" i="44"/>
  <c r="J114" i="54"/>
  <c r="H1065" i="44"/>
  <c r="J1065" i="54"/>
  <c r="F46" i="5"/>
  <c r="J769" i="54"/>
  <c r="J769" i="44" s="1"/>
  <c r="J768" i="44"/>
  <c r="J821" i="54"/>
  <c r="J821" i="44" s="1"/>
  <c r="J820" i="44"/>
  <c r="I607" i="44"/>
  <c r="J607" i="54"/>
  <c r="J1083" i="44"/>
  <c r="J1084" i="54"/>
  <c r="J1084" i="44" s="1"/>
  <c r="J1076" i="54"/>
  <c r="J1076" i="44" s="1"/>
  <c r="J153" i="54"/>
  <c r="J153" i="44" s="1"/>
  <c r="J152" i="44"/>
  <c r="J1438" i="54"/>
  <c r="J1437" i="44"/>
  <c r="I14" i="44"/>
  <c r="J14" i="54"/>
  <c r="J14" i="44" s="1"/>
  <c r="J539" i="44"/>
  <c r="J543" i="54"/>
  <c r="J543" i="44" s="1"/>
  <c r="I104" i="44"/>
  <c r="J104" i="54"/>
  <c r="J104" i="44" s="1"/>
  <c r="D2245" i="52"/>
  <c r="I293" i="44"/>
  <c r="J293" i="54"/>
  <c r="J293" i="44" s="1"/>
  <c r="J201" i="54"/>
  <c r="J201" i="44" s="1"/>
  <c r="F25" i="3"/>
  <c r="K25" i="3" s="1"/>
  <c r="G519" i="44"/>
  <c r="J519" i="54"/>
  <c r="J519" i="44" s="1"/>
  <c r="K1673" i="44"/>
  <c r="J1673" i="54"/>
  <c r="D2831" i="52" s="1"/>
  <c r="J1224" i="54"/>
  <c r="J1224" i="44" s="1"/>
  <c r="J1221" i="44"/>
  <c r="J994" i="54"/>
  <c r="J994" i="44" s="1"/>
  <c r="J999" i="54"/>
  <c r="J999" i="44" s="1"/>
  <c r="J998" i="44"/>
  <c r="K88" i="3"/>
  <c r="F87" i="3"/>
  <c r="J491" i="54"/>
  <c r="J491" i="44" s="1"/>
  <c r="J101" i="54"/>
  <c r="J1308" i="44"/>
  <c r="J1304" i="54"/>
  <c r="J1304" i="44" s="1"/>
  <c r="J1309" i="54"/>
  <c r="J1309" i="44" s="1"/>
  <c r="J1472" i="54"/>
  <c r="J1472" i="44" s="1"/>
  <c r="J1471" i="44"/>
  <c r="F32" i="4"/>
  <c r="K32" i="4" s="1"/>
  <c r="K33" i="4"/>
  <c r="F23" i="4"/>
  <c r="K23" i="4" s="1"/>
  <c r="K24" i="4"/>
  <c r="J214" i="54"/>
  <c r="J214" i="44" s="1"/>
  <c r="J213" i="44"/>
  <c r="J1008" i="54"/>
  <c r="J1008" i="44" s="1"/>
  <c r="J1013" i="54"/>
  <c r="J1013" i="44" s="1"/>
  <c r="J1012" i="44"/>
  <c r="J942" i="44"/>
  <c r="J943" i="54"/>
  <c r="J943" i="44" s="1"/>
  <c r="J808" i="54"/>
  <c r="J808" i="44" s="1"/>
  <c r="J807" i="44"/>
  <c r="J715" i="54"/>
  <c r="J715" i="44" s="1"/>
  <c r="J714" i="44"/>
  <c r="K74" i="3"/>
  <c r="J475" i="54"/>
  <c r="J475" i="44" s="1"/>
  <c r="J456" i="54"/>
  <c r="J456" i="44" s="1"/>
  <c r="J455" i="44"/>
  <c r="J1326" i="54"/>
  <c r="J1326" i="44" s="1"/>
  <c r="J1319" i="54"/>
  <c r="J1319" i="44" s="1"/>
  <c r="J1325" i="44"/>
  <c r="J1318" i="54"/>
  <c r="J1318" i="44" s="1"/>
  <c r="J1310" i="54"/>
  <c r="J1310" i="44" s="1"/>
  <c r="J1317" i="44"/>
  <c r="J1360" i="54"/>
  <c r="J1360" i="44" s="1"/>
  <c r="J1356" i="54"/>
  <c r="J1356" i="44" s="1"/>
  <c r="J1359" i="44"/>
  <c r="K67" i="3"/>
  <c r="J183" i="54"/>
  <c r="J183" i="44" s="1"/>
  <c r="BB293" i="41"/>
  <c r="BC293" i="41" s="1"/>
  <c r="BD293" i="41" s="1"/>
  <c r="BF293" i="41"/>
  <c r="D1672" i="52"/>
  <c r="I514" i="44"/>
  <c r="D1659" i="52"/>
  <c r="I501" i="44"/>
  <c r="I469" i="44"/>
  <c r="I266" i="44"/>
  <c r="K236" i="54"/>
  <c r="D223" i="52" s="1"/>
  <c r="I252" i="44"/>
  <c r="I193" i="54"/>
  <c r="D1351" i="52" s="1"/>
  <c r="I189" i="44"/>
  <c r="D1648" i="52"/>
  <c r="I490" i="44"/>
  <c r="D1265" i="52"/>
  <c r="I107" i="44"/>
  <c r="I120" i="44"/>
  <c r="D1653" i="52"/>
  <c r="I495" i="44"/>
  <c r="I1250" i="54"/>
  <c r="H22" i="4" s="1"/>
  <c r="H21" i="4" s="1"/>
  <c r="I1248" i="44"/>
  <c r="D2376" i="52"/>
  <c r="H1219" i="44"/>
  <c r="D2364" i="52"/>
  <c r="H1207" i="44"/>
  <c r="D1679" i="52"/>
  <c r="I521" i="44"/>
  <c r="H57" i="54"/>
  <c r="H42" i="44"/>
  <c r="D2368" i="52"/>
  <c r="H1211" i="44"/>
  <c r="I845" i="44"/>
  <c r="I474" i="44"/>
  <c r="D2146" i="52"/>
  <c r="H988" i="44"/>
  <c r="H666" i="54"/>
  <c r="H666" i="44" s="1"/>
  <c r="H662" i="44"/>
  <c r="D1677" i="52"/>
  <c r="I519" i="44"/>
  <c r="D2045" i="52"/>
  <c r="H486" i="54"/>
  <c r="H486" i="44" s="1"/>
  <c r="H479" i="44"/>
  <c r="D129" i="54"/>
  <c r="D207" i="52" s="1"/>
  <c r="D99" i="44"/>
  <c r="D1578" i="52"/>
  <c r="H420" i="44"/>
  <c r="D1339" i="52"/>
  <c r="I181" i="44"/>
  <c r="I746" i="54"/>
  <c r="I744" i="44"/>
  <c r="I200" i="44"/>
  <c r="D1383" i="52"/>
  <c r="H746" i="54"/>
  <c r="H744" i="44"/>
  <c r="D1686" i="52"/>
  <c r="I528" i="44"/>
  <c r="D1417" i="52"/>
  <c r="I259" i="44"/>
  <c r="I42" i="54"/>
  <c r="J42" i="54" s="1"/>
  <c r="I35" i="44"/>
  <c r="D1654" i="52"/>
  <c r="I496" i="44"/>
  <c r="D1638" i="52"/>
  <c r="I480" i="44"/>
  <c r="G57" i="54"/>
  <c r="F12" i="3" s="1"/>
  <c r="G27" i="44"/>
  <c r="D1286" i="52"/>
  <c r="I128" i="44"/>
  <c r="E129" i="54"/>
  <c r="E114" i="44"/>
  <c r="D1697" i="52"/>
  <c r="I539" i="44"/>
  <c r="I274" i="44"/>
  <c r="D2227" i="52"/>
  <c r="D989" i="52"/>
  <c r="I202" i="44"/>
  <c r="D221" i="52"/>
  <c r="D1360" i="52"/>
  <c r="D2393" i="52"/>
  <c r="D2149" i="52"/>
  <c r="D1628" i="52"/>
  <c r="I470" i="44"/>
  <c r="I1165" i="54"/>
  <c r="I1173" i="44"/>
  <c r="D1398" i="52"/>
  <c r="I240" i="44"/>
  <c r="H1085" i="54"/>
  <c r="H1083" i="44"/>
  <c r="I52" i="54"/>
  <c r="J44" i="54" s="1"/>
  <c r="I48" i="44"/>
  <c r="D2372" i="52"/>
  <c r="H1215" i="44"/>
  <c r="G129" i="54"/>
  <c r="G114" i="44"/>
  <c r="F129" i="54"/>
  <c r="F99" i="44"/>
  <c r="D102" i="52"/>
  <c r="I20" i="44"/>
  <c r="D1850" i="52"/>
  <c r="F692" i="44"/>
  <c r="I761" i="44"/>
  <c r="I752" i="44"/>
  <c r="I201" i="44"/>
  <c r="D1359" i="52"/>
  <c r="D220" i="52"/>
  <c r="L18" i="21"/>
  <c r="D937" i="52"/>
  <c r="D176" i="52"/>
  <c r="D116" i="52"/>
  <c r="D1113" i="52"/>
  <c r="I27" i="54"/>
  <c r="J27" i="54" s="1"/>
  <c r="BF321" i="41"/>
  <c r="BH321" i="41" s="1"/>
  <c r="D103" i="52"/>
  <c r="D2296" i="52"/>
  <c r="D1178" i="52"/>
  <c r="D2292" i="52"/>
  <c r="K145" i="54"/>
  <c r="J145" i="54" s="1"/>
  <c r="BF299" i="41"/>
  <c r="D1206" i="52"/>
  <c r="BB176" i="41"/>
  <c r="BC176" i="41" s="1"/>
  <c r="BD176" i="41" s="1"/>
  <c r="G345" i="29"/>
  <c r="G345" i="53" s="1"/>
  <c r="D1577" i="52"/>
  <c r="D1565" i="52"/>
  <c r="D38" i="52"/>
  <c r="BC12" i="41"/>
  <c r="BD12" i="41" s="1"/>
  <c r="K160" i="44"/>
  <c r="D8" i="52"/>
  <c r="D57" i="54"/>
  <c r="BA294" i="41"/>
  <c r="BB294" i="41" s="1"/>
  <c r="BC294" i="41" s="1"/>
  <c r="BD294" i="41" s="1"/>
  <c r="BF294" i="41"/>
  <c r="BC43" i="41"/>
  <c r="BD43" i="41" s="1"/>
  <c r="K154" i="54"/>
  <c r="J154" i="54" s="1"/>
  <c r="Q11" i="30"/>
  <c r="C1437" i="54" s="1"/>
  <c r="D149" i="52"/>
  <c r="K1087" i="44"/>
  <c r="C48" i="5"/>
  <c r="D48" i="5" s="1"/>
  <c r="BD289" i="41"/>
  <c r="BF289" i="41"/>
  <c r="BB242" i="41"/>
  <c r="BC242" i="41" s="1"/>
  <c r="BD242" i="41" s="1"/>
  <c r="BF242" i="41"/>
  <c r="F57" i="54"/>
  <c r="D200" i="52" s="1"/>
  <c r="D2908" i="52"/>
  <c r="I1229" i="54"/>
  <c r="D1785" i="52"/>
  <c r="D1603" i="52"/>
  <c r="D1981" i="52"/>
  <c r="D1908" i="52"/>
  <c r="D1916" i="52"/>
  <c r="D1912" i="52"/>
  <c r="D1594" i="52"/>
  <c r="D1583" i="52"/>
  <c r="D433" i="52"/>
  <c r="BF45" i="41"/>
  <c r="D1172" i="52"/>
  <c r="H1348" i="54"/>
  <c r="D2082" i="52"/>
  <c r="D80" i="52"/>
  <c r="D46" i="52"/>
  <c r="D2381" i="52"/>
  <c r="D892" i="52"/>
  <c r="BB270" i="41"/>
  <c r="BC270" i="41" s="1"/>
  <c r="BD270" i="41" s="1"/>
  <c r="BF270" i="41"/>
  <c r="BA312" i="41"/>
  <c r="BB312" i="41" s="1"/>
  <c r="BC312" i="41" s="1"/>
  <c r="BD312" i="41" s="1"/>
  <c r="BF312" i="41"/>
  <c r="BF96" i="41"/>
  <c r="BB96" i="41"/>
  <c r="BC96" i="41" s="1"/>
  <c r="BD96" i="41" s="1"/>
  <c r="BF108" i="41"/>
  <c r="C1437" i="44"/>
  <c r="D367" i="52"/>
  <c r="D365" i="52"/>
  <c r="D193" i="52"/>
  <c r="D67" i="52"/>
  <c r="BF230" i="41"/>
  <c r="BC230" i="41"/>
  <c r="BD230" i="41" s="1"/>
  <c r="BB254" i="41"/>
  <c r="BC254" i="41" s="1"/>
  <c r="BD254" i="41" s="1"/>
  <c r="BF254" i="41"/>
  <c r="BF273" i="41"/>
  <c r="BC273" i="41"/>
  <c r="BD273" i="41" s="1"/>
  <c r="BF25" i="41"/>
  <c r="C142" i="29"/>
  <c r="C117" i="53"/>
  <c r="D1552" i="52"/>
  <c r="D1564" i="52"/>
  <c r="D2214" i="52"/>
  <c r="D2206" i="52"/>
  <c r="D1051" i="52"/>
  <c r="D44" i="52"/>
  <c r="BF93" i="41"/>
  <c r="BB93" i="41"/>
  <c r="BC93" i="41" s="1"/>
  <c r="BD93" i="41" s="1"/>
  <c r="D63" i="52"/>
  <c r="BF73" i="41"/>
  <c r="BC73" i="41"/>
  <c r="BD73" i="41" s="1"/>
  <c r="D1030" i="52"/>
  <c r="BC51" i="41"/>
  <c r="BD51" i="41" s="1"/>
  <c r="BF51" i="41"/>
  <c r="BA314" i="41"/>
  <c r="BB314" i="41" s="1"/>
  <c r="BC314" i="41" s="1"/>
  <c r="BD314" i="41" s="1"/>
  <c r="BF314" i="41"/>
  <c r="BA203" i="41"/>
  <c r="BB203" i="41" s="1"/>
  <c r="BC203" i="41" s="1"/>
  <c r="BD203" i="41" s="1"/>
  <c r="BF203" i="41"/>
  <c r="D2130" i="52"/>
  <c r="D2138" i="52"/>
  <c r="D963" i="52"/>
  <c r="D1420" i="52"/>
  <c r="D2222" i="52"/>
  <c r="D2215" i="52"/>
  <c r="D1887" i="52"/>
  <c r="D1886" i="52"/>
  <c r="D2404" i="52"/>
  <c r="D2399" i="52"/>
  <c r="BF325" i="41"/>
  <c r="BH325" i="41" s="1"/>
  <c r="BC325" i="41"/>
  <c r="BD325" i="41" s="1"/>
  <c r="BF33" i="41"/>
  <c r="D2166" i="52"/>
  <c r="D2171" i="52"/>
  <c r="D2621" i="52"/>
  <c r="D185" i="52"/>
  <c r="D2380" i="52"/>
  <c r="D166" i="52"/>
  <c r="D50" i="52"/>
  <c r="D2304" i="52"/>
  <c r="I1148" i="54"/>
  <c r="D1046" i="52"/>
  <c r="BF154" i="41"/>
  <c r="BB154" i="41"/>
  <c r="BC154" i="41" s="1"/>
  <c r="BD154" i="41" s="1"/>
  <c r="BF66" i="41"/>
  <c r="D2003" i="52"/>
  <c r="D159" i="52"/>
  <c r="D859" i="52"/>
  <c r="D15" i="52"/>
  <c r="BB310" i="41"/>
  <c r="BC310" i="41" s="1"/>
  <c r="BD310" i="41" s="1"/>
  <c r="BF310" i="41"/>
  <c r="BA257" i="41"/>
  <c r="BB257" i="41" s="1"/>
  <c r="BC257" i="41" s="1"/>
  <c r="BD257" i="41" s="1"/>
  <c r="BF257" i="41"/>
  <c r="BF17" i="41"/>
  <c r="D432" i="52"/>
  <c r="D2582" i="52"/>
  <c r="D1163" i="52"/>
  <c r="K143" i="44"/>
  <c r="D1301" i="52"/>
  <c r="D2758" i="52"/>
  <c r="K1601" i="44"/>
  <c r="K1150" i="44"/>
  <c r="D2308" i="52"/>
  <c r="K1437" i="44"/>
  <c r="D2594" i="52"/>
  <c r="D1143" i="52"/>
  <c r="D2577" i="52"/>
  <c r="K1420" i="44"/>
  <c r="D2450" i="52"/>
  <c r="D2444" i="52"/>
  <c r="D309" i="52"/>
  <c r="D2440" i="52"/>
  <c r="D2172" i="52"/>
  <c r="D1966" i="52"/>
  <c r="D2145" i="52"/>
  <c r="D2141" i="52"/>
  <c r="D1978" i="52"/>
  <c r="K820" i="44"/>
  <c r="D1847" i="52"/>
  <c r="D1765" i="52"/>
  <c r="D2241" i="52"/>
  <c r="D2091" i="52"/>
  <c r="D1736" i="52"/>
  <c r="D312" i="52"/>
  <c r="D1579" i="52"/>
  <c r="I124" i="54"/>
  <c r="D1278" i="52"/>
  <c r="D345" i="52"/>
  <c r="D2551" i="52"/>
  <c r="K1394" i="44"/>
  <c r="D1926" i="52"/>
  <c r="K768" i="44"/>
  <c r="C64" i="4"/>
  <c r="D64" i="4" s="1"/>
  <c r="D2650" i="52"/>
  <c r="K1493" i="44"/>
  <c r="D1429" i="52"/>
  <c r="D942" i="52"/>
  <c r="D2305" i="52"/>
  <c r="D1444" i="52"/>
  <c r="D1724" i="52"/>
  <c r="D1465" i="52"/>
  <c r="D1225" i="52"/>
  <c r="D210" i="52"/>
  <c r="D2537" i="52"/>
  <c r="K1380" i="44"/>
  <c r="D1795" i="52"/>
  <c r="D264" i="52"/>
  <c r="D1823" i="52"/>
  <c r="H812" i="54"/>
  <c r="I818" i="44"/>
  <c r="I289" i="54"/>
  <c r="J289" i="54" s="1"/>
  <c r="D1193" i="52"/>
  <c r="D2573" i="52"/>
  <c r="D1546" i="52"/>
  <c r="D1632" i="52"/>
  <c r="D358" i="52"/>
  <c r="D1250" i="52"/>
  <c r="D2678" i="52"/>
  <c r="D2223" i="52"/>
  <c r="D307" i="52"/>
  <c r="D1901" i="52"/>
  <c r="D310" i="52"/>
  <c r="D2565" i="52"/>
  <c r="K1408" i="44"/>
  <c r="D1864" i="52"/>
  <c r="D1860" i="52"/>
  <c r="D2129" i="52"/>
  <c r="D2124" i="52"/>
  <c r="D1649" i="52"/>
  <c r="I280" i="54"/>
  <c r="D1917" i="52"/>
  <c r="D1925" i="52"/>
  <c r="D1921" i="52"/>
  <c r="D2122" i="52"/>
  <c r="D1310" i="52"/>
  <c r="K152" i="44"/>
  <c r="D208" i="52"/>
  <c r="I479" i="54"/>
  <c r="J479" i="54" s="1"/>
  <c r="J479" i="44" s="1"/>
  <c r="D1403" i="52"/>
  <c r="D373" i="52"/>
  <c r="D834" i="52"/>
  <c r="D2824" i="52"/>
  <c r="K1667" i="44"/>
  <c r="D2553" i="52"/>
  <c r="K1396" i="44"/>
  <c r="H1165" i="54"/>
  <c r="D2331" i="52"/>
  <c r="D2177" i="52"/>
  <c r="D2086" i="52"/>
  <c r="D1340" i="52"/>
  <c r="D1969" i="52"/>
  <c r="D1510" i="52"/>
  <c r="D1272" i="52"/>
  <c r="D1259" i="52"/>
  <c r="B26" i="29"/>
  <c r="B11" i="53"/>
  <c r="BB223" i="41"/>
  <c r="BC223" i="41" s="1"/>
  <c r="BD223" i="41" s="1"/>
  <c r="BF223" i="41"/>
  <c r="BC193" i="41"/>
  <c r="BD193" i="41" s="1"/>
  <c r="BF193" i="41"/>
  <c r="BF155" i="41"/>
  <c r="BB155" i="41"/>
  <c r="BC155" i="41" s="1"/>
  <c r="BD155" i="41" s="1"/>
  <c r="AZ4" i="41"/>
  <c r="BA4" i="41" s="1"/>
  <c r="BB4" i="41" s="1"/>
  <c r="BC4" i="41" s="1"/>
  <c r="BD4" i="41" s="1"/>
  <c r="BF4" i="41"/>
  <c r="BF320" i="41"/>
  <c r="BH320" i="41" s="1"/>
  <c r="BC320" i="41"/>
  <c r="BD320" i="41" s="1"/>
  <c r="BF219" i="41"/>
  <c r="BC219" i="41"/>
  <c r="BD219" i="41" s="1"/>
  <c r="BF151" i="41"/>
  <c r="BA151" i="41"/>
  <c r="BB151" i="41" s="1"/>
  <c r="BC151" i="41" s="1"/>
  <c r="BD151" i="41" s="1"/>
  <c r="BB313" i="41"/>
  <c r="BC313" i="41" s="1"/>
  <c r="BD313" i="41" s="1"/>
  <c r="BF313" i="41"/>
  <c r="BB253" i="41"/>
  <c r="BC253" i="41" s="1"/>
  <c r="BD253" i="41" s="1"/>
  <c r="BF253" i="41"/>
  <c r="BD84" i="41"/>
  <c r="BF84" i="41"/>
  <c r="BA92" i="41"/>
  <c r="BB92" i="41" s="1"/>
  <c r="BC92" i="41" s="1"/>
  <c r="BD92" i="41" s="1"/>
  <c r="BF92" i="41"/>
  <c r="BF323" i="41"/>
  <c r="BH323" i="41" s="1"/>
  <c r="BC323" i="41"/>
  <c r="BD323" i="41" s="1"/>
  <c r="BD129" i="41"/>
  <c r="BF129" i="41"/>
  <c r="BB163" i="41"/>
  <c r="BC163" i="41" s="1"/>
  <c r="BD163" i="41" s="1"/>
  <c r="BF163" i="41"/>
  <c r="BC18" i="41"/>
  <c r="BD18" i="41" s="1"/>
  <c r="BF18" i="41"/>
  <c r="D2715" i="52"/>
  <c r="D2707" i="52"/>
  <c r="D2591" i="52"/>
  <c r="D2461" i="52"/>
  <c r="D2466" i="52"/>
  <c r="D2434" i="52"/>
  <c r="K1277" i="44"/>
  <c r="D666" i="54"/>
  <c r="D1820" i="52"/>
  <c r="D271" i="52"/>
  <c r="D1670" i="52"/>
  <c r="D1867" i="52"/>
  <c r="D1361" i="52"/>
  <c r="BC260" i="41"/>
  <c r="BD260" i="41" s="1"/>
  <c r="BF260" i="41"/>
  <c r="BB161" i="41"/>
  <c r="BC161" i="41" s="1"/>
  <c r="BD161" i="41" s="1"/>
  <c r="BF161" i="41"/>
  <c r="D2787" i="52"/>
  <c r="D2779" i="52"/>
  <c r="D2788" i="52"/>
  <c r="D2635" i="52"/>
  <c r="D2588" i="52"/>
  <c r="D2451" i="52"/>
  <c r="D2456" i="52"/>
  <c r="D2425" i="52"/>
  <c r="H1250" i="54"/>
  <c r="D2405" i="52"/>
  <c r="D2278" i="52"/>
  <c r="D2270" i="52"/>
  <c r="D2269" i="52"/>
  <c r="D2671" i="52"/>
  <c r="D2286" i="52"/>
  <c r="D2279" i="52"/>
  <c r="D2073" i="52"/>
  <c r="C8" i="5"/>
  <c r="D8" i="5" s="1"/>
  <c r="K915" i="44"/>
  <c r="D1813" i="52"/>
  <c r="K655" i="44"/>
  <c r="C29" i="4"/>
  <c r="D29" i="4" s="1"/>
  <c r="D1775" i="52"/>
  <c r="K617" i="44"/>
  <c r="D1720" i="52"/>
  <c r="K562" i="44"/>
  <c r="I526" i="54"/>
  <c r="J526" i="54" s="1"/>
  <c r="J526" i="44" s="1"/>
  <c r="H533" i="54"/>
  <c r="H533" i="44" s="1"/>
  <c r="D2264" i="52"/>
  <c r="D1702" i="52"/>
  <c r="D1390" i="52"/>
  <c r="C27" i="3"/>
  <c r="D27" i="3" s="1"/>
  <c r="K232" i="44"/>
  <c r="D1894" i="52"/>
  <c r="I549" i="54"/>
  <c r="D1357" i="52"/>
  <c r="D962" i="52"/>
  <c r="D1595" i="52"/>
  <c r="D1394" i="52"/>
  <c r="D227" i="52"/>
  <c r="D226" i="52"/>
  <c r="D222" i="52"/>
  <c r="D225" i="52"/>
  <c r="K236" i="44"/>
  <c r="D1200" i="52"/>
  <c r="D1057" i="52"/>
  <c r="D47" i="52"/>
  <c r="D45" i="52"/>
  <c r="D108" i="52"/>
  <c r="D1101" i="52"/>
  <c r="D96" i="52"/>
  <c r="E40" i="29"/>
  <c r="K40" i="29" s="1"/>
  <c r="K40" i="53" s="1"/>
  <c r="D418" i="52"/>
  <c r="A294" i="29"/>
  <c r="A294" i="53" s="1"/>
  <c r="A227" i="29"/>
  <c r="A227" i="53" s="1"/>
  <c r="A390" i="29"/>
  <c r="A390" i="53" s="1"/>
  <c r="A341" i="29"/>
  <c r="A341" i="53" s="1"/>
  <c r="A231" i="29"/>
  <c r="A231" i="53" s="1"/>
  <c r="A88" i="29"/>
  <c r="A88" i="53" s="1"/>
  <c r="A394" i="29"/>
  <c r="A394" i="53" s="1"/>
  <c r="A353" i="29"/>
  <c r="A353" i="53" s="1"/>
  <c r="A235" i="29"/>
  <c r="A235" i="53" s="1"/>
  <c r="A100" i="29"/>
  <c r="A100" i="53" s="1"/>
  <c r="A388" i="29"/>
  <c r="A388" i="53" s="1"/>
  <c r="A239" i="29"/>
  <c r="A239" i="53" s="1"/>
  <c r="A117" i="29"/>
  <c r="A117" i="53" s="1"/>
  <c r="A84" i="53"/>
  <c r="A355" i="29"/>
  <c r="A355" i="53" s="1"/>
  <c r="A250" i="29"/>
  <c r="A250" i="53" s="1"/>
  <c r="A98" i="29"/>
  <c r="A98" i="53" s="1"/>
  <c r="A374" i="29"/>
  <c r="A374" i="53" s="1"/>
  <c r="A256" i="29"/>
  <c r="A256" i="53" s="1"/>
  <c r="A148" i="29"/>
  <c r="A148" i="53" s="1"/>
  <c r="A142" i="29"/>
  <c r="A142" i="53" s="1"/>
  <c r="A270" i="29"/>
  <c r="A270" i="53" s="1"/>
  <c r="A204" i="29"/>
  <c r="A204" i="53" s="1"/>
  <c r="A186" i="29"/>
  <c r="A186" i="53" s="1"/>
  <c r="A90" i="29"/>
  <c r="A90" i="53" s="1"/>
  <c r="A378" i="29"/>
  <c r="A378" i="53" s="1"/>
  <c r="A286" i="29"/>
  <c r="A286" i="53" s="1"/>
  <c r="A400" i="29"/>
  <c r="A400" i="53" s="1"/>
  <c r="B98" i="29"/>
  <c r="B90" i="53"/>
  <c r="Q6" i="30"/>
  <c r="R50" i="29" s="1"/>
  <c r="AA6" i="36"/>
  <c r="S6" i="30"/>
  <c r="R50" i="53" s="1"/>
  <c r="BC269" i="41"/>
  <c r="BD269" i="41" s="1"/>
  <c r="BF269" i="41"/>
  <c r="BC243" i="41"/>
  <c r="BD243" i="41" s="1"/>
  <c r="BF243" i="41"/>
  <c r="BF72" i="41"/>
  <c r="BB72" i="41"/>
  <c r="BC72" i="41" s="1"/>
  <c r="BD72" i="41" s="1"/>
  <c r="BB249" i="41"/>
  <c r="BC249" i="41" s="1"/>
  <c r="BD249" i="41" s="1"/>
  <c r="BF249" i="41"/>
  <c r="BB194" i="41"/>
  <c r="BC194" i="41" s="1"/>
  <c r="BD194" i="41" s="1"/>
  <c r="BF194" i="41"/>
  <c r="BC308" i="41"/>
  <c r="BD308" i="41" s="1"/>
  <c r="BF308" i="41"/>
  <c r="BC297" i="41"/>
  <c r="BD297" i="41" s="1"/>
  <c r="BF297" i="41"/>
  <c r="BC287" i="41"/>
  <c r="BD287" i="41" s="1"/>
  <c r="BF287" i="41"/>
  <c r="BA206" i="41"/>
  <c r="BB206" i="41" s="1"/>
  <c r="BC206" i="41" s="1"/>
  <c r="BD206" i="41" s="1"/>
  <c r="BF206" i="41"/>
  <c r="BH322" i="41"/>
  <c r="BC210" i="41"/>
  <c r="BD210" i="41" s="1"/>
  <c r="BF210" i="41"/>
  <c r="BC224" i="41"/>
  <c r="BD224" i="41" s="1"/>
  <c r="BF224" i="41"/>
  <c r="BF167" i="41"/>
  <c r="BB167" i="41"/>
  <c r="BC167" i="41" s="1"/>
  <c r="BD167" i="41" s="1"/>
  <c r="BF115" i="41"/>
  <c r="BC115" i="41"/>
  <c r="BD115" i="41" s="1"/>
  <c r="BF61" i="41"/>
  <c r="BD61" i="41"/>
  <c r="BF120" i="41"/>
  <c r="BD120" i="41"/>
  <c r="BD119" i="41"/>
  <c r="BF119" i="41"/>
  <c r="BF319" i="41"/>
  <c r="BH319" i="41" s="1"/>
  <c r="BC319" i="41"/>
  <c r="BD319" i="41" s="1"/>
  <c r="BC236" i="41"/>
  <c r="BD236" i="41" s="1"/>
  <c r="BF236" i="41"/>
  <c r="BD135" i="41"/>
  <c r="BF135" i="41"/>
  <c r="D2742" i="52"/>
  <c r="D2734" i="52"/>
  <c r="D2384" i="52"/>
  <c r="D2228" i="52"/>
  <c r="D2233" i="52"/>
  <c r="D2250" i="52"/>
  <c r="D1414" i="52"/>
  <c r="D1424" i="52"/>
  <c r="BB44" i="41"/>
  <c r="BC44" i="41" s="1"/>
  <c r="BD44" i="41" s="1"/>
  <c r="BF44" i="41"/>
  <c r="BD140" i="41"/>
  <c r="BF140" i="41"/>
  <c r="K1473" i="54"/>
  <c r="J1473" i="54" s="1"/>
  <c r="D2643" i="52"/>
  <c r="K1486" i="44"/>
  <c r="D2563" i="52"/>
  <c r="D2483" i="52"/>
  <c r="D2476" i="52"/>
  <c r="D2356" i="52"/>
  <c r="D2352" i="52"/>
  <c r="D2373" i="52"/>
  <c r="D2322" i="52"/>
  <c r="D313" i="52"/>
  <c r="D2076" i="52"/>
  <c r="D1827" i="52"/>
  <c r="D1778" i="52"/>
  <c r="D2655" i="52"/>
  <c r="D1948" i="52"/>
  <c r="D1805" i="52"/>
  <c r="D265" i="52"/>
  <c r="D1769" i="52"/>
  <c r="D1748" i="52"/>
  <c r="D1289" i="52"/>
  <c r="B131" i="54"/>
  <c r="K131" i="44"/>
  <c r="B131" i="44" s="1"/>
  <c r="D1834" i="52"/>
  <c r="H507" i="54"/>
  <c r="H507" i="44" s="1"/>
  <c r="D1701" i="52"/>
  <c r="A6" i="54"/>
  <c r="D1164" i="52"/>
  <c r="K6" i="44"/>
  <c r="A6" i="44" s="1"/>
  <c r="C9" i="3"/>
  <c r="D9" i="3" s="1"/>
  <c r="D947" i="52"/>
  <c r="D1311" i="52"/>
  <c r="D1055" i="52"/>
  <c r="D1608" i="52"/>
  <c r="D1550" i="52"/>
  <c r="D1495" i="52"/>
  <c r="D1319" i="52"/>
  <c r="D1625" i="52"/>
  <c r="D202" i="52"/>
  <c r="C378" i="29"/>
  <c r="C378" i="53" s="1"/>
  <c r="C374" i="53"/>
  <c r="BD226" i="41"/>
  <c r="BF226" i="41"/>
  <c r="BB207" i="41"/>
  <c r="BC207" i="41" s="1"/>
  <c r="BD207" i="41" s="1"/>
  <c r="BF207" i="41"/>
  <c r="BC292" i="41"/>
  <c r="BD292" i="41" s="1"/>
  <c r="BF292" i="41"/>
  <c r="BC285" i="41"/>
  <c r="BD285" i="41" s="1"/>
  <c r="BF285" i="41"/>
  <c r="BF235" i="41"/>
  <c r="BC235" i="41"/>
  <c r="BD235" i="41" s="1"/>
  <c r="BD149" i="41"/>
  <c r="BF149" i="41"/>
  <c r="BF69" i="41"/>
  <c r="BD69" i="41"/>
  <c r="BF55" i="41"/>
  <c r="BC55" i="41"/>
  <c r="BD55" i="41" s="1"/>
  <c r="BB48" i="41"/>
  <c r="BC48" i="41" s="1"/>
  <c r="BD48" i="41" s="1"/>
  <c r="BF48" i="41"/>
  <c r="AZ91" i="41"/>
  <c r="BA91" i="41" s="1"/>
  <c r="BB91" i="41" s="1"/>
  <c r="BC91" i="41" s="1"/>
  <c r="BD91" i="41" s="1"/>
  <c r="BF91" i="41"/>
  <c r="BF71" i="41"/>
  <c r="BD71" i="41"/>
  <c r="BF172" i="41"/>
  <c r="BF157" i="41"/>
  <c r="BA157" i="41"/>
  <c r="BB157" i="41" s="1"/>
  <c r="BC157" i="41" s="1"/>
  <c r="BD157" i="41" s="1"/>
  <c r="BC97" i="41"/>
  <c r="BD97" i="41" s="1"/>
  <c r="BF97" i="41"/>
  <c r="BC303" i="41"/>
  <c r="BD303" i="41" s="1"/>
  <c r="BF303" i="41"/>
  <c r="BD218" i="41"/>
  <c r="BF218" i="41"/>
  <c r="BC181" i="41"/>
  <c r="BD181" i="41" s="1"/>
  <c r="BF181" i="41"/>
  <c r="Q10" i="30"/>
  <c r="S10" i="30"/>
  <c r="BD79" i="41"/>
  <c r="BF79" i="41"/>
  <c r="BB24" i="41"/>
  <c r="BC24" i="41" s="1"/>
  <c r="BD24" i="41" s="1"/>
  <c r="BF24" i="41"/>
  <c r="BF74" i="41"/>
  <c r="BD74" i="41"/>
  <c r="BF220" i="41"/>
  <c r="BD220" i="41"/>
  <c r="BC162" i="41"/>
  <c r="BD162" i="41" s="1"/>
  <c r="BF162" i="41"/>
  <c r="BC123" i="41"/>
  <c r="BD123" i="41" s="1"/>
  <c r="BF123" i="41"/>
  <c r="BC208" i="41"/>
  <c r="BD208" i="41" s="1"/>
  <c r="BF208" i="41"/>
  <c r="BB153" i="41"/>
  <c r="BC153" i="41" s="1"/>
  <c r="BD153" i="41" s="1"/>
  <c r="BF153" i="41"/>
  <c r="BB20" i="41"/>
  <c r="BC20" i="41" s="1"/>
  <c r="BD20" i="41" s="1"/>
  <c r="BF20" i="41"/>
  <c r="BC26" i="41"/>
  <c r="BD26" i="41" s="1"/>
  <c r="BF26" i="41"/>
  <c r="D2797" i="52"/>
  <c r="D2806" i="52"/>
  <c r="K1649" i="44"/>
  <c r="D2416" i="52"/>
  <c r="D1863" i="52"/>
  <c r="D1621" i="52"/>
  <c r="K463" i="44"/>
  <c r="C57" i="3"/>
  <c r="D57" i="3" s="1"/>
  <c r="I99" i="54"/>
  <c r="J99" i="54" s="1"/>
  <c r="D1243" i="52"/>
  <c r="D1585" i="52"/>
  <c r="D1347" i="52"/>
  <c r="D1341" i="52"/>
  <c r="BD121" i="41"/>
  <c r="BF121" i="41"/>
  <c r="BB102" i="41"/>
  <c r="BC102" i="41" s="1"/>
  <c r="BD102" i="41" s="1"/>
  <c r="BF102" i="41"/>
  <c r="BF100" i="41"/>
  <c r="BC100" i="41"/>
  <c r="BD100" i="41" s="1"/>
  <c r="D2733" i="52"/>
  <c r="D2725" i="52"/>
  <c r="K1644" i="54"/>
  <c r="J1644" i="54" s="1"/>
  <c r="D2518" i="52"/>
  <c r="D2810" i="52"/>
  <c r="D2475" i="52"/>
  <c r="D2467" i="52"/>
  <c r="D311" i="52"/>
  <c r="D2287" i="52"/>
  <c r="D2673" i="52"/>
  <c r="K1516" i="44"/>
  <c r="D2028" i="52"/>
  <c r="D2706" i="52"/>
  <c r="D2804" i="52"/>
  <c r="D2724" i="52"/>
  <c r="D2716" i="52"/>
  <c r="D2556" i="52"/>
  <c r="D2751" i="52"/>
  <c r="D2743" i="52"/>
  <c r="D2675" i="52"/>
  <c r="K1518" i="44"/>
  <c r="D2517" i="52"/>
  <c r="D2513" i="52"/>
  <c r="D2828" i="52"/>
  <c r="D2369" i="52"/>
  <c r="H1229" i="54"/>
  <c r="D2357" i="52"/>
  <c r="D308" i="52"/>
  <c r="D2243" i="52"/>
  <c r="D2174" i="52"/>
  <c r="C36" i="5"/>
  <c r="D36" i="5" s="1"/>
  <c r="K1016" i="44"/>
  <c r="D1950" i="52"/>
  <c r="K792" i="44"/>
  <c r="D2351" i="52"/>
  <c r="D2336" i="52"/>
  <c r="D1580" i="52"/>
  <c r="K422" i="44"/>
  <c r="C51" i="3"/>
  <c r="D51" i="3" s="1"/>
  <c r="F666" i="54"/>
  <c r="F666" i="44" s="1"/>
  <c r="D272" i="52"/>
  <c r="I500" i="54"/>
  <c r="J500" i="54" s="1"/>
  <c r="J500" i="44" s="1"/>
  <c r="D1604" i="52"/>
  <c r="D2049" i="52"/>
  <c r="D1837" i="52"/>
  <c r="D1695" i="52"/>
  <c r="D1940" i="52"/>
  <c r="D1909" i="52"/>
  <c r="D1627" i="52"/>
  <c r="D1353" i="52"/>
  <c r="K195" i="44"/>
  <c r="C23" i="3"/>
  <c r="D23" i="3" s="1"/>
  <c r="D1214" i="52"/>
  <c r="D1410" i="52"/>
  <c r="D1378" i="52"/>
  <c r="D457" i="52"/>
  <c r="D906" i="52"/>
  <c r="BC307" i="41"/>
  <c r="BD307" i="41" s="1"/>
  <c r="BF307" i="41"/>
  <c r="BD276" i="41"/>
  <c r="BF276" i="41"/>
  <c r="BC265" i="41"/>
  <c r="BD265" i="41" s="1"/>
  <c r="BF265" i="41"/>
  <c r="BF94" i="41"/>
  <c r="BB94" i="41"/>
  <c r="BC94" i="41" s="1"/>
  <c r="BD94" i="41" s="1"/>
  <c r="BA178" i="41"/>
  <c r="BB178" i="41" s="1"/>
  <c r="BC178" i="41" s="1"/>
  <c r="BD178" i="41" s="1"/>
  <c r="BF178" i="41"/>
  <c r="BF50" i="41"/>
  <c r="BC50" i="41"/>
  <c r="BD50" i="41" s="1"/>
  <c r="BC301" i="41"/>
  <c r="BD301" i="41" s="1"/>
  <c r="BF301" i="41"/>
  <c r="BD288" i="41"/>
  <c r="BF288" i="41"/>
  <c r="BB245" i="41"/>
  <c r="BC245" i="41" s="1"/>
  <c r="BD245" i="41" s="1"/>
  <c r="BF245" i="41"/>
  <c r="BB234" i="41"/>
  <c r="BC234" i="41" s="1"/>
  <c r="BD234" i="41" s="1"/>
  <c r="BF234" i="41"/>
  <c r="BF213" i="41"/>
  <c r="BA213" i="41"/>
  <c r="BB213" i="41" s="1"/>
  <c r="BC213" i="41" s="1"/>
  <c r="BD213" i="41" s="1"/>
  <c r="BB190" i="41"/>
  <c r="BC190" i="41" s="1"/>
  <c r="BD190" i="41" s="1"/>
  <c r="BF190" i="41"/>
  <c r="BC106" i="41"/>
  <c r="BD106" i="41" s="1"/>
  <c r="BF106" i="41"/>
  <c r="BC240" i="41"/>
  <c r="BD240" i="41" s="1"/>
  <c r="BF240" i="41"/>
  <c r="BC188" i="41"/>
  <c r="BD188" i="41" s="1"/>
  <c r="BF188" i="41"/>
  <c r="BF111" i="41"/>
  <c r="BD111" i="41"/>
  <c r="BC116" i="41"/>
  <c r="BD116" i="41" s="1"/>
  <c r="BF116" i="41"/>
  <c r="BD124" i="41"/>
  <c r="BF124" i="41"/>
  <c r="BD209" i="41"/>
  <c r="BF209" i="41"/>
  <c r="D363" i="52" l="1"/>
  <c r="K1389" i="44"/>
  <c r="J1389" i="44"/>
  <c r="D2546" i="52"/>
  <c r="D211" i="52"/>
  <c r="H129" i="44"/>
  <c r="K1422" i="44"/>
  <c r="D2579" i="52"/>
  <c r="D2567" i="52"/>
  <c r="K1410" i="44"/>
  <c r="D2560" i="52"/>
  <c r="D1144" i="52"/>
  <c r="D824" i="52"/>
  <c r="K1488" i="44"/>
  <c r="K1361" i="44"/>
  <c r="D2645" i="52"/>
  <c r="K145" i="44"/>
  <c r="B145" i="44" s="1"/>
  <c r="J131" i="44"/>
  <c r="D1006" i="52"/>
  <c r="D1303" i="52"/>
  <c r="J267" i="54"/>
  <c r="J267" i="44" s="1"/>
  <c r="B145" i="54"/>
  <c r="B154" i="54" s="1"/>
  <c r="B162" i="54" s="1"/>
  <c r="K1403" i="44"/>
  <c r="J988" i="44"/>
  <c r="J1422" i="44"/>
  <c r="J989" i="54"/>
  <c r="J989" i="44" s="1"/>
  <c r="D868" i="52"/>
  <c r="D921" i="52"/>
  <c r="D1713" i="52"/>
  <c r="D224" i="52"/>
  <c r="A16" i="21"/>
  <c r="K1508" i="44"/>
  <c r="D2665" i="52"/>
  <c r="D930" i="52"/>
  <c r="J746" i="54"/>
  <c r="J746" i="44" s="1"/>
  <c r="H746" i="44"/>
  <c r="D1187" i="52"/>
  <c r="H20" i="4"/>
  <c r="H67" i="4" s="1"/>
  <c r="J1415" i="54"/>
  <c r="J1414" i="44"/>
  <c r="J1416" i="54"/>
  <c r="J1416" i="44" s="1"/>
  <c r="J621" i="54"/>
  <c r="J620" i="44"/>
  <c r="J1497" i="44"/>
  <c r="J1498" i="54"/>
  <c r="D2656" i="52" s="1"/>
  <c r="J392" i="44"/>
  <c r="J393" i="54"/>
  <c r="J393" i="44" s="1"/>
  <c r="J336" i="44"/>
  <c r="J337" i="54"/>
  <c r="J337" i="44" s="1"/>
  <c r="J782" i="54"/>
  <c r="J782" i="44" s="1"/>
  <c r="J781" i="44"/>
  <c r="J536" i="44"/>
  <c r="J537" i="54"/>
  <c r="J537" i="44" s="1"/>
  <c r="J1761" i="54"/>
  <c r="J1760" i="44"/>
  <c r="D2918" i="52"/>
  <c r="J1459" i="54"/>
  <c r="J1459" i="44" s="1"/>
  <c r="J1458" i="44"/>
  <c r="J1755" i="54"/>
  <c r="J1754" i="44"/>
  <c r="J207" i="54"/>
  <c r="D1366" i="52" s="1"/>
  <c r="J206" i="44"/>
  <c r="J630" i="44"/>
  <c r="J631" i="54"/>
  <c r="D1789" i="52"/>
  <c r="J849" i="54"/>
  <c r="J849" i="44" s="1"/>
  <c r="J848" i="44"/>
  <c r="J771" i="44"/>
  <c r="J772" i="54"/>
  <c r="J772" i="44" s="1"/>
  <c r="D1930" i="52"/>
  <c r="D1210" i="52"/>
  <c r="J29" i="54"/>
  <c r="J30" i="54" s="1"/>
  <c r="J30" i="44" s="1"/>
  <c r="H57" i="3"/>
  <c r="H50" i="3" s="1"/>
  <c r="K26" i="5"/>
  <c r="J616" i="54"/>
  <c r="J616" i="44" s="1"/>
  <c r="J615" i="44"/>
  <c r="J68" i="44"/>
  <c r="J69" i="54"/>
  <c r="J69" i="44" s="1"/>
  <c r="J1155" i="54"/>
  <c r="J1155" i="44" s="1"/>
  <c r="D2313" i="52"/>
  <c r="J1154" i="44"/>
  <c r="J1522" i="54"/>
  <c r="J1521" i="44"/>
  <c r="J683" i="54"/>
  <c r="D1842" i="52" s="1"/>
  <c r="J682" i="44"/>
  <c r="J590" i="44"/>
  <c r="J598" i="54"/>
  <c r="J598" i="44" s="1"/>
  <c r="J591" i="54"/>
  <c r="J591" i="44" s="1"/>
  <c r="J874" i="54"/>
  <c r="D2033" i="52" s="1"/>
  <c r="J873" i="44"/>
  <c r="J1450" i="44"/>
  <c r="J1451" i="54"/>
  <c r="J1451" i="44" s="1"/>
  <c r="J428" i="54"/>
  <c r="J427" i="44"/>
  <c r="J165" i="54"/>
  <c r="J165" i="44" s="1"/>
  <c r="J164" i="44"/>
  <c r="D2912" i="52"/>
  <c r="J368" i="44"/>
  <c r="J369" i="54"/>
  <c r="J369" i="44" s="1"/>
  <c r="J603" i="54"/>
  <c r="J603" i="44" s="1"/>
  <c r="J602" i="44"/>
  <c r="J81" i="54"/>
  <c r="J81" i="44" s="1"/>
  <c r="J80" i="44"/>
  <c r="J579" i="54"/>
  <c r="J579" i="44" s="1"/>
  <c r="J565" i="44"/>
  <c r="J566" i="54"/>
  <c r="D1725" i="52" s="1"/>
  <c r="J1092" i="44"/>
  <c r="J1093" i="54"/>
  <c r="J1093" i="44" s="1"/>
  <c r="J736" i="44"/>
  <c r="J737" i="54"/>
  <c r="J737" i="44" s="1"/>
  <c r="J670" i="44"/>
  <c r="J671" i="54"/>
  <c r="J671" i="44" s="1"/>
  <c r="J1685" i="54"/>
  <c r="J1685" i="44" s="1"/>
  <c r="J1684" i="44"/>
  <c r="D1202" i="52"/>
  <c r="J1749" i="54"/>
  <c r="J1748" i="44"/>
  <c r="D2906" i="52"/>
  <c r="J1402" i="54"/>
  <c r="J1402" i="44" s="1"/>
  <c r="D2559" i="52"/>
  <c r="J1401" i="44"/>
  <c r="J1283" i="44"/>
  <c r="J1284" i="54"/>
  <c r="J1268" i="44"/>
  <c r="J1269" i="54"/>
  <c r="K29" i="21"/>
  <c r="D353" i="52"/>
  <c r="J450" i="54"/>
  <c r="J449" i="44"/>
  <c r="J642" i="54"/>
  <c r="J642" i="44" s="1"/>
  <c r="J641" i="44"/>
  <c r="J811" i="54"/>
  <c r="J811" i="44" s="1"/>
  <c r="J810" i="44"/>
  <c r="J611" i="54"/>
  <c r="J610" i="44"/>
  <c r="J1634" i="44"/>
  <c r="J1635" i="54"/>
  <c r="J1635" i="44" s="1"/>
  <c r="D2792" i="52"/>
  <c r="J554" i="44"/>
  <c r="J561" i="54"/>
  <c r="J561" i="44" s="1"/>
  <c r="J555" i="54"/>
  <c r="J1653" i="44"/>
  <c r="J1654" i="54"/>
  <c r="J1364" i="44"/>
  <c r="J1365" i="54"/>
  <c r="D2523" i="52" s="1"/>
  <c r="J353" i="54"/>
  <c r="J353" i="44" s="1"/>
  <c r="J352" i="44"/>
  <c r="J933" i="44"/>
  <c r="J934" i="54"/>
  <c r="J892" i="54"/>
  <c r="J891" i="44"/>
  <c r="J1753" i="54"/>
  <c r="J1753" i="44" s="1"/>
  <c r="J1752" i="44"/>
  <c r="J439" i="44"/>
  <c r="J440" i="54"/>
  <c r="J440" i="44" s="1"/>
  <c r="J919" i="54"/>
  <c r="J918" i="44"/>
  <c r="J1133" i="54"/>
  <c r="J1133" i="44" s="1"/>
  <c r="J1132" i="44"/>
  <c r="J319" i="44"/>
  <c r="J320" i="54"/>
  <c r="D1479" i="52" s="1"/>
  <c r="J462" i="54"/>
  <c r="J462" i="44" s="1"/>
  <c r="J461" i="44"/>
  <c r="J993" i="54"/>
  <c r="J993" i="44" s="1"/>
  <c r="J992" i="44"/>
  <c r="J297" i="44"/>
  <c r="J298" i="54"/>
  <c r="D1457" i="52" s="1"/>
  <c r="J696" i="54"/>
  <c r="J695" i="44"/>
  <c r="D1854" i="52"/>
  <c r="J1261" i="44"/>
  <c r="J1262" i="54"/>
  <c r="D2420" i="52" s="1"/>
  <c r="J1757" i="44"/>
  <c r="J1758" i="54"/>
  <c r="J1020" i="44"/>
  <c r="J1021" i="54"/>
  <c r="J964" i="44"/>
  <c r="J965" i="54"/>
  <c r="J965" i="44" s="1"/>
  <c r="J72" i="54"/>
  <c r="J71" i="44"/>
  <c r="D1230" i="52"/>
  <c r="J488" i="54"/>
  <c r="J468" i="54"/>
  <c r="J468" i="44" s="1"/>
  <c r="J467" i="44"/>
  <c r="J800" i="54"/>
  <c r="D1959" i="52" s="1"/>
  <c r="J799" i="44"/>
  <c r="J1425" i="44"/>
  <c r="J1426" i="54"/>
  <c r="J1426" i="44" s="1"/>
  <c r="J1596" i="54"/>
  <c r="D2754" i="52" s="1"/>
  <c r="J1595" i="44"/>
  <c r="J45" i="54"/>
  <c r="J45" i="44" s="1"/>
  <c r="J44" i="44"/>
  <c r="D1203" i="52"/>
  <c r="J28" i="54"/>
  <c r="J28" i="44" s="1"/>
  <c r="J27" i="44"/>
  <c r="I193" i="44"/>
  <c r="J193" i="54"/>
  <c r="D1352" i="52" s="1"/>
  <c r="F21" i="3"/>
  <c r="K21" i="3" s="1"/>
  <c r="J191" i="54"/>
  <c r="J191" i="44" s="1"/>
  <c r="K69" i="3"/>
  <c r="F68" i="3"/>
  <c r="K68" i="3" s="1"/>
  <c r="J638" i="54"/>
  <c r="J638" i="44" s="1"/>
  <c r="J637" i="44"/>
  <c r="K30" i="4"/>
  <c r="F29" i="4"/>
  <c r="K29" i="4" s="1"/>
  <c r="J1147" i="54"/>
  <c r="J1147" i="44" s="1"/>
  <c r="J1139" i="54"/>
  <c r="J1139" i="44" s="1"/>
  <c r="J1146" i="44"/>
  <c r="D873" i="52"/>
  <c r="K154" i="44"/>
  <c r="I549" i="44"/>
  <c r="J549" i="54"/>
  <c r="H1351" i="54"/>
  <c r="H1351" i="44" s="1"/>
  <c r="J289" i="44"/>
  <c r="J290" i="54"/>
  <c r="J290" i="44" s="1"/>
  <c r="I1148" i="44"/>
  <c r="H54" i="5"/>
  <c r="K54" i="5" s="1"/>
  <c r="H1085" i="44"/>
  <c r="J1085" i="54"/>
  <c r="D2244" i="52" s="1"/>
  <c r="F47" i="5"/>
  <c r="F36" i="5" s="1"/>
  <c r="J43" i="54"/>
  <c r="J43" i="44" s="1"/>
  <c r="J42" i="44"/>
  <c r="K87" i="3"/>
  <c r="F76" i="3"/>
  <c r="J608" i="54"/>
  <c r="J608" i="44" s="1"/>
  <c r="J607" i="44"/>
  <c r="J1408" i="44"/>
  <c r="J1409" i="54"/>
  <c r="J1409" i="44" s="1"/>
  <c r="J1517" i="54"/>
  <c r="J1517" i="44" s="1"/>
  <c r="J1516" i="44"/>
  <c r="K53" i="5"/>
  <c r="F48" i="5"/>
  <c r="J791" i="54"/>
  <c r="J791" i="44" s="1"/>
  <c r="J790" i="44"/>
  <c r="J1300" i="54"/>
  <c r="J1299" i="44"/>
  <c r="J759" i="44"/>
  <c r="J760" i="54"/>
  <c r="D1919" i="52" s="1"/>
  <c r="J389" i="54"/>
  <c r="J389" i="44" s="1"/>
  <c r="J388" i="44"/>
  <c r="J1362" i="54"/>
  <c r="J1362" i="44" s="1"/>
  <c r="J1361" i="44"/>
  <c r="J662" i="44"/>
  <c r="J663" i="54"/>
  <c r="J663" i="44" s="1"/>
  <c r="J1228" i="54"/>
  <c r="J1228" i="44" s="1"/>
  <c r="J1202" i="54"/>
  <c r="J1227" i="44"/>
  <c r="J1493" i="44"/>
  <c r="J1494" i="54"/>
  <c r="J1494" i="44" s="1"/>
  <c r="J1174" i="54"/>
  <c r="J1174" i="44" s="1"/>
  <c r="J1173" i="44"/>
  <c r="H1250" i="44"/>
  <c r="J1250" i="54"/>
  <c r="F22" i="4"/>
  <c r="D666" i="44"/>
  <c r="J666" i="54"/>
  <c r="J666" i="44" s="1"/>
  <c r="H1348" i="44"/>
  <c r="J1348" i="54"/>
  <c r="J1348" i="44" s="1"/>
  <c r="D2505" i="52"/>
  <c r="J1107" i="54"/>
  <c r="J1107" i="44" s="1"/>
  <c r="J1106" i="44"/>
  <c r="J1278" i="44"/>
  <c r="J1281" i="54"/>
  <c r="J1281" i="44" s="1"/>
  <c r="J1248" i="44"/>
  <c r="J1249" i="54"/>
  <c r="J1249" i="44" s="1"/>
  <c r="K64" i="3"/>
  <c r="F63" i="3"/>
  <c r="K63" i="3" s="1"/>
  <c r="J693" i="54"/>
  <c r="J693" i="44" s="1"/>
  <c r="J692" i="44"/>
  <c r="J628" i="54"/>
  <c r="J628" i="44" s="1"/>
  <c r="J627" i="44"/>
  <c r="D1185" i="52"/>
  <c r="I486" i="54"/>
  <c r="J486" i="54" s="1"/>
  <c r="D1645" i="52" s="1"/>
  <c r="H1229" i="44"/>
  <c r="J1229" i="54"/>
  <c r="K77" i="54"/>
  <c r="J77" i="54" s="1"/>
  <c r="D1169" i="52"/>
  <c r="D1312" i="52"/>
  <c r="D212" i="52"/>
  <c r="H1165" i="44"/>
  <c r="J1165" i="54"/>
  <c r="J1165" i="44" s="1"/>
  <c r="I280" i="44"/>
  <c r="J280" i="54"/>
  <c r="I124" i="44"/>
  <c r="J124" i="54"/>
  <c r="D2306" i="52"/>
  <c r="D57" i="44"/>
  <c r="F10" i="3"/>
  <c r="J146" i="54"/>
  <c r="J146" i="44" s="1"/>
  <c r="J145" i="44"/>
  <c r="J236" i="54"/>
  <c r="D1396" i="52" s="1"/>
  <c r="H46" i="3"/>
  <c r="F29" i="3"/>
  <c r="H29" i="3"/>
  <c r="F28" i="3"/>
  <c r="H28" i="3"/>
  <c r="F46" i="3"/>
  <c r="J116" i="54"/>
  <c r="J1674" i="54"/>
  <c r="J1674" i="44" s="1"/>
  <c r="J1673" i="44"/>
  <c r="J114" i="44"/>
  <c r="J115" i="54"/>
  <c r="J115" i="44" s="1"/>
  <c r="J257" i="54"/>
  <c r="J257" i="44" s="1"/>
  <c r="J256" i="44"/>
  <c r="J1404" i="54"/>
  <c r="J1404" i="44" s="1"/>
  <c r="J1403" i="44"/>
  <c r="J1509" i="54"/>
  <c r="J1509" i="44" s="1"/>
  <c r="J1508" i="44"/>
  <c r="J1129" i="44"/>
  <c r="J1130" i="54"/>
  <c r="J1130" i="44" s="1"/>
  <c r="J1286" i="54"/>
  <c r="J1286" i="44" s="1"/>
  <c r="J1287" i="44"/>
  <c r="J751" i="54"/>
  <c r="D1910" i="52" s="1"/>
  <c r="J750" i="44"/>
  <c r="F62" i="4"/>
  <c r="K62" i="4" s="1"/>
  <c r="K64" i="4"/>
  <c r="J656" i="44"/>
  <c r="J657" i="54"/>
  <c r="J1087" i="44"/>
  <c r="J1088" i="54"/>
  <c r="J1088" i="44" s="1"/>
  <c r="D2246" i="52"/>
  <c r="J1421" i="54"/>
  <c r="J1421" i="44" s="1"/>
  <c r="J1420" i="44"/>
  <c r="J1489" i="54"/>
  <c r="J1489" i="44" s="1"/>
  <c r="J1488" i="44"/>
  <c r="J155" i="54"/>
  <c r="J155" i="44" s="1"/>
  <c r="J154" i="44"/>
  <c r="F129" i="44"/>
  <c r="F18" i="3"/>
  <c r="K18" i="3" s="1"/>
  <c r="J1066" i="54"/>
  <c r="J1066" i="44" s="1"/>
  <c r="J1047" i="54"/>
  <c r="J1047" i="44" s="1"/>
  <c r="J1065" i="44"/>
  <c r="K51" i="3"/>
  <c r="F25" i="5"/>
  <c r="D985" i="52" s="1"/>
  <c r="K8" i="5"/>
  <c r="J1381" i="54"/>
  <c r="J1381" i="44" s="1"/>
  <c r="J1380" i="44"/>
  <c r="I57" i="54"/>
  <c r="D1215" i="52" s="1"/>
  <c r="J1645" i="54"/>
  <c r="J1645" i="44" s="1"/>
  <c r="J1644" i="44"/>
  <c r="J99" i="44"/>
  <c r="J100" i="54"/>
  <c r="J100" i="44" s="1"/>
  <c r="D1851" i="52"/>
  <c r="J1474" i="54"/>
  <c r="J1474" i="44" s="1"/>
  <c r="J1473" i="44"/>
  <c r="D855" i="52"/>
  <c r="D1349" i="52"/>
  <c r="H812" i="44"/>
  <c r="J812" i="54"/>
  <c r="D2297" i="52"/>
  <c r="D209" i="52"/>
  <c r="F57" i="44"/>
  <c r="F11" i="3"/>
  <c r="K11" i="3" s="1"/>
  <c r="G129" i="44"/>
  <c r="F19" i="3"/>
  <c r="K19" i="3" s="1"/>
  <c r="I52" i="44"/>
  <c r="J52" i="54"/>
  <c r="E129" i="44"/>
  <c r="F17" i="3"/>
  <c r="K17" i="3" s="1"/>
  <c r="K12" i="3"/>
  <c r="D816" i="52"/>
  <c r="D6" i="52"/>
  <c r="D129" i="44"/>
  <c r="F16" i="3"/>
  <c r="D820" i="52" s="1"/>
  <c r="H57" i="44"/>
  <c r="F13" i="3"/>
  <c r="K13" i="3" s="1"/>
  <c r="J282" i="54"/>
  <c r="J101" i="44"/>
  <c r="J102" i="54"/>
  <c r="J102" i="44" s="1"/>
  <c r="J1438" i="44"/>
  <c r="J1439" i="54"/>
  <c r="K46" i="5"/>
  <c r="K24" i="3"/>
  <c r="F23" i="3"/>
  <c r="K23" i="3" s="1"/>
  <c r="J1148" i="54"/>
  <c r="J648" i="54"/>
  <c r="J647" i="44"/>
  <c r="J871" i="54"/>
  <c r="J871" i="44" s="1"/>
  <c r="J870" i="44"/>
  <c r="J1632" i="54"/>
  <c r="J1632" i="44" s="1"/>
  <c r="J1631" i="44"/>
  <c r="J1605" i="54"/>
  <c r="J1605" i="44" s="1"/>
  <c r="K59" i="3"/>
  <c r="F58" i="3"/>
  <c r="D862" i="52" s="1"/>
  <c r="J82" i="54"/>
  <c r="D1241" i="52" s="1"/>
  <c r="F26" i="4"/>
  <c r="K26" i="4" s="1"/>
  <c r="K27" i="4"/>
  <c r="J447" i="54"/>
  <c r="J447" i="44" s="1"/>
  <c r="J446" i="44"/>
  <c r="J1017" i="54"/>
  <c r="J1017" i="44" s="1"/>
  <c r="J1016" i="44"/>
  <c r="J204" i="54"/>
  <c r="J204" i="44" s="1"/>
  <c r="J203" i="44"/>
  <c r="J679" i="44"/>
  <c r="J680" i="54"/>
  <c r="J680" i="44" s="1"/>
  <c r="J916" i="54"/>
  <c r="J916" i="44" s="1"/>
  <c r="J915" i="44"/>
  <c r="J307" i="44"/>
  <c r="J308" i="54"/>
  <c r="J308" i="44" s="1"/>
  <c r="J268" i="54"/>
  <c r="J1410" i="44"/>
  <c r="J1411" i="54"/>
  <c r="J1411" i="44" s="1"/>
  <c r="J846" i="54"/>
  <c r="J846" i="44" s="1"/>
  <c r="J845" i="44"/>
  <c r="J1015" i="54"/>
  <c r="J1015" i="44" s="1"/>
  <c r="J1014" i="44"/>
  <c r="H36" i="5"/>
  <c r="J1200" i="44"/>
  <c r="J1201" i="54"/>
  <c r="J1201" i="44" s="1"/>
  <c r="J11" i="54"/>
  <c r="D1313" i="52"/>
  <c r="I526" i="44"/>
  <c r="I1167" i="54"/>
  <c r="H56" i="5" s="1"/>
  <c r="I1165" i="44"/>
  <c r="D2150" i="52"/>
  <c r="D201" i="52"/>
  <c r="G57" i="44"/>
  <c r="D1904" i="52"/>
  <c r="H1329" i="54"/>
  <c r="D828" i="52"/>
  <c r="I99" i="44"/>
  <c r="I57" i="44"/>
  <c r="D1304" i="52"/>
  <c r="I1231" i="54"/>
  <c r="I1229" i="44"/>
  <c r="B18" i="21"/>
  <c r="A18" i="21"/>
  <c r="D829" i="52"/>
  <c r="D830" i="52"/>
  <c r="D986" i="52"/>
  <c r="I479" i="44"/>
  <c r="D1440" i="52"/>
  <c r="I289" i="44"/>
  <c r="D991" i="52"/>
  <c r="I42" i="44"/>
  <c r="D1384" i="52"/>
  <c r="I746" i="44"/>
  <c r="I1250" i="44"/>
  <c r="D266" i="52"/>
  <c r="I486" i="44"/>
  <c r="I507" i="54"/>
  <c r="I507" i="44" s="1"/>
  <c r="I500" i="44"/>
  <c r="D1013" i="52"/>
  <c r="I27" i="44"/>
  <c r="I294" i="54"/>
  <c r="D1800" i="52"/>
  <c r="D199" i="52"/>
  <c r="D41" i="52"/>
  <c r="D1045" i="52"/>
  <c r="D863" i="52"/>
  <c r="D1684" i="52"/>
  <c r="D153" i="52"/>
  <c r="D1786" i="52"/>
  <c r="D2909" i="52"/>
  <c r="D368" i="52"/>
  <c r="D314" i="52"/>
  <c r="Q50" i="53"/>
  <c r="D50" i="53" s="1"/>
  <c r="D2578" i="52"/>
  <c r="D364" i="52"/>
  <c r="C148" i="29"/>
  <c r="C142" i="53"/>
  <c r="D891" i="52"/>
  <c r="D51" i="52"/>
  <c r="D1065" i="52"/>
  <c r="D33" i="52"/>
  <c r="D1637" i="52"/>
  <c r="D28" i="52"/>
  <c r="D2583" i="52"/>
  <c r="D2759" i="52"/>
  <c r="D1302" i="52"/>
  <c r="D1761" i="52"/>
  <c r="D2595" i="52"/>
  <c r="D2319" i="52"/>
  <c r="D2309" i="52"/>
  <c r="D1547" i="52"/>
  <c r="D1796" i="52"/>
  <c r="D1226" i="52"/>
  <c r="D2092" i="52"/>
  <c r="D2173" i="52"/>
  <c r="D374" i="52"/>
  <c r="D2123" i="52"/>
  <c r="D359" i="52"/>
  <c r="D1970" i="52"/>
  <c r="H818" i="54"/>
  <c r="J818" i="54" s="1"/>
  <c r="D925" i="52"/>
  <c r="D2538" i="52"/>
  <c r="D2552" i="52"/>
  <c r="D1282" i="52"/>
  <c r="D1274" i="52"/>
  <c r="D1766" i="52"/>
  <c r="D2441" i="52"/>
  <c r="D21" i="52"/>
  <c r="D1438" i="52"/>
  <c r="D2566" i="52"/>
  <c r="D2679" i="52"/>
  <c r="D2561" i="52"/>
  <c r="D1466" i="52"/>
  <c r="D2568" i="52"/>
  <c r="D1927" i="52"/>
  <c r="D1979" i="52"/>
  <c r="D2205" i="52"/>
  <c r="D2224" i="52"/>
  <c r="D1447" i="52"/>
  <c r="D1426" i="52"/>
  <c r="D2651" i="52"/>
  <c r="D348" i="52"/>
  <c r="D2242" i="52"/>
  <c r="D2234" i="52"/>
  <c r="D1186" i="52"/>
  <c r="D2050" i="52"/>
  <c r="D12" i="52"/>
  <c r="D1348" i="52"/>
  <c r="D1240" i="52"/>
  <c r="D2175" i="52"/>
  <c r="D2646" i="52"/>
  <c r="D2676" i="52"/>
  <c r="D2674" i="52"/>
  <c r="D2288" i="52"/>
  <c r="D1165" i="52"/>
  <c r="D1290" i="52"/>
  <c r="D2077" i="52"/>
  <c r="D1425" i="52"/>
  <c r="Q50" i="29"/>
  <c r="D50" i="29" s="1"/>
  <c r="D2407" i="52"/>
  <c r="D261" i="52"/>
  <c r="D2457" i="52"/>
  <c r="D1362" i="52"/>
  <c r="D928" i="52"/>
  <c r="D1273" i="52"/>
  <c r="D2332" i="52"/>
  <c r="D1838" i="52"/>
  <c r="D1605" i="52"/>
  <c r="D2811" i="52"/>
  <c r="F27" i="36"/>
  <c r="I27" i="36" s="1"/>
  <c r="J27" i="36" s="1"/>
  <c r="F91" i="36"/>
  <c r="I91" i="36" s="1"/>
  <c r="J91" i="36" s="1"/>
  <c r="F155" i="36"/>
  <c r="I155" i="36" s="1"/>
  <c r="J155" i="36" s="1"/>
  <c r="F219" i="36"/>
  <c r="I219" i="36" s="1"/>
  <c r="J219" i="36" s="1"/>
  <c r="F283" i="36"/>
  <c r="I283" i="36" s="1"/>
  <c r="J283" i="36" s="1"/>
  <c r="F347" i="36"/>
  <c r="I347" i="36" s="1"/>
  <c r="J347" i="36" s="1"/>
  <c r="F168" i="36"/>
  <c r="I168" i="36" s="1"/>
  <c r="J168" i="36" s="1"/>
  <c r="F232" i="36"/>
  <c r="I232" i="36" s="1"/>
  <c r="J232" i="36" s="1"/>
  <c r="F296" i="36"/>
  <c r="I296" i="36" s="1"/>
  <c r="J296" i="36" s="1"/>
  <c r="F344" i="36"/>
  <c r="I344" i="36" s="1"/>
  <c r="J344" i="36" s="1"/>
  <c r="F69" i="36"/>
  <c r="I69" i="36" s="1"/>
  <c r="J69" i="36" s="1"/>
  <c r="F43" i="36"/>
  <c r="I43" i="36" s="1"/>
  <c r="J43" i="36" s="1"/>
  <c r="F107" i="36"/>
  <c r="I107" i="36" s="1"/>
  <c r="J107" i="36" s="1"/>
  <c r="F171" i="36"/>
  <c r="I171" i="36" s="1"/>
  <c r="J171" i="36" s="1"/>
  <c r="F235" i="36"/>
  <c r="I235" i="36" s="1"/>
  <c r="J235" i="36" s="1"/>
  <c r="F299" i="36"/>
  <c r="I299" i="36" s="1"/>
  <c r="J299" i="36" s="1"/>
  <c r="F24" i="36"/>
  <c r="I24" i="36" s="1"/>
  <c r="J24" i="36" s="1"/>
  <c r="F56" i="36"/>
  <c r="I56" i="36" s="1"/>
  <c r="J56" i="36" s="1"/>
  <c r="F88" i="36"/>
  <c r="I88" i="36" s="1"/>
  <c r="J88" i="36" s="1"/>
  <c r="F120" i="36"/>
  <c r="I120" i="36" s="1"/>
  <c r="J120" i="36" s="1"/>
  <c r="F184" i="36"/>
  <c r="I184" i="36" s="1"/>
  <c r="J184" i="36" s="1"/>
  <c r="F248" i="36"/>
  <c r="I248" i="36" s="1"/>
  <c r="J248" i="36" s="1"/>
  <c r="F21" i="36"/>
  <c r="I21" i="36" s="1"/>
  <c r="J21" i="36" s="1"/>
  <c r="F85" i="36"/>
  <c r="I85" i="36" s="1"/>
  <c r="J85" i="36" s="1"/>
  <c r="F149" i="36"/>
  <c r="I149" i="36" s="1"/>
  <c r="J149" i="36" s="1"/>
  <c r="F213" i="36"/>
  <c r="I213" i="36" s="1"/>
  <c r="J213" i="36" s="1"/>
  <c r="F261" i="36"/>
  <c r="I261" i="36" s="1"/>
  <c r="J261" i="36" s="1"/>
  <c r="F325" i="36"/>
  <c r="I325" i="36" s="1"/>
  <c r="J325" i="36" s="1"/>
  <c r="F158" i="36"/>
  <c r="I158" i="36" s="1"/>
  <c r="J158" i="36" s="1"/>
  <c r="F366" i="36"/>
  <c r="I366" i="36" s="1"/>
  <c r="J366" i="36" s="1"/>
  <c r="F430" i="36"/>
  <c r="I430" i="36" s="1"/>
  <c r="J430" i="36" s="1"/>
  <c r="F210" i="36"/>
  <c r="I210" i="36" s="1"/>
  <c r="J210" i="36" s="1"/>
  <c r="F379" i="36"/>
  <c r="I379" i="36" s="1"/>
  <c r="J379" i="36" s="1"/>
  <c r="F31" i="36"/>
  <c r="I31" i="36" s="1"/>
  <c r="J31" i="36" s="1"/>
  <c r="F95" i="36"/>
  <c r="I95" i="36" s="1"/>
  <c r="J95" i="36" s="1"/>
  <c r="F159" i="36"/>
  <c r="I159" i="36" s="1"/>
  <c r="J159" i="36" s="1"/>
  <c r="F223" i="36"/>
  <c r="I223" i="36" s="1"/>
  <c r="J223" i="36" s="1"/>
  <c r="F287" i="36"/>
  <c r="I287" i="36" s="1"/>
  <c r="J287" i="36" s="1"/>
  <c r="F12" i="36"/>
  <c r="I12" i="36" s="1"/>
  <c r="J12" i="36" s="1"/>
  <c r="F76" i="36"/>
  <c r="I76" i="36" s="1"/>
  <c r="J76" i="36" s="1"/>
  <c r="F140" i="36"/>
  <c r="I140" i="36" s="1"/>
  <c r="J140" i="36" s="1"/>
  <c r="F204" i="36"/>
  <c r="I204" i="36" s="1"/>
  <c r="J204" i="36" s="1"/>
  <c r="F252" i="36"/>
  <c r="I252" i="36" s="1"/>
  <c r="J252" i="36" s="1"/>
  <c r="F316" i="36"/>
  <c r="I316" i="36" s="1"/>
  <c r="J316" i="36" s="1"/>
  <c r="F41" i="36"/>
  <c r="I41" i="36" s="1"/>
  <c r="J41" i="36" s="1"/>
  <c r="F11" i="36"/>
  <c r="I11" i="36" s="1"/>
  <c r="J11" i="36" s="1"/>
  <c r="F139" i="36"/>
  <c r="I139" i="36" s="1"/>
  <c r="J139" i="36" s="1"/>
  <c r="F267" i="36"/>
  <c r="I267" i="36" s="1"/>
  <c r="J267" i="36" s="1"/>
  <c r="F40" i="36"/>
  <c r="I40" i="36" s="1"/>
  <c r="J40" i="36" s="1"/>
  <c r="F104" i="36"/>
  <c r="I104" i="36" s="1"/>
  <c r="J104" i="36" s="1"/>
  <c r="F216" i="36"/>
  <c r="I216" i="36" s="1"/>
  <c r="J216" i="36" s="1"/>
  <c r="F328" i="36"/>
  <c r="I328" i="36" s="1"/>
  <c r="J328" i="36" s="1"/>
  <c r="F117" i="36"/>
  <c r="I117" i="36" s="1"/>
  <c r="J117" i="36" s="1"/>
  <c r="F197" i="36"/>
  <c r="I197" i="36" s="1"/>
  <c r="J197" i="36" s="1"/>
  <c r="F277" i="36"/>
  <c r="I277" i="36" s="1"/>
  <c r="J277" i="36" s="1"/>
  <c r="F30" i="36"/>
  <c r="I30" i="36" s="1"/>
  <c r="J30" i="36" s="1"/>
  <c r="F350" i="36"/>
  <c r="I350" i="36" s="1"/>
  <c r="J350" i="36" s="1"/>
  <c r="F18" i="36"/>
  <c r="I18" i="36" s="1"/>
  <c r="J18" i="36" s="1"/>
  <c r="F338" i="36"/>
  <c r="I338" i="36" s="1"/>
  <c r="J338" i="36" s="1"/>
  <c r="F15" i="36"/>
  <c r="I15" i="36" s="1"/>
  <c r="J15" i="36" s="1"/>
  <c r="F111" i="36"/>
  <c r="I111" i="36" s="1"/>
  <c r="J111" i="36" s="1"/>
  <c r="F191" i="36"/>
  <c r="I191" i="36" s="1"/>
  <c r="J191" i="36" s="1"/>
  <c r="F271" i="36"/>
  <c r="I271" i="36" s="1"/>
  <c r="J271" i="36" s="1"/>
  <c r="F28" i="36"/>
  <c r="I28" i="36" s="1"/>
  <c r="J28" i="36" s="1"/>
  <c r="F108" i="36"/>
  <c r="I108" i="36" s="1"/>
  <c r="J108" i="36" s="1"/>
  <c r="F188" i="36"/>
  <c r="I188" i="36" s="1"/>
  <c r="J188" i="36" s="1"/>
  <c r="F268" i="36"/>
  <c r="I268" i="36" s="1"/>
  <c r="J268" i="36" s="1"/>
  <c r="F348" i="36"/>
  <c r="I348" i="36" s="1"/>
  <c r="J348" i="36" s="1"/>
  <c r="F89" i="36"/>
  <c r="I89" i="36" s="1"/>
  <c r="J89" i="36" s="1"/>
  <c r="F153" i="36"/>
  <c r="I153" i="36" s="1"/>
  <c r="J153" i="36" s="1"/>
  <c r="F201" i="36"/>
  <c r="I201" i="36" s="1"/>
  <c r="J201" i="36" s="1"/>
  <c r="F249" i="36"/>
  <c r="I249" i="36" s="1"/>
  <c r="J249" i="36" s="1"/>
  <c r="F297" i="36"/>
  <c r="I297" i="36" s="1"/>
  <c r="J297" i="36" s="1"/>
  <c r="F345" i="36"/>
  <c r="I345" i="36" s="1"/>
  <c r="J345" i="36" s="1"/>
  <c r="F238" i="36"/>
  <c r="I238" i="36" s="1"/>
  <c r="J238" i="36" s="1"/>
  <c r="F386" i="36"/>
  <c r="I386" i="36" s="1"/>
  <c r="J386" i="36" s="1"/>
  <c r="F34" i="36"/>
  <c r="I34" i="36" s="1"/>
  <c r="J34" i="36" s="1"/>
  <c r="F290" i="36"/>
  <c r="I290" i="36" s="1"/>
  <c r="J290" i="36" s="1"/>
  <c r="F70" i="36"/>
  <c r="I70" i="36" s="1"/>
  <c r="J70" i="36" s="1"/>
  <c r="F67" i="36"/>
  <c r="I67" i="36" s="1"/>
  <c r="J67" i="36" s="1"/>
  <c r="F131" i="36"/>
  <c r="I131" i="36" s="1"/>
  <c r="J131" i="36" s="1"/>
  <c r="F195" i="36"/>
  <c r="I195" i="36" s="1"/>
  <c r="J195" i="36" s="1"/>
  <c r="F259" i="36"/>
  <c r="I259" i="36" s="1"/>
  <c r="J259" i="36" s="1"/>
  <c r="F323" i="36"/>
  <c r="I323" i="36" s="1"/>
  <c r="J323" i="36" s="1"/>
  <c r="F32" i="36"/>
  <c r="I32" i="36" s="1"/>
  <c r="J32" i="36" s="1"/>
  <c r="F64" i="36"/>
  <c r="I64" i="36" s="1"/>
  <c r="J64" i="36" s="1"/>
  <c r="F96" i="36"/>
  <c r="I96" i="36" s="1"/>
  <c r="J96" i="36" s="1"/>
  <c r="F128" i="36"/>
  <c r="I128" i="36" s="1"/>
  <c r="J128" i="36" s="1"/>
  <c r="F192" i="36"/>
  <c r="I192" i="36" s="1"/>
  <c r="J192" i="36" s="1"/>
  <c r="F304" i="36"/>
  <c r="I304" i="36" s="1"/>
  <c r="J304" i="36" s="1"/>
  <c r="F29" i="36"/>
  <c r="I29" i="36" s="1"/>
  <c r="J29" i="36" s="1"/>
  <c r="F93" i="36"/>
  <c r="I93" i="36" s="1"/>
  <c r="J93" i="36" s="1"/>
  <c r="F157" i="36"/>
  <c r="I157" i="36" s="1"/>
  <c r="J157" i="36" s="1"/>
  <c r="F221" i="36"/>
  <c r="I221" i="36" s="1"/>
  <c r="J221" i="36" s="1"/>
  <c r="F285" i="36"/>
  <c r="I285" i="36" s="1"/>
  <c r="J285" i="36" s="1"/>
  <c r="F349" i="36"/>
  <c r="I349" i="36" s="1"/>
  <c r="J349" i="36" s="1"/>
  <c r="F254" i="36"/>
  <c r="I254" i="36" s="1"/>
  <c r="J254" i="36" s="1"/>
  <c r="F390" i="36"/>
  <c r="I390" i="36" s="1"/>
  <c r="J390" i="36" s="1"/>
  <c r="F50" i="36"/>
  <c r="I50" i="36" s="1"/>
  <c r="J50" i="36" s="1"/>
  <c r="F306" i="36"/>
  <c r="I306" i="36" s="1"/>
  <c r="J306" i="36" s="1"/>
  <c r="F86" i="36"/>
  <c r="I86" i="36" s="1"/>
  <c r="J86" i="36" s="1"/>
  <c r="F71" i="36"/>
  <c r="I71" i="36" s="1"/>
  <c r="J71" i="36" s="1"/>
  <c r="F135" i="36"/>
  <c r="I135" i="36" s="1"/>
  <c r="J135" i="36" s="1"/>
  <c r="F199" i="36"/>
  <c r="I199" i="36" s="1"/>
  <c r="J199" i="36" s="1"/>
  <c r="F263" i="36"/>
  <c r="I263" i="36" s="1"/>
  <c r="J263" i="36" s="1"/>
  <c r="F327" i="36"/>
  <c r="I327" i="36" s="1"/>
  <c r="J327" i="36" s="1"/>
  <c r="F36" i="36"/>
  <c r="I36" i="36" s="1"/>
  <c r="J36" i="36" s="1"/>
  <c r="F100" i="36"/>
  <c r="I100" i="36" s="1"/>
  <c r="J100" i="36" s="1"/>
  <c r="F164" i="36"/>
  <c r="I164" i="36" s="1"/>
  <c r="J164" i="36" s="1"/>
  <c r="F228" i="36"/>
  <c r="I228" i="36" s="1"/>
  <c r="J228" i="36" s="1"/>
  <c r="F276" i="36"/>
  <c r="I276" i="36" s="1"/>
  <c r="J276" i="36" s="1"/>
  <c r="F324" i="36"/>
  <c r="I324" i="36" s="1"/>
  <c r="J324" i="36" s="1"/>
  <c r="F33" i="36"/>
  <c r="I33" i="36" s="1"/>
  <c r="J33" i="36" s="1"/>
  <c r="F97" i="36"/>
  <c r="I97" i="36" s="1"/>
  <c r="J97" i="36" s="1"/>
  <c r="F161" i="36"/>
  <c r="I161" i="36" s="1"/>
  <c r="J161" i="36" s="1"/>
  <c r="F225" i="36"/>
  <c r="I225" i="36" s="1"/>
  <c r="J225" i="36" s="1"/>
  <c r="F289" i="36"/>
  <c r="I289" i="36" s="1"/>
  <c r="J289" i="36" s="1"/>
  <c r="F14" i="36"/>
  <c r="I14" i="36" s="1"/>
  <c r="J14" i="36" s="1"/>
  <c r="F270" i="36"/>
  <c r="I270" i="36" s="1"/>
  <c r="J270" i="36" s="1"/>
  <c r="F394" i="36"/>
  <c r="I394" i="36" s="1"/>
  <c r="J394" i="36" s="1"/>
  <c r="F66" i="36"/>
  <c r="I66" i="36" s="1"/>
  <c r="J66" i="36" s="1"/>
  <c r="F322" i="36"/>
  <c r="I322" i="36" s="1"/>
  <c r="J322" i="36" s="1"/>
  <c r="F102" i="36"/>
  <c r="I102" i="36" s="1"/>
  <c r="J102" i="36" s="1"/>
  <c r="F278" i="36"/>
  <c r="I278" i="36" s="1"/>
  <c r="J278" i="36" s="1"/>
  <c r="F380" i="36"/>
  <c r="I380" i="36" s="1"/>
  <c r="J380" i="36" s="1"/>
  <c r="F26" i="36"/>
  <c r="I26" i="36" s="1"/>
  <c r="J26" i="36" s="1"/>
  <c r="F106" i="36"/>
  <c r="I106" i="36" s="1"/>
  <c r="J106" i="36" s="1"/>
  <c r="F186" i="36"/>
  <c r="I186" i="36" s="1"/>
  <c r="J186" i="36" s="1"/>
  <c r="F361" i="36"/>
  <c r="I361" i="36" s="1"/>
  <c r="J361" i="36" s="1"/>
  <c r="F230" i="36"/>
  <c r="I230" i="36" s="1"/>
  <c r="J230" i="36" s="1"/>
  <c r="F384" i="36"/>
  <c r="I384" i="36" s="1"/>
  <c r="J384" i="36" s="1"/>
  <c r="F416" i="36"/>
  <c r="I416" i="36" s="1"/>
  <c r="J416" i="36" s="1"/>
  <c r="F399" i="36"/>
  <c r="I399" i="36" s="1"/>
  <c r="J399" i="36" s="1"/>
  <c r="F409" i="36"/>
  <c r="I409" i="36" s="1"/>
  <c r="J409" i="36" s="1"/>
  <c r="F419" i="36"/>
  <c r="I419" i="36" s="1"/>
  <c r="J419" i="36" s="1"/>
  <c r="F413" i="36"/>
  <c r="I413" i="36" s="1"/>
  <c r="J413" i="36" s="1"/>
  <c r="F356" i="36"/>
  <c r="I356" i="36" s="1"/>
  <c r="J356" i="36" s="1"/>
  <c r="F388" i="36"/>
  <c r="I388" i="36" s="1"/>
  <c r="J388" i="36" s="1"/>
  <c r="F417" i="36"/>
  <c r="I417" i="36" s="1"/>
  <c r="J417" i="36" s="1"/>
  <c r="F427" i="36"/>
  <c r="I427" i="36" s="1"/>
  <c r="J427" i="36" s="1"/>
  <c r="F198" i="36"/>
  <c r="I198" i="36" s="1"/>
  <c r="J198" i="36" s="1"/>
  <c r="F376" i="36"/>
  <c r="I376" i="36" s="1"/>
  <c r="J376" i="36" s="1"/>
  <c r="F440" i="36"/>
  <c r="I440" i="36" s="1"/>
  <c r="J440" i="36" s="1"/>
  <c r="F42" i="36"/>
  <c r="I42" i="36" s="1"/>
  <c r="J42" i="36" s="1"/>
  <c r="F122" i="36"/>
  <c r="I122" i="36" s="1"/>
  <c r="J122" i="36" s="1"/>
  <c r="F429" i="36"/>
  <c r="I429" i="36" s="1"/>
  <c r="J429" i="36" s="1"/>
  <c r="F431" i="36"/>
  <c r="I431" i="36" s="1"/>
  <c r="J431" i="36" s="1"/>
  <c r="F330" i="36"/>
  <c r="I330" i="36" s="1"/>
  <c r="J330" i="36" s="1"/>
  <c r="F404" i="36"/>
  <c r="I404" i="36" s="1"/>
  <c r="J404" i="36" s="1"/>
  <c r="F439" i="36"/>
  <c r="I439" i="36" s="1"/>
  <c r="J439" i="36" s="1"/>
  <c r="F397" i="36"/>
  <c r="I397" i="36" s="1"/>
  <c r="J397" i="36" s="1"/>
  <c r="F392" i="36"/>
  <c r="I392" i="36" s="1"/>
  <c r="J392" i="36" s="1"/>
  <c r="F298" i="36"/>
  <c r="I298" i="36" s="1"/>
  <c r="J298" i="36" s="1"/>
  <c r="F357" i="36"/>
  <c r="I357" i="36" s="1"/>
  <c r="J357" i="36" s="1"/>
  <c r="F75" i="36"/>
  <c r="I75" i="36" s="1"/>
  <c r="J75" i="36" s="1"/>
  <c r="F152" i="36"/>
  <c r="I152" i="36" s="1"/>
  <c r="J152" i="36" s="1"/>
  <c r="F165" i="36"/>
  <c r="I165" i="36" s="1"/>
  <c r="J165" i="36" s="1"/>
  <c r="F398" i="36"/>
  <c r="I398" i="36" s="1"/>
  <c r="J398" i="36" s="1"/>
  <c r="F54" i="36"/>
  <c r="I54" i="36" s="1"/>
  <c r="J54" i="36" s="1"/>
  <c r="F143" i="36"/>
  <c r="I143" i="36" s="1"/>
  <c r="J143" i="36" s="1"/>
  <c r="F156" i="36"/>
  <c r="I156" i="36" s="1"/>
  <c r="J156" i="36" s="1"/>
  <c r="F57" i="36"/>
  <c r="I57" i="36" s="1"/>
  <c r="J57" i="36" s="1"/>
  <c r="F233" i="36"/>
  <c r="I233" i="36" s="1"/>
  <c r="J233" i="36" s="1"/>
  <c r="F329" i="36"/>
  <c r="I329" i="36" s="1"/>
  <c r="J329" i="36" s="1"/>
  <c r="F418" i="36"/>
  <c r="I418" i="36" s="1"/>
  <c r="J418" i="36" s="1"/>
  <c r="F367" i="36"/>
  <c r="I367" i="36" s="1"/>
  <c r="J367" i="36" s="1"/>
  <c r="F163" i="36"/>
  <c r="I163" i="36" s="1"/>
  <c r="J163" i="36" s="1"/>
  <c r="F16" i="36"/>
  <c r="I16" i="36" s="1"/>
  <c r="J16" i="36" s="1"/>
  <c r="F160" i="36"/>
  <c r="I160" i="36" s="1"/>
  <c r="J160" i="36" s="1"/>
  <c r="F336" i="36"/>
  <c r="I336" i="36" s="1"/>
  <c r="J336" i="36" s="1"/>
  <c r="F61" i="36"/>
  <c r="I61" i="36" s="1"/>
  <c r="J61" i="36" s="1"/>
  <c r="F253" i="36"/>
  <c r="I253" i="36" s="1"/>
  <c r="J253" i="36" s="1"/>
  <c r="F422" i="36"/>
  <c r="I422" i="36" s="1"/>
  <c r="J422" i="36" s="1"/>
  <c r="F371" i="36"/>
  <c r="I371" i="36" s="1"/>
  <c r="J371" i="36" s="1"/>
  <c r="F231" i="36"/>
  <c r="I231" i="36" s="1"/>
  <c r="J231" i="36" s="1"/>
  <c r="F20" i="36"/>
  <c r="I20" i="36" s="1"/>
  <c r="J20" i="36" s="1"/>
  <c r="F196" i="36"/>
  <c r="I196" i="36" s="1"/>
  <c r="J196" i="36" s="1"/>
  <c r="F65" i="36"/>
  <c r="I65" i="36" s="1"/>
  <c r="J65" i="36" s="1"/>
  <c r="F257" i="36"/>
  <c r="I257" i="36" s="1"/>
  <c r="J257" i="36" s="1"/>
  <c r="F362" i="36"/>
  <c r="I362" i="36" s="1"/>
  <c r="J362" i="36" s="1"/>
  <c r="F375" i="36"/>
  <c r="I375" i="36" s="1"/>
  <c r="J375" i="36" s="1"/>
  <c r="F412" i="36"/>
  <c r="I412" i="36" s="1"/>
  <c r="J412" i="36" s="1"/>
  <c r="F377" i="36"/>
  <c r="I377" i="36" s="1"/>
  <c r="J377" i="36" s="1"/>
  <c r="F400" i="36"/>
  <c r="I400" i="36" s="1"/>
  <c r="J400" i="36" s="1"/>
  <c r="F170" i="36"/>
  <c r="I170" i="36" s="1"/>
  <c r="J170" i="36" s="1"/>
  <c r="F246" i="36"/>
  <c r="I246" i="36" s="1"/>
  <c r="J246" i="36" s="1"/>
  <c r="F234" i="36"/>
  <c r="I234" i="36" s="1"/>
  <c r="J234" i="36" s="1"/>
  <c r="F326" i="36"/>
  <c r="I326" i="36" s="1"/>
  <c r="J326" i="36" s="1"/>
  <c r="F381" i="36"/>
  <c r="I381" i="36" s="1"/>
  <c r="J381" i="36" s="1"/>
  <c r="F202" i="36"/>
  <c r="I202" i="36" s="1"/>
  <c r="J202" i="36" s="1"/>
  <c r="F200" i="36"/>
  <c r="I200" i="36" s="1"/>
  <c r="J200" i="36" s="1"/>
  <c r="F312" i="36"/>
  <c r="I312" i="36" s="1"/>
  <c r="J312" i="36" s="1"/>
  <c r="F341" i="36"/>
  <c r="I341" i="36" s="1"/>
  <c r="J341" i="36" s="1"/>
  <c r="F274" i="36"/>
  <c r="I274" i="36" s="1"/>
  <c r="J274" i="36" s="1"/>
  <c r="F79" i="36"/>
  <c r="I79" i="36" s="1"/>
  <c r="J79" i="36" s="1"/>
  <c r="F92" i="36"/>
  <c r="I92" i="36" s="1"/>
  <c r="J92" i="36" s="1"/>
  <c r="F236" i="36"/>
  <c r="I236" i="36" s="1"/>
  <c r="J236" i="36" s="1"/>
  <c r="F370" i="36"/>
  <c r="I370" i="36" s="1"/>
  <c r="J370" i="36" s="1"/>
  <c r="F383" i="36"/>
  <c r="I383" i="36" s="1"/>
  <c r="J383" i="36" s="1"/>
  <c r="F179" i="36"/>
  <c r="I179" i="36" s="1"/>
  <c r="J179" i="36" s="1"/>
  <c r="F176" i="36"/>
  <c r="I176" i="36" s="1"/>
  <c r="J176" i="36" s="1"/>
  <c r="F77" i="36"/>
  <c r="I77" i="36" s="1"/>
  <c r="J77" i="36" s="1"/>
  <c r="F269" i="36"/>
  <c r="I269" i="36" s="1"/>
  <c r="J269" i="36" s="1"/>
  <c r="F190" i="36"/>
  <c r="I190" i="36" s="1"/>
  <c r="J190" i="36" s="1"/>
  <c r="F22" i="36"/>
  <c r="I22" i="36" s="1"/>
  <c r="J22" i="36" s="1"/>
  <c r="F183" i="36"/>
  <c r="I183" i="36" s="1"/>
  <c r="J183" i="36" s="1"/>
  <c r="F84" i="36"/>
  <c r="I84" i="36" s="1"/>
  <c r="J84" i="36" s="1"/>
  <c r="F260" i="36"/>
  <c r="I260" i="36" s="1"/>
  <c r="J260" i="36" s="1"/>
  <c r="F81" i="36"/>
  <c r="I81" i="36" s="1"/>
  <c r="J81" i="36" s="1"/>
  <c r="F273" i="36"/>
  <c r="I273" i="36" s="1"/>
  <c r="J273" i="36" s="1"/>
  <c r="F378" i="36"/>
  <c r="I378" i="36" s="1"/>
  <c r="J378" i="36" s="1"/>
  <c r="F442" i="36"/>
  <c r="I442" i="36" s="1"/>
  <c r="J442" i="36" s="1"/>
  <c r="F428" i="36"/>
  <c r="I428" i="36" s="1"/>
  <c r="J428" i="36" s="1"/>
  <c r="F74" i="36"/>
  <c r="I74" i="36" s="1"/>
  <c r="J74" i="36" s="1"/>
  <c r="F369" i="36"/>
  <c r="I369" i="36" s="1"/>
  <c r="J369" i="36" s="1"/>
  <c r="F310" i="36"/>
  <c r="I310" i="36" s="1"/>
  <c r="J310" i="36" s="1"/>
  <c r="F385" i="36"/>
  <c r="I385" i="36" s="1"/>
  <c r="J385" i="36" s="1"/>
  <c r="F360" i="36"/>
  <c r="I360" i="36" s="1"/>
  <c r="J360" i="36" s="1"/>
  <c r="F415" i="36"/>
  <c r="I415" i="36" s="1"/>
  <c r="J415" i="36" s="1"/>
  <c r="F59" i="36"/>
  <c r="I59" i="36" s="1"/>
  <c r="J59" i="36" s="1"/>
  <c r="F187" i="36"/>
  <c r="I187" i="36" s="1"/>
  <c r="J187" i="36" s="1"/>
  <c r="F315" i="36"/>
  <c r="I315" i="36" s="1"/>
  <c r="J315" i="36" s="1"/>
  <c r="F136" i="36"/>
  <c r="I136" i="36" s="1"/>
  <c r="J136" i="36" s="1"/>
  <c r="F264" i="36"/>
  <c r="I264" i="36" s="1"/>
  <c r="J264" i="36" s="1"/>
  <c r="F37" i="36"/>
  <c r="I37" i="36" s="1"/>
  <c r="J37" i="36" s="1"/>
  <c r="F133" i="36"/>
  <c r="I133" i="36" s="1"/>
  <c r="J133" i="36" s="1"/>
  <c r="F229" i="36"/>
  <c r="I229" i="36" s="1"/>
  <c r="J229" i="36" s="1"/>
  <c r="F293" i="36"/>
  <c r="I293" i="36" s="1"/>
  <c r="J293" i="36" s="1"/>
  <c r="F94" i="36"/>
  <c r="I94" i="36" s="1"/>
  <c r="J94" i="36" s="1"/>
  <c r="F382" i="36"/>
  <c r="I382" i="36" s="1"/>
  <c r="J382" i="36" s="1"/>
  <c r="F82" i="36"/>
  <c r="I82" i="36" s="1"/>
  <c r="J82" i="36" s="1"/>
  <c r="F363" i="36"/>
  <c r="I363" i="36" s="1"/>
  <c r="J363" i="36" s="1"/>
  <c r="F47" i="36"/>
  <c r="I47" i="36" s="1"/>
  <c r="J47" i="36" s="1"/>
  <c r="F127" i="36"/>
  <c r="I127" i="36" s="1"/>
  <c r="J127" i="36" s="1"/>
  <c r="F207" i="36"/>
  <c r="I207" i="36" s="1"/>
  <c r="J207" i="36" s="1"/>
  <c r="F303" i="36"/>
  <c r="I303" i="36" s="1"/>
  <c r="J303" i="36" s="1"/>
  <c r="F44" i="36"/>
  <c r="I44" i="36" s="1"/>
  <c r="J44" i="36" s="1"/>
  <c r="F124" i="36"/>
  <c r="I124" i="36" s="1"/>
  <c r="J124" i="36" s="1"/>
  <c r="F284" i="36"/>
  <c r="I284" i="36" s="1"/>
  <c r="J284" i="36" s="1"/>
  <c r="F25" i="36"/>
  <c r="I25" i="36" s="1"/>
  <c r="J25" i="36" s="1"/>
  <c r="F105" i="36"/>
  <c r="I105" i="36" s="1"/>
  <c r="J105" i="36" s="1"/>
  <c r="F169" i="36"/>
  <c r="I169" i="36" s="1"/>
  <c r="J169" i="36" s="1"/>
  <c r="F217" i="36"/>
  <c r="I217" i="36" s="1"/>
  <c r="J217" i="36" s="1"/>
  <c r="F265" i="36"/>
  <c r="I265" i="36" s="1"/>
  <c r="J265" i="36" s="1"/>
  <c r="F313" i="36"/>
  <c r="I313" i="36" s="1"/>
  <c r="J313" i="36" s="1"/>
  <c r="F46" i="36"/>
  <c r="I46" i="36" s="1"/>
  <c r="J46" i="36" s="1"/>
  <c r="F302" i="36"/>
  <c r="I302" i="36" s="1"/>
  <c r="J302" i="36" s="1"/>
  <c r="F402" i="36"/>
  <c r="I402" i="36" s="1"/>
  <c r="J402" i="36" s="1"/>
  <c r="F98" i="36"/>
  <c r="I98" i="36" s="1"/>
  <c r="J98" i="36" s="1"/>
  <c r="F351" i="36"/>
  <c r="I351" i="36" s="1"/>
  <c r="J351" i="36" s="1"/>
  <c r="F19" i="36"/>
  <c r="I19" i="36" s="1"/>
  <c r="J19" i="36" s="1"/>
  <c r="F83" i="36"/>
  <c r="I83" i="36" s="1"/>
  <c r="J83" i="36" s="1"/>
  <c r="F147" i="36"/>
  <c r="I147" i="36" s="1"/>
  <c r="J147" i="36" s="1"/>
  <c r="F211" i="36"/>
  <c r="I211" i="36" s="1"/>
  <c r="J211" i="36" s="1"/>
  <c r="F275" i="36"/>
  <c r="I275" i="36" s="1"/>
  <c r="J275" i="36" s="1"/>
  <c r="F339" i="36"/>
  <c r="I339" i="36" s="1"/>
  <c r="J339" i="36" s="1"/>
  <c r="F144" i="36"/>
  <c r="I144" i="36" s="1"/>
  <c r="J144" i="36" s="1"/>
  <c r="F208" i="36"/>
  <c r="I208" i="36" s="1"/>
  <c r="J208" i="36" s="1"/>
  <c r="F256" i="36"/>
  <c r="I256" i="36" s="1"/>
  <c r="J256" i="36" s="1"/>
  <c r="F320" i="36"/>
  <c r="I320" i="36" s="1"/>
  <c r="J320" i="36" s="1"/>
  <c r="F45" i="36"/>
  <c r="I45" i="36" s="1"/>
  <c r="J45" i="36" s="1"/>
  <c r="F109" i="36"/>
  <c r="I109" i="36" s="1"/>
  <c r="J109" i="36" s="1"/>
  <c r="F173" i="36"/>
  <c r="I173" i="36" s="1"/>
  <c r="J173" i="36" s="1"/>
  <c r="F237" i="36"/>
  <c r="I237" i="36" s="1"/>
  <c r="J237" i="36" s="1"/>
  <c r="F301" i="36"/>
  <c r="I301" i="36" s="1"/>
  <c r="J301" i="36" s="1"/>
  <c r="F62" i="36"/>
  <c r="I62" i="36" s="1"/>
  <c r="J62" i="36" s="1"/>
  <c r="F318" i="36"/>
  <c r="I318" i="36" s="1"/>
  <c r="J318" i="36" s="1"/>
  <c r="F406" i="36"/>
  <c r="I406" i="36" s="1"/>
  <c r="J406" i="36" s="1"/>
  <c r="F114" i="36"/>
  <c r="I114" i="36" s="1"/>
  <c r="J114" i="36" s="1"/>
  <c r="F355" i="36"/>
  <c r="I355" i="36" s="1"/>
  <c r="J355" i="36" s="1"/>
  <c r="F23" i="36"/>
  <c r="I23" i="36" s="1"/>
  <c r="J23" i="36" s="1"/>
  <c r="F87" i="36"/>
  <c r="I87" i="36" s="1"/>
  <c r="J87" i="36" s="1"/>
  <c r="F151" i="36"/>
  <c r="I151" i="36" s="1"/>
  <c r="J151" i="36" s="1"/>
  <c r="F215" i="36"/>
  <c r="I215" i="36" s="1"/>
  <c r="J215" i="36" s="1"/>
  <c r="F279" i="36"/>
  <c r="I279" i="36" s="1"/>
  <c r="J279" i="36" s="1"/>
  <c r="F343" i="36"/>
  <c r="I343" i="36" s="1"/>
  <c r="J343" i="36" s="1"/>
  <c r="F52" i="36"/>
  <c r="I52" i="36" s="1"/>
  <c r="J52" i="36" s="1"/>
  <c r="F116" i="36"/>
  <c r="I116" i="36" s="1"/>
  <c r="J116" i="36" s="1"/>
  <c r="F180" i="36"/>
  <c r="I180" i="36" s="1"/>
  <c r="J180" i="36" s="1"/>
  <c r="F244" i="36"/>
  <c r="I244" i="36" s="1"/>
  <c r="J244" i="36" s="1"/>
  <c r="F292" i="36"/>
  <c r="I292" i="36" s="1"/>
  <c r="J292" i="36" s="1"/>
  <c r="F340" i="36"/>
  <c r="I340" i="36" s="1"/>
  <c r="J340" i="36" s="1"/>
  <c r="F49" i="36"/>
  <c r="I49" i="36" s="1"/>
  <c r="J49" i="36" s="1"/>
  <c r="F113" i="36"/>
  <c r="I113" i="36" s="1"/>
  <c r="J113" i="36" s="1"/>
  <c r="F177" i="36"/>
  <c r="I177" i="36" s="1"/>
  <c r="J177" i="36" s="1"/>
  <c r="F241" i="36"/>
  <c r="I241" i="36" s="1"/>
  <c r="J241" i="36" s="1"/>
  <c r="F305" i="36"/>
  <c r="I305" i="36" s="1"/>
  <c r="J305" i="36" s="1"/>
  <c r="F78" i="36"/>
  <c r="I78" i="36" s="1"/>
  <c r="J78" i="36" s="1"/>
  <c r="F334" i="36"/>
  <c r="I334" i="36" s="1"/>
  <c r="J334" i="36" s="1"/>
  <c r="F410" i="36"/>
  <c r="I410" i="36" s="1"/>
  <c r="J410" i="36" s="1"/>
  <c r="F130" i="36"/>
  <c r="I130" i="36" s="1"/>
  <c r="J130" i="36" s="1"/>
  <c r="F359" i="36"/>
  <c r="I359" i="36" s="1"/>
  <c r="J359" i="36" s="1"/>
  <c r="F166" i="36"/>
  <c r="I166" i="36" s="1"/>
  <c r="J166" i="36" s="1"/>
  <c r="F342" i="36"/>
  <c r="I342" i="36" s="1"/>
  <c r="J342" i="36" s="1"/>
  <c r="F396" i="36"/>
  <c r="I396" i="36" s="1"/>
  <c r="J396" i="36" s="1"/>
  <c r="F282" i="36"/>
  <c r="I282" i="36" s="1"/>
  <c r="J282" i="36" s="1"/>
  <c r="F353" i="36"/>
  <c r="I353" i="36" s="1"/>
  <c r="J353" i="36" s="1"/>
  <c r="F373" i="36"/>
  <c r="I373" i="36" s="1"/>
  <c r="J373" i="36" s="1"/>
  <c r="F389" i="36"/>
  <c r="I389" i="36" s="1"/>
  <c r="J389" i="36" s="1"/>
  <c r="F294" i="36"/>
  <c r="I294" i="36" s="1"/>
  <c r="J294" i="36" s="1"/>
  <c r="F432" i="36"/>
  <c r="I432" i="36" s="1"/>
  <c r="J432" i="36" s="1"/>
  <c r="F441" i="36"/>
  <c r="I441" i="36" s="1"/>
  <c r="J441" i="36" s="1"/>
  <c r="F182" i="36"/>
  <c r="I182" i="36" s="1"/>
  <c r="J182" i="36" s="1"/>
  <c r="F154" i="36"/>
  <c r="I154" i="36" s="1"/>
  <c r="J154" i="36" s="1"/>
  <c r="F58" i="36"/>
  <c r="I58" i="36" s="1"/>
  <c r="J58" i="36" s="1"/>
  <c r="F262" i="36"/>
  <c r="I262" i="36" s="1"/>
  <c r="J262" i="36" s="1"/>
  <c r="F218" i="36"/>
  <c r="I218" i="36" s="1"/>
  <c r="J218" i="36" s="1"/>
  <c r="F266" i="36"/>
  <c r="I266" i="36" s="1"/>
  <c r="J266" i="36" s="1"/>
  <c r="F331" i="36"/>
  <c r="I331" i="36" s="1"/>
  <c r="J331" i="36" s="1"/>
  <c r="F280" i="36"/>
  <c r="I280" i="36" s="1"/>
  <c r="J280" i="36" s="1"/>
  <c r="F309" i="36"/>
  <c r="I309" i="36" s="1"/>
  <c r="J309" i="36" s="1"/>
  <c r="F146" i="36"/>
  <c r="I146" i="36" s="1"/>
  <c r="J146" i="36" s="1"/>
  <c r="F319" i="36"/>
  <c r="I319" i="36" s="1"/>
  <c r="J319" i="36" s="1"/>
  <c r="F220" i="36"/>
  <c r="I220" i="36" s="1"/>
  <c r="J220" i="36" s="1"/>
  <c r="F121" i="36"/>
  <c r="I121" i="36" s="1"/>
  <c r="J121" i="36" s="1"/>
  <c r="F281" i="36"/>
  <c r="I281" i="36" s="1"/>
  <c r="J281" i="36" s="1"/>
  <c r="F354" i="36"/>
  <c r="I354" i="36" s="1"/>
  <c r="J354" i="36" s="1"/>
  <c r="F99" i="36"/>
  <c r="I99" i="36" s="1"/>
  <c r="J99" i="36" s="1"/>
  <c r="F291" i="36"/>
  <c r="I291" i="36" s="1"/>
  <c r="J291" i="36" s="1"/>
  <c r="F80" i="36"/>
  <c r="I80" i="36" s="1"/>
  <c r="J80" i="36" s="1"/>
  <c r="F224" i="36"/>
  <c r="I224" i="36" s="1"/>
  <c r="J224" i="36" s="1"/>
  <c r="F189" i="36"/>
  <c r="I189" i="36" s="1"/>
  <c r="J189" i="36" s="1"/>
  <c r="F126" i="36"/>
  <c r="I126" i="36" s="1"/>
  <c r="J126" i="36" s="1"/>
  <c r="F178" i="36"/>
  <c r="I178" i="36" s="1"/>
  <c r="J178" i="36" s="1"/>
  <c r="F103" i="36"/>
  <c r="I103" i="36" s="1"/>
  <c r="J103" i="36" s="1"/>
  <c r="F68" i="36"/>
  <c r="I68" i="36" s="1"/>
  <c r="J68" i="36" s="1"/>
  <c r="F129" i="36"/>
  <c r="I129" i="36" s="1"/>
  <c r="J129" i="36" s="1"/>
  <c r="F321" i="36"/>
  <c r="I321" i="36" s="1"/>
  <c r="J321" i="36" s="1"/>
  <c r="F194" i="36"/>
  <c r="I194" i="36" s="1"/>
  <c r="J194" i="36" s="1"/>
  <c r="F364" i="36"/>
  <c r="I364" i="36" s="1"/>
  <c r="J364" i="36" s="1"/>
  <c r="F401" i="36"/>
  <c r="I401" i="36" s="1"/>
  <c r="J401" i="36" s="1"/>
  <c r="F90" i="36"/>
  <c r="I90" i="36" s="1"/>
  <c r="J90" i="36" s="1"/>
  <c r="F405" i="36"/>
  <c r="I405" i="36" s="1"/>
  <c r="J405" i="36" s="1"/>
  <c r="F420" i="36"/>
  <c r="I420" i="36" s="1"/>
  <c r="J420" i="36" s="1"/>
  <c r="F314" i="36"/>
  <c r="I314" i="36" s="1"/>
  <c r="J314" i="36" s="1"/>
  <c r="F393" i="36"/>
  <c r="I393" i="36" s="1"/>
  <c r="J393" i="36" s="1"/>
  <c r="F251" i="36"/>
  <c r="I251" i="36" s="1"/>
  <c r="J251" i="36" s="1"/>
  <c r="F181" i="36"/>
  <c r="I181" i="36" s="1"/>
  <c r="J181" i="36" s="1"/>
  <c r="F286" i="36"/>
  <c r="I286" i="36" s="1"/>
  <c r="J286" i="36" s="1"/>
  <c r="F118" i="36"/>
  <c r="I118" i="36" s="1"/>
  <c r="J118" i="36" s="1"/>
  <c r="F255" i="36"/>
  <c r="I255" i="36" s="1"/>
  <c r="J255" i="36" s="1"/>
  <c r="F172" i="36"/>
  <c r="I172" i="36" s="1"/>
  <c r="J172" i="36" s="1"/>
  <c r="F73" i="36"/>
  <c r="I73" i="36" s="1"/>
  <c r="J73" i="36" s="1"/>
  <c r="F174" i="36"/>
  <c r="I174" i="36" s="1"/>
  <c r="J174" i="36" s="1"/>
  <c r="F226" i="36"/>
  <c r="I226" i="36" s="1"/>
  <c r="J226" i="36" s="1"/>
  <c r="F115" i="36"/>
  <c r="I115" i="36" s="1"/>
  <c r="J115" i="36" s="1"/>
  <c r="F307" i="36"/>
  <c r="I307" i="36" s="1"/>
  <c r="J307" i="36" s="1"/>
  <c r="F288" i="36"/>
  <c r="I288" i="36" s="1"/>
  <c r="J288" i="36" s="1"/>
  <c r="F141" i="36"/>
  <c r="I141" i="36" s="1"/>
  <c r="J141" i="36" s="1"/>
  <c r="F333" i="36"/>
  <c r="I333" i="36" s="1"/>
  <c r="J333" i="36" s="1"/>
  <c r="F438" i="36"/>
  <c r="I438" i="36" s="1"/>
  <c r="J438" i="36" s="1"/>
  <c r="F55" i="36"/>
  <c r="I55" i="36" s="1"/>
  <c r="J55" i="36" s="1"/>
  <c r="F247" i="36"/>
  <c r="I247" i="36" s="1"/>
  <c r="J247" i="36" s="1"/>
  <c r="F148" i="36"/>
  <c r="I148" i="36" s="1"/>
  <c r="J148" i="36" s="1"/>
  <c r="F308" i="36"/>
  <c r="I308" i="36" s="1"/>
  <c r="J308" i="36" s="1"/>
  <c r="F145" i="36"/>
  <c r="I145" i="36" s="1"/>
  <c r="J145" i="36" s="1"/>
  <c r="F206" i="36"/>
  <c r="I206" i="36" s="1"/>
  <c r="J206" i="36" s="1"/>
  <c r="F38" i="36"/>
  <c r="I38" i="36" s="1"/>
  <c r="J38" i="36" s="1"/>
  <c r="F423" i="36"/>
  <c r="I423" i="36" s="1"/>
  <c r="J423" i="36" s="1"/>
  <c r="F150" i="36"/>
  <c r="I150" i="36" s="1"/>
  <c r="J150" i="36" s="1"/>
  <c r="F346" i="36"/>
  <c r="I346" i="36" s="1"/>
  <c r="J346" i="36" s="1"/>
  <c r="F421" i="36"/>
  <c r="I421" i="36" s="1"/>
  <c r="J421" i="36" s="1"/>
  <c r="F407" i="36"/>
  <c r="I407" i="36" s="1"/>
  <c r="J407" i="36" s="1"/>
  <c r="F138" i="36"/>
  <c r="I138" i="36" s="1"/>
  <c r="J138" i="36" s="1"/>
  <c r="F425" i="36"/>
  <c r="I425" i="36" s="1"/>
  <c r="J425" i="36" s="1"/>
  <c r="F203" i="36"/>
  <c r="I203" i="36" s="1"/>
  <c r="J203" i="36" s="1"/>
  <c r="F72" i="36"/>
  <c r="I72" i="36" s="1"/>
  <c r="J72" i="36" s="1"/>
  <c r="F53" i="36"/>
  <c r="I53" i="36" s="1"/>
  <c r="J53" i="36" s="1"/>
  <c r="F222" i="36"/>
  <c r="I222" i="36" s="1"/>
  <c r="J222" i="36" s="1"/>
  <c r="F63" i="36"/>
  <c r="I63" i="36" s="1"/>
  <c r="J63" i="36" s="1"/>
  <c r="F239" i="36"/>
  <c r="I239" i="36" s="1"/>
  <c r="J239" i="36" s="1"/>
  <c r="F60" i="36"/>
  <c r="I60" i="36" s="1"/>
  <c r="J60" i="36" s="1"/>
  <c r="F300" i="36"/>
  <c r="I300" i="36" s="1"/>
  <c r="J300" i="36" s="1"/>
  <c r="F185" i="36"/>
  <c r="I185" i="36" s="1"/>
  <c r="J185" i="36" s="1"/>
  <c r="F110" i="36"/>
  <c r="I110" i="36" s="1"/>
  <c r="J110" i="36" s="1"/>
  <c r="F162" i="36"/>
  <c r="I162" i="36" s="1"/>
  <c r="J162" i="36" s="1"/>
  <c r="F35" i="36"/>
  <c r="I35" i="36" s="1"/>
  <c r="J35" i="36" s="1"/>
  <c r="F227" i="36"/>
  <c r="I227" i="36" s="1"/>
  <c r="J227" i="36" s="1"/>
  <c r="F48" i="36"/>
  <c r="I48" i="36" s="1"/>
  <c r="J48" i="36" s="1"/>
  <c r="F112" i="36"/>
  <c r="I112" i="36" s="1"/>
  <c r="J112" i="36" s="1"/>
  <c r="F272" i="36"/>
  <c r="I272" i="36" s="1"/>
  <c r="J272" i="36" s="1"/>
  <c r="F125" i="36"/>
  <c r="I125" i="36" s="1"/>
  <c r="J125" i="36" s="1"/>
  <c r="F317" i="36"/>
  <c r="I317" i="36" s="1"/>
  <c r="J317" i="36" s="1"/>
  <c r="F358" i="36"/>
  <c r="I358" i="36" s="1"/>
  <c r="J358" i="36" s="1"/>
  <c r="F39" i="36"/>
  <c r="I39" i="36" s="1"/>
  <c r="J39" i="36" s="1"/>
  <c r="F167" i="36"/>
  <c r="I167" i="36" s="1"/>
  <c r="J167" i="36" s="1"/>
  <c r="F295" i="36"/>
  <c r="I295" i="36" s="1"/>
  <c r="J295" i="36" s="1"/>
  <c r="F132" i="36"/>
  <c r="I132" i="36" s="1"/>
  <c r="J132" i="36" s="1"/>
  <c r="F193" i="36"/>
  <c r="I193" i="36" s="1"/>
  <c r="J193" i="36" s="1"/>
  <c r="F142" i="36"/>
  <c r="I142" i="36" s="1"/>
  <c r="J142" i="36" s="1"/>
  <c r="F426" i="36"/>
  <c r="I426" i="36" s="1"/>
  <c r="J426" i="36" s="1"/>
  <c r="F134" i="36"/>
  <c r="I134" i="36" s="1"/>
  <c r="J134" i="36" s="1"/>
  <c r="F391" i="36"/>
  <c r="I391" i="36" s="1"/>
  <c r="J391" i="36" s="1"/>
  <c r="F411" i="36"/>
  <c r="I411" i="36" s="1"/>
  <c r="J411" i="36" s="1"/>
  <c r="F352" i="36"/>
  <c r="I352" i="36" s="1"/>
  <c r="J352" i="36" s="1"/>
  <c r="F250" i="36"/>
  <c r="I250" i="36" s="1"/>
  <c r="J250" i="36" s="1"/>
  <c r="F372" i="36"/>
  <c r="I372" i="36" s="1"/>
  <c r="J372" i="36" s="1"/>
  <c r="F365" i="36"/>
  <c r="I365" i="36" s="1"/>
  <c r="J365" i="36" s="1"/>
  <c r="F437" i="36"/>
  <c r="I437" i="36" s="1"/>
  <c r="J437" i="36" s="1"/>
  <c r="F408" i="36"/>
  <c r="I408" i="36" s="1"/>
  <c r="J408" i="36" s="1"/>
  <c r="F403" i="36"/>
  <c r="I403" i="36" s="1"/>
  <c r="J403" i="36" s="1"/>
  <c r="F123" i="36"/>
  <c r="I123" i="36" s="1"/>
  <c r="J123" i="36" s="1"/>
  <c r="F101" i="36"/>
  <c r="I101" i="36" s="1"/>
  <c r="J101" i="36" s="1"/>
  <c r="F245" i="36"/>
  <c r="I245" i="36" s="1"/>
  <c r="J245" i="36" s="1"/>
  <c r="F414" i="36"/>
  <c r="I414" i="36" s="1"/>
  <c r="J414" i="36" s="1"/>
  <c r="F175" i="36"/>
  <c r="I175" i="36" s="1"/>
  <c r="J175" i="36" s="1"/>
  <c r="F335" i="36"/>
  <c r="I335" i="36" s="1"/>
  <c r="J335" i="36" s="1"/>
  <c r="F332" i="36"/>
  <c r="I332" i="36" s="1"/>
  <c r="J332" i="36" s="1"/>
  <c r="F137" i="36"/>
  <c r="I137" i="36" s="1"/>
  <c r="J137" i="36" s="1"/>
  <c r="F434" i="36"/>
  <c r="I434" i="36" s="1"/>
  <c r="J434" i="36" s="1"/>
  <c r="F51" i="36"/>
  <c r="I51" i="36" s="1"/>
  <c r="J51" i="36" s="1"/>
  <c r="F243" i="36"/>
  <c r="I243" i="36" s="1"/>
  <c r="J243" i="36" s="1"/>
  <c r="F240" i="36"/>
  <c r="I240" i="36" s="1"/>
  <c r="J240" i="36" s="1"/>
  <c r="F13" i="36"/>
  <c r="I13" i="36" s="1"/>
  <c r="J13" i="36" s="1"/>
  <c r="F205" i="36"/>
  <c r="I205" i="36" s="1"/>
  <c r="J205" i="36" s="1"/>
  <c r="F374" i="36"/>
  <c r="I374" i="36" s="1"/>
  <c r="J374" i="36" s="1"/>
  <c r="F242" i="36"/>
  <c r="I242" i="36" s="1"/>
  <c r="J242" i="36" s="1"/>
  <c r="F119" i="36"/>
  <c r="I119" i="36" s="1"/>
  <c r="J119" i="36" s="1"/>
  <c r="F311" i="36"/>
  <c r="I311" i="36" s="1"/>
  <c r="J311" i="36" s="1"/>
  <c r="F212" i="36"/>
  <c r="I212" i="36" s="1"/>
  <c r="J212" i="36" s="1"/>
  <c r="F17" i="36"/>
  <c r="I17" i="36" s="1"/>
  <c r="J17" i="36" s="1"/>
  <c r="F209" i="36"/>
  <c r="I209" i="36" s="1"/>
  <c r="J209" i="36" s="1"/>
  <c r="F337" i="36"/>
  <c r="I337" i="36" s="1"/>
  <c r="J337" i="36" s="1"/>
  <c r="F258" i="36"/>
  <c r="I258" i="36" s="1"/>
  <c r="J258" i="36" s="1"/>
  <c r="F214" i="36"/>
  <c r="I214" i="36" s="1"/>
  <c r="J214" i="36" s="1"/>
  <c r="F433" i="36"/>
  <c r="I433" i="36" s="1"/>
  <c r="J433" i="36" s="1"/>
  <c r="F368" i="36"/>
  <c r="I368" i="36" s="1"/>
  <c r="J368" i="36" s="1"/>
  <c r="F387" i="36"/>
  <c r="I387" i="36" s="1"/>
  <c r="J387" i="36" s="1"/>
  <c r="F436" i="36"/>
  <c r="I436" i="36" s="1"/>
  <c r="J436" i="36" s="1"/>
  <c r="F395" i="36"/>
  <c r="I395" i="36" s="1"/>
  <c r="J395" i="36" s="1"/>
  <c r="F424" i="36"/>
  <c r="I424" i="36" s="1"/>
  <c r="J424" i="36" s="1"/>
  <c r="F435" i="36"/>
  <c r="I435" i="36" s="1"/>
  <c r="J435" i="36" s="1"/>
  <c r="A70" i="44"/>
  <c r="L70" i="44" s="1"/>
  <c r="L6" i="44"/>
  <c r="A8" i="44"/>
  <c r="L8" i="44" s="1"/>
  <c r="A59" i="44"/>
  <c r="A66" i="44" s="1"/>
  <c r="D1644" i="52"/>
  <c r="D926" i="52"/>
  <c r="D1949" i="52"/>
  <c r="D1452" i="52"/>
  <c r="D1449" i="52"/>
  <c r="D2251" i="52"/>
  <c r="D2385" i="52"/>
  <c r="D2359" i="52"/>
  <c r="B270" i="29"/>
  <c r="B270" i="53" s="1"/>
  <c r="B186" i="29"/>
  <c r="B186" i="53" s="1"/>
  <c r="B341" i="29"/>
  <c r="B239" i="29"/>
  <c r="B239" i="53" s="1"/>
  <c r="B117" i="29"/>
  <c r="B117" i="53" s="1"/>
  <c r="B250" i="29"/>
  <c r="B250" i="53" s="1"/>
  <c r="B142" i="29"/>
  <c r="B142" i="53" s="1"/>
  <c r="B231" i="29"/>
  <c r="B231" i="53" s="1"/>
  <c r="B148" i="29"/>
  <c r="B148" i="53" s="1"/>
  <c r="B235" i="29"/>
  <c r="B235" i="53" s="1"/>
  <c r="B100" i="29"/>
  <c r="B100" i="53" s="1"/>
  <c r="B227" i="29"/>
  <c r="B227" i="53" s="1"/>
  <c r="B286" i="29"/>
  <c r="B286" i="53" s="1"/>
  <c r="B256" i="29"/>
  <c r="B256" i="53" s="1"/>
  <c r="B294" i="29"/>
  <c r="B294" i="53" s="1"/>
  <c r="B98" i="53"/>
  <c r="B204" i="29"/>
  <c r="B204" i="53" s="1"/>
  <c r="D1060" i="52"/>
  <c r="D49" i="52"/>
  <c r="D2265" i="52"/>
  <c r="D2435" i="52"/>
  <c r="B31" i="29"/>
  <c r="B48" i="29" s="1"/>
  <c r="B26" i="53"/>
  <c r="D2178" i="52"/>
  <c r="D2666" i="52"/>
  <c r="D2029" i="52"/>
  <c r="D2519" i="52"/>
  <c r="D1586" i="52"/>
  <c r="I129" i="54"/>
  <c r="D1257" i="52"/>
  <c r="D2798" i="52"/>
  <c r="D1354" i="52"/>
  <c r="D929" i="52"/>
  <c r="D1581" i="52"/>
  <c r="H1231" i="54"/>
  <c r="D2386" i="52"/>
  <c r="D2801" i="52"/>
  <c r="K1644" i="44"/>
  <c r="D1622" i="52"/>
  <c r="D1609" i="52"/>
  <c r="D1828" i="52"/>
  <c r="D1895" i="52"/>
  <c r="D1721" i="52"/>
  <c r="D1776" i="52"/>
  <c r="D2426" i="52"/>
  <c r="D2580" i="52"/>
  <c r="D2547" i="52"/>
  <c r="D2762" i="52"/>
  <c r="D2789" i="52"/>
  <c r="K254" i="54"/>
  <c r="J254" i="54" s="1"/>
  <c r="I533" i="54"/>
  <c r="I533" i="44" s="1"/>
  <c r="D1824" i="52"/>
  <c r="D2825" i="52"/>
  <c r="D1260" i="52"/>
  <c r="D1951" i="52"/>
  <c r="D2358" i="52"/>
  <c r="D2807" i="52"/>
  <c r="D1626" i="52"/>
  <c r="D1646" i="52"/>
  <c r="D1551" i="52"/>
  <c r="D936" i="52"/>
  <c r="H1337" i="54"/>
  <c r="A8" i="54"/>
  <c r="L6" i="54"/>
  <c r="A83" i="30" s="1"/>
  <c r="O6" i="54"/>
  <c r="D1756" i="52"/>
  <c r="D1749" i="52"/>
  <c r="D1770" i="52"/>
  <c r="D1806" i="52"/>
  <c r="D1779" i="52"/>
  <c r="D2630" i="52"/>
  <c r="K1473" i="44"/>
  <c r="E39" i="29"/>
  <c r="K39" i="29" s="1"/>
  <c r="K39" i="53" s="1"/>
  <c r="D417" i="52"/>
  <c r="D1122" i="52"/>
  <c r="D89" i="52"/>
  <c r="D1056" i="52"/>
  <c r="D1201" i="52"/>
  <c r="D1707" i="52"/>
  <c r="D1391" i="52"/>
  <c r="D1814" i="52"/>
  <c r="D1825" i="52"/>
  <c r="D2074" i="52"/>
  <c r="D2406" i="52"/>
  <c r="D1821" i="52"/>
  <c r="D1658" i="52"/>
  <c r="D1511" i="52"/>
  <c r="D2323" i="52"/>
  <c r="D2554" i="52"/>
  <c r="D960" i="52" l="1"/>
  <c r="H1328" i="54"/>
  <c r="D2485" i="52" s="1"/>
  <c r="J747" i="54"/>
  <c r="J747" i="44" s="1"/>
  <c r="D1395" i="52"/>
  <c r="D823" i="52"/>
  <c r="K77" i="44"/>
  <c r="A77" i="44" s="1"/>
  <c r="L77" i="44" s="1"/>
  <c r="D850" i="52"/>
  <c r="H1354" i="54"/>
  <c r="H1354" i="44" s="1"/>
  <c r="C15" i="3"/>
  <c r="D15" i="3" s="1"/>
  <c r="D1235" i="52"/>
  <c r="D832" i="52"/>
  <c r="D23" i="52"/>
  <c r="D872" i="52"/>
  <c r="D821" i="52"/>
  <c r="D10" i="52"/>
  <c r="D1014" i="52"/>
  <c r="H48" i="5"/>
  <c r="K48" i="5" s="1"/>
  <c r="D996" i="52"/>
  <c r="D822" i="52"/>
  <c r="D817" i="52"/>
  <c r="D867" i="52"/>
  <c r="J29" i="44"/>
  <c r="B154" i="44"/>
  <c r="B162" i="44" s="1"/>
  <c r="J488" i="44"/>
  <c r="J489" i="54"/>
  <c r="J489" i="44" s="1"/>
  <c r="J1759" i="54"/>
  <c r="J1759" i="44" s="1"/>
  <c r="J1758" i="44"/>
  <c r="D2916" i="52"/>
  <c r="J893" i="54"/>
  <c r="J892" i="44"/>
  <c r="J612" i="54"/>
  <c r="J612" i="44" s="1"/>
  <c r="J611" i="44"/>
  <c r="K30" i="21"/>
  <c r="D354" i="52"/>
  <c r="J566" i="44"/>
  <c r="J567" i="54"/>
  <c r="J567" i="44" s="1"/>
  <c r="J1522" i="44"/>
  <c r="J1523" i="54"/>
  <c r="J1761" i="44"/>
  <c r="J1762" i="54"/>
  <c r="J1762" i="44" s="1"/>
  <c r="D2919" i="52"/>
  <c r="J621" i="44"/>
  <c r="J622" i="54"/>
  <c r="J622" i="44" s="1"/>
  <c r="D833" i="52"/>
  <c r="J1596" i="44"/>
  <c r="J1597" i="54"/>
  <c r="D2755" i="52" s="1"/>
  <c r="J801" i="54"/>
  <c r="J801" i="44" s="1"/>
  <c r="J800" i="44"/>
  <c r="J320" i="44"/>
  <c r="J321" i="54"/>
  <c r="J321" i="44" s="1"/>
  <c r="J934" i="44"/>
  <c r="J935" i="54"/>
  <c r="J935" i="44" s="1"/>
  <c r="J1365" i="44"/>
  <c r="J1366" i="54"/>
  <c r="D2524" i="52" s="1"/>
  <c r="J555" i="44"/>
  <c r="J556" i="54"/>
  <c r="J556" i="44" s="1"/>
  <c r="D1714" i="52"/>
  <c r="J1270" i="54"/>
  <c r="J1269" i="44"/>
  <c r="J428" i="44"/>
  <c r="J429" i="54"/>
  <c r="J429" i="44" s="1"/>
  <c r="J875" i="54"/>
  <c r="D2046" i="52" s="1"/>
  <c r="J874" i="44"/>
  <c r="J207" i="44"/>
  <c r="J208" i="54"/>
  <c r="J208" i="44" s="1"/>
  <c r="J1499" i="54"/>
  <c r="J1499" i="44" s="1"/>
  <c r="J1498" i="44"/>
  <c r="K46" i="3"/>
  <c r="J1021" i="44"/>
  <c r="J1022" i="54"/>
  <c r="J1022" i="44" s="1"/>
  <c r="J1263" i="54"/>
  <c r="D2421" i="52" s="1"/>
  <c r="J1262" i="44"/>
  <c r="J696" i="44"/>
  <c r="J697" i="54"/>
  <c r="J697" i="44" s="1"/>
  <c r="D1855" i="52"/>
  <c r="J920" i="54"/>
  <c r="J920" i="44" s="1"/>
  <c r="J919" i="44"/>
  <c r="J450" i="44"/>
  <c r="J451" i="54"/>
  <c r="D1610" i="52" s="1"/>
  <c r="J1749" i="44"/>
  <c r="J1750" i="54"/>
  <c r="J1750" i="44" s="1"/>
  <c r="D2907" i="52"/>
  <c r="J684" i="54"/>
  <c r="J684" i="44" s="1"/>
  <c r="J683" i="44"/>
  <c r="J632" i="54"/>
  <c r="J632" i="44" s="1"/>
  <c r="J631" i="44"/>
  <c r="D1790" i="52"/>
  <c r="J73" i="54"/>
  <c r="J72" i="44"/>
  <c r="D1231" i="52"/>
  <c r="J298" i="44"/>
  <c r="J299" i="54"/>
  <c r="J299" i="44" s="1"/>
  <c r="J1655" i="54"/>
  <c r="J1654" i="44"/>
  <c r="J1284" i="44"/>
  <c r="J1285" i="54"/>
  <c r="J1285" i="44" s="1"/>
  <c r="J1756" i="54"/>
  <c r="J1756" i="44" s="1"/>
  <c r="J1755" i="44"/>
  <c r="D2913" i="52"/>
  <c r="J1417" i="54"/>
  <c r="J1415" i="44"/>
  <c r="D2574" i="52"/>
  <c r="I129" i="44"/>
  <c r="J129" i="54"/>
  <c r="J126" i="54"/>
  <c r="J12" i="54"/>
  <c r="J12" i="44" s="1"/>
  <c r="J10" i="54"/>
  <c r="J10" i="44" s="1"/>
  <c r="J11" i="44"/>
  <c r="J283" i="54"/>
  <c r="J283" i="44" s="1"/>
  <c r="J282" i="44"/>
  <c r="F35" i="5"/>
  <c r="G4" i="51" s="1"/>
  <c r="K25" i="5"/>
  <c r="J116" i="44"/>
  <c r="J117" i="54"/>
  <c r="J117" i="44" s="1"/>
  <c r="K22" i="4"/>
  <c r="F21" i="4"/>
  <c r="J1202" i="44"/>
  <c r="J1203" i="54"/>
  <c r="J1203" i="44" s="1"/>
  <c r="J1337" i="54"/>
  <c r="J1337" i="44" s="1"/>
  <c r="D2494" i="52"/>
  <c r="H1231" i="44"/>
  <c r="J1231" i="54"/>
  <c r="J1231" i="44" s="1"/>
  <c r="D1212" i="52"/>
  <c r="J1328" i="54"/>
  <c r="J1328" i="44" s="1"/>
  <c r="J82" i="44"/>
  <c r="J83" i="54"/>
  <c r="J83" i="44" s="1"/>
  <c r="K29" i="3"/>
  <c r="J124" i="44"/>
  <c r="J125" i="54"/>
  <c r="J125" i="44" s="1"/>
  <c r="J1250" i="44"/>
  <c r="J1251" i="54"/>
  <c r="J1251" i="44" s="1"/>
  <c r="J761" i="54"/>
  <c r="D1920" i="52" s="1"/>
  <c r="J760" i="44"/>
  <c r="J1351" i="54"/>
  <c r="J1351" i="44" s="1"/>
  <c r="D2508" i="52"/>
  <c r="J194" i="54"/>
  <c r="J194" i="44" s="1"/>
  <c r="J193" i="44"/>
  <c r="J1440" i="54"/>
  <c r="J1440" i="44" s="1"/>
  <c r="J1439" i="44"/>
  <c r="J53" i="54"/>
  <c r="J53" i="44" s="1"/>
  <c r="J52" i="44"/>
  <c r="D1211" i="52"/>
  <c r="J1300" i="44"/>
  <c r="J1301" i="54"/>
  <c r="K76" i="3"/>
  <c r="F75" i="3"/>
  <c r="K75" i="3" s="1"/>
  <c r="D825" i="52"/>
  <c r="D9" i="52"/>
  <c r="J269" i="54"/>
  <c r="J269" i="44" s="1"/>
  <c r="J268" i="44"/>
  <c r="F57" i="3"/>
  <c r="D861" i="52" s="1"/>
  <c r="K58" i="3"/>
  <c r="J654" i="54"/>
  <c r="J654" i="44" s="1"/>
  <c r="J648" i="44"/>
  <c r="K36" i="5"/>
  <c r="J507" i="54"/>
  <c r="H27" i="3"/>
  <c r="F9" i="3"/>
  <c r="D813" i="52" s="1"/>
  <c r="K10" i="3"/>
  <c r="J77" i="44"/>
  <c r="J78" i="54"/>
  <c r="J78" i="44" s="1"/>
  <c r="J533" i="54"/>
  <c r="K47" i="5"/>
  <c r="D1007" i="52"/>
  <c r="J550" i="54"/>
  <c r="J550" i="44" s="1"/>
  <c r="J549" i="44"/>
  <c r="J819" i="54"/>
  <c r="J819" i="44" s="1"/>
  <c r="J818" i="44"/>
  <c r="J813" i="54"/>
  <c r="J813" i="44" s="1"/>
  <c r="J812" i="44"/>
  <c r="J57" i="54"/>
  <c r="D1216" i="52" s="1"/>
  <c r="J54" i="54"/>
  <c r="J751" i="44"/>
  <c r="J752" i="54"/>
  <c r="J255" i="54"/>
  <c r="J255" i="44" s="1"/>
  <c r="J254" i="44"/>
  <c r="D1665" i="52"/>
  <c r="D815" i="52"/>
  <c r="I294" i="44"/>
  <c r="J294" i="54"/>
  <c r="D1453" i="52" s="1"/>
  <c r="J291" i="54"/>
  <c r="H1329" i="44"/>
  <c r="J1329" i="54"/>
  <c r="J1329" i="44" s="1"/>
  <c r="D2486" i="52"/>
  <c r="J1149" i="54"/>
  <c r="J1149" i="44" s="1"/>
  <c r="J1148" i="44"/>
  <c r="F15" i="3"/>
  <c r="K16" i="3"/>
  <c r="J658" i="54"/>
  <c r="J658" i="44" s="1"/>
  <c r="J657" i="44"/>
  <c r="J486" i="44"/>
  <c r="J487" i="54"/>
  <c r="J487" i="44" s="1"/>
  <c r="K28" i="3"/>
  <c r="F27" i="3"/>
  <c r="J237" i="54"/>
  <c r="J237" i="44" s="1"/>
  <c r="J236" i="44"/>
  <c r="J238" i="54"/>
  <c r="J238" i="44" s="1"/>
  <c r="J281" i="54"/>
  <c r="J281" i="44" s="1"/>
  <c r="J280" i="44"/>
  <c r="J1230" i="54"/>
  <c r="J1230" i="44" s="1"/>
  <c r="J1229" i="44"/>
  <c r="D431" i="52"/>
  <c r="J1085" i="44"/>
  <c r="J1086" i="54"/>
  <c r="J1086" i="44" s="1"/>
  <c r="D827" i="52"/>
  <c r="D2151" i="52"/>
  <c r="D1168" i="52"/>
  <c r="D1170" i="52"/>
  <c r="D1188" i="52"/>
  <c r="I1233" i="54"/>
  <c r="H48" i="3" s="1"/>
  <c r="H47" i="3" s="1"/>
  <c r="I1231" i="44"/>
  <c r="D1905" i="52"/>
  <c r="I1167" i="44"/>
  <c r="D316" i="52"/>
  <c r="D1050" i="52"/>
  <c r="D814" i="52"/>
  <c r="D154" i="52"/>
  <c r="D2910" i="52"/>
  <c r="D2307" i="52"/>
  <c r="D1036" i="52"/>
  <c r="D37" i="52"/>
  <c r="C148" i="53"/>
  <c r="C186" i="29"/>
  <c r="D54" i="52"/>
  <c r="D1068" i="52"/>
  <c r="D53" i="52"/>
  <c r="D369" i="52"/>
  <c r="D32" i="52"/>
  <c r="D1029" i="52"/>
  <c r="D880" i="52"/>
  <c r="D2596" i="52"/>
  <c r="D349" i="52"/>
  <c r="D1448" i="52"/>
  <c r="D2680" i="52"/>
  <c r="D1275" i="52"/>
  <c r="D1971" i="52"/>
  <c r="D1227" i="52"/>
  <c r="D1427" i="52"/>
  <c r="D1441" i="52"/>
  <c r="D2442" i="52"/>
  <c r="D1976" i="52"/>
  <c r="H818" i="44"/>
  <c r="D2093" i="52"/>
  <c r="D1439" i="52"/>
  <c r="D1283" i="52"/>
  <c r="A59" i="54"/>
  <c r="A66" i="54" s="1"/>
  <c r="O8" i="54"/>
  <c r="L8" i="54"/>
  <c r="A84" i="30" s="1"/>
  <c r="D1691" i="52"/>
  <c r="D2179" i="52"/>
  <c r="D2438" i="52"/>
  <c r="D2360" i="52"/>
  <c r="L59" i="44"/>
  <c r="L66" i="44"/>
  <c r="D927" i="52"/>
  <c r="D2408" i="52"/>
  <c r="D1815" i="52"/>
  <c r="E38" i="29"/>
  <c r="K38" i="29" s="1"/>
  <c r="K38" i="53" s="1"/>
  <c r="D416" i="52"/>
  <c r="D2631" i="52"/>
  <c r="D1812" i="52"/>
  <c r="D1284" i="52"/>
  <c r="D1287" i="52"/>
  <c r="D1587" i="52"/>
  <c r="B31" i="53"/>
  <c r="D924" i="52"/>
  <c r="H1337" i="44"/>
  <c r="H1345" i="54"/>
  <c r="D1647" i="52"/>
  <c r="D1412" i="52"/>
  <c r="K254" i="44"/>
  <c r="D2387" i="52"/>
  <c r="D1258" i="52"/>
  <c r="B353" i="29"/>
  <c r="B341" i="53"/>
  <c r="D2078" i="52"/>
  <c r="D1780" i="52"/>
  <c r="D1708" i="52"/>
  <c r="D1236" i="52"/>
  <c r="D2427" i="52"/>
  <c r="D1829" i="52"/>
  <c r="D2802" i="52"/>
  <c r="H1233" i="54"/>
  <c r="D2388" i="52"/>
  <c r="D2799" i="52"/>
  <c r="D1064" i="52"/>
  <c r="D2812" i="52"/>
  <c r="D2458" i="52"/>
  <c r="D920" i="52"/>
  <c r="D2051" i="52"/>
  <c r="H1328" i="44"/>
  <c r="H1334" i="54"/>
  <c r="D2511" i="52" l="1"/>
  <c r="J1354" i="54"/>
  <c r="J1354" i="44" s="1"/>
  <c r="D13" i="52"/>
  <c r="D995" i="52"/>
  <c r="D1008" i="52"/>
  <c r="D24" i="52"/>
  <c r="H55" i="5"/>
  <c r="D133" i="52" s="1"/>
  <c r="A145" i="44"/>
  <c r="L145" i="44" s="1"/>
  <c r="A79" i="44"/>
  <c r="L79" i="44" s="1"/>
  <c r="K27" i="3"/>
  <c r="A154" i="44"/>
  <c r="L154" i="44" s="1"/>
  <c r="A131" i="44"/>
  <c r="L131" i="44" s="1"/>
  <c r="J875" i="44"/>
  <c r="J888" i="54"/>
  <c r="J888" i="44" s="1"/>
  <c r="J1270" i="44"/>
  <c r="J1276" i="54"/>
  <c r="J1276" i="44" s="1"/>
  <c r="J1366" i="44"/>
  <c r="J1367" i="54"/>
  <c r="D2525" i="52" s="1"/>
  <c r="J1598" i="54"/>
  <c r="D2756" i="52" s="1"/>
  <c r="J1597" i="44"/>
  <c r="J1524" i="54"/>
  <c r="J1523" i="44"/>
  <c r="J1655" i="44"/>
  <c r="J1656" i="54"/>
  <c r="J894" i="54"/>
  <c r="J893" i="44"/>
  <c r="J1418" i="54"/>
  <c r="J1418" i="44" s="1"/>
  <c r="J1417" i="44"/>
  <c r="D2575" i="52"/>
  <c r="J73" i="44"/>
  <c r="J74" i="54"/>
  <c r="D1232" i="52"/>
  <c r="J451" i="44"/>
  <c r="J452" i="54"/>
  <c r="J452" i="44" s="1"/>
  <c r="J1264" i="54"/>
  <c r="J1264" i="44" s="1"/>
  <c r="J1263" i="44"/>
  <c r="H1345" i="44"/>
  <c r="J1345" i="54"/>
  <c r="D2502" i="52"/>
  <c r="J126" i="44"/>
  <c r="J127" i="54"/>
  <c r="J127" i="44" s="1"/>
  <c r="J753" i="54"/>
  <c r="J753" i="44" s="1"/>
  <c r="J752" i="44"/>
  <c r="J1302" i="54"/>
  <c r="J1301" i="44"/>
  <c r="K15" i="3"/>
  <c r="F14" i="3"/>
  <c r="K14" i="3" s="1"/>
  <c r="J291" i="44"/>
  <c r="J292" i="54"/>
  <c r="J292" i="44" s="1"/>
  <c r="K57" i="3"/>
  <c r="F50" i="3"/>
  <c r="K50" i="3" s="1"/>
  <c r="A162" i="44"/>
  <c r="L162" i="44" s="1"/>
  <c r="D1911" i="52"/>
  <c r="D1450" i="52"/>
  <c r="J295" i="54"/>
  <c r="J295" i="44" s="1"/>
  <c r="J294" i="44"/>
  <c r="J55" i="54"/>
  <c r="J55" i="44" s="1"/>
  <c r="J54" i="44"/>
  <c r="D1213" i="52"/>
  <c r="K9" i="3"/>
  <c r="J761" i="44"/>
  <c r="J762" i="54"/>
  <c r="J762" i="44" s="1"/>
  <c r="K21" i="4"/>
  <c r="F20" i="4"/>
  <c r="J129" i="44"/>
  <c r="J130" i="54"/>
  <c r="J130" i="44" s="1"/>
  <c r="H1334" i="44"/>
  <c r="J1334" i="54"/>
  <c r="D2491" i="52"/>
  <c r="J534" i="54"/>
  <c r="J534" i="44" s="1"/>
  <c r="J533" i="44"/>
  <c r="J508" i="54"/>
  <c r="J508" i="44" s="1"/>
  <c r="J507" i="44"/>
  <c r="D831" i="52"/>
  <c r="J1233" i="54"/>
  <c r="F48" i="3"/>
  <c r="D1666" i="52"/>
  <c r="D819" i="52"/>
  <c r="J58" i="54"/>
  <c r="J58" i="44" s="1"/>
  <c r="J57" i="44"/>
  <c r="H8" i="3"/>
  <c r="H95" i="3" s="1"/>
  <c r="K35" i="5"/>
  <c r="F55" i="5"/>
  <c r="G5" i="51" s="1"/>
  <c r="H1233" i="44"/>
  <c r="I1252" i="54"/>
  <c r="D2800" i="52"/>
  <c r="I1233" i="44"/>
  <c r="D230" i="52"/>
  <c r="D178" i="52"/>
  <c r="D179" i="52"/>
  <c r="D182" i="52"/>
  <c r="D879" i="52"/>
  <c r="D1044" i="52"/>
  <c r="D1035" i="52"/>
  <c r="D1072" i="52"/>
  <c r="C186" i="53"/>
  <c r="C204" i="29"/>
  <c r="D2597" i="52"/>
  <c r="D1977" i="52"/>
  <c r="D2681" i="52"/>
  <c r="D2459" i="52"/>
  <c r="D228" i="52"/>
  <c r="D2390" i="52"/>
  <c r="D919" i="52"/>
  <c r="D2433" i="52"/>
  <c r="L59" i="54"/>
  <c r="A85" i="30" s="1"/>
  <c r="O59" i="54"/>
  <c r="D2052" i="52"/>
  <c r="D2813" i="52"/>
  <c r="D1288" i="52"/>
  <c r="D1692" i="52"/>
  <c r="E37" i="29"/>
  <c r="K37" i="29" s="1"/>
  <c r="K37" i="53" s="1"/>
  <c r="D415" i="52"/>
  <c r="D1816" i="52"/>
  <c r="D2180" i="52"/>
  <c r="L19" i="17"/>
  <c r="D1073" i="52"/>
  <c r="B355" i="29"/>
  <c r="B355" i="53" s="1"/>
  <c r="B378" i="29"/>
  <c r="B374" i="29"/>
  <c r="B374" i="53" s="1"/>
  <c r="B353" i="53"/>
  <c r="D1413" i="52"/>
  <c r="D1285" i="52"/>
  <c r="D2504" i="52" l="1"/>
  <c r="D2512" i="52"/>
  <c r="J1347" i="54"/>
  <c r="J1347" i="44" s="1"/>
  <c r="J1355" i="54"/>
  <c r="J1355" i="44" s="1"/>
  <c r="A166" i="44"/>
  <c r="A195" i="44" s="1"/>
  <c r="H58" i="5"/>
  <c r="D82" i="52" s="1"/>
  <c r="D25" i="52"/>
  <c r="D1015" i="52"/>
  <c r="J1657" i="54"/>
  <c r="J1656" i="44"/>
  <c r="J75" i="54"/>
  <c r="J74" i="44"/>
  <c r="D1233" i="52"/>
  <c r="J1599" i="54"/>
  <c r="D2757" i="52" s="1"/>
  <c r="J1598" i="44"/>
  <c r="J1368" i="54"/>
  <c r="D2526" i="52" s="1"/>
  <c r="J1367" i="44"/>
  <c r="J895" i="54"/>
  <c r="J894" i="44"/>
  <c r="J1525" i="54"/>
  <c r="J1524" i="44"/>
  <c r="K48" i="3"/>
  <c r="F47" i="3"/>
  <c r="K47" i="3" s="1"/>
  <c r="J1334" i="44"/>
  <c r="J1327" i="54"/>
  <c r="J1327" i="44" s="1"/>
  <c r="J1335" i="54"/>
  <c r="J1335" i="44" s="1"/>
  <c r="D2484" i="52"/>
  <c r="D2492" i="52"/>
  <c r="K20" i="4"/>
  <c r="F67" i="4"/>
  <c r="J1302" i="44"/>
  <c r="J1303" i="54"/>
  <c r="J1303" i="44" s="1"/>
  <c r="I1252" i="44"/>
  <c r="J1252" i="54"/>
  <c r="K55" i="5"/>
  <c r="E19" i="17"/>
  <c r="M19" i="17" s="1"/>
  <c r="J1234" i="54"/>
  <c r="J1233" i="44"/>
  <c r="F8" i="3"/>
  <c r="J1346" i="54"/>
  <c r="J1346" i="44" s="1"/>
  <c r="J1336" i="54"/>
  <c r="J1336" i="44" s="1"/>
  <c r="J1345" i="44"/>
  <c r="D2493" i="52"/>
  <c r="D2503" i="52"/>
  <c r="D818" i="52"/>
  <c r="D854" i="52"/>
  <c r="D122" i="52"/>
  <c r="H77" i="4"/>
  <c r="H102" i="3"/>
  <c r="H110" i="3" s="1"/>
  <c r="C5" i="51"/>
  <c r="D177" i="52"/>
  <c r="D184" i="52"/>
  <c r="C204" i="53"/>
  <c r="C227" i="29"/>
  <c r="D2682" i="52"/>
  <c r="H1166" i="54"/>
  <c r="J1166" i="54" s="1"/>
  <c r="J1166" i="44" s="1"/>
  <c r="D2409" i="52"/>
  <c r="D2391" i="52"/>
  <c r="B388" i="29"/>
  <c r="B378" i="53"/>
  <c r="D2814" i="52"/>
  <c r="E36" i="29"/>
  <c r="K36" i="29" s="1"/>
  <c r="K36" i="53" s="1"/>
  <c r="D414" i="52"/>
  <c r="B48" i="53"/>
  <c r="B52" i="29"/>
  <c r="D2053" i="52"/>
  <c r="A70" i="54"/>
  <c r="O66" i="54"/>
  <c r="L66" i="54"/>
  <c r="A86" i="30" s="1"/>
  <c r="D918" i="52"/>
  <c r="D852" i="52"/>
  <c r="D2460" i="52"/>
  <c r="D83" i="52" l="1"/>
  <c r="C7" i="51"/>
  <c r="L166" i="44"/>
  <c r="D105" i="52"/>
  <c r="H59" i="6"/>
  <c r="H58" i="6"/>
  <c r="H9" i="7"/>
  <c r="H21" i="7" s="1"/>
  <c r="J1526" i="54"/>
  <c r="J1525" i="44"/>
  <c r="J1368" i="44"/>
  <c r="J1369" i="54"/>
  <c r="D2527" i="52" s="1"/>
  <c r="J75" i="44"/>
  <c r="J76" i="54"/>
  <c r="J76" i="44" s="1"/>
  <c r="D1234" i="52"/>
  <c r="J896" i="54"/>
  <c r="J895" i="44"/>
  <c r="J1599" i="44"/>
  <c r="J1600" i="54"/>
  <c r="J1600" i="44" s="1"/>
  <c r="J1657" i="44"/>
  <c r="J1658" i="54"/>
  <c r="J1234" i="44"/>
  <c r="J1235" i="54"/>
  <c r="J1235" i="44" s="1"/>
  <c r="F95" i="3"/>
  <c r="K8" i="3"/>
  <c r="J1252" i="44"/>
  <c r="J1253" i="54"/>
  <c r="D181" i="52"/>
  <c r="D197" i="52"/>
  <c r="D180" i="52"/>
  <c r="C231" i="29"/>
  <c r="C227" i="53"/>
  <c r="D2683" i="52"/>
  <c r="L70" i="54"/>
  <c r="A87" i="30" s="1"/>
  <c r="O70" i="54"/>
  <c r="A77" i="54"/>
  <c r="A197" i="44"/>
  <c r="L197" i="44" s="1"/>
  <c r="A218" i="44"/>
  <c r="L195" i="44"/>
  <c r="A205" i="44"/>
  <c r="L205" i="44" s="1"/>
  <c r="B52" i="53"/>
  <c r="B70" i="53" s="1"/>
  <c r="B70" i="29"/>
  <c r="B76" i="29" s="1"/>
  <c r="B76" i="53" s="1"/>
  <c r="D851" i="52"/>
  <c r="D2054" i="52"/>
  <c r="D2815" i="52"/>
  <c r="D2410" i="52"/>
  <c r="E35" i="29"/>
  <c r="K35" i="29" s="1"/>
  <c r="K35" i="53" s="1"/>
  <c r="D413" i="52"/>
  <c r="B388" i="53"/>
  <c r="B390" i="29"/>
  <c r="B390" i="53" s="1"/>
  <c r="B394" i="29"/>
  <c r="D2392" i="52"/>
  <c r="D2324" i="52"/>
  <c r="H1166" i="44"/>
  <c r="H1167" i="54"/>
  <c r="D107" i="52" l="1"/>
  <c r="D81" i="52"/>
  <c r="H57" i="6"/>
  <c r="H62" i="7"/>
  <c r="H71" i="7" s="1"/>
  <c r="H8" i="7"/>
  <c r="B10" i="21"/>
  <c r="A10" i="21"/>
  <c r="J897" i="54"/>
  <c r="J896" i="44"/>
  <c r="J1370" i="54"/>
  <c r="D2528" i="52" s="1"/>
  <c r="J1369" i="44"/>
  <c r="J1659" i="54"/>
  <c r="J1658" i="44"/>
  <c r="J1526" i="44"/>
  <c r="J1527" i="54"/>
  <c r="H1167" i="44"/>
  <c r="J1167" i="54"/>
  <c r="F56" i="5"/>
  <c r="J1254" i="54"/>
  <c r="J1253" i="44"/>
  <c r="C231" i="53"/>
  <c r="C235" i="29"/>
  <c r="D2684" i="52"/>
  <c r="B400" i="29"/>
  <c r="B400" i="53" s="1"/>
  <c r="B394" i="53"/>
  <c r="D812" i="52"/>
  <c r="A162" i="54"/>
  <c r="O77" i="54"/>
  <c r="A131" i="54"/>
  <c r="A145" i="54"/>
  <c r="A154" i="54"/>
  <c r="A79" i="54"/>
  <c r="L77" i="54"/>
  <c r="A88" i="30" s="1"/>
  <c r="D2325" i="52"/>
  <c r="D315" i="52"/>
  <c r="D2411" i="52"/>
  <c r="D2816" i="52"/>
  <c r="D2055" i="52"/>
  <c r="D412" i="52"/>
  <c r="D120" i="52"/>
  <c r="D104" i="52"/>
  <c r="L218" i="44"/>
  <c r="A232" i="44"/>
  <c r="H61" i="6" l="1"/>
  <c r="D84" i="52"/>
  <c r="J1528" i="54"/>
  <c r="J1527" i="44"/>
  <c r="J1371" i="54"/>
  <c r="D2529" i="52" s="1"/>
  <c r="J1370" i="44"/>
  <c r="J1659" i="44"/>
  <c r="J1660" i="54"/>
  <c r="J898" i="54"/>
  <c r="J897" i="44"/>
  <c r="J1254" i="44"/>
  <c r="J1255" i="54"/>
  <c r="K56" i="5"/>
  <c r="F58" i="5"/>
  <c r="J1168" i="54"/>
  <c r="J1167" i="44"/>
  <c r="D1016" i="52"/>
  <c r="D14" i="52"/>
  <c r="C235" i="53"/>
  <c r="C239" i="29"/>
  <c r="D2685" i="52"/>
  <c r="O79" i="54"/>
  <c r="L79" i="54"/>
  <c r="A89" i="30" s="1"/>
  <c r="D2817" i="52"/>
  <c r="C4" i="51"/>
  <c r="F102" i="3"/>
  <c r="F110" i="3" s="1"/>
  <c r="F77" i="4"/>
  <c r="D2056" i="52"/>
  <c r="O154" i="54"/>
  <c r="L154" i="54"/>
  <c r="A92" i="30" s="1"/>
  <c r="A166" i="54"/>
  <c r="L162" i="54"/>
  <c r="A93" i="30" s="1"/>
  <c r="O162" i="54"/>
  <c r="A382" i="44"/>
  <c r="A334" i="44"/>
  <c r="L334" i="44" s="1"/>
  <c r="A318" i="44"/>
  <c r="L318" i="44" s="1"/>
  <c r="A350" i="44"/>
  <c r="L350" i="44" s="1"/>
  <c r="A366" i="44"/>
  <c r="L366" i="44" s="1"/>
  <c r="A296" i="44"/>
  <c r="L296" i="44" s="1"/>
  <c r="L232" i="44"/>
  <c r="A234" i="44"/>
  <c r="L234" i="44" s="1"/>
  <c r="D2412" i="52"/>
  <c r="O131" i="54"/>
  <c r="L131" i="54"/>
  <c r="A90" i="30" s="1"/>
  <c r="D2326" i="52"/>
  <c r="L145" i="54"/>
  <c r="A91" i="30" s="1"/>
  <c r="O145" i="54"/>
  <c r="F8" i="6" l="1"/>
  <c r="D27" i="52" s="1"/>
  <c r="D26" i="52"/>
  <c r="C9" i="51"/>
  <c r="G7" i="51"/>
  <c r="L58" i="5"/>
  <c r="A12" i="21" s="1"/>
  <c r="G6" i="51"/>
  <c r="M58" i="5"/>
  <c r="B12" i="21" s="1"/>
  <c r="D1018" i="52"/>
  <c r="J899" i="54"/>
  <c r="J898" i="44"/>
  <c r="J1372" i="54"/>
  <c r="D2530" i="52" s="1"/>
  <c r="J1371" i="44"/>
  <c r="J1661" i="54"/>
  <c r="J1660" i="44"/>
  <c r="J1529" i="54"/>
  <c r="J1528" i="44"/>
  <c r="J1168" i="44"/>
  <c r="J1169" i="54"/>
  <c r="K58" i="5"/>
  <c r="F9" i="7"/>
  <c r="F59" i="6"/>
  <c r="K59" i="6" s="1"/>
  <c r="F58" i="6"/>
  <c r="J1256" i="54"/>
  <c r="J1256" i="44" s="1"/>
  <c r="J1255" i="44"/>
  <c r="D2327" i="52"/>
  <c r="C250" i="29"/>
  <c r="C239" i="53"/>
  <c r="D2686" i="52"/>
  <c r="D2413" i="52"/>
  <c r="O166" i="54"/>
  <c r="L166" i="54"/>
  <c r="A94" i="30" s="1"/>
  <c r="A195" i="54"/>
  <c r="D56" i="52"/>
  <c r="D86" i="52"/>
  <c r="D57" i="52"/>
  <c r="C10" i="51"/>
  <c r="C6" i="51"/>
  <c r="D2057" i="52"/>
  <c r="L382" i="44"/>
  <c r="A390" i="44"/>
  <c r="D2818" i="52"/>
  <c r="D1025" i="52" l="1"/>
  <c r="K8" i="6"/>
  <c r="F11" i="6"/>
  <c r="K11" i="6" s="1"/>
  <c r="J1530" i="54"/>
  <c r="J1529" i="44"/>
  <c r="J1373" i="54"/>
  <c r="D2531" i="52" s="1"/>
  <c r="J1372" i="44"/>
  <c r="J1661" i="44"/>
  <c r="J1662" i="54"/>
  <c r="J900" i="54"/>
  <c r="J899" i="44"/>
  <c r="K9" i="7"/>
  <c r="F21" i="7"/>
  <c r="F57" i="6"/>
  <c r="D58" i="52" s="1"/>
  <c r="K58" i="6"/>
  <c r="J1170" i="54"/>
  <c r="J1170" i="44" s="1"/>
  <c r="J1169" i="44"/>
  <c r="D2328" i="52"/>
  <c r="C256" i="29"/>
  <c r="C250" i="53"/>
  <c r="D2687" i="52"/>
  <c r="A218" i="54"/>
  <c r="A205" i="54"/>
  <c r="A197" i="54"/>
  <c r="L195" i="54"/>
  <c r="A95" i="30" s="1"/>
  <c r="O195" i="54"/>
  <c r="D1076" i="52"/>
  <c r="D2819" i="52"/>
  <c r="D1075" i="52"/>
  <c r="D55" i="52"/>
  <c r="L390" i="44"/>
  <c r="A422" i="44"/>
  <c r="D2058" i="52"/>
  <c r="D1087" i="52"/>
  <c r="D88" i="52"/>
  <c r="D1028" i="52" l="1"/>
  <c r="J901" i="54"/>
  <c r="J900" i="44"/>
  <c r="J1374" i="54"/>
  <c r="D2532" i="52" s="1"/>
  <c r="J1373" i="44"/>
  <c r="J1663" i="54"/>
  <c r="J1662" i="44"/>
  <c r="J1531" i="54"/>
  <c r="J1530" i="44"/>
  <c r="K21" i="7"/>
  <c r="F62" i="7"/>
  <c r="K62" i="7" s="1"/>
  <c r="F8" i="7"/>
  <c r="K57" i="6"/>
  <c r="F61" i="6"/>
  <c r="C270" i="29"/>
  <c r="C256" i="53"/>
  <c r="D2688" i="52"/>
  <c r="D2059" i="52"/>
  <c r="L197" i="54"/>
  <c r="A96" i="30" s="1"/>
  <c r="O197" i="54"/>
  <c r="D1099" i="52"/>
  <c r="D101" i="52"/>
  <c r="D85" i="52"/>
  <c r="A448" i="44"/>
  <c r="L422" i="44"/>
  <c r="A438" i="44"/>
  <c r="L438" i="44" s="1"/>
  <c r="A424" i="44"/>
  <c r="L424" i="44" s="1"/>
  <c r="D2820" i="52"/>
  <c r="O205" i="54"/>
  <c r="L205" i="54"/>
  <c r="A97" i="30" s="1"/>
  <c r="D1074" i="52"/>
  <c r="L218" i="54"/>
  <c r="A98" i="30" s="1"/>
  <c r="O218" i="54"/>
  <c r="A232" i="54"/>
  <c r="K61" i="6" l="1"/>
  <c r="A14" i="21"/>
  <c r="B14" i="21"/>
  <c r="B16" i="21"/>
  <c r="J1532" i="54"/>
  <c r="J1531" i="44"/>
  <c r="J1375" i="54"/>
  <c r="D2533" i="52" s="1"/>
  <c r="J1374" i="44"/>
  <c r="J1663" i="44"/>
  <c r="J1664" i="54"/>
  <c r="J901" i="44"/>
  <c r="J902" i="54"/>
  <c r="C286" i="29"/>
  <c r="C270" i="53"/>
  <c r="D2689" i="52"/>
  <c r="D2821" i="52"/>
  <c r="L448" i="44"/>
  <c r="A463" i="44"/>
  <c r="D2060" i="52"/>
  <c r="D1078" i="52"/>
  <c r="C8" i="51"/>
  <c r="L61" i="6"/>
  <c r="M61" i="6"/>
  <c r="D1140" i="52"/>
  <c r="M62" i="7"/>
  <c r="F71" i="7"/>
  <c r="L62" i="7"/>
  <c r="A382" i="54"/>
  <c r="A318" i="54"/>
  <c r="L232" i="54"/>
  <c r="A99" i="30" s="1"/>
  <c r="A334" i="54"/>
  <c r="O232" i="54"/>
  <c r="A234" i="54"/>
  <c r="A296" i="54"/>
  <c r="A350" i="54"/>
  <c r="A366" i="54"/>
  <c r="J903" i="54" l="1"/>
  <c r="J902" i="44"/>
  <c r="J1376" i="54"/>
  <c r="D2534" i="52" s="1"/>
  <c r="J1375" i="44"/>
  <c r="J1665" i="54"/>
  <c r="J1664" i="44"/>
  <c r="J1533" i="54"/>
  <c r="J1532" i="44"/>
  <c r="C294" i="29"/>
  <c r="C286" i="53"/>
  <c r="D2690" i="52"/>
  <c r="L234" i="54"/>
  <c r="A100" i="30" s="1"/>
  <c r="O234" i="54"/>
  <c r="O366" i="54"/>
  <c r="L366" i="54"/>
  <c r="A105" i="30" s="1"/>
  <c r="A390" i="54"/>
  <c r="O382" i="54"/>
  <c r="L382" i="54"/>
  <c r="A106" i="30" s="1"/>
  <c r="L350" i="54"/>
  <c r="A104" i="30" s="1"/>
  <c r="O350" i="54"/>
  <c r="O334" i="54"/>
  <c r="L334" i="54"/>
  <c r="A103" i="30" s="1"/>
  <c r="L296" i="54"/>
  <c r="A101" i="30" s="1"/>
  <c r="O296" i="54"/>
  <c r="D2061" i="52"/>
  <c r="L318" i="54"/>
  <c r="A102" i="30" s="1"/>
  <c r="O318" i="54"/>
  <c r="A465" i="44"/>
  <c r="L465" i="44" s="1"/>
  <c r="A509" i="44"/>
  <c r="L509" i="44" s="1"/>
  <c r="A535" i="44"/>
  <c r="L463" i="44"/>
  <c r="D2822" i="52"/>
  <c r="J1534" i="54" l="1"/>
  <c r="J1533" i="44"/>
  <c r="J1377" i="54"/>
  <c r="D2535" i="52" s="1"/>
  <c r="J1376" i="44"/>
  <c r="J1665" i="44"/>
  <c r="J1666" i="54"/>
  <c r="J1666" i="44" s="1"/>
  <c r="J904" i="54"/>
  <c r="J903" i="44"/>
  <c r="C341" i="29"/>
  <c r="C341" i="53" s="1"/>
  <c r="C294" i="53"/>
  <c r="D2691" i="52"/>
  <c r="A551" i="44"/>
  <c r="L535" i="44"/>
  <c r="D2062" i="52"/>
  <c r="D2823" i="52"/>
  <c r="L390" i="54"/>
  <c r="A107" i="30" s="1"/>
  <c r="O390" i="54"/>
  <c r="A422" i="54"/>
  <c r="J905" i="54" l="1"/>
  <c r="J904" i="44"/>
  <c r="J1378" i="54"/>
  <c r="J1378" i="44" s="1"/>
  <c r="J1377" i="44"/>
  <c r="J1535" i="54"/>
  <c r="J1534" i="44"/>
  <c r="D2692" i="52"/>
  <c r="D2063" i="52"/>
  <c r="A448" i="54"/>
  <c r="A438" i="54"/>
  <c r="A424" i="54"/>
  <c r="O422" i="54"/>
  <c r="L422" i="54"/>
  <c r="A108" i="30" s="1"/>
  <c r="A553" i="44"/>
  <c r="L553" i="44" s="1"/>
  <c r="L551" i="44"/>
  <c r="A562" i="44"/>
  <c r="J1536" i="54" l="1"/>
  <c r="J1535" i="44"/>
  <c r="J906" i="54"/>
  <c r="J905" i="44"/>
  <c r="D2693" i="52"/>
  <c r="L438" i="54"/>
  <c r="A110" i="30" s="1"/>
  <c r="O438" i="54"/>
  <c r="D2064" i="52"/>
  <c r="L448" i="54"/>
  <c r="A111" i="30" s="1"/>
  <c r="O448" i="54"/>
  <c r="A463" i="54"/>
  <c r="A564" i="44"/>
  <c r="L564" i="44" s="1"/>
  <c r="A589" i="44"/>
  <c r="L562" i="44"/>
  <c r="O424" i="54"/>
  <c r="L424" i="54"/>
  <c r="A109" i="30" s="1"/>
  <c r="J907" i="54" l="1"/>
  <c r="J906" i="44"/>
  <c r="J1537" i="54"/>
  <c r="J1536" i="44"/>
  <c r="D2694" i="52"/>
  <c r="A535" i="54"/>
  <c r="O463" i="54"/>
  <c r="A509" i="54"/>
  <c r="A465" i="54"/>
  <c r="L463" i="54"/>
  <c r="A112" i="30" s="1"/>
  <c r="D2065" i="52"/>
  <c r="L589" i="44"/>
  <c r="A609" i="44"/>
  <c r="A599" i="44"/>
  <c r="L599" i="44" s="1"/>
  <c r="J1537" i="44" l="1"/>
  <c r="J1538" i="54"/>
  <c r="J907" i="44"/>
  <c r="J908" i="54"/>
  <c r="D2695" i="52"/>
  <c r="L465" i="54"/>
  <c r="A113" i="30" s="1"/>
  <c r="O465" i="54"/>
  <c r="L609" i="44"/>
  <c r="A613" i="44"/>
  <c r="L509" i="54"/>
  <c r="A114" i="30" s="1"/>
  <c r="O509" i="54"/>
  <c r="D2066" i="52"/>
  <c r="A551" i="54"/>
  <c r="O535" i="54"/>
  <c r="L535" i="54"/>
  <c r="A115" i="30" s="1"/>
  <c r="J909" i="54" l="1"/>
  <c r="J908" i="44"/>
  <c r="J1538" i="44"/>
  <c r="J1541" i="54"/>
  <c r="J1541" i="44" s="1"/>
  <c r="J1539" i="54"/>
  <c r="D2698" i="52"/>
  <c r="D2696" i="52"/>
  <c r="L613" i="44"/>
  <c r="A617" i="44"/>
  <c r="D2067" i="52"/>
  <c r="L551" i="54"/>
  <c r="A116" i="30" s="1"/>
  <c r="O551" i="54"/>
  <c r="A553" i="54"/>
  <c r="A562" i="54"/>
  <c r="J1540" i="54" l="1"/>
  <c r="J1540" i="44" s="1"/>
  <c r="J1539" i="44"/>
  <c r="J910" i="54"/>
  <c r="J909" i="44"/>
  <c r="D2697" i="52"/>
  <c r="L553" i="54"/>
  <c r="A117" i="30" s="1"/>
  <c r="O553" i="54"/>
  <c r="D2068" i="52"/>
  <c r="L617" i="44"/>
  <c r="A619" i="44"/>
  <c r="L619" i="44" s="1"/>
  <c r="A639" i="44"/>
  <c r="A629" i="44"/>
  <c r="L629" i="44" s="1"/>
  <c r="A589" i="54"/>
  <c r="A564" i="54"/>
  <c r="O562" i="54"/>
  <c r="L562" i="54"/>
  <c r="A118" i="30" s="1"/>
  <c r="J911" i="54" l="1"/>
  <c r="J910" i="44"/>
  <c r="L564" i="54"/>
  <c r="A119" i="30" s="1"/>
  <c r="O564" i="54"/>
  <c r="L639" i="44"/>
  <c r="A655" i="44"/>
  <c r="D2069" i="52"/>
  <c r="A609" i="54"/>
  <c r="A599" i="54"/>
  <c r="O589" i="54"/>
  <c r="L589" i="54"/>
  <c r="A120" i="30" s="1"/>
  <c r="J912" i="54" l="1"/>
  <c r="J911" i="44"/>
  <c r="O599" i="54"/>
  <c r="L599" i="54"/>
  <c r="A121" i="30" s="1"/>
  <c r="A613" i="54"/>
  <c r="O609" i="54"/>
  <c r="L609" i="54"/>
  <c r="A122" i="30" s="1"/>
  <c r="A668" i="44"/>
  <c r="L668" i="44" s="1"/>
  <c r="A694" i="44"/>
  <c r="A681" i="44"/>
  <c r="L681" i="44" s="1"/>
  <c r="L655" i="44"/>
  <c r="D2070" i="52"/>
  <c r="J913" i="54" l="1"/>
  <c r="J912" i="44"/>
  <c r="L694" i="44"/>
  <c r="A707" i="44"/>
  <c r="D2071" i="52"/>
  <c r="L613" i="54"/>
  <c r="A123" i="30" s="1"/>
  <c r="O613" i="54"/>
  <c r="A617" i="54"/>
  <c r="J914" i="54" l="1"/>
  <c r="J914" i="44" s="1"/>
  <c r="J913" i="44"/>
  <c r="L707" i="44"/>
  <c r="A639" i="54"/>
  <c r="O617" i="54"/>
  <c r="A629" i="54"/>
  <c r="A619" i="54"/>
  <c r="L617" i="54"/>
  <c r="A124" i="30" s="1"/>
  <c r="D2072" i="52"/>
  <c r="O619" i="54" l="1"/>
  <c r="L619" i="54"/>
  <c r="A125" i="30" s="1"/>
  <c r="L629" i="54"/>
  <c r="A126" i="30" s="1"/>
  <c r="O629" i="54"/>
  <c r="O639" i="54"/>
  <c r="L639" i="54"/>
  <c r="A127" i="30" s="1"/>
  <c r="A655" i="54"/>
  <c r="A694" i="54" l="1"/>
  <c r="A707" i="54" s="1"/>
  <c r="O655" i="54"/>
  <c r="A668" i="54"/>
  <c r="A681" i="54"/>
  <c r="L655" i="54"/>
  <c r="A128" i="30" s="1"/>
  <c r="L681" i="54" l="1"/>
  <c r="A130" i="30" s="1"/>
  <c r="O681" i="54"/>
  <c r="O694" i="54"/>
  <c r="L694" i="54"/>
  <c r="A131" i="30" s="1"/>
  <c r="O707" i="54"/>
  <c r="L707" i="54"/>
  <c r="A132" i="30" s="1"/>
  <c r="O668" i="54"/>
  <c r="L668" i="54"/>
  <c r="A129" i="30" s="1"/>
  <c r="J718" i="44"/>
  <c r="D1877" i="52"/>
  <c r="J719" i="54"/>
  <c r="J719" i="44" s="1"/>
  <c r="K732" i="54"/>
  <c r="J732" i="54" s="1"/>
  <c r="K716" i="54" l="1"/>
  <c r="A716" i="54" s="1"/>
  <c r="J733" i="54"/>
  <c r="J733" i="44" s="1"/>
  <c r="J732" i="44"/>
  <c r="D1891" i="52"/>
  <c r="D1890" i="52"/>
  <c r="K732" i="44"/>
  <c r="K716" i="44" l="1"/>
  <c r="A716" i="44" s="1"/>
  <c r="L716" i="44" s="1"/>
  <c r="J716" i="54"/>
  <c r="J716" i="44" s="1"/>
  <c r="D1874" i="52"/>
  <c r="L716" i="54"/>
  <c r="A133" i="30" s="1"/>
  <c r="O716" i="54"/>
  <c r="A734" i="54"/>
  <c r="A734" i="44" l="1"/>
  <c r="A748" i="44" s="1"/>
  <c r="D1875" i="52"/>
  <c r="J717" i="54"/>
  <c r="D1876" i="52" s="1"/>
  <c r="A748" i="54"/>
  <c r="L734" i="54"/>
  <c r="A134" i="30" s="1"/>
  <c r="O734" i="54"/>
  <c r="L734" i="44" l="1"/>
  <c r="J717" i="44"/>
  <c r="L748" i="44"/>
  <c r="A768" i="44"/>
  <c r="L748" i="54"/>
  <c r="A135" i="30" s="1"/>
  <c r="A768" i="54"/>
  <c r="O748" i="54"/>
  <c r="L768" i="54" l="1"/>
  <c r="A136" i="30" s="1"/>
  <c r="A780" i="54"/>
  <c r="O768" i="54"/>
  <c r="A770" i="54"/>
  <c r="L768" i="44"/>
  <c r="A770" i="44"/>
  <c r="L770" i="44" s="1"/>
  <c r="A780" i="44"/>
  <c r="L770" i="54" l="1"/>
  <c r="A137" i="30" s="1"/>
  <c r="O770" i="54"/>
  <c r="O780" i="54"/>
  <c r="L780" i="54"/>
  <c r="A138" i="30" s="1"/>
  <c r="A792" i="54"/>
  <c r="A792" i="44"/>
  <c r="L780" i="44"/>
  <c r="A794" i="44" l="1"/>
  <c r="L794" i="44" s="1"/>
  <c r="A798" i="44"/>
  <c r="L798" i="44" s="1"/>
  <c r="L792" i="44"/>
  <c r="A809" i="44"/>
  <c r="O792" i="54"/>
  <c r="A798" i="54"/>
  <c r="A794" i="54"/>
  <c r="L792" i="54"/>
  <c r="A139" i="30" s="1"/>
  <c r="L809" i="44" l="1"/>
  <c r="A820" i="44"/>
  <c r="O794" i="54"/>
  <c r="L794" i="54"/>
  <c r="A140" i="30" s="1"/>
  <c r="O798" i="54"/>
  <c r="L798" i="54"/>
  <c r="A141" i="30" s="1"/>
  <c r="A809" i="54"/>
  <c r="O809" i="54" l="1"/>
  <c r="L809" i="54"/>
  <c r="A142" i="30" s="1"/>
  <c r="A820" i="54"/>
  <c r="A822" i="44"/>
  <c r="L822" i="44" s="1"/>
  <c r="L820" i="44"/>
  <c r="A872" i="44"/>
  <c r="L872" i="44" s="1"/>
  <c r="A847" i="44"/>
  <c r="L847" i="44" s="1"/>
  <c r="A889" i="44"/>
  <c r="L889" i="44" l="1"/>
  <c r="A915" i="44"/>
  <c r="O820" i="54"/>
  <c r="A847" i="54"/>
  <c r="A822" i="54"/>
  <c r="L820" i="54"/>
  <c r="A143" i="30" s="1"/>
  <c r="A872" i="54"/>
  <c r="A889" i="54"/>
  <c r="O847" i="54" l="1"/>
  <c r="L847" i="54"/>
  <c r="A145" i="30" s="1"/>
  <c r="L915" i="44"/>
  <c r="A917" i="44"/>
  <c r="L917" i="44" s="1"/>
  <c r="A931" i="44"/>
  <c r="A915" i="54"/>
  <c r="O889" i="54"/>
  <c r="L889" i="54"/>
  <c r="A147" i="30" s="1"/>
  <c r="L872" i="54"/>
  <c r="A146" i="30" s="1"/>
  <c r="O872" i="54"/>
  <c r="L822" i="54"/>
  <c r="A144" i="30" s="1"/>
  <c r="O822" i="54"/>
  <c r="A917" i="54" l="1"/>
  <c r="A931" i="54"/>
  <c r="L915" i="54"/>
  <c r="A148" i="30" s="1"/>
  <c r="O915" i="54"/>
  <c r="L931" i="44"/>
  <c r="A946" i="44"/>
  <c r="O946" i="44" l="1"/>
  <c r="L946" i="44"/>
  <c r="A962" i="44"/>
  <c r="L931" i="54"/>
  <c r="A150" i="30" s="1"/>
  <c r="A946" i="54"/>
  <c r="O931" i="54"/>
  <c r="O917" i="54"/>
  <c r="L917" i="54"/>
  <c r="A149" i="30" s="1"/>
  <c r="L962" i="44" l="1"/>
  <c r="A990" i="44"/>
  <c r="L946" i="54"/>
  <c r="A151" i="30" s="1"/>
  <c r="O946" i="54"/>
  <c r="A962" i="54"/>
  <c r="L990" i="44" l="1"/>
  <c r="A1016" i="44"/>
  <c r="A990" i="54"/>
  <c r="L962" i="54"/>
  <c r="A152" i="30" s="1"/>
  <c r="O962" i="54"/>
  <c r="A1016" i="54" l="1"/>
  <c r="L990" i="54"/>
  <c r="A153" i="30" s="1"/>
  <c r="O990" i="54"/>
  <c r="L1016" i="44"/>
  <c r="A1035" i="44"/>
  <c r="L1035" i="44" s="1"/>
  <c r="A1018" i="44"/>
  <c r="L1018" i="44" s="1"/>
  <c r="A1067" i="44"/>
  <c r="L1067" i="44" l="1"/>
  <c r="A1087" i="44"/>
  <c r="A1018" i="54"/>
  <c r="A1035" i="54"/>
  <c r="A1067" i="54"/>
  <c r="L1016" i="54"/>
  <c r="A154" i="30" s="1"/>
  <c r="O1016" i="54"/>
  <c r="O1035" i="54" l="1"/>
  <c r="L1035" i="54"/>
  <c r="A156" i="30" s="1"/>
  <c r="O1018" i="54"/>
  <c r="L1018" i="54"/>
  <c r="A155" i="30" s="1"/>
  <c r="L1087" i="44"/>
  <c r="A1108" i="44"/>
  <c r="L1108" i="44" s="1"/>
  <c r="A1089" i="44"/>
  <c r="L1089" i="44" s="1"/>
  <c r="A1131" i="44"/>
  <c r="L1067" i="54"/>
  <c r="A157" i="30" s="1"/>
  <c r="O1067" i="54"/>
  <c r="A1087" i="54"/>
  <c r="L1131" i="44" l="1"/>
  <c r="A1150" i="44"/>
  <c r="L1087" i="54"/>
  <c r="A158" i="30" s="1"/>
  <c r="A1131" i="54"/>
  <c r="A1089" i="54"/>
  <c r="O1087" i="54"/>
  <c r="A1108" i="54"/>
  <c r="O1131" i="54" l="1"/>
  <c r="L1131" i="54"/>
  <c r="A161" i="30" s="1"/>
  <c r="A1150" i="54"/>
  <c r="L1150" i="44"/>
  <c r="A1162" i="44"/>
  <c r="A1175" i="44" s="1"/>
  <c r="L1108" i="54"/>
  <c r="A160" i="30" s="1"/>
  <c r="O1108" i="54"/>
  <c r="O1089" i="54"/>
  <c r="L1089" i="54"/>
  <c r="A159" i="30" s="1"/>
  <c r="O1175" i="44" l="1"/>
  <c r="L1175" i="44"/>
  <c r="A1183" i="44"/>
  <c r="L1150" i="54"/>
  <c r="A162" i="30" s="1"/>
  <c r="A1162" i="54"/>
  <c r="A1175" i="54" s="1"/>
  <c r="O1150" i="54"/>
  <c r="L1162" i="44"/>
  <c r="O1175" i="54" l="1"/>
  <c r="L1175" i="54"/>
  <c r="A164" i="30" s="1"/>
  <c r="A1183" i="54"/>
  <c r="L1183" i="44"/>
  <c r="A1260" i="44"/>
  <c r="L1162" i="54"/>
  <c r="A163" i="30" s="1"/>
  <c r="O1162" i="54"/>
  <c r="L1260" i="44" l="1"/>
  <c r="A1266" i="44"/>
  <c r="A1260" i="54"/>
  <c r="L1183" i="54"/>
  <c r="A165" i="30" s="1"/>
  <c r="O1183" i="54"/>
  <c r="O1260" i="54" l="1"/>
  <c r="A1266" i="54"/>
  <c r="L1260" i="54"/>
  <c r="A166" i="30" s="1"/>
  <c r="L1266" i="44"/>
  <c r="A1277" i="44"/>
  <c r="L1266" i="54" l="1"/>
  <c r="A167" i="30" s="1"/>
  <c r="A1277" i="54"/>
  <c r="O1266" i="54"/>
  <c r="L1277" i="44"/>
  <c r="A1282" i="44"/>
  <c r="L1282" i="44" l="1"/>
  <c r="A1361" i="44"/>
  <c r="L1277" i="54"/>
  <c r="A168" i="30" s="1"/>
  <c r="O1277" i="54"/>
  <c r="A1282" i="54"/>
  <c r="L1361" i="44" l="1"/>
  <c r="A1382" i="44"/>
  <c r="L1282" i="54"/>
  <c r="A169" i="30" s="1"/>
  <c r="A1361" i="54"/>
  <c r="O1282" i="54"/>
  <c r="A1382" i="54" l="1"/>
  <c r="L1361" i="54"/>
  <c r="A170" i="30" s="1"/>
  <c r="O1361" i="54"/>
  <c r="O1382" i="44"/>
  <c r="L1382" i="44"/>
  <c r="A1389" i="44"/>
  <c r="L1389" i="44" l="1"/>
  <c r="A1396" i="44"/>
  <c r="O1382" i="54"/>
  <c r="L1382" i="54"/>
  <c r="A171" i="30" s="1"/>
  <c r="A1389" i="54"/>
  <c r="O1389" i="54" l="1"/>
  <c r="L1389" i="54"/>
  <c r="A172" i="30" s="1"/>
  <c r="A1396" i="54"/>
  <c r="L1396" i="44"/>
  <c r="A1403" i="44"/>
  <c r="O1396" i="54" l="1"/>
  <c r="A1403" i="54"/>
  <c r="L1396" i="54"/>
  <c r="A173" i="30" s="1"/>
  <c r="L1403" i="44"/>
  <c r="A1410" i="44"/>
  <c r="L1403" i="54" l="1"/>
  <c r="A174" i="30" s="1"/>
  <c r="O1403" i="54"/>
  <c r="A1410" i="54"/>
  <c r="L1410" i="44"/>
  <c r="A1422" i="44"/>
  <c r="O1410" i="54" l="1"/>
  <c r="L1410" i="54"/>
  <c r="A175" i="30" s="1"/>
  <c r="A1422" i="54"/>
  <c r="L1422" i="44"/>
  <c r="A1435" i="44"/>
  <c r="L1435" i="44" l="1"/>
  <c r="A1441" i="44"/>
  <c r="A1473" i="44"/>
  <c r="O1422" i="54"/>
  <c r="L1422" i="54"/>
  <c r="A176" i="30" s="1"/>
  <c r="A1435" i="54"/>
  <c r="L1473" i="44" l="1"/>
  <c r="A1488" i="44"/>
  <c r="A1473" i="54"/>
  <c r="A1441" i="54"/>
  <c r="O1435" i="54"/>
  <c r="L1435" i="54"/>
  <c r="A177" i="30" s="1"/>
  <c r="L1441" i="44"/>
  <c r="A1449" i="44"/>
  <c r="A1457" i="44" l="1"/>
  <c r="L1449" i="44"/>
  <c r="O1441" i="54"/>
  <c r="L1441" i="54"/>
  <c r="A178" i="30" s="1"/>
  <c r="A1449" i="54"/>
  <c r="O1473" i="54"/>
  <c r="L1473" i="54"/>
  <c r="A182" i="30" s="1"/>
  <c r="A1488" i="54"/>
  <c r="L1488" i="44"/>
  <c r="A1495" i="44"/>
  <c r="L1488" i="54" l="1"/>
  <c r="A183" i="30" s="1"/>
  <c r="A1495" i="54"/>
  <c r="O1488" i="54"/>
  <c r="L1495" i="44"/>
  <c r="A1508" i="44"/>
  <c r="O1449" i="54"/>
  <c r="L1449" i="54"/>
  <c r="A179" i="30" s="1"/>
  <c r="A1457" i="54"/>
  <c r="L1457" i="44"/>
  <c r="A1465" i="44"/>
  <c r="L1465" i="44" s="1"/>
  <c r="L1457" i="54" l="1"/>
  <c r="A180" i="30" s="1"/>
  <c r="A1465" i="54"/>
  <c r="O1457" i="54"/>
  <c r="L1495" i="54"/>
  <c r="A184" i="30" s="1"/>
  <c r="O1495" i="54"/>
  <c r="A1508" i="54"/>
  <c r="L1508" i="44"/>
  <c r="A1518" i="44"/>
  <c r="L1518" i="44" l="1"/>
  <c r="A1601" i="44"/>
  <c r="A1518" i="54"/>
  <c r="O1508" i="54"/>
  <c r="L1508" i="54"/>
  <c r="A185" i="30" s="1"/>
  <c r="O1465" i="54"/>
  <c r="L1465" i="54"/>
  <c r="A181" i="30" s="1"/>
  <c r="L1518" i="54" l="1"/>
  <c r="A186" i="30" s="1"/>
  <c r="A1601" i="54"/>
  <c r="O1518" i="54"/>
  <c r="L1601" i="44"/>
  <c r="A1644" i="44"/>
  <c r="L1601" i="54" l="1"/>
  <c r="A187" i="30" s="1"/>
  <c r="O1601" i="54"/>
  <c r="A1644" i="54"/>
  <c r="L1644" i="44"/>
  <c r="A1651" i="44"/>
  <c r="L1644" i="54" l="1"/>
  <c r="A188" i="30" s="1"/>
  <c r="O1644" i="54"/>
  <c r="A1651" i="54"/>
  <c r="L1651" i="44"/>
  <c r="A1667" i="44"/>
  <c r="L1651" i="54" l="1"/>
  <c r="A189" i="30" s="1"/>
  <c r="D80" i="29"/>
  <c r="A1667" i="54"/>
  <c r="D80" i="53"/>
  <c r="O1651" i="54"/>
  <c r="L1667" i="44"/>
  <c r="A1675" i="44"/>
  <c r="L1667" i="54" l="1"/>
  <c r="A190" i="30" s="1"/>
  <c r="O1667" i="54"/>
  <c r="A1675" i="54"/>
  <c r="O1675" i="44"/>
  <c r="L1675" i="44"/>
  <c r="A1682" i="44"/>
  <c r="A1686" i="44" s="1"/>
  <c r="L1686" i="44" l="1"/>
  <c r="O1686" i="44"/>
  <c r="A1705" i="44"/>
  <c r="L1705" i="44" s="1"/>
  <c r="L1682" i="44"/>
  <c r="L1675" i="54"/>
  <c r="A191" i="30" s="1"/>
  <c r="O1675" i="54"/>
  <c r="A1682" i="54"/>
  <c r="A1686" i="54" s="1"/>
  <c r="A1724" i="44" l="1"/>
  <c r="O1724" i="44" s="1"/>
  <c r="O1705" i="44"/>
  <c r="L1686" i="54"/>
  <c r="A193" i="30" s="1"/>
  <c r="O1686" i="54"/>
  <c r="A1705" i="54"/>
  <c r="O1705" i="54" s="1"/>
  <c r="A1724" i="54"/>
  <c r="L1724" i="54" s="1"/>
  <c r="A195" i="30" s="1"/>
  <c r="O1682" i="54"/>
  <c r="L1682" i="54"/>
  <c r="A192" i="30" s="1"/>
  <c r="O1767" i="54"/>
  <c r="A1743" i="44" l="1"/>
  <c r="L1743" i="44" s="1"/>
  <c r="L1724" i="44"/>
  <c r="L1705" i="54"/>
  <c r="A194" i="30" s="1"/>
  <c r="O1724" i="54"/>
  <c r="A1743" i="54"/>
  <c r="L1743" i="54" s="1"/>
  <c r="A196"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Michal Korczak</author>
    <author>Dymitr Binkiewicz</author>
  </authors>
  <commentList>
    <comment ref="C16" authorId="0" shapeId="0" xr:uid="{00000000-0006-0000-0700-000001000000}">
      <text>
        <r>
          <rPr>
            <sz val="9"/>
            <color indexed="81"/>
            <rFont val="Tahoma"/>
            <family val="2"/>
            <charset val="238"/>
          </rPr>
          <t>Data w formacie rrrr-MM-dd</t>
        </r>
      </text>
    </comment>
    <comment ref="C17" authorId="1" shapeId="0" xr:uid="{00000000-0006-0000-0700-000002000000}">
      <text>
        <r>
          <rPr>
            <b/>
            <sz val="9"/>
            <color indexed="81"/>
            <rFont val="Tahoma"/>
            <family val="2"/>
            <charset val="238"/>
          </rPr>
          <t>Dzmitry Binkevich:</t>
        </r>
        <r>
          <rPr>
            <sz val="9"/>
            <color indexed="81"/>
            <rFont val="Tahoma"/>
            <family val="2"/>
            <charset val="238"/>
          </rPr>
          <t xml:space="preserve">
Data lub opis, kiedy może nastąpić zakończenie działalności</t>
        </r>
      </text>
    </comment>
    <comment ref="C20" authorId="0" shapeId="0" xr:uid="{00000000-0006-0000-0700-000003000000}">
      <text>
        <r>
          <rPr>
            <sz val="9"/>
            <color indexed="81"/>
            <rFont val="Tahoma"/>
            <family val="2"/>
            <charset val="238"/>
          </rPr>
          <t>tak- Brak okoliczności wskazujących na zagrożenie kontynuowania działalności; 
nie- Wystąpiły okoliczności wskazujące na zagrożenie kontynuowania działalności</t>
        </r>
      </text>
    </comment>
    <comment ref="C21" authorId="2" shapeId="0" xr:uid="{E5A94C2F-29E4-46B0-8CA5-6E4C6B47200F}">
      <text>
        <r>
          <rPr>
            <sz val="9"/>
            <color indexed="81"/>
            <rFont val="Tahoma"/>
            <family val="2"/>
            <charset val="238"/>
          </rPr>
          <t>Ta komórka zawiera treść do xml. Sprawdź odpowiednie wiersze w arkuszu wstęp</t>
        </r>
      </text>
    </comment>
    <comment ref="C27" authorId="1" shapeId="0" xr:uid="{00000000-0006-0000-0700-000004000000}">
      <text>
        <r>
          <rPr>
            <b/>
            <sz val="9"/>
            <color indexed="81"/>
            <rFont val="Tahoma"/>
            <family val="2"/>
            <charset val="238"/>
          </rPr>
          <t>Dzmitry Binkevich:</t>
        </r>
        <r>
          <rPr>
            <sz val="9"/>
            <color indexed="81"/>
            <rFont val="Tahoma"/>
            <family val="2"/>
            <charset val="238"/>
          </rPr>
          <t xml:space="preserve">
np. Nabycia, łączenia udziałów</t>
        </r>
      </text>
    </comment>
    <comment ref="D27" authorId="0" shapeId="0" xr:uid="{00000000-0006-0000-0700-000005000000}">
      <text>
        <r>
          <rPr>
            <sz val="9"/>
            <color indexed="81"/>
            <rFont val="Tahoma"/>
            <family val="2"/>
            <charset val="238"/>
          </rPr>
          <t>Wpisz wersję angielską metody rozliczenia np.
the purchase method of accounting / the pooling of interest</t>
        </r>
      </text>
    </comment>
    <comment ref="G61" authorId="0" shapeId="0" xr:uid="{00000000-0006-0000-0700-000006000000}">
      <text>
        <r>
          <rPr>
            <sz val="9"/>
            <color indexed="81"/>
            <rFont val="Tahoma"/>
            <family val="2"/>
            <charset val="238"/>
          </rPr>
          <t>Kwoty w tysiącach nie są przeliczane automatycznie i są liczbami całkowitymi.</t>
        </r>
      </text>
    </comment>
    <comment ref="D68" authorId="0" shapeId="0" xr:uid="{00000000-0006-0000-0700-000007000000}">
      <text>
        <r>
          <rPr>
            <sz val="9"/>
            <color indexed="81"/>
            <rFont val="Tahoma"/>
            <family val="2"/>
            <charset val="238"/>
          </rPr>
          <t>Wersja angielska miejscowości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Joanna Bartoszewska</author>
    <author>anna.poliszkiewicz</author>
    <author>Dymitr Binkiewicz</author>
  </authors>
  <commentList>
    <comment ref="D28" authorId="0" shapeId="0" xr:uid="{00000000-0006-0000-0B00-000001000000}">
      <text>
        <r>
          <rPr>
            <b/>
            <sz val="9"/>
            <color indexed="81"/>
            <rFont val="Tahoma"/>
            <family val="2"/>
            <charset val="238"/>
          </rPr>
          <t>Joanna Bartoszewska:</t>
        </r>
        <r>
          <rPr>
            <sz val="9"/>
            <color indexed="81"/>
            <rFont val="Tahoma"/>
            <family val="2"/>
            <charset val="238"/>
          </rPr>
          <t xml:space="preserve">
Wstawic pełne daty np. 15 lutego 2014 i zachowac ten format przez cały FS.</t>
        </r>
      </text>
    </comment>
    <comment ref="D67" authorId="1" shapeId="0" xr:uid="{00000000-0006-0000-0B00-000002000000}">
      <text>
        <r>
          <rPr>
            <b/>
            <sz val="8"/>
            <color indexed="81"/>
            <rFont val="Tahoma"/>
            <family val="2"/>
            <charset val="238"/>
          </rPr>
          <t>anna.poliszkiewicz:</t>
        </r>
        <r>
          <rPr>
            <sz val="8"/>
            <color indexed="81"/>
            <rFont val="Tahoma"/>
            <family val="2"/>
            <charset val="238"/>
          </rPr>
          <t xml:space="preserve">
konieczna analogiczna zmiana w oświadczeniu zarządu, oraz opis zasad rachunkowości wg art. 29</t>
        </r>
      </text>
    </comment>
    <comment ref="D70" authorId="2" shapeId="0" xr:uid="{B3B6225B-1C61-4AB5-86FC-0E7EA7334F75}">
      <text>
        <r>
          <rPr>
            <sz val="9"/>
            <color indexed="81"/>
            <rFont val="Tahoma"/>
            <family val="2"/>
            <charset val="238"/>
          </rPr>
          <t>Dodaj odpowiednią notę w arkuszu Noty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7" authorId="0" shapeId="0" xr:uid="{00000000-0006-0000-1500-000001000000}">
      <text>
        <r>
          <rPr>
            <sz val="9"/>
            <color indexed="81"/>
            <rFont val="Tahoma"/>
            <family val="2"/>
            <charset val="238"/>
          </rPr>
          <t>Po uzupełnieniu poniższej tabeli odśwież filtr w kolumnie H</t>
        </r>
      </text>
    </comment>
  </commentList>
</comments>
</file>

<file path=xl/sharedStrings.xml><?xml version="1.0" encoding="utf-8"?>
<sst xmlns="http://schemas.openxmlformats.org/spreadsheetml/2006/main" count="27747" uniqueCount="12294">
  <si>
    <t>PodklasyPKD_Type</t>
  </si>
  <si>
    <t>Opis</t>
  </si>
  <si>
    <t>0111Z</t>
  </si>
  <si>
    <t>uprawa zbóż, roślin strączkowych i roślin oleistych na nasiona, z wyłączeniem ryżu</t>
  </si>
  <si>
    <t>Growing of cereals, leguminous crops and oil plants, for seeds, except rice</t>
  </si>
  <si>
    <t>0112Z</t>
  </si>
  <si>
    <t>uprawa ryżu</t>
  </si>
  <si>
    <t>Growing of rice</t>
  </si>
  <si>
    <t>0113Z</t>
  </si>
  <si>
    <t>uprawa warzyw, włączając melony oraz uprawa roślin korzeniowych i roślin bulwiastych</t>
  </si>
  <si>
    <t>Growing of vegetables, including melons, and of roots and tubers</t>
  </si>
  <si>
    <t>0114Z</t>
  </si>
  <si>
    <t>uprawa trzciny cukrowej</t>
  </si>
  <si>
    <t>Growing of sugar cane</t>
  </si>
  <si>
    <t>0115Z</t>
  </si>
  <si>
    <t>uprawa tytoniu</t>
  </si>
  <si>
    <t>Growing of tobacco</t>
  </si>
  <si>
    <t>0116Z</t>
  </si>
  <si>
    <t>uprawa roślin włóknistych</t>
  </si>
  <si>
    <t>Growing of fibre crops</t>
  </si>
  <si>
    <t>0119Z</t>
  </si>
  <si>
    <t>pozostałe uprawy rolne inne niż wieloletnie</t>
  </si>
  <si>
    <t>Growing of other non-perennial crops</t>
  </si>
  <si>
    <t>0121Z</t>
  </si>
  <si>
    <t>uprawa winogron</t>
  </si>
  <si>
    <t>Growing of grapes</t>
  </si>
  <si>
    <t>0122Z</t>
  </si>
  <si>
    <t>uprawa drzew i krzewów owocowych tropikalnych i podzwrotnikowych</t>
  </si>
  <si>
    <t>Growing of tree and bush tropical and subtropical fruits</t>
  </si>
  <si>
    <t>0123Z</t>
  </si>
  <si>
    <t>uprawa drzew i krzewów owocowych cytrusowych</t>
  </si>
  <si>
    <t>Growing of tree and bush citrus fruits</t>
  </si>
  <si>
    <t>0124Z</t>
  </si>
  <si>
    <t>uprawa drzew i krzewów owocowych ziarnkowych i pestkowych</t>
  </si>
  <si>
    <t>Growing of tree and bush pome fruits and stone fruits</t>
  </si>
  <si>
    <t>0125Z</t>
  </si>
  <si>
    <t>uprawa pozostałych drzew i krzewów owocowych oraz orzechów</t>
  </si>
  <si>
    <t>Growing of other tree and bush fruits and nuts</t>
  </si>
  <si>
    <t>0126Z</t>
  </si>
  <si>
    <t>uprawa drzew oleistych</t>
  </si>
  <si>
    <t>Growing of tree oleaginous fruits</t>
  </si>
  <si>
    <t>0127Z</t>
  </si>
  <si>
    <t>uprawa roślin wykorzystywanych do produkcji napojów</t>
  </si>
  <si>
    <t>Growing of beverage crops</t>
  </si>
  <si>
    <t>0128Z</t>
  </si>
  <si>
    <t>uprawa roślin przyprawowych i aromatycznych oraz roślin wykorzystywanych do produkcji leków i wyrobów farmaceutycznych</t>
  </si>
  <si>
    <t>Growing of spices, aromatic, drug and pharmaceutical crops</t>
  </si>
  <si>
    <t>0129Z</t>
  </si>
  <si>
    <t>uprawa pozostałych roślin wieloletnich</t>
  </si>
  <si>
    <t>Growing of other perennial crops</t>
  </si>
  <si>
    <t>0130Z</t>
  </si>
  <si>
    <t>rozmnażanie roślin</t>
  </si>
  <si>
    <t>Plant propagation</t>
  </si>
  <si>
    <t>0141Z</t>
  </si>
  <si>
    <t>chów i hodowla bydła mlecznego</t>
  </si>
  <si>
    <t>Raising of dairy cattle</t>
  </si>
  <si>
    <t>0142Z</t>
  </si>
  <si>
    <t>chów i hodowla pozostałego bydła i bawołów</t>
  </si>
  <si>
    <t>Raising of other cattle and buffaloes</t>
  </si>
  <si>
    <t>0143Z</t>
  </si>
  <si>
    <t>chów i hodowla koni i pozostałych zwierząt koniowatych</t>
  </si>
  <si>
    <t>Raising of horses and other equines</t>
  </si>
  <si>
    <t>0144Z</t>
  </si>
  <si>
    <t>chów i hodowla wielbłądów i zwierząt wielbłądowatych</t>
  </si>
  <si>
    <t>Raising of camels and camelids</t>
  </si>
  <si>
    <t>0145Z</t>
  </si>
  <si>
    <t>chów i hodowla owiec i kóz</t>
  </si>
  <si>
    <t>Raising of sheep and goats</t>
  </si>
  <si>
    <t>0146Z</t>
  </si>
  <si>
    <t>chów i hodowla świń</t>
  </si>
  <si>
    <t>Raising of swine/pigs</t>
  </si>
  <si>
    <t>0147Z</t>
  </si>
  <si>
    <t>chów i hodowla drobiu</t>
  </si>
  <si>
    <t>Raising of poultry</t>
  </si>
  <si>
    <t>0149Z</t>
  </si>
  <si>
    <t>chów i hodowla pozostałych zwierząt</t>
  </si>
  <si>
    <t>Raising of other animals</t>
  </si>
  <si>
    <t>0150Z</t>
  </si>
  <si>
    <t>uprawy rolne połączone z chowem i hodowlą zwierząt (działalność mieszana)</t>
  </si>
  <si>
    <t>Agricultural cultivation together withraising of animals (mixed activity)</t>
  </si>
  <si>
    <t>0161Z</t>
  </si>
  <si>
    <t>działalność usługowa wspomagająca produkcję roślinną</t>
  </si>
  <si>
    <t>Support activities for crop production</t>
  </si>
  <si>
    <t>0162Z</t>
  </si>
  <si>
    <t>działalność usługowa wspomagająca chów i hodowlę zwierząt gospodarskich</t>
  </si>
  <si>
    <t>Support activities for farm animal production</t>
  </si>
  <si>
    <t>0163Z</t>
  </si>
  <si>
    <t>działalność usługowa następująca po zbiorach</t>
  </si>
  <si>
    <t>Post-harvest crop activities</t>
  </si>
  <si>
    <t>0164Z</t>
  </si>
  <si>
    <t>obróbka nasion dla celów rozmnażania roślin</t>
  </si>
  <si>
    <t>Seed processing for propagation</t>
  </si>
  <si>
    <t>0170Z</t>
  </si>
  <si>
    <t>łowiectwo i pozyskiwanie zwierząt łownych, włączając działalność usługową</t>
  </si>
  <si>
    <t>Hunting and acquiring of hunting animals, including service activity</t>
  </si>
  <si>
    <t>0210Z</t>
  </si>
  <si>
    <t>gospodarka leśna i pozostała działalność leśna, z wyłączeniem pozyskiwania produktów leśnych</t>
  </si>
  <si>
    <t>Silviculture and other forestry activities, excluding gathering of forestry products</t>
  </si>
  <si>
    <t>0220Z</t>
  </si>
  <si>
    <t>pozyskiwanie drewna</t>
  </si>
  <si>
    <t>Logging</t>
  </si>
  <si>
    <t>0230Z</t>
  </si>
  <si>
    <t>pozyskiwanie dziko rosnących produktów leśnych, z wyłączeniem drewna</t>
  </si>
  <si>
    <t>Gathering of wild growing forestry products, excluding wood</t>
  </si>
  <si>
    <t>0240Z</t>
  </si>
  <si>
    <t>działalność usługowa związana z leśnictwem</t>
  </si>
  <si>
    <t>Service activity related to forestry</t>
  </si>
  <si>
    <t>0311Z</t>
  </si>
  <si>
    <t>rybołówstwo w wodach morskich</t>
  </si>
  <si>
    <t>Marine fishing</t>
  </si>
  <si>
    <t>0312Z</t>
  </si>
  <si>
    <t>rybołówstwo w wodach śródlądowych</t>
  </si>
  <si>
    <t>Freshwater fishing</t>
  </si>
  <si>
    <t>0321Z</t>
  </si>
  <si>
    <t>chów i hodowla ryb oraz pozostałych organizmów wodnych w wodach morskich</t>
  </si>
  <si>
    <t>Marine aquaculture</t>
  </si>
  <si>
    <t>0322Z</t>
  </si>
  <si>
    <t>chów i hodowla ryb oraz pozostałych organizmów wodnych w wodach śródlądowych</t>
  </si>
  <si>
    <t>Freshwater aquaculture</t>
  </si>
  <si>
    <t>0510Z</t>
  </si>
  <si>
    <t>wydobywanie węgla kamiennego</t>
  </si>
  <si>
    <t>Mining of hard coal</t>
  </si>
  <si>
    <t>0520Z</t>
  </si>
  <si>
    <t>wydobywanie węgla brunatnego (lignitu)</t>
  </si>
  <si>
    <t>Mining of lignite</t>
  </si>
  <si>
    <t>0610Z</t>
  </si>
  <si>
    <t>górnictwo ropy naftowej</t>
  </si>
  <si>
    <t>Extraction of crude petroleum</t>
  </si>
  <si>
    <t>0620Z</t>
  </si>
  <si>
    <t>górnictwo gazu ziemnego</t>
  </si>
  <si>
    <t>Extraction of natural gas</t>
  </si>
  <si>
    <t>0710Z</t>
  </si>
  <si>
    <t>górnictwo rud żelaza</t>
  </si>
  <si>
    <t>Mining of iron ores</t>
  </si>
  <si>
    <t>0721Z</t>
  </si>
  <si>
    <t>górnictwo rud uranu i toru</t>
  </si>
  <si>
    <t>Mining of uranium and thorium ores</t>
  </si>
  <si>
    <t>0729Z</t>
  </si>
  <si>
    <t>górnictwo pozostałych rud metali nieżelaznych</t>
  </si>
  <si>
    <t>Mining of other non-ferrous metal ores</t>
  </si>
  <si>
    <t>0811Z</t>
  </si>
  <si>
    <t>wydobywanie kamieni ozdobnych oraz kamienia dla potrzeb budownictwa, skał wapiennych, gipsu, kredy i łupków</t>
  </si>
  <si>
    <t>Quarrying of ornamental and building stone, limestone, gypsum, chalk and slate</t>
  </si>
  <si>
    <t>0812Z</t>
  </si>
  <si>
    <t>wydobywanie żwiru i piasku; wydobywanie gliny i kaolinu</t>
  </si>
  <si>
    <t>Operation of gravel and sand pits; mining of clays and kaolin</t>
  </si>
  <si>
    <t>0891Z</t>
  </si>
  <si>
    <t>wydobywanie minerałów dla przemysłu chemicznego oraz do produkcji nawozów</t>
  </si>
  <si>
    <t>Mining of minerals for chemical industry and for production of fertilizers</t>
  </si>
  <si>
    <t>0892Z</t>
  </si>
  <si>
    <t>wydobywanie torfu</t>
  </si>
  <si>
    <t>Extraction of peat</t>
  </si>
  <si>
    <t>0893Z</t>
  </si>
  <si>
    <t>wydobywanie soli</t>
  </si>
  <si>
    <t>Extraction of salt</t>
  </si>
  <si>
    <t>0899Z</t>
  </si>
  <si>
    <t>pozostałe górnictwo i wydobywanie, gdzie indziej niesklasyfikowane</t>
  </si>
  <si>
    <t>Other mining and quarrying notelsewhere classified</t>
  </si>
  <si>
    <t>0910Z</t>
  </si>
  <si>
    <t>działalność usługowa wspomagająca eksploatację złóż ropy naftowej i gazu ziemnego</t>
  </si>
  <si>
    <t>Support activities for petroleum and natural gas extraction</t>
  </si>
  <si>
    <t>0990Z</t>
  </si>
  <si>
    <t>działalność usługowa wspomagająca pozostałe górnictwo i wydobywanie</t>
  </si>
  <si>
    <t>Support activities for other mining and quarrying</t>
  </si>
  <si>
    <t>1011Z</t>
  </si>
  <si>
    <t>przetwarzanie i konserwowanie mięsa, z wyłączeniem mięsa z drobiu</t>
  </si>
  <si>
    <t>Processing and preserving of meat, excluding poultry meat</t>
  </si>
  <si>
    <t>1012Z</t>
  </si>
  <si>
    <t>przetwarzanie i konserwowanie mięsa z drobiu</t>
  </si>
  <si>
    <t>Processing and preserving of poultry meat</t>
  </si>
  <si>
    <t>1013Z</t>
  </si>
  <si>
    <t>produkcja wyrobów z mięsa, włączając wyroby z mięsa drobiowego</t>
  </si>
  <si>
    <t>Production of meat products, including poultry meat products</t>
  </si>
  <si>
    <t>1020Z</t>
  </si>
  <si>
    <t>przetwarzanie i konserwowanie ryb, skorupiaków i mięczaków</t>
  </si>
  <si>
    <t>Processing and preserving of fish, crustaceans and molluscs</t>
  </si>
  <si>
    <t>1031Z</t>
  </si>
  <si>
    <t>przetwarzanie i konserwowanie ziemniaków</t>
  </si>
  <si>
    <t>Processing and preserving of potatoes</t>
  </si>
  <si>
    <t>1032Z</t>
  </si>
  <si>
    <t>produkcja soków z owoców i warzyw</t>
  </si>
  <si>
    <t>Manufacture of fruit and vegetable juice</t>
  </si>
  <si>
    <t>1039Z</t>
  </si>
  <si>
    <t>pozostałe przetwarzanie i konserwowanie owoców i warzyw</t>
  </si>
  <si>
    <t>Other processing and preserving of fruit and vegetables</t>
  </si>
  <si>
    <t>1041Z</t>
  </si>
  <si>
    <t>produkcja olejów i pozostałych tłuszczów płynnych</t>
  </si>
  <si>
    <t>Manufacture of oils and other fluid fats</t>
  </si>
  <si>
    <t>1042Z</t>
  </si>
  <si>
    <t>produkcja margaryny i podobnych tłuszczów jadalnych</t>
  </si>
  <si>
    <t>Manufacture of margarine and similar edible fats</t>
  </si>
  <si>
    <t>1051Z</t>
  </si>
  <si>
    <t>przetwórstwo mleka i wyrób serów</t>
  </si>
  <si>
    <t>Operation of dairies and cheese making</t>
  </si>
  <si>
    <t>1052Z</t>
  </si>
  <si>
    <t>produkcja lodów</t>
  </si>
  <si>
    <t>Manufacture of ice cream</t>
  </si>
  <si>
    <t>1061Z</t>
  </si>
  <si>
    <t>wytwarzanie produktów przemiału zbóż</t>
  </si>
  <si>
    <t>Manufacture of grain mill products</t>
  </si>
  <si>
    <t>1062Z</t>
  </si>
  <si>
    <t>wytwarzanie skrobi i wyrobów skrobiowych</t>
  </si>
  <si>
    <t>Manufacture of starches and starch products</t>
  </si>
  <si>
    <t>1071Z</t>
  </si>
  <si>
    <t>produkcja pieczywa; produkcja świeżych wyrobów ciastkarskich i ciastek</t>
  </si>
  <si>
    <t>Manufacture of bread; manufacture of fresh pastry goods and cakes</t>
  </si>
  <si>
    <t>1072Z</t>
  </si>
  <si>
    <t>produkcja sucharów i herbatników; produkcja konserwowanych wyrobów ciastkarskich i ciastek</t>
  </si>
  <si>
    <t>Manufacture of rusks and biscuits; manufacture of preserved pastry goods and cakes</t>
  </si>
  <si>
    <t>1073Z</t>
  </si>
  <si>
    <t>produkcja makaronów, klusek, kuskusu i podobnych wyrobów mącznych</t>
  </si>
  <si>
    <t>Manufacture of macaroni, noodles, couscous and similar farinaceous products</t>
  </si>
  <si>
    <t>1081Z</t>
  </si>
  <si>
    <t>produkcja cukru</t>
  </si>
  <si>
    <t>Manufacture of sugar</t>
  </si>
  <si>
    <t>1082Z</t>
  </si>
  <si>
    <t>produkcja kakao, czekolady i wyrobów cukierniczych</t>
  </si>
  <si>
    <t>Manufacture of cocoa, chocolate and sugar confectionery</t>
  </si>
  <si>
    <t>1083Z</t>
  </si>
  <si>
    <t>przetwórstwo herbaty i kawy</t>
  </si>
  <si>
    <t>1084Z</t>
  </si>
  <si>
    <t>produkcja przypraw</t>
  </si>
  <si>
    <t>Manufacture of condiments and seasonings</t>
  </si>
  <si>
    <t>1085Z</t>
  </si>
  <si>
    <t>wytwarzanie gotowych posiłków i dań</t>
  </si>
  <si>
    <t>Manufacture of prepared meals and dishes</t>
  </si>
  <si>
    <t>1086Z</t>
  </si>
  <si>
    <t>produkcja artykułów spożywczych homogenizowanych i żywności dietetycznej</t>
  </si>
  <si>
    <t>Manufacture of homogenised food preparations and dietetic food</t>
  </si>
  <si>
    <t>1089Z</t>
  </si>
  <si>
    <t>produkcja pozostałych artykułów spożywczych, gdzie indziej niesklasyfikowana</t>
  </si>
  <si>
    <t>Manufacture of other food products notelsewhere classified</t>
  </si>
  <si>
    <t>1091Z</t>
  </si>
  <si>
    <t>produkcja gotowej paszy dla zwierząt gospodarskich</t>
  </si>
  <si>
    <t>Manufacture of prepared feeds for farm animals</t>
  </si>
  <si>
    <t>1092Z</t>
  </si>
  <si>
    <t>produkcja gotowej karmy dla zwierząt domowych</t>
  </si>
  <si>
    <t>Manufacture of prepared pet foods</t>
  </si>
  <si>
    <t>1101Z</t>
  </si>
  <si>
    <t>destylowanie, rektyfikowanie i mieszanie alkoholi</t>
  </si>
  <si>
    <t>Distilling, rectifying and blending of spirits</t>
  </si>
  <si>
    <t>1102Z</t>
  </si>
  <si>
    <t>produkcja win gronowych</t>
  </si>
  <si>
    <t>Manufacture of wine from grape</t>
  </si>
  <si>
    <t>1103Z</t>
  </si>
  <si>
    <t>produkcja cydru i pozostałych win owocowych</t>
  </si>
  <si>
    <t>Manufacture of cider and other fruit wines</t>
  </si>
  <si>
    <t>1104Z</t>
  </si>
  <si>
    <t>produkcja pozostałych niedestylowanych napojów fermentowanych</t>
  </si>
  <si>
    <t>Manufacture of other non-distilled fermented beverages</t>
  </si>
  <si>
    <t>1105Z</t>
  </si>
  <si>
    <t>produkcja piwa</t>
  </si>
  <si>
    <t>Manufacture of beer</t>
  </si>
  <si>
    <t>1106Z</t>
  </si>
  <si>
    <t>produkcja słodu</t>
  </si>
  <si>
    <t>Manufacture of malt</t>
  </si>
  <si>
    <t>1107Z</t>
  </si>
  <si>
    <t>produkcja napojów bezalkoholowych; produkcja wód mineralnych i pozostałych wód butelkowanych</t>
  </si>
  <si>
    <t>Manufacture of soft drinks; production of mineral waters and other bottled waters</t>
  </si>
  <si>
    <t>1200Z</t>
  </si>
  <si>
    <t>produkcja wyrobów tytoniowych</t>
  </si>
  <si>
    <t xml:space="preserve">Manufacture of tobacco products	</t>
  </si>
  <si>
    <t>1310A</t>
  </si>
  <si>
    <t>produkcja przędzy bawełnianej</t>
  </si>
  <si>
    <t>Manufacture of cotton yarn</t>
  </si>
  <si>
    <t>1310B</t>
  </si>
  <si>
    <t>produkcja przędzy wełnianej</t>
  </si>
  <si>
    <t>Manufacture of wool yarn</t>
  </si>
  <si>
    <t>1310C</t>
  </si>
  <si>
    <t>produkcja przędzy z włókien chemicznych</t>
  </si>
  <si>
    <t>Manufacture of man-made fibres yarn</t>
  </si>
  <si>
    <t>1310D</t>
  </si>
  <si>
    <t>produkcja przędzy z pozostałych włókien tekstylnych, włączając produkcję nici</t>
  </si>
  <si>
    <t>Manufacture of yarn from other textile fibres, including manufacture of sewing thread</t>
  </si>
  <si>
    <t>1320A</t>
  </si>
  <si>
    <t>produkcja tkanin bawełnianych</t>
  </si>
  <si>
    <t>Manufacture of cotton woven fabrics</t>
  </si>
  <si>
    <t>1320B</t>
  </si>
  <si>
    <t>produkcja tkanin wełnianych</t>
  </si>
  <si>
    <t>Manufacture of wool woven fabrics</t>
  </si>
  <si>
    <t>1320C</t>
  </si>
  <si>
    <t>produkcja tkanin z włókien chemicznych</t>
  </si>
  <si>
    <t>Manufacture of man-made woven fabrics</t>
  </si>
  <si>
    <t>1320D</t>
  </si>
  <si>
    <t>produkcja pozostałych tkanin</t>
  </si>
  <si>
    <t>Manufacture of other woven fabrics</t>
  </si>
  <si>
    <t>1330Z</t>
  </si>
  <si>
    <t>wykończanie wyrobów włókienniczych</t>
  </si>
  <si>
    <t>Finishing of textiles</t>
  </si>
  <si>
    <t>1391Z</t>
  </si>
  <si>
    <t>produkcja dzianin metrażowych</t>
  </si>
  <si>
    <t>Manufacture of knitted and crocheted fabrics</t>
  </si>
  <si>
    <t>1392Z</t>
  </si>
  <si>
    <t>produkcja gotowych wyrobów tekstylnych</t>
  </si>
  <si>
    <t>Manufacture of made-up textile articles</t>
  </si>
  <si>
    <t>1393Z</t>
  </si>
  <si>
    <t>produkcja dywanów i chodników</t>
  </si>
  <si>
    <t>Manufacture of carpets and rugs</t>
  </si>
  <si>
    <t>1394Z</t>
  </si>
  <si>
    <t>produkcja wyrobów powroźniczych, lin, szpagatów i wyrobów sieciowych</t>
  </si>
  <si>
    <t>Manufacture of cordage, rope, twine and netting</t>
  </si>
  <si>
    <t>1395Z</t>
  </si>
  <si>
    <t>produkcja włóknin i wyrobów wykonanych z włóknin, z wyłączeniem odzieży</t>
  </si>
  <si>
    <t>Manufacture of non-wovens and articles made from non-wovens, except apparel</t>
  </si>
  <si>
    <t>1396Z</t>
  </si>
  <si>
    <t>produkcja pozostałych technicznych i przemysłowych wyrobów tekstylnych</t>
  </si>
  <si>
    <t>Manufacture of other technical and industrial textiles</t>
  </si>
  <si>
    <t>1399Z</t>
  </si>
  <si>
    <t>produkcja pozostałych wyrobów tekstylnych, gdzie indziej niesklasyfikowana</t>
  </si>
  <si>
    <t>Manufacture of other textiles notelsewhere classified</t>
  </si>
  <si>
    <t>1411Z</t>
  </si>
  <si>
    <t>produkcja odzieży skórzanej</t>
  </si>
  <si>
    <t>Manufacture of leather clothes</t>
  </si>
  <si>
    <t>1412Z</t>
  </si>
  <si>
    <t>produkcja odzieży roboczej</t>
  </si>
  <si>
    <t>Manufacture of workwear</t>
  </si>
  <si>
    <t>1413Z</t>
  </si>
  <si>
    <t>produkcja pozostałej odzieży wierzchniej</t>
  </si>
  <si>
    <t>Manufacture of other outerwear</t>
  </si>
  <si>
    <t>1414Z</t>
  </si>
  <si>
    <t>produkcja bielizny</t>
  </si>
  <si>
    <t>Manufacture of underwear</t>
  </si>
  <si>
    <t>1419Z</t>
  </si>
  <si>
    <t>produkcja pozostałej odzieży i dodatków do odzieży</t>
  </si>
  <si>
    <t>Manufacture of other wearing apparel and accessories</t>
  </si>
  <si>
    <t>1420Z</t>
  </si>
  <si>
    <t>produkcja wyrobów futrzarskich</t>
  </si>
  <si>
    <t>Manufacture of articles of fur</t>
  </si>
  <si>
    <t>1431Z</t>
  </si>
  <si>
    <t>produkcja wyrobów pończoszniczych</t>
  </si>
  <si>
    <t>Manufacture of knitted and crocheted hosiery</t>
  </si>
  <si>
    <t>1439Z</t>
  </si>
  <si>
    <t>produkcja pozostałej odzieży dzianej</t>
  </si>
  <si>
    <t>Manufacture of other knitted and crocheted apparel</t>
  </si>
  <si>
    <t>1511Z</t>
  </si>
  <si>
    <t>wyprawa skór, garbowanie; wyprawa i barwienie skór futerkowych</t>
  </si>
  <si>
    <t>Tanning and dressing of leather; dressing and dyeing of fur</t>
  </si>
  <si>
    <t>1512Z</t>
  </si>
  <si>
    <t>produkcja toreb bagażowych, toreb ręcznych i podobnych wyrobów kaletniczych; produkcja wyrobów rymarskich</t>
  </si>
  <si>
    <t>Manufacture of luggage, handbags and similar leather goods; manufacture ofsaddlery</t>
  </si>
  <si>
    <t>1520Z</t>
  </si>
  <si>
    <t>produkcja obuwia</t>
  </si>
  <si>
    <t>Manufacture of footwear</t>
  </si>
  <si>
    <t>1610Z</t>
  </si>
  <si>
    <t>produkcja wyrobów tartacznych</t>
  </si>
  <si>
    <t>Sawmilling and planing of wood</t>
  </si>
  <si>
    <t>1621Z</t>
  </si>
  <si>
    <t>produkcja arkuszy fornirowych i płyt wykonanych na bazie drewna</t>
  </si>
  <si>
    <t>Manufacture of veneer sheets and wood-based panels</t>
  </si>
  <si>
    <t>1622Z</t>
  </si>
  <si>
    <t>produkcja gotowych parkietów podłogowych</t>
  </si>
  <si>
    <t>Manufacture of assembled parquet floors</t>
  </si>
  <si>
    <t>1623Z</t>
  </si>
  <si>
    <t>produkcja pozostałych wyrobów stolarskich i ciesielskich dla budownictwa</t>
  </si>
  <si>
    <t>Manufacture of other builders' carpentry and joinery</t>
  </si>
  <si>
    <t>1624Z</t>
  </si>
  <si>
    <t>produkcja opakowań drewnianych</t>
  </si>
  <si>
    <t>Manufacture of wooden containers</t>
  </si>
  <si>
    <t>1629Z</t>
  </si>
  <si>
    <t>produkcja pozostałych wyrobów z drewna; produkcja wyrobów z korka, słomy i materiałów używanych do wyplatania</t>
  </si>
  <si>
    <t>Manufacture of other products of wood; manufacture of articles of cork, straw and plaiting materials</t>
  </si>
  <si>
    <t>1711Z</t>
  </si>
  <si>
    <t>produkcja masy włóknistej</t>
  </si>
  <si>
    <t>Manufacture of pulp</t>
  </si>
  <si>
    <t>1712Z</t>
  </si>
  <si>
    <t>produkcja papieru i tektury</t>
  </si>
  <si>
    <t>Manufacture of paper and paperboard</t>
  </si>
  <si>
    <t>1721Z</t>
  </si>
  <si>
    <t>produkcja papieru falistego i tektury falistej oraz opakowań z papieru i tektury</t>
  </si>
  <si>
    <t>Manufacture of corrugated paper and paperboard and of containers of paper and paperboard</t>
  </si>
  <si>
    <t>1722Z</t>
  </si>
  <si>
    <t>produkcja artykułów gospodarstwa domowego, toaletowych i sanitarnych</t>
  </si>
  <si>
    <t>Manufacture of household and sanitary goods and of toilet requisites</t>
  </si>
  <si>
    <t>1723Z</t>
  </si>
  <si>
    <t>produkcja artykułów piśmiennych</t>
  </si>
  <si>
    <t>Manufacture of paper stationery</t>
  </si>
  <si>
    <t>1724Z</t>
  </si>
  <si>
    <t>produkcja tapet</t>
  </si>
  <si>
    <t>Manufacture of wallpaper</t>
  </si>
  <si>
    <t>1729Z</t>
  </si>
  <si>
    <t>produkcja pozostałych wyrobów z papieru i tektury</t>
  </si>
  <si>
    <t>Manufacture of other articles of paper and paperboard</t>
  </si>
  <si>
    <t>1811Z</t>
  </si>
  <si>
    <t>drukowanie gazet</t>
  </si>
  <si>
    <t>Printing of newspapers</t>
  </si>
  <si>
    <t>1812Z</t>
  </si>
  <si>
    <t>pozostałe drukowanie</t>
  </si>
  <si>
    <t>Other printing</t>
  </si>
  <si>
    <t>1813Z</t>
  </si>
  <si>
    <t>działalność usługowa związana z przygotowywaniem do druku</t>
  </si>
  <si>
    <t>Pre-press and pre-media services</t>
  </si>
  <si>
    <t>1814Z</t>
  </si>
  <si>
    <t>introligatorstwo i podobne usługi</t>
  </si>
  <si>
    <t>Binding and related services</t>
  </si>
  <si>
    <t>1820Z</t>
  </si>
  <si>
    <t>reprodukcja zapisanych nośników informacji</t>
  </si>
  <si>
    <t>Reproduction of recorded media</t>
  </si>
  <si>
    <t>1910Z</t>
  </si>
  <si>
    <t>wytwarzanie i przetwarzanie koksu</t>
  </si>
  <si>
    <t>Manufacture and processing of coke</t>
  </si>
  <si>
    <t>1920Z</t>
  </si>
  <si>
    <t>wytwarzanie i przetwarzanie produktów rafinacji ropy naftowej</t>
  </si>
  <si>
    <t>Manufacture and processing ofrefind petroleum products</t>
  </si>
  <si>
    <t>2011Z</t>
  </si>
  <si>
    <t>produkcja gazów technicznych</t>
  </si>
  <si>
    <t>Manufacture of industrial gases</t>
  </si>
  <si>
    <t>2012Z</t>
  </si>
  <si>
    <t>produkcja barwników i pigmentów</t>
  </si>
  <si>
    <t>Manufacture of dyes and pigments</t>
  </si>
  <si>
    <t>2013Z</t>
  </si>
  <si>
    <t>produkcja pozostałych podstawowych chemikaliów nieorganicznych</t>
  </si>
  <si>
    <t>Manufacture of other inorganic basic chemicals</t>
  </si>
  <si>
    <t>2014Z</t>
  </si>
  <si>
    <t>produkcja pozostałych podstawowych chemikaliów organicznych</t>
  </si>
  <si>
    <t>Manufacture of other organic basic chemicals</t>
  </si>
  <si>
    <t>2015Z</t>
  </si>
  <si>
    <t>produkcja nawozów i związków azotowych</t>
  </si>
  <si>
    <t>Manufacture of fertilisers and nitrogen compounds</t>
  </si>
  <si>
    <t>2016Z</t>
  </si>
  <si>
    <t>produkcja tworzyw sztucznych w formach podstawowych</t>
  </si>
  <si>
    <t>Manufacture of plastics in primary forms</t>
  </si>
  <si>
    <t>2017Z</t>
  </si>
  <si>
    <t>produkcja kauczuku syntetycznego w formach podstawowych</t>
  </si>
  <si>
    <t>Manufacture of synthetic rubber in primary forms</t>
  </si>
  <si>
    <t>2020Z</t>
  </si>
  <si>
    <t>produkcja pestycydów i pozostałych środków agrochemicznych</t>
  </si>
  <si>
    <t>Manufacture of pesticides and other agrochemical products</t>
  </si>
  <si>
    <t>2030Z</t>
  </si>
  <si>
    <t>produkcja farb, lakierów i podobnych powłok, farb drukarskich i mas uszczelniających</t>
  </si>
  <si>
    <t>Manufacture of paints, varnishes and similar coatings, printing ink and mastics</t>
  </si>
  <si>
    <t>2041Z</t>
  </si>
  <si>
    <t>produkcja mydła i detergentów, środków myjących i czyszczących</t>
  </si>
  <si>
    <t>Manufacture of soap and detergents, cleaning and polishing preparations</t>
  </si>
  <si>
    <t>2042Z</t>
  </si>
  <si>
    <t>produkcja wyrobów kosmetycznych i toaletowych</t>
  </si>
  <si>
    <t>Manufacture of perfumes and toilet preparations</t>
  </si>
  <si>
    <t>2051Z</t>
  </si>
  <si>
    <t>produkcja materiałów wybuchowych</t>
  </si>
  <si>
    <t>Manufacture of explosives</t>
  </si>
  <si>
    <t>2052Z</t>
  </si>
  <si>
    <t>produkcja klejów</t>
  </si>
  <si>
    <t>Manufacture of glues</t>
  </si>
  <si>
    <t>2053Z</t>
  </si>
  <si>
    <t>produkcja olejków eterycznych</t>
  </si>
  <si>
    <t>Manufacture of essential oils</t>
  </si>
  <si>
    <t>2059Z</t>
  </si>
  <si>
    <t>produkcja pozostałych wyrobów chemicznych, gdzie indziej niesklasyfikowana</t>
  </si>
  <si>
    <t>Manufacture of other chemical products notelsewhere classified</t>
  </si>
  <si>
    <t>2060Z</t>
  </si>
  <si>
    <t>produkcja włókien chemicznych</t>
  </si>
  <si>
    <t>Manufacture of man-made fibres</t>
  </si>
  <si>
    <t>2110Z</t>
  </si>
  <si>
    <t>produkcja podstawowych substancji farmaceutycznych</t>
  </si>
  <si>
    <t>Manufacture of basic pharmaceutical substances</t>
  </si>
  <si>
    <t>2120Z</t>
  </si>
  <si>
    <t>produkcja leków i pozostałych wyrobów farmaceutycznych</t>
  </si>
  <si>
    <t>Manufacture of medicines and other pharmaceutical products</t>
  </si>
  <si>
    <t>2211Z</t>
  </si>
  <si>
    <t>produkcja opon i dętek z gumy; bieżnikowanie i regenerowanie opon z gumy</t>
  </si>
  <si>
    <t>Manufacture of rubber tyres and tubes; retreading and rebuilding of rubber tyres</t>
  </si>
  <si>
    <t>2219Z</t>
  </si>
  <si>
    <t>produkcja pozostałych wyrobów z gumy</t>
  </si>
  <si>
    <t>Manufacture of other rubber products</t>
  </si>
  <si>
    <t>2221Z</t>
  </si>
  <si>
    <t>produkcja płyt, arkuszy, rur i kształtowników z tworzyw sztucznych</t>
  </si>
  <si>
    <t>Manufacture of plastic plates, sheets, tubes and profiles</t>
  </si>
  <si>
    <t>2222Z</t>
  </si>
  <si>
    <t>produkcja opakowań z tworzyw sztucznych</t>
  </si>
  <si>
    <t>Manufacture of plastic packing goods</t>
  </si>
  <si>
    <t>2223Z</t>
  </si>
  <si>
    <t>produkcja wyrobów dla budownictwa z tworzyw sztucznych</t>
  </si>
  <si>
    <t>Manufacture of builders’ ware of plastic</t>
  </si>
  <si>
    <t>2229Z</t>
  </si>
  <si>
    <t>produkcja pozostałych wyrobów z tworzyw sztucznych</t>
  </si>
  <si>
    <t>Manufacture of other plastic products</t>
  </si>
  <si>
    <t>2311Z</t>
  </si>
  <si>
    <t>produkcja szkła płaskiego</t>
  </si>
  <si>
    <t>Manufacture of flat glass</t>
  </si>
  <si>
    <t>2312Z</t>
  </si>
  <si>
    <t>kształtowanie i obróbka szkła płaskiego</t>
  </si>
  <si>
    <t>Shaping and processing of flat glass</t>
  </si>
  <si>
    <t>2313Z</t>
  </si>
  <si>
    <t>produkcja szkła gospodarczego</t>
  </si>
  <si>
    <t>Manufacture of hollow glass</t>
  </si>
  <si>
    <t>2314Z</t>
  </si>
  <si>
    <t>produkcja włókien szklanych</t>
  </si>
  <si>
    <t>Manufacture of glass fibresallow</t>
  </si>
  <si>
    <t>2319Z</t>
  </si>
  <si>
    <t>produkcja i obróbka pozostałego szkła, włączając szkło techniczne</t>
  </si>
  <si>
    <t>Manufacture and processing of other glass, including technical glassware</t>
  </si>
  <si>
    <t>2320Z</t>
  </si>
  <si>
    <t>produkcja wyrobów ogniotrwałych</t>
  </si>
  <si>
    <t>Manufacture of refractory products</t>
  </si>
  <si>
    <t>2331Z</t>
  </si>
  <si>
    <t>produkcja ceramicznych kafli i płytek</t>
  </si>
  <si>
    <t>Manufacture of ceramic tiles and flags</t>
  </si>
  <si>
    <t>2332Z</t>
  </si>
  <si>
    <t>produkcja cegieł, dachówek i materiałów budowlanych, z wypalanej gliny</t>
  </si>
  <si>
    <t>Manufacture of bricks, tiles and construction products, in baked clay</t>
  </si>
  <si>
    <t>2341Z</t>
  </si>
  <si>
    <t>produkcja ceramicznych wyrobów stołowych i ozdobnych</t>
  </si>
  <si>
    <t>Manufacture of ceramic tableware and ornamental articles</t>
  </si>
  <si>
    <t>2342Z</t>
  </si>
  <si>
    <t>produkcja ceramicznych wyrobów sanitarnych</t>
  </si>
  <si>
    <t>Manufacture of ceramic sanitary fixtures</t>
  </si>
  <si>
    <t>2343Z</t>
  </si>
  <si>
    <t>produkcja ceramicznych izolatorów i osłon izolacyjnych</t>
  </si>
  <si>
    <t>Manufacture of ceramic insulators and hollow insulators</t>
  </si>
  <si>
    <t>2344Z</t>
  </si>
  <si>
    <t>produkcja pozostałych technicznych wyrobów ceramicznych</t>
  </si>
  <si>
    <t>Manufacture of other technical ceramic products</t>
  </si>
  <si>
    <t>2349Z</t>
  </si>
  <si>
    <t>produkcja pozostałych wyrobów ceramicznych</t>
  </si>
  <si>
    <t>Manufacture of other ceramic products</t>
  </si>
  <si>
    <t>2351Z</t>
  </si>
  <si>
    <t>produkcja cementu</t>
  </si>
  <si>
    <t>Manufacture of cement</t>
  </si>
  <si>
    <t>2352Z</t>
  </si>
  <si>
    <t>produkcja wapna i gipsu</t>
  </si>
  <si>
    <t>Manufacture of lime and plaster</t>
  </si>
  <si>
    <t>2361Z</t>
  </si>
  <si>
    <t>produkcja wyrobów budowlanych z betonu</t>
  </si>
  <si>
    <t>Manufacture of concrete products for construction purposes</t>
  </si>
  <si>
    <t>2362Z</t>
  </si>
  <si>
    <t>produkcja wyrobów budowlanych z gipsu</t>
  </si>
  <si>
    <t>Manufacture of plaster products for construction purposes</t>
  </si>
  <si>
    <t>2363Z</t>
  </si>
  <si>
    <t>produkcja masy betonowej prefabrykowanej</t>
  </si>
  <si>
    <t>Manufacture of ready-mixed concrete</t>
  </si>
  <si>
    <t>2364Z</t>
  </si>
  <si>
    <t>produkcja zaprawy murarskiej</t>
  </si>
  <si>
    <t>Manufacture of mortars</t>
  </si>
  <si>
    <t>2365Z</t>
  </si>
  <si>
    <t>produkcja cementu wzmocnionego włóknem</t>
  </si>
  <si>
    <t>Manufacture of fibre cement</t>
  </si>
  <si>
    <t>2369Z</t>
  </si>
  <si>
    <t>produkcja pozostałych wyrobów z betonu, gipsu i cementu</t>
  </si>
  <si>
    <t>Manufacture of other articles of concrete, plaster and cement</t>
  </si>
  <si>
    <t>2370Z</t>
  </si>
  <si>
    <t>cięcie, formowanie i wykańczanie kamienia</t>
  </si>
  <si>
    <t>Cutting, shaping and finishing of stone</t>
  </si>
  <si>
    <t>2391Z</t>
  </si>
  <si>
    <t>produkcja wyrobów ściernych</t>
  </si>
  <si>
    <t>Production of abrasive products</t>
  </si>
  <si>
    <t>2399Z</t>
  </si>
  <si>
    <t>produkcja pozostałych wyrobów z mineralnych surowców niemetalicznych, gdzie indziej niesklasyfikowana</t>
  </si>
  <si>
    <t>Manufacture of abrasive products and others non-metallic mineral products notelsewhere classified</t>
  </si>
  <si>
    <t>2410Z</t>
  </si>
  <si>
    <t>produkcja surówki, żelazostopów, żeliwa i stali oraz wyrobów hutniczych</t>
  </si>
  <si>
    <t>Manufacture ofpig iron, ferro-alloys, basic iron and steel and metallurgic articles</t>
  </si>
  <si>
    <t>2420Z</t>
  </si>
  <si>
    <t>produkcja rur, przewodów, kształtowników zamkniętych i łączników, ze stali</t>
  </si>
  <si>
    <t>Manufacture of tubes and pipes, conduits, closed sections andconnectors, of steel</t>
  </si>
  <si>
    <t>2431Z</t>
  </si>
  <si>
    <t>produkcja prętów ciągnionych na zimno</t>
  </si>
  <si>
    <t>Cold drawing of bars</t>
  </si>
  <si>
    <t>2432Z</t>
  </si>
  <si>
    <t>produkcja wyrobów płaskich walcowanych na zimno</t>
  </si>
  <si>
    <t>Cold rolling of narrow strip</t>
  </si>
  <si>
    <t>2433Z</t>
  </si>
  <si>
    <t>produkcja wyrobów formowanych na zimno</t>
  </si>
  <si>
    <t>Manufacture of cold forming products</t>
  </si>
  <si>
    <t>2434Z</t>
  </si>
  <si>
    <t>produkcja drutu</t>
  </si>
  <si>
    <t>Manufacture of wire</t>
  </si>
  <si>
    <t>2441Z</t>
  </si>
  <si>
    <t>produkcja metali szlachetnych</t>
  </si>
  <si>
    <t>Precious metals production</t>
  </si>
  <si>
    <t>2442A</t>
  </si>
  <si>
    <t>produkcja aluminium hutniczego</t>
  </si>
  <si>
    <t>Primary aluminium production</t>
  </si>
  <si>
    <t>2442B</t>
  </si>
  <si>
    <t>produkcja wyrobów z aluminium i stopów aluminium</t>
  </si>
  <si>
    <t>Aluminium and aluminium alloy goods production</t>
  </si>
  <si>
    <t>2443Z</t>
  </si>
  <si>
    <t>produkcja ołowiu, cynku i cyny</t>
  </si>
  <si>
    <t>Lead, zinc and tin production</t>
  </si>
  <si>
    <t>2444Z</t>
  </si>
  <si>
    <t>produkcja miedzi</t>
  </si>
  <si>
    <t>Copper production</t>
  </si>
  <si>
    <t>2445Z</t>
  </si>
  <si>
    <t>produkcja pozostałych metali nieżelaznych</t>
  </si>
  <si>
    <t>Other non-ferrous metal production</t>
  </si>
  <si>
    <t>2446Z</t>
  </si>
  <si>
    <t>wytwarzanie paliw jądrowych</t>
  </si>
  <si>
    <t>Nuclear fuel production</t>
  </si>
  <si>
    <t>2451Z</t>
  </si>
  <si>
    <t>odlewnictwo żeliwa</t>
  </si>
  <si>
    <t>Casting of iron</t>
  </si>
  <si>
    <t>2452Z</t>
  </si>
  <si>
    <t>odlewnictwo staliwa</t>
  </si>
  <si>
    <t>Casting of steel</t>
  </si>
  <si>
    <t>2453Z</t>
  </si>
  <si>
    <t>odlewnictwo metali lekkich</t>
  </si>
  <si>
    <t>Casting of light metals</t>
  </si>
  <si>
    <t>2454A</t>
  </si>
  <si>
    <t>odlewnictwo miedzi i stopów miedzi</t>
  </si>
  <si>
    <t>Casting of copper and copper alloy</t>
  </si>
  <si>
    <t>2454B</t>
  </si>
  <si>
    <t>odlewnictwo pozostałych metali nieżelaznych, gdzie indziej niesklasyfikowane</t>
  </si>
  <si>
    <t>Casting of other non-ferrous metals notelsewhere classified</t>
  </si>
  <si>
    <t>2511Z</t>
  </si>
  <si>
    <t>produkcja konstrukcji metalowych i ich części</t>
  </si>
  <si>
    <t>Manufacture of metal structures and parts of structures</t>
  </si>
  <si>
    <t>2512Z</t>
  </si>
  <si>
    <t>produkcja metalowych elementów stolarki budowlanej</t>
  </si>
  <si>
    <t>Manufacture of metal elements of building woodwork</t>
  </si>
  <si>
    <t>2521Z</t>
  </si>
  <si>
    <t>produkcja grzejników i kotłów centralnego ogrzewania</t>
  </si>
  <si>
    <t>Manufacture of central heating radiators and boilers</t>
  </si>
  <si>
    <t>2529Z</t>
  </si>
  <si>
    <t>produkcja pozostałych zbiorników, cystern i pojemników metalowych</t>
  </si>
  <si>
    <t>Manufacture of other tanks, reservoirs and containers of metal</t>
  </si>
  <si>
    <t>2530Z</t>
  </si>
  <si>
    <t>produkcja wytwornic pary, z wyłączeniem kotłów do centralnego ogrzewania gorącą wodą</t>
  </si>
  <si>
    <t>Manufacture of steam generators, except central heating hot water boilers</t>
  </si>
  <si>
    <t>2540Z</t>
  </si>
  <si>
    <t>produkcja broni i amunicji</t>
  </si>
  <si>
    <t>Manufacture of weapons and ammunition</t>
  </si>
  <si>
    <t>2550Z</t>
  </si>
  <si>
    <t>kucie, prasowanie, wytłaczanie i walcowanie metali; metalurgia proszków</t>
  </si>
  <si>
    <t>Forging, pressing, stamping and roll-forming of metal; powder metallurgy</t>
  </si>
  <si>
    <t>2561Z</t>
  </si>
  <si>
    <t>obróbka metali i nakładanie powłok na metale</t>
  </si>
  <si>
    <t>Treatment and coating of metals</t>
  </si>
  <si>
    <t>2562Z</t>
  </si>
  <si>
    <t>obróbka mechaniczna elementów metalowych</t>
  </si>
  <si>
    <t>Mechanical working of metal elements</t>
  </si>
  <si>
    <t>2571Z</t>
  </si>
  <si>
    <t>produkcja wyrobów nożowniczych i sztućców</t>
  </si>
  <si>
    <t>Manufacture of cutlery</t>
  </si>
  <si>
    <t>2572Z</t>
  </si>
  <si>
    <t>produkcja zamków i zawiasów</t>
  </si>
  <si>
    <t>Manufacture of locks and hinges</t>
  </si>
  <si>
    <t>2573Z</t>
  </si>
  <si>
    <t>produkcja narzędzi</t>
  </si>
  <si>
    <t>Manufacture of tools</t>
  </si>
  <si>
    <t>2591Z</t>
  </si>
  <si>
    <t>produkcja pojemników metalowych</t>
  </si>
  <si>
    <t>Manufacture of metal containers</t>
  </si>
  <si>
    <t>2592Z</t>
  </si>
  <si>
    <t>produkcja opakowań z metali</t>
  </si>
  <si>
    <t>Manufacture of metal packaging</t>
  </si>
  <si>
    <t>2593Z</t>
  </si>
  <si>
    <t>produkcja wyrobów z drutu, łańcuchów i sprężyn</t>
  </si>
  <si>
    <t>Manufacture of wire products,chains and springs</t>
  </si>
  <si>
    <t>2594Z</t>
  </si>
  <si>
    <t>produkcja złączy i śrub</t>
  </si>
  <si>
    <t>Manufacture of fasteners and screws</t>
  </si>
  <si>
    <t>2599Z</t>
  </si>
  <si>
    <t>produkcja pozostałych gotowych wyrobów metalowych, gdzie indziej niesklasyfikowana</t>
  </si>
  <si>
    <t>Manufacture of other fabricated metal products notelsewhere classified</t>
  </si>
  <si>
    <t>2611Z</t>
  </si>
  <si>
    <t>produkcja elementów elektronicznych</t>
  </si>
  <si>
    <t>Manufacture of electronic components</t>
  </si>
  <si>
    <t>2612Z</t>
  </si>
  <si>
    <t>produkcja elektronicznych obwodów drukowanych</t>
  </si>
  <si>
    <t>Manufacture of electronic printed circuits</t>
  </si>
  <si>
    <t>2620Z</t>
  </si>
  <si>
    <t>produkcja komputerów i urządzeń peryferyjnych</t>
  </si>
  <si>
    <t>Manufacture of computers and peripheral equipment</t>
  </si>
  <si>
    <t>2630Z</t>
  </si>
  <si>
    <t>produkcja sprzętu (tele)komunikacyjnego</t>
  </si>
  <si>
    <t>Manufacture of(tele)communication equipment</t>
  </si>
  <si>
    <t>2640Z</t>
  </si>
  <si>
    <t>produkcja elektronicznego sprzętu powszechnego użytku</t>
  </si>
  <si>
    <t>Manufacture of consumer electronics</t>
  </si>
  <si>
    <t>2651Z</t>
  </si>
  <si>
    <t>produkcja instrumentów i przyrządów pomiarowych, kontrolnych i nawigacyjnych</t>
  </si>
  <si>
    <t>Manufacture of instruments and appliances for measuring, testing and navigation</t>
  </si>
  <si>
    <t>2652Z</t>
  </si>
  <si>
    <t>produkcja zegarków i zegarów</t>
  </si>
  <si>
    <t>Manufacture of watches and clocks</t>
  </si>
  <si>
    <t>2660Z</t>
  </si>
  <si>
    <t>produkcja urządzeń napromieniowujących, sprzętu elektromedycznego i elektroterapeutycznego</t>
  </si>
  <si>
    <t>Manufacture of irradiation, electromedical and electrotherapeutic equipment</t>
  </si>
  <si>
    <t>2670Z</t>
  </si>
  <si>
    <t>produkcja instrumentów optycznych i sprzętu fotograficznego</t>
  </si>
  <si>
    <t>Manufacture of optical instruments and photographic equipment</t>
  </si>
  <si>
    <t>2680Z</t>
  </si>
  <si>
    <t>produkcja magnetycznych i optycznych niezapisanych nośników informacji</t>
  </si>
  <si>
    <t>Manufacture of unrecorded magnetic and optical media</t>
  </si>
  <si>
    <t>2711Z</t>
  </si>
  <si>
    <t>produkcja elektrycznych silników, prądnic i transformatorów</t>
  </si>
  <si>
    <t>Manufacture of electric motors, generators and transformers</t>
  </si>
  <si>
    <t>2712Z</t>
  </si>
  <si>
    <t>produkcja aparatury rozdzielczej i sterowniczej energii elektrycznej</t>
  </si>
  <si>
    <t>Manufacture of electricity distribution and control apparatus</t>
  </si>
  <si>
    <t>2720Z</t>
  </si>
  <si>
    <t>produkcja baterii i akumulatorów</t>
  </si>
  <si>
    <t>Manufacture of batteries and accumulators</t>
  </si>
  <si>
    <t>2731Z</t>
  </si>
  <si>
    <t>produkcja kabli światłowodowych</t>
  </si>
  <si>
    <t>Manufacture of fibre optic cables</t>
  </si>
  <si>
    <t>2732Z</t>
  </si>
  <si>
    <t>produkcja pozostałych elektronicznych i elektrycznych przewodów i kabli</t>
  </si>
  <si>
    <t>Manufacture of other electronic and electric wires and cables</t>
  </si>
  <si>
    <t>2733Z</t>
  </si>
  <si>
    <t>produkcja sprzętu instalacyjnego</t>
  </si>
  <si>
    <t>Manufacture of installing equipment</t>
  </si>
  <si>
    <t>2740Z</t>
  </si>
  <si>
    <t>produkcja elektrycznego sprzętu oświetleniowego</t>
  </si>
  <si>
    <t>Manufacture of electric lighting equipment</t>
  </si>
  <si>
    <t>2751Z</t>
  </si>
  <si>
    <t>produkcja elektrycznego sprzętu gospodarstwa domowego</t>
  </si>
  <si>
    <t>Manufacture of electric domestic appliances</t>
  </si>
  <si>
    <t>2752Z</t>
  </si>
  <si>
    <t>produkcja nieelektrycznego sprzętu gospodarstwa domowego</t>
  </si>
  <si>
    <t>Manufacture of non-electric domestic appliances</t>
  </si>
  <si>
    <t>2790Z</t>
  </si>
  <si>
    <t>produkcja pozostałego sprzętu elektrycznego</t>
  </si>
  <si>
    <t>Manufacture of other electrical equipment</t>
  </si>
  <si>
    <t>2811Z</t>
  </si>
  <si>
    <t>produkcja silników i turbin, z wyłączeniem silników lotniczych, samochodowych i motocyklowych</t>
  </si>
  <si>
    <t>Manufacture of engines and turbines, except aircraft, vehicle and cycle engines</t>
  </si>
  <si>
    <t>2812Z</t>
  </si>
  <si>
    <t>produkcja sprzętu i wyposażenia do napędu hydraulicznego i pneumatycznego</t>
  </si>
  <si>
    <t>Manufacture of fluid power equipment</t>
  </si>
  <si>
    <t>2813Z</t>
  </si>
  <si>
    <t>produkcja pozostałych pomp i sprężarek</t>
  </si>
  <si>
    <t>Manufacture of other pumps and compressors</t>
  </si>
  <si>
    <t>2814Z</t>
  </si>
  <si>
    <t>produkcja pozostałych kurków i zaworów</t>
  </si>
  <si>
    <t>Manufacture of other taps and valves</t>
  </si>
  <si>
    <t>2815Z</t>
  </si>
  <si>
    <t>produkcja łożysk, kół zębatych, przekładni zębatych i elementów napędowych</t>
  </si>
  <si>
    <t>Manufacture of bearings, gears, gearing and driving elements</t>
  </si>
  <si>
    <t>2821Z</t>
  </si>
  <si>
    <t>produkcja pieców, palenisk i palników piecowych</t>
  </si>
  <si>
    <t>Manufacture of ovens, furnaces and furnace burners</t>
  </si>
  <si>
    <t>2822Z</t>
  </si>
  <si>
    <t>produkcja urządzeń dźwigowych i chwytaków</t>
  </si>
  <si>
    <t>Manufacture of lifting equipment and gripping devices</t>
  </si>
  <si>
    <t>2823Z</t>
  </si>
  <si>
    <t>produkcja maszyn i sprzętu biurowego, z wyłączeniem komputerów i urządzeń peryferyjnych</t>
  </si>
  <si>
    <t>Manufacture of office machinery and equipment,except computers and peripheral equipment</t>
  </si>
  <si>
    <t>2824Z</t>
  </si>
  <si>
    <t>produkcja narzędzi ręcznych mechanicznych</t>
  </si>
  <si>
    <t>Manufacture of power-driven hand tools</t>
  </si>
  <si>
    <t>2825Z</t>
  </si>
  <si>
    <t>produkcja przemysłowych urządzeń chłodniczych i wentylacyjnych</t>
  </si>
  <si>
    <t>Manufacture of industrial cooling and ventilation equipment</t>
  </si>
  <si>
    <t>2829Z</t>
  </si>
  <si>
    <t>produkcja pozostałych maszyn ogólnego przeznaczenia, gdzie indziej niesklasyfikowana</t>
  </si>
  <si>
    <t>Manufacture of other general-purpose machinery notelsewhere classified</t>
  </si>
  <si>
    <t>2830Z</t>
  </si>
  <si>
    <t>produkcja maszyn dla rolnictwa i leśnictwa</t>
  </si>
  <si>
    <t>Manufacture of agricultural and forestry machinery</t>
  </si>
  <si>
    <t>2841Z</t>
  </si>
  <si>
    <t>produkcja maszyn do obróbki metalu</t>
  </si>
  <si>
    <t>Manufacture of metal forming machinery</t>
  </si>
  <si>
    <t>2849Z</t>
  </si>
  <si>
    <t>produkcja pozostałych narzędzi mechanicznych</t>
  </si>
  <si>
    <t>Manufacture ofother mechanical tools</t>
  </si>
  <si>
    <t>2891Z</t>
  </si>
  <si>
    <t>produkcja maszyn dla metalurgii</t>
  </si>
  <si>
    <t>Manufacture of machinery for metallurgy</t>
  </si>
  <si>
    <t>2892Z</t>
  </si>
  <si>
    <t>produkcja maszyn dla górnictwa i do wydobywania oraz budownictwa</t>
  </si>
  <si>
    <t>Manufacture of machinery for mining, quarrying and construction</t>
  </si>
  <si>
    <t>2893Z</t>
  </si>
  <si>
    <t>produkcja maszyn stosowanych w przetwórstwie żywności, tytoniu i produkcji napojów</t>
  </si>
  <si>
    <t>Manufacture of machinery for food, beverage and tobacco processing</t>
  </si>
  <si>
    <t>2894Z</t>
  </si>
  <si>
    <t>produkcja maszyn dla przemysłu tekstylnego, odzieżowego i skórzanego</t>
  </si>
  <si>
    <t>Manufacture of machinery for textile, apparel and leather production</t>
  </si>
  <si>
    <t>2895Z</t>
  </si>
  <si>
    <t>produkcja maszyn dla przemysłu papierniczego</t>
  </si>
  <si>
    <t>Manufacture of machinery for paper and paperboard production</t>
  </si>
  <si>
    <t>2896Z</t>
  </si>
  <si>
    <t>produkcja maszyn do obróbki gumy lub tworzyw sztucznych oraz wytwarzania wyrobów z tych materiałów</t>
  </si>
  <si>
    <t>Manufacture of machinery forworking rubber or plastics and for manufacture of the articles from these materials</t>
  </si>
  <si>
    <t>2899Z</t>
  </si>
  <si>
    <t>produkcja pozostałych maszyn specjalnego przeznaczenia, gdzie indziej niesklasyfikowana</t>
  </si>
  <si>
    <t>Manufacture of other special-purpose machinery notelsewhere classified</t>
  </si>
  <si>
    <t>2910A</t>
  </si>
  <si>
    <t>produkcja silników do pojazdów samochodowych (z wyłączeniem motocykli) oraz do ciągników rolniczych</t>
  </si>
  <si>
    <t>Manufacture of engines for motor vehicles (excluding motorcycles) and for agricultural tractors</t>
  </si>
  <si>
    <t>2910B</t>
  </si>
  <si>
    <t>produkcja samochodów osobowych</t>
  </si>
  <si>
    <t>Manufacture of cars</t>
  </si>
  <si>
    <t>2910C</t>
  </si>
  <si>
    <t>produkcja autobusów</t>
  </si>
  <si>
    <t>Manufacture of buses</t>
  </si>
  <si>
    <t>2910D</t>
  </si>
  <si>
    <t>produkcja pojazdów samochodowych przeznaczonych do przewozu towarów</t>
  </si>
  <si>
    <t>Manufacture of motor vehicles for the transport of goods</t>
  </si>
  <si>
    <t>2910E</t>
  </si>
  <si>
    <t>produkcja pozostałych pojazdów samochodowych, z wyłączeniem motocykli</t>
  </si>
  <si>
    <t>Manufacture of other motor vehicles excluding motorcycles</t>
  </si>
  <si>
    <t>2920Z</t>
  </si>
  <si>
    <t>produkcja nadwozi do pojazdów silnikowych; produkcja przyczep i naczep</t>
  </si>
  <si>
    <t>Manufacture of bodies (coachwork) for motor vehicles; manufacture of trailers and semi-trailers</t>
  </si>
  <si>
    <t>2931Z</t>
  </si>
  <si>
    <t>produkcja wyposażenia elektrycznego i elektronicznego do pojazdów silnikowych</t>
  </si>
  <si>
    <t>Manufacture of electrical and electronic equipment for motor vehicles</t>
  </si>
  <si>
    <t>2932Z</t>
  </si>
  <si>
    <t>produkcja pozostałych części i akcesoriów do pojazdów silnikowych, z wyłączeniem motocykli</t>
  </si>
  <si>
    <t>Manufacture of other parts and accessories for motor vehicles excluding motorcycles</t>
  </si>
  <si>
    <t>3011Z</t>
  </si>
  <si>
    <t>produkcja statków i konstrukcji pływających</t>
  </si>
  <si>
    <t>Building of ships and floating structures</t>
  </si>
  <si>
    <t>3012Z</t>
  </si>
  <si>
    <t>produkcja łodzi wycieczkowych i sportowych</t>
  </si>
  <si>
    <t>Building of pleasure and sporting boats</t>
  </si>
  <si>
    <t>3020Z</t>
  </si>
  <si>
    <t>produkcja lokomotyw kolejowych oraz taboru szynowego</t>
  </si>
  <si>
    <t>Manufacture of railway locomotives and rolling stock</t>
  </si>
  <si>
    <t>3030Z</t>
  </si>
  <si>
    <t>produkcja statków powietrznych, statków kosmicznych i podobnych maszyn</t>
  </si>
  <si>
    <t>3040Z</t>
  </si>
  <si>
    <t>produkcja wojskowych pojazdów bojowych</t>
  </si>
  <si>
    <t>Manufacture of military fighting vehicles</t>
  </si>
  <si>
    <t>3091Z</t>
  </si>
  <si>
    <t>produkcja motocykli</t>
  </si>
  <si>
    <t>Manufacture of motorcycles</t>
  </si>
  <si>
    <t>3092Z</t>
  </si>
  <si>
    <t>produkcja rowerów i wózków inwalidzkich</t>
  </si>
  <si>
    <t>Manufacture of bicycles and invalid carriages</t>
  </si>
  <si>
    <t>3099Z</t>
  </si>
  <si>
    <t>produkcja pozostałego sprzętu transportowego, gdzie indziej niesklasyfikowana</t>
  </si>
  <si>
    <t>Manufacture of other transport equipment notelsewhere classified</t>
  </si>
  <si>
    <t>3101Z</t>
  </si>
  <si>
    <t>produkcja mebli biurowych i sklepowych</t>
  </si>
  <si>
    <t>Manufacture of office and shop furniture</t>
  </si>
  <si>
    <t>3102Z</t>
  </si>
  <si>
    <t>produkcja mebli kuchennych</t>
  </si>
  <si>
    <t>Manufacture of kitchen furniture</t>
  </si>
  <si>
    <t>3103Z</t>
  </si>
  <si>
    <t>produkcja materaców</t>
  </si>
  <si>
    <t>Manufacture of mattresses</t>
  </si>
  <si>
    <t>3109Z</t>
  </si>
  <si>
    <t>produkcja pozostałych mebli</t>
  </si>
  <si>
    <t>Manufacture of other furniture</t>
  </si>
  <si>
    <t>3211Z</t>
  </si>
  <si>
    <t>produkcja monet</t>
  </si>
  <si>
    <t>Striking of coins</t>
  </si>
  <si>
    <t>3212Z</t>
  </si>
  <si>
    <t>produkcja wyrobów jubilerskich i podobnych</t>
  </si>
  <si>
    <t>Manufacture of jewellery and related articles</t>
  </si>
  <si>
    <t>3213Z</t>
  </si>
  <si>
    <t>produkcja sztucznej biżuterii i wyrobów podobnych</t>
  </si>
  <si>
    <t>Manufacture of imitation jewellery and related articles</t>
  </si>
  <si>
    <t>3220Z</t>
  </si>
  <si>
    <t>produkcja instrumentów muzycznych</t>
  </si>
  <si>
    <t>Manufacture of musical instruments</t>
  </si>
  <si>
    <t>3230Z</t>
  </si>
  <si>
    <t>produkcja sprzętu sportowego</t>
  </si>
  <si>
    <t>Manufacture of sports goods</t>
  </si>
  <si>
    <t>3240Z</t>
  </si>
  <si>
    <t>produkcja gier i zabawek</t>
  </si>
  <si>
    <t>Manufacture of games and toys</t>
  </si>
  <si>
    <t>3250Z</t>
  </si>
  <si>
    <t>produkcja urządzeń, instrumentów oraz wyrobów medycznych, włączając dentystyczne</t>
  </si>
  <si>
    <t>Manufacture of medical and dental instruments and supplies</t>
  </si>
  <si>
    <t>3291Z</t>
  </si>
  <si>
    <t>produkcja mioteł, szczotek i pędzli</t>
  </si>
  <si>
    <t>Manufacture of brooms and brushes</t>
  </si>
  <si>
    <t>3299Z</t>
  </si>
  <si>
    <t>produkcja pozostałych wyrobów, gdzie indziej niesklasyfikowana</t>
  </si>
  <si>
    <t>Other manufacturing notelsewhere classified</t>
  </si>
  <si>
    <t>3311Z</t>
  </si>
  <si>
    <t>naprawa i konserwacja metalowych wyrobów gotowych</t>
  </si>
  <si>
    <t>Repair and maintenance of fabricated metal products</t>
  </si>
  <si>
    <t>3312Z</t>
  </si>
  <si>
    <t>naprawa i konserwacja maszyn</t>
  </si>
  <si>
    <t>Repair and maintenance of machinery</t>
  </si>
  <si>
    <t>3313Z</t>
  </si>
  <si>
    <t>naprawa i konserwacja urządzeń elektronicznych i optycznych</t>
  </si>
  <si>
    <t>Repair and maintenance of electronic and optical equipment</t>
  </si>
  <si>
    <t>3314Z</t>
  </si>
  <si>
    <t>naprawa i konserwacja urządzeń elektrycznych</t>
  </si>
  <si>
    <t>Repair and maintenance of electrical equipment</t>
  </si>
  <si>
    <t>3315Z</t>
  </si>
  <si>
    <t>naprawa i konserwacja statków i łodzi</t>
  </si>
  <si>
    <t>Repair and maintenance of ships and boats</t>
  </si>
  <si>
    <t>3316Z</t>
  </si>
  <si>
    <t>naprawa i konserwacja statków powietrznych i statków kosmicznych</t>
  </si>
  <si>
    <t>Repair and maintenance of aircraft and spacecraft</t>
  </si>
  <si>
    <t>3317Z</t>
  </si>
  <si>
    <t>naprawa i konserwacja pozostałego sprzętu transportowego</t>
  </si>
  <si>
    <t>Repair and maintenance of other transport equipment</t>
  </si>
  <si>
    <t>3319Z</t>
  </si>
  <si>
    <t>naprawa i konserwacja pozostałego sprzętu i wyposażenia</t>
  </si>
  <si>
    <t>Repair and maintenance of other equipment</t>
  </si>
  <si>
    <t>3320Z</t>
  </si>
  <si>
    <t>instalowanie maszyn przemysłowych, sprzętu i wyposażenia</t>
  </si>
  <si>
    <t>Installation of industrial machinery and equipment and outfit</t>
  </si>
  <si>
    <t>3511Z</t>
  </si>
  <si>
    <t>wytwarzanie energii elektrycznej</t>
  </si>
  <si>
    <t>Production of electricity</t>
  </si>
  <si>
    <t>3512Z</t>
  </si>
  <si>
    <t>przesyłanie energii elektrycznej</t>
  </si>
  <si>
    <t>Transmission of electricity</t>
  </si>
  <si>
    <t>3513Z</t>
  </si>
  <si>
    <t>dystrybucja energii elektrycznej</t>
  </si>
  <si>
    <t>Distribution of electricity</t>
  </si>
  <si>
    <t>3514Z</t>
  </si>
  <si>
    <t>handel energią elektryczną</t>
  </si>
  <si>
    <t>Trade of electricity</t>
  </si>
  <si>
    <t>3521Z</t>
  </si>
  <si>
    <t>wytwarzanie paliw gazowych</t>
  </si>
  <si>
    <t>Manufacture of gaseous fuels</t>
  </si>
  <si>
    <t>3522Z</t>
  </si>
  <si>
    <t>dystrybucja paliw gazowych w systemie sieciowym</t>
  </si>
  <si>
    <t>Distribution of gaseous fuels through mains</t>
  </si>
  <si>
    <t>3523Z</t>
  </si>
  <si>
    <t>handel paliwami gazowymi w systemie sieciowym</t>
  </si>
  <si>
    <t>Trade of gaseous fuels through mains</t>
  </si>
  <si>
    <t>3530Z</t>
  </si>
  <si>
    <t>wytwarzanie i zaopatrywanie w parę wodną, gorącą wodę i powietrze do układów klimatyzacyjnych</t>
  </si>
  <si>
    <t>Steam, hot water and air conditioning manufacturing and supply</t>
  </si>
  <si>
    <t>3600Z</t>
  </si>
  <si>
    <t>pobór, uzdatnianie i dostarczanie wody</t>
  </si>
  <si>
    <t>Water collection, treatment and supply</t>
  </si>
  <si>
    <t>3700Z</t>
  </si>
  <si>
    <t>odprowadzanie i oczyszczanie ścieków</t>
  </si>
  <si>
    <t>Sewage disposal and treatment</t>
  </si>
  <si>
    <t>3811Z</t>
  </si>
  <si>
    <t>zbieranie odpadów innych niż niebezpieczne</t>
  </si>
  <si>
    <t>Collection of non-hazardous waste</t>
  </si>
  <si>
    <t>3812Z</t>
  </si>
  <si>
    <t>zbieranie odpadów niebezpiecznych</t>
  </si>
  <si>
    <t>Collection of hazardous waste</t>
  </si>
  <si>
    <t>3821Z</t>
  </si>
  <si>
    <t>obróbka i usuwanie odpadów innych niż niebezpieczne</t>
  </si>
  <si>
    <t>Treatment and disposal of non-hazardous waste</t>
  </si>
  <si>
    <t>3822Z</t>
  </si>
  <si>
    <t>przetwarzanie i unieszkodliwianie odpadów niebezpiecznych</t>
  </si>
  <si>
    <t>Hazardous waste processing and neutralizing</t>
  </si>
  <si>
    <t>3831Z</t>
  </si>
  <si>
    <t>demontaż wyrobów zużytych</t>
  </si>
  <si>
    <t>Dismantling of wrecks</t>
  </si>
  <si>
    <t>3832Z</t>
  </si>
  <si>
    <t>odzysk surowców z materiałów segregowanych</t>
  </si>
  <si>
    <t>Recovery of sorted materials</t>
  </si>
  <si>
    <t>3900Z</t>
  </si>
  <si>
    <t>działalność związana z rekultywacją i pozostała działalność usługowa związana z gospodarką odpadami</t>
  </si>
  <si>
    <t>Remediation activities and other waste management services</t>
  </si>
  <si>
    <t>4110Z</t>
  </si>
  <si>
    <t>realizacja projektów budowlanych związanych ze wznoszeniem budynków</t>
  </si>
  <si>
    <t>Realization of building projects related to erection of buildings</t>
  </si>
  <si>
    <t>4120Z</t>
  </si>
  <si>
    <t>roboty budowlane związane ze wznoszeniem budynków mieszkalnych i niemieszkalnych</t>
  </si>
  <si>
    <t>Building works related to erection of residential and non-residential buildings</t>
  </si>
  <si>
    <t>4211Z</t>
  </si>
  <si>
    <t>roboty związane z budową dróg i autostrad</t>
  </si>
  <si>
    <t>Works related to construction of roads and motorways</t>
  </si>
  <si>
    <t>4212Z</t>
  </si>
  <si>
    <t>roboty związane z budową dróg szynowych i kolei podziemnej</t>
  </si>
  <si>
    <t>Works related to construction of railways and underground railways</t>
  </si>
  <si>
    <t>4213Z</t>
  </si>
  <si>
    <t>roboty związane z budową mostów i tuneli</t>
  </si>
  <si>
    <t>Works related to construction of bridges and tunnels</t>
  </si>
  <si>
    <t>4221Z</t>
  </si>
  <si>
    <t>roboty związane z budową rurociągów przesyłowych i sieci rozdzielczych</t>
  </si>
  <si>
    <t>Works related to construction oftransmission pipelines and distribution networks</t>
  </si>
  <si>
    <t>4222Z</t>
  </si>
  <si>
    <t>roboty związane z budową linii telekomunikacyjnych i elektroenergetycznych</t>
  </si>
  <si>
    <t>Works related to construction of telecommunications and electricity lines</t>
  </si>
  <si>
    <t>4291Z</t>
  </si>
  <si>
    <t>roboty związane z budową obiektów inżynierii wodnej</t>
  </si>
  <si>
    <t>Works related to construction of water projects</t>
  </si>
  <si>
    <t>4299Z</t>
  </si>
  <si>
    <t>roboty związane z budową pozostałych obiektów inżynierii lądowej i wodnej, gdzie indziej niesklasyfikowane</t>
  </si>
  <si>
    <t>Works related to construction of other civil engineering projects notelsewhere classified</t>
  </si>
  <si>
    <t>4311Z</t>
  </si>
  <si>
    <t>rozbiórka i burzenie obiektów budowlanych</t>
  </si>
  <si>
    <t>Demolition</t>
  </si>
  <si>
    <t>4312Z</t>
  </si>
  <si>
    <t>przygotowanie terenu pod budowę</t>
  </si>
  <si>
    <t>Site preparation</t>
  </si>
  <si>
    <t>4313Z</t>
  </si>
  <si>
    <t>wykonywanie wykopów i wierceń geologiczno-inżynierskich</t>
  </si>
  <si>
    <t>Test drilling and boring</t>
  </si>
  <si>
    <t>4321Z</t>
  </si>
  <si>
    <t>wykonywanie instalacji elektrycznych</t>
  </si>
  <si>
    <t>Electrical installation</t>
  </si>
  <si>
    <t>4322Z</t>
  </si>
  <si>
    <t>wykonywanie instalacji wodno-kanalizacyjnych, cieplnych, gazowych i klimatyzacyjnych</t>
  </si>
  <si>
    <t>Plumbing, heat and air-conditioning installation</t>
  </si>
  <si>
    <t>4329Z</t>
  </si>
  <si>
    <t>wykonywanie pozostałych instalacji budowlanych</t>
  </si>
  <si>
    <t>Other construction installation</t>
  </si>
  <si>
    <t>4331Z</t>
  </si>
  <si>
    <t>tynkowanie</t>
  </si>
  <si>
    <t>Plastering</t>
  </si>
  <si>
    <t>4332Z</t>
  </si>
  <si>
    <t>zakładanie stolarki budowlanej</t>
  </si>
  <si>
    <t>Joinery installation</t>
  </si>
  <si>
    <t>4333Z</t>
  </si>
  <si>
    <t>posadzkarstwo; tapetowanie i oblicowywanie ścian</t>
  </si>
  <si>
    <t>Floor and wall covering</t>
  </si>
  <si>
    <t>4334Z</t>
  </si>
  <si>
    <t>malowanie i szklenie</t>
  </si>
  <si>
    <t>Painting and glazing</t>
  </si>
  <si>
    <t>4339Z</t>
  </si>
  <si>
    <t>wykonywanie pozostałych robót budowlanych wykończeniowych</t>
  </si>
  <si>
    <t>Other building completion and finishing</t>
  </si>
  <si>
    <t>4391Z</t>
  </si>
  <si>
    <t>wykonywanie konstrukcji i pokryć dachowych</t>
  </si>
  <si>
    <t>Roofing activities</t>
  </si>
  <si>
    <t>4399Z</t>
  </si>
  <si>
    <t>pozostałe specjalistyczne roboty budowlane, gdzie indziej niesklasyfikowane</t>
  </si>
  <si>
    <t>Other specialised construction activities notelsewhere classified</t>
  </si>
  <si>
    <t>4511Z</t>
  </si>
  <si>
    <t>sprzedaż hurtowa i detaliczna samochodów osobowych i furgonetek</t>
  </si>
  <si>
    <t>Sale of cars and light motor vehicles</t>
  </si>
  <si>
    <t>4519Z</t>
  </si>
  <si>
    <t>sprzedaż hurtowa i detaliczna pozostałych pojazdów samochodowych, z wyłączeniem motocykli</t>
  </si>
  <si>
    <t>Sale of other motor vehicles, excluding motorcycles</t>
  </si>
  <si>
    <t>4520Z</t>
  </si>
  <si>
    <t>konserwacja i naprawa pojazdów samochodowych, z wyłączeniem motocykli</t>
  </si>
  <si>
    <t>Maintenance and repair of motor vehicles, excluding motorcycles</t>
  </si>
  <si>
    <t>4531Z</t>
  </si>
  <si>
    <t>sprzedaż hurtowa części i akcesoriów do pojazdów samochodowych, z wyłączeniem motocykli</t>
  </si>
  <si>
    <t>Wholesale trade of motor vehicle parts and accessories, excluding motorcycles</t>
  </si>
  <si>
    <t>4532Z</t>
  </si>
  <si>
    <t>sprzedaż detaliczna części i akcesoriów do pojazdów samochodowych, z wyłączeniem motocykli</t>
  </si>
  <si>
    <t>Retail trade of motor vehicle parts and accessories, excluding motorcycles</t>
  </si>
  <si>
    <t>4540Z</t>
  </si>
  <si>
    <t>sprzedaż hurtowa i detaliczna motocykli, ich naprawa i konserwacja oraz sprzedaż hurtowa i detaliczna części i akcesoriów do nich</t>
  </si>
  <si>
    <t>Sale, maintenance and repair of motorcycles and related parts and accessories</t>
  </si>
  <si>
    <t>4611Z</t>
  </si>
  <si>
    <t>działalność agentów zajmujących się sprzedażą płodów rolnych, żywych zwierząt, surowców dla przemysłu tekstylnego i półproduktów</t>
  </si>
  <si>
    <t>Agents involved in the sale of agricultural raw materials, live animals, textile raw materials and semi-finished goods</t>
  </si>
  <si>
    <t>4612Z</t>
  </si>
  <si>
    <t>działalność agentów zajmujących się sprzedażą paliw, rud, metali i chemikaliów przemysłowych</t>
  </si>
  <si>
    <t>Agents involved in the sale of fuels, ores, metals and industrial chemicals</t>
  </si>
  <si>
    <t>4613Z</t>
  </si>
  <si>
    <t>działalność agentów zajmujących się sprzedażą drewna i materiałów budowlanych</t>
  </si>
  <si>
    <t>Agents involved in the sale of timber and building materials</t>
  </si>
  <si>
    <t>4614Z</t>
  </si>
  <si>
    <t>działalność agentów zajmujących się sprzedażą maszyn, urządzeń przemysłowych, statków i samolotów</t>
  </si>
  <si>
    <t>Agents involved in the sale of machinery, industrial equipment, ships and aircraft</t>
  </si>
  <si>
    <t>4615Z</t>
  </si>
  <si>
    <t>działalność agentów zajmujących się sprzedażą mebli, artykułów gospodarstwa domowego i drobnych wyrobów metalowych</t>
  </si>
  <si>
    <t>Agents involved in the sale of furniture, household goods, hardware and ironmongery</t>
  </si>
  <si>
    <t>4616Z</t>
  </si>
  <si>
    <t>działalność agentów zajmujących się sprzedażą wyrobów tekstylnych, odzieży, wyrobów futrzarskich, obuwia i artykułów skórzanych</t>
  </si>
  <si>
    <t>Agents involved in the sale of textiles, clothing, fur, footwear and leather goods</t>
  </si>
  <si>
    <t>4617Z</t>
  </si>
  <si>
    <t>działalność agentów zajmujących się sprzedażą żywności, napojów i wyrobów tytoniowych</t>
  </si>
  <si>
    <t>Agents involved in the sale of food, beverages and tobacco</t>
  </si>
  <si>
    <t>4618Z</t>
  </si>
  <si>
    <t>działalność agentów specjalizujących się w sprzedaży pozostałych określonych towarów</t>
  </si>
  <si>
    <t>Agents specialised in the sale of other particular products</t>
  </si>
  <si>
    <t>4619Z</t>
  </si>
  <si>
    <t>działalność agentów zajmujących się sprzedażą towarów różnego rodzaju</t>
  </si>
  <si>
    <t>Agents involved in the sale of a variety of goods</t>
  </si>
  <si>
    <t>4621Z</t>
  </si>
  <si>
    <t>sprzedaż hurtowa zboża, nieprzetworzonego tytoniu, nasion i pasz dla zwierząt</t>
  </si>
  <si>
    <t>Wholesale of grain, unmanufactured tobacco, seeds and animal feeds</t>
  </si>
  <si>
    <t>4622Z</t>
  </si>
  <si>
    <t>sprzedaż hurtowa kwiatów i roślin</t>
  </si>
  <si>
    <t>Wholesale of flowers and plants</t>
  </si>
  <si>
    <t>4623Z</t>
  </si>
  <si>
    <t>sprzedaż hurtowa żywych zwierząt</t>
  </si>
  <si>
    <t>Wholesale of live animals</t>
  </si>
  <si>
    <t>4624Z</t>
  </si>
  <si>
    <t>sprzedaż hurtowa skór</t>
  </si>
  <si>
    <t>Wholesale of hides, skins and leather</t>
  </si>
  <si>
    <t>4631Z</t>
  </si>
  <si>
    <t>sprzedaż hurtowa owoców i warzyw</t>
  </si>
  <si>
    <t>Wholesale of fruit and vegetables</t>
  </si>
  <si>
    <t>4632Z</t>
  </si>
  <si>
    <t>sprzedaż hurtowa mięsa i wyrobów z mięsa</t>
  </si>
  <si>
    <t>Wholesale of meat and meat products</t>
  </si>
  <si>
    <t>4633Z</t>
  </si>
  <si>
    <t>sprzedaż hurtowa mleka, wyrobów mleczarskich, jaj, olejów i tłuszczów jadalnych</t>
  </si>
  <si>
    <t>Wholesale of dairy products, eggs and edible oils and fats</t>
  </si>
  <si>
    <t>4634A</t>
  </si>
  <si>
    <t>sprzedaż hurtowa napojów alkoholowych</t>
  </si>
  <si>
    <t>Wholesale ofalcoholic beverages</t>
  </si>
  <si>
    <t>4634B</t>
  </si>
  <si>
    <t>sprzedaż hurtowa napojów bezalkoholowych</t>
  </si>
  <si>
    <t>Wholesale of non-alcoholic beverages</t>
  </si>
  <si>
    <t>4635Z</t>
  </si>
  <si>
    <t>sprzedaż hurtowa wyrobów tytoniowych</t>
  </si>
  <si>
    <t>Wholesale of tobacco products</t>
  </si>
  <si>
    <t>4636Z</t>
  </si>
  <si>
    <t>sprzedaż hurtowa cukru, czekolady, wyrobów cukierniczych i piekarskich</t>
  </si>
  <si>
    <t>Wholesale of sugar and chocolate and sugar confectionery</t>
  </si>
  <si>
    <t>4637Z</t>
  </si>
  <si>
    <t>sprzedaż hurtowa herbaty, kawy, kakao i przypraw</t>
  </si>
  <si>
    <t>Wholesale of coffee, tea, cocoa and spices</t>
  </si>
  <si>
    <t>4638Z</t>
  </si>
  <si>
    <t>sprzedaż hurtowa pozostałej żywności, włączając ryby, skorupiaki i mięczaki</t>
  </si>
  <si>
    <t>Wholesale of other food, including fish, crustaceans and molluscs</t>
  </si>
  <si>
    <t>4639Z</t>
  </si>
  <si>
    <t>sprzedaż hurtowa niewyspecjalizowana żywności, napojów i wyrobów tytoniowych</t>
  </si>
  <si>
    <t>Non-specialised wholesale of food, beverages and tobacco</t>
  </si>
  <si>
    <t>4641Z</t>
  </si>
  <si>
    <t>sprzedaż hurtowa wyrobów tekstylnych</t>
  </si>
  <si>
    <t>Wholesale of textiles</t>
  </si>
  <si>
    <t>4642Z</t>
  </si>
  <si>
    <t>sprzedaż hurtowa odzieży i obuwia</t>
  </si>
  <si>
    <t>Wholesale of clothing and footwear</t>
  </si>
  <si>
    <t>4643Z</t>
  </si>
  <si>
    <t>sprzedaż hurtowa elektrycznych artykułów użytku domowego</t>
  </si>
  <si>
    <t>Wholesale of electrical household appliances</t>
  </si>
  <si>
    <t>4644Z</t>
  </si>
  <si>
    <t>sprzedaż hurtowa wyrobów porcelanowych, ceramicznych i szklanych oraz środków czyszczących</t>
  </si>
  <si>
    <t>Wholesale of china, ceramics and glassware and cleaning materials</t>
  </si>
  <si>
    <t>4645Z</t>
  </si>
  <si>
    <t>sprzedaż hurtowa perfum i kosmetyków</t>
  </si>
  <si>
    <t>Wholesale of perfume and cosmetics</t>
  </si>
  <si>
    <t>4646Z</t>
  </si>
  <si>
    <t>sprzedaż hurtowa wyrobów farmaceutycznych i medycznych</t>
  </si>
  <si>
    <t>Wholesale of pharmaceutical goods</t>
  </si>
  <si>
    <t>4647Z</t>
  </si>
  <si>
    <t>sprzedaż hurtowa mebli, dywanów i sprzętu oświetleniowego</t>
  </si>
  <si>
    <t>Wholesale of furniture, carpets and lighting equipment</t>
  </si>
  <si>
    <t>4648Z</t>
  </si>
  <si>
    <t>sprzedaż hurtowa zegarków, zegarów i biżuterii</t>
  </si>
  <si>
    <t>Wholesale of watches, clocks and jewellery</t>
  </si>
  <si>
    <t>4649Z</t>
  </si>
  <si>
    <t>sprzedaż hurtowa pozostałych artykułów użytku domowego</t>
  </si>
  <si>
    <t>Wholesale of other household goods</t>
  </si>
  <si>
    <t>4651Z</t>
  </si>
  <si>
    <t>sprzedaż hurtowa komputerów, urządzeń peryferyjnych i oprogramowania</t>
  </si>
  <si>
    <t>Wholesale of computers, peripheral equipment and software</t>
  </si>
  <si>
    <t>4652Z</t>
  </si>
  <si>
    <t>sprzedaż hurtowa sprzętu elektronicznego i telekomunikacyjnego oraz części do niego</t>
  </si>
  <si>
    <t>Wholesale of electronic and telecommunications equipment and parts thereof</t>
  </si>
  <si>
    <t>4661Z</t>
  </si>
  <si>
    <t>sprzedaż hurtowa maszyn i urządzeń rolniczych oraz dodatkowego wyposażenia</t>
  </si>
  <si>
    <t>Wholesale of agricultural machinery, equipment and supplies</t>
  </si>
  <si>
    <t>4662Z</t>
  </si>
  <si>
    <t>sprzedaż hurtowa obrabiarek</t>
  </si>
  <si>
    <t>Wholesale of machine tools</t>
  </si>
  <si>
    <t>4663Z</t>
  </si>
  <si>
    <t>sprzedaż hurtowa maszyn wykorzystywanych w górnictwie, budownictwie oraz inżynierii lądowej i wodnej</t>
  </si>
  <si>
    <t>Wholesale of mining, construction and civil engineering machinery</t>
  </si>
  <si>
    <t>4664Z</t>
  </si>
  <si>
    <t>sprzedaż hurtowa maszyn dla przemysłu tekstylnego oraz maszyn do szycia i maszyn dziewiarskich</t>
  </si>
  <si>
    <t>Wholesale of machinery for the textile industry and of sewing and knitting machines</t>
  </si>
  <si>
    <t>4665Z</t>
  </si>
  <si>
    <t>sprzedaż hurtowa mebli biurowych</t>
  </si>
  <si>
    <t>Wholesale of office furniture</t>
  </si>
  <si>
    <t>4666Z</t>
  </si>
  <si>
    <t>sprzedaż hurtowa pozostałych maszyn i urządzeń biurowych</t>
  </si>
  <si>
    <t>Wholesale of other office machinery and equipment</t>
  </si>
  <si>
    <t>4669Z</t>
  </si>
  <si>
    <t>sprzedaż hurtowa pozostałych maszyn i urządzeń</t>
  </si>
  <si>
    <t>Wholesale of other machinery and equipment</t>
  </si>
  <si>
    <t>4671Z</t>
  </si>
  <si>
    <t>sprzedaż hurtowa paliw i produktów pochodnych</t>
  </si>
  <si>
    <t>Wholesale of fuels and related products</t>
  </si>
  <si>
    <t>4672Z</t>
  </si>
  <si>
    <t>sprzedaż hurtowa metali i rud metali</t>
  </si>
  <si>
    <t>Wholesale of metals and metal ores</t>
  </si>
  <si>
    <t>4673Z</t>
  </si>
  <si>
    <t>sprzedaż hurtowa drewna, materiałów budowlanych i wyposażenia sanitarnego</t>
  </si>
  <si>
    <t>Wholesale of wood, construction materials and sanitary equipment</t>
  </si>
  <si>
    <t>4674Z</t>
  </si>
  <si>
    <t>sprzedaż hurtowa wyrobów metalowych oraz sprzętu i dodatkowego wyposażenia hydraulicznego i grzejnego</t>
  </si>
  <si>
    <t>Wholesale of hardware and plumbing and heating equipment and supplies</t>
  </si>
  <si>
    <t>4675Z</t>
  </si>
  <si>
    <t>sprzedaż hurtowa wyrobów chemicznych</t>
  </si>
  <si>
    <t>Wholesale of chemical products</t>
  </si>
  <si>
    <t>4676Z</t>
  </si>
  <si>
    <t>sprzedaż hurtowa pozostałych półproduktów</t>
  </si>
  <si>
    <t>Wholesale of other intermediate products</t>
  </si>
  <si>
    <t>4677Z</t>
  </si>
  <si>
    <t>sprzedaż hurtowa odpadów i złomu</t>
  </si>
  <si>
    <t>Wholesale of waste and scrap</t>
  </si>
  <si>
    <t>4690Z</t>
  </si>
  <si>
    <t>sprzedaż hurtowa niewyspecjalizowana</t>
  </si>
  <si>
    <t>Non-specialised wholesale trade</t>
  </si>
  <si>
    <t>4711Z</t>
  </si>
  <si>
    <t>sprzedaż detaliczna prowadzona w niewyspecjalizowanych sklepach z przewagą żywności, napojów i wyrobów tytoniowych</t>
  </si>
  <si>
    <t>Retail sale in non-specialised stores with food, beverages or tobacco predominating</t>
  </si>
  <si>
    <t>4719Z</t>
  </si>
  <si>
    <t>pozostała sprzedaż detaliczna prowadzona w niewyspecjalizowanych sklepach</t>
  </si>
  <si>
    <t>Other retail sale in non-specialised stores</t>
  </si>
  <si>
    <t>4721Z</t>
  </si>
  <si>
    <t>sprzedaż detaliczna owoców i warzyw prowadzona w wyspecjalizowanych sklepach</t>
  </si>
  <si>
    <t>Retail sale of fruit and vegetables in specialised stores</t>
  </si>
  <si>
    <t>4722Z</t>
  </si>
  <si>
    <t>sprzedaż detaliczna mięsa i wyrobów z mięsa prowadzona w wyspecjalizowanych sklepach</t>
  </si>
  <si>
    <t>Retail sale of meat and meat products in specialised stores</t>
  </si>
  <si>
    <t>4723Z</t>
  </si>
  <si>
    <t>sprzedaż detaliczna ryb, skorupiaków i mięczaków prowadzona w wyspecjalizowanych sklepach</t>
  </si>
  <si>
    <t>Retail sale of fish, crustaceans and molluscs in specialised stores</t>
  </si>
  <si>
    <t>4724Z</t>
  </si>
  <si>
    <t>sprzedaż detaliczna pieczywa, ciast, wyrobów ciastkarskich i cukierniczych prowadzona w wyspecjalizowanych sklepach</t>
  </si>
  <si>
    <t>Retail sale of bread, cakes, flour confectionery and sugar confectionery in specialised stores</t>
  </si>
  <si>
    <t>4725Z</t>
  </si>
  <si>
    <t>sprzedaż detaliczna napojów alkoholowych i bezalkoholowych prowadzona w wyspecjalizowanych sklepach</t>
  </si>
  <si>
    <t>Retail sale ofalcoholic and non-alcoholic beverages in specialised stores</t>
  </si>
  <si>
    <t>4726Z</t>
  </si>
  <si>
    <t>sprzedaż detaliczna wyrobów tytoniowych prowadzona w wyspecjalizowanych sklepach</t>
  </si>
  <si>
    <t>Retail sale of tobacco products in specialised stores</t>
  </si>
  <si>
    <t>4729Z</t>
  </si>
  <si>
    <t>sprzedaż detaliczna pozostałej żywności prowadzona w wyspecjalizowanych sklepach</t>
  </si>
  <si>
    <t>Other retail sale of food in specialised stores</t>
  </si>
  <si>
    <t>4730Z</t>
  </si>
  <si>
    <t>sprzedaż detaliczna paliw do pojazdów silnikowych na stacjach paliw</t>
  </si>
  <si>
    <t>Retail sale of fuel for motor vehicles in fuel stations</t>
  </si>
  <si>
    <t>4741Z</t>
  </si>
  <si>
    <t>sprzedaż detaliczna komputerów, urządzeń peryferyjnych i oprogramowania prowadzona w wyspecjalizowanych sklepach</t>
  </si>
  <si>
    <t>Retail sale of computers, peripheral units and software in specialised stores</t>
  </si>
  <si>
    <t>4742Z</t>
  </si>
  <si>
    <t>sprzedaż detaliczna sprzętu telekomunikacyjnego prowadzona w wyspecjalizowanych sklepach</t>
  </si>
  <si>
    <t>Retail sale of telecommunications equipment in specialised stores</t>
  </si>
  <si>
    <t>4743Z</t>
  </si>
  <si>
    <t>sprzedaż detaliczna sprzętu audiowizualnego prowadzona w wyspecjalizowanych sklepach</t>
  </si>
  <si>
    <t>Retail sale of audio and video equipment in specialised stores</t>
  </si>
  <si>
    <t>4751Z</t>
  </si>
  <si>
    <t>sprzedaż detaliczna wyrobów tekstylnych prowadzona w wyspecjalizowanych sklepach</t>
  </si>
  <si>
    <t>Retail sale of textiles in specialised stores</t>
  </si>
  <si>
    <t>4752Z</t>
  </si>
  <si>
    <t>sprzedaż detaliczna drobnych wyrobów metalowych, farb i szkła prowadzona w wyspecjalizowanych sklepach</t>
  </si>
  <si>
    <t>Retail sale of hardware, paints and glass in specialised stores</t>
  </si>
  <si>
    <t>4753Z</t>
  </si>
  <si>
    <t>sprzedaż detaliczna dywanów, chodników i innych pokryć podłogowych oraz pokryć ściennych prowadzona w wyspecjalizowanych sklepach</t>
  </si>
  <si>
    <t>Retail sale of carpets, rugs, wall and floor coverings in specialised stores</t>
  </si>
  <si>
    <t>4754Z</t>
  </si>
  <si>
    <t>sprzedaż detaliczna elektrycznego sprzętu gospodarstwa domowego prowadzona w wyspecjalizowanych sklepach</t>
  </si>
  <si>
    <t>Retail sale of electrical household appliances in specialised stores</t>
  </si>
  <si>
    <t>4759Z</t>
  </si>
  <si>
    <t>sprzedaż detaliczna mebli, sprzętu oświetleniowego i pozostałych artykułów użytku domowego prowadzona w wyspecjalizowanych sklepach</t>
  </si>
  <si>
    <t>Retail sale of furniture, lighting equipment and other household articles in specialised stores</t>
  </si>
  <si>
    <t>4761Z</t>
  </si>
  <si>
    <t>sprzedaż detaliczna książek prowadzona w wyspecjalizowanych sklepach</t>
  </si>
  <si>
    <t>Retail sale of books in specialised stores</t>
  </si>
  <si>
    <t>4762Z</t>
  </si>
  <si>
    <t>sprzedaż detaliczna gazet i artykułów piśmiennych prowadzona w wyspecjalizowanych sklepach</t>
  </si>
  <si>
    <t>Retail sale of newspapers and stationery in specialised stores</t>
  </si>
  <si>
    <t>4763Z</t>
  </si>
  <si>
    <t>sprzedaż detaliczna nagrań dźwiękowych i audiowizualnych prowadzona w wyspecjalizowanych sklepach</t>
  </si>
  <si>
    <t>Retail sale of music and video recordings in specialised stores</t>
  </si>
  <si>
    <t>4764Z</t>
  </si>
  <si>
    <t>sprzedaż detaliczna sprzętu sportowego prowadzona w wyspecjalizowanych sklepach</t>
  </si>
  <si>
    <t>Retail sale of sporting equipment in specialised stores</t>
  </si>
  <si>
    <t>4765Z</t>
  </si>
  <si>
    <t>sprzedaż detaliczna gier i zabawek prowadzona w wyspecjalizowanych sklepach</t>
  </si>
  <si>
    <t>Retail sale of games and toys in specialised stores</t>
  </si>
  <si>
    <t>4771Z</t>
  </si>
  <si>
    <t>sprzedaż detaliczna odzieży prowadzona w wyspecjalizowanych sklepach</t>
  </si>
  <si>
    <t>Retail sale of clothing in specialised stores</t>
  </si>
  <si>
    <t>4772Z</t>
  </si>
  <si>
    <t>sprzedaż detaliczna obuwia i wyrobów skórzanych prowadzona w wyspecjalizowanych sklepach</t>
  </si>
  <si>
    <t>Retail sale of footwear and leather goods in specialised stores</t>
  </si>
  <si>
    <t>4773Z</t>
  </si>
  <si>
    <t>sprzedaż detaliczna wyrobów farmaceutycznych prowadzona w wyspecjalizowanych sklepach</t>
  </si>
  <si>
    <t>Dispensing chemist in specialised stores</t>
  </si>
  <si>
    <t>4774Z</t>
  </si>
  <si>
    <t>sprzedaż detaliczna wyrobów medycznych, włączając ortopedyczne, prowadzona w wyspecjalizowanych sklepach</t>
  </si>
  <si>
    <t>Retail sale of medical and orthopaedic goods in specialised stores</t>
  </si>
  <si>
    <t>4775Z</t>
  </si>
  <si>
    <t>sprzedaż detaliczna kosmetyków i artykułów toaletowych prowadzona w wyspecjalizowanych sklepach</t>
  </si>
  <si>
    <t>Retail sale of cosmetic and toilet articles in specialised stores</t>
  </si>
  <si>
    <t>4776Z</t>
  </si>
  <si>
    <t>sprzedaż detaliczna kwiatów, roślin, nasion, nawozów, żywych zwierząt domowych, karmy dla zwierząt domowych prowadzona w wyspecjalizowanych sklepach</t>
  </si>
  <si>
    <t>Retail sale of flowers, plants, seeds, fertilisers, pet animals and pet food in specialised stores</t>
  </si>
  <si>
    <t>4777Z</t>
  </si>
  <si>
    <t>sprzedaż detaliczna zegarków, zegarów i biżuterii prowadzona w wyspecjalizowanych sklepach</t>
  </si>
  <si>
    <t>Retail sale of watches, clocks and jewellery in specialised stores</t>
  </si>
  <si>
    <t>4778Z</t>
  </si>
  <si>
    <t>sprzedaż detaliczna pozostałych nowych wyrobów prowadzona w wyspecjalizowanych sklepach</t>
  </si>
  <si>
    <t>Other retail sale of new goods in specialised stores</t>
  </si>
  <si>
    <t>4779Z</t>
  </si>
  <si>
    <t>sprzedaż detaliczna artykułów używanych prowadzona w wyspecjalizowanych sklepach</t>
  </si>
  <si>
    <t>Retail sale of second-hand goods in specialised stores</t>
  </si>
  <si>
    <t>4781Z</t>
  </si>
  <si>
    <t>sprzedaż detaliczna żywności, napojów i wyrobów tytoniowych prowadzona na straganach i targowiskach</t>
  </si>
  <si>
    <t>Retail sale via stalls and markets of food, beverages and tobacco products</t>
  </si>
  <si>
    <t>4782Z</t>
  </si>
  <si>
    <t>sprzedaż detaliczna wyrobów tekstylnych, odzieży i obuwia prowadzona na straganach i targowiskach</t>
  </si>
  <si>
    <t>Retail sale via stalls and markets of textiles, clothing and footwear</t>
  </si>
  <si>
    <t>4789Z</t>
  </si>
  <si>
    <t>sprzedaż detaliczna pozostałych wyrobów prowadzona na straganach i targowiskach</t>
  </si>
  <si>
    <t>Retail sale via stalls and markets of other goods</t>
  </si>
  <si>
    <t>4791Z</t>
  </si>
  <si>
    <t>sprzedaż detaliczna prowadzona przez domy sprzedaży wysyłkowej lub internet</t>
  </si>
  <si>
    <t>Retail sale via mail order houses or via Internet</t>
  </si>
  <si>
    <t>4799Z</t>
  </si>
  <si>
    <t>pozostała sprzedaż detaliczna prowadzona poza siecią sklepową, straganami i targowiskami</t>
  </si>
  <si>
    <t>Other retail sale not in stores, stalls or markets</t>
  </si>
  <si>
    <t>4910Z</t>
  </si>
  <si>
    <t>transport kolejowy pasażerski międzymiastowy</t>
  </si>
  <si>
    <t>Passenger rail transport, interurban</t>
  </si>
  <si>
    <t>4920Z</t>
  </si>
  <si>
    <t>transport kolejowy towarów</t>
  </si>
  <si>
    <t>Freight rail transport</t>
  </si>
  <si>
    <t>4931Z</t>
  </si>
  <si>
    <t>transport lądowy pasażerski, miejski i podmiejski</t>
  </si>
  <si>
    <t>Urban and suburban passenger land transport</t>
  </si>
  <si>
    <t>4932Z</t>
  </si>
  <si>
    <t>działalność taksówek osobowych</t>
  </si>
  <si>
    <t>Taxi operation</t>
  </si>
  <si>
    <t>4939Z</t>
  </si>
  <si>
    <t>pozostały transport lądowy pasażerski, gdzie indziej niesklasyfikowany</t>
  </si>
  <si>
    <t>Other passenger land transport notelsewhere classified</t>
  </si>
  <si>
    <t>4941Z</t>
  </si>
  <si>
    <t>transport drogowy towarów</t>
  </si>
  <si>
    <t>Freight transport by road</t>
  </si>
  <si>
    <t>4942Z</t>
  </si>
  <si>
    <t>działalność usługowa związana z przeprowadzkami</t>
  </si>
  <si>
    <t>Removal services</t>
  </si>
  <si>
    <t>4950A</t>
  </si>
  <si>
    <t>transport rurociągami paliw gazowych</t>
  </si>
  <si>
    <t>Transport via pipeline of fuelgases</t>
  </si>
  <si>
    <t>4950B</t>
  </si>
  <si>
    <t>transport rurociągowy pozostałych towarów</t>
  </si>
  <si>
    <t>Transport via pipeline of othercommodities</t>
  </si>
  <si>
    <t>5010Z</t>
  </si>
  <si>
    <t>transport morski i przybrzeżny pasażerski</t>
  </si>
  <si>
    <t>Sea and coastal passenger water transport</t>
  </si>
  <si>
    <t>5020Z</t>
  </si>
  <si>
    <t>transport morski i przybrzeżny towarów</t>
  </si>
  <si>
    <t>Sea and coastal freight water transport</t>
  </si>
  <si>
    <t>5030Z</t>
  </si>
  <si>
    <t>transport wodny śródlądowy pasażerski</t>
  </si>
  <si>
    <t>Inland passenger water transport</t>
  </si>
  <si>
    <t>5040Z</t>
  </si>
  <si>
    <t>transport wodny śródlądowy towarów</t>
  </si>
  <si>
    <t>Inland freight water transport</t>
  </si>
  <si>
    <t>5110Z</t>
  </si>
  <si>
    <t>transport lotniczy pasażerski</t>
  </si>
  <si>
    <t>Passenger air transport</t>
  </si>
  <si>
    <t>5121Z</t>
  </si>
  <si>
    <t>transport lotniczy towarów</t>
  </si>
  <si>
    <t>Freight air transport</t>
  </si>
  <si>
    <t>5122Z</t>
  </si>
  <si>
    <t>transport kosmiczny</t>
  </si>
  <si>
    <t>Space transport</t>
  </si>
  <si>
    <t>5210A</t>
  </si>
  <si>
    <t>magazynowanie i przechowywanie paliw gazowych</t>
  </si>
  <si>
    <t>Warehousing and storageof fuel gases</t>
  </si>
  <si>
    <t>5210B</t>
  </si>
  <si>
    <t>magazynowanie i przechowywanie pozostałych towarów</t>
  </si>
  <si>
    <t>Warehousing and storage of other goods</t>
  </si>
  <si>
    <t>5221Z</t>
  </si>
  <si>
    <t>działalność usługowa wspomagająca transport lądowy</t>
  </si>
  <si>
    <t>Service activities incidental to land transportation</t>
  </si>
  <si>
    <t>5222A</t>
  </si>
  <si>
    <t>działalność usługowa wspomagająca transport morski</t>
  </si>
  <si>
    <t>Service activities incidental to sea transportation</t>
  </si>
  <si>
    <t>5222B</t>
  </si>
  <si>
    <t>działalność usługowa wspomagająca transport śródlądowy</t>
  </si>
  <si>
    <t>Service activities incidental to inland transportation</t>
  </si>
  <si>
    <t>5223Z</t>
  </si>
  <si>
    <t>działalność usługowa wspomagająca transport lotniczy</t>
  </si>
  <si>
    <t>Service activities incidental to air transportation</t>
  </si>
  <si>
    <t>5224A</t>
  </si>
  <si>
    <t>przeładunek towarów w portach morskich</t>
  </si>
  <si>
    <t>Cargo handling in sea ports</t>
  </si>
  <si>
    <t>5224B</t>
  </si>
  <si>
    <t>przeładunek towarów w portach śródlądowych</t>
  </si>
  <si>
    <t>Cargo handling in inland ports</t>
  </si>
  <si>
    <t>5224C</t>
  </si>
  <si>
    <t>przeładunek towarów w pozostałych punktach przeładunkowych</t>
  </si>
  <si>
    <t>Cargo handling in other reloading points</t>
  </si>
  <si>
    <t>5229A</t>
  </si>
  <si>
    <t>działalność morskich agencji transportowych</t>
  </si>
  <si>
    <t>Sea transportation agencies activities</t>
  </si>
  <si>
    <t>5229B</t>
  </si>
  <si>
    <t>działalność śródlądowych agencji transportowych</t>
  </si>
  <si>
    <t>Inland transportation agencies activities</t>
  </si>
  <si>
    <t>5229C</t>
  </si>
  <si>
    <t>działalność pozostałych agencji transportowych</t>
  </si>
  <si>
    <t>Other transportation agencies activities</t>
  </si>
  <si>
    <t>5310Z</t>
  </si>
  <si>
    <t>działalność pocztowa objęta obowiązkiem świadczenia usług powszechnych (operatora publicznego)</t>
  </si>
  <si>
    <t>Postal activities under universal service obligation(public operator)</t>
  </si>
  <si>
    <t>5320Z</t>
  </si>
  <si>
    <t>pozostała działalność pocztowa i kurierska</t>
  </si>
  <si>
    <t>Other postal and courier activities</t>
  </si>
  <si>
    <t>5510Z</t>
  </si>
  <si>
    <t>hotele i podobne obiekty zakwaterowania</t>
  </si>
  <si>
    <t>Hotels and similar accommodation</t>
  </si>
  <si>
    <t>5520Z</t>
  </si>
  <si>
    <t>obiekty noclegowe turystyczne i miejsca krótkotrwałego zakwaterowania</t>
  </si>
  <si>
    <t>Holiday and other short-stay accommodation</t>
  </si>
  <si>
    <t>5530Z</t>
  </si>
  <si>
    <t>pola kempingowe (włączając pola dla pojazdów kempingowych) i pola namiotowe</t>
  </si>
  <si>
    <t>Camping grounds (including grounds for camping vehicles), and campsites</t>
  </si>
  <si>
    <t>5590Z</t>
  </si>
  <si>
    <t>pozostałe zakwaterowanie</t>
  </si>
  <si>
    <t>Other accommodation</t>
  </si>
  <si>
    <t>5610A</t>
  </si>
  <si>
    <t>restauracje i inne stałe placówki gastronomiczne</t>
  </si>
  <si>
    <t>Restaurants and other eating places</t>
  </si>
  <si>
    <t>5610B</t>
  </si>
  <si>
    <t>ruchome placówki gastronomiczne</t>
  </si>
  <si>
    <t>Mobile eating places</t>
  </si>
  <si>
    <t>5621Z</t>
  </si>
  <si>
    <t>przygotowywanie i dostarczanie żywności dla odbiorców zewnętrznych (katering)</t>
  </si>
  <si>
    <t>Event catering activities</t>
  </si>
  <si>
    <t>5629Z</t>
  </si>
  <si>
    <t>pozostała usługowa działalność gastronomiczna</t>
  </si>
  <si>
    <t>Other food service activities</t>
  </si>
  <si>
    <t>5630Z</t>
  </si>
  <si>
    <t>przygotowywanie i podawanie napojów</t>
  </si>
  <si>
    <t>Beverage serving activities</t>
  </si>
  <si>
    <t>5811Z</t>
  </si>
  <si>
    <t>wydawanie książek</t>
  </si>
  <si>
    <t>Book publishing</t>
  </si>
  <si>
    <t>5812Z</t>
  </si>
  <si>
    <t>wydawanie wykazów oraz list (np. adresowych, telefonicznych)</t>
  </si>
  <si>
    <t>Publishing of directories and registers (e.g. street, phone directory)</t>
  </si>
  <si>
    <t>5813Z</t>
  </si>
  <si>
    <t>wydawanie gazet</t>
  </si>
  <si>
    <t>Publishing of newspapers</t>
  </si>
  <si>
    <t>5814Z</t>
  </si>
  <si>
    <t>wydawanie czasopism i pozostałych periodyków</t>
  </si>
  <si>
    <t>Publishing of journals and periodicals</t>
  </si>
  <si>
    <t>5819Z</t>
  </si>
  <si>
    <t>pozostała działalność wydawnicza</t>
  </si>
  <si>
    <t>Other publishing activities</t>
  </si>
  <si>
    <t>5821Z</t>
  </si>
  <si>
    <t>działalność wydawnicza w zakresie gier komputerowych</t>
  </si>
  <si>
    <t>Publishing of computer games</t>
  </si>
  <si>
    <t>5829Z</t>
  </si>
  <si>
    <t>działalność wydawnicza w zakresie pozostałego oprogramowania</t>
  </si>
  <si>
    <t>Other software publishing</t>
  </si>
  <si>
    <t>5911Z</t>
  </si>
  <si>
    <t>działalność związana z produkcją filmów, nagrań wideo i programów telewizyjnych</t>
  </si>
  <si>
    <t>Motion picture, video and television programme production activities</t>
  </si>
  <si>
    <t>5912Z</t>
  </si>
  <si>
    <t>działalność postprodukcyjna związana z filmami, nagraniami wideo i programami telewizyjnymi</t>
  </si>
  <si>
    <t>Motion picture, video and television programme post-production activities</t>
  </si>
  <si>
    <t>5913Z</t>
  </si>
  <si>
    <t>działalność związana z dystrybucją filmów, nagrań wideo i programów telewizyjnych</t>
  </si>
  <si>
    <t>Motion picture, video and television programme distribution activities</t>
  </si>
  <si>
    <t>5914Z</t>
  </si>
  <si>
    <t>działalność związana z projekcją filmów</t>
  </si>
  <si>
    <t>Motion picture projection activities</t>
  </si>
  <si>
    <t>5920Z</t>
  </si>
  <si>
    <t>działalność w zakresie nagrań dźwiękowych i muzycznych</t>
  </si>
  <si>
    <t>Sound recording and music publishing activities</t>
  </si>
  <si>
    <t>6010Z</t>
  </si>
  <si>
    <t>nadawanie programów radiofonicznych</t>
  </si>
  <si>
    <t>Radio broadcasting</t>
  </si>
  <si>
    <t>6020Z</t>
  </si>
  <si>
    <t>nadawanie programów telewizyjnych ogólnodostępnych i abonamentowych</t>
  </si>
  <si>
    <t>Public and licence television programmes broadcasting</t>
  </si>
  <si>
    <t>6110Z</t>
  </si>
  <si>
    <t>działalność w zakresie telekomunikacji przewodowej</t>
  </si>
  <si>
    <t>Wired telecommunications activities</t>
  </si>
  <si>
    <t>6120Z</t>
  </si>
  <si>
    <t>działalność w zakresie telekomunikacji bezprzewodowej, z wyłączeniem telekomunikacji satelitarnej</t>
  </si>
  <si>
    <t>Wireless telecommunications activities, excluding satellite telecommunications activities</t>
  </si>
  <si>
    <t>6130Z</t>
  </si>
  <si>
    <t>działalność w zakresie telekomunikacji satelitarnej</t>
  </si>
  <si>
    <t>Satellite telecommunications activities</t>
  </si>
  <si>
    <t>6190Z</t>
  </si>
  <si>
    <t>działalność w zakresie pozostałej telekomunikacji</t>
  </si>
  <si>
    <t>Other telecommunications activities</t>
  </si>
  <si>
    <t>6201Z</t>
  </si>
  <si>
    <t>działalność związana z oprogramowaniem</t>
  </si>
  <si>
    <t>Computer programming activities</t>
  </si>
  <si>
    <t>6202Z</t>
  </si>
  <si>
    <t>działalność związana z doradztwem w zakresie informatyki</t>
  </si>
  <si>
    <t>Computer consultancy activities</t>
  </si>
  <si>
    <t>6203Z</t>
  </si>
  <si>
    <t>działalność związana z zarządzaniem urządzeniami informatycznymi</t>
  </si>
  <si>
    <t>Computer facilities management activities</t>
  </si>
  <si>
    <t>6209Z</t>
  </si>
  <si>
    <t>pozostała działalność usługowa w zakresie technologii informatycznych i komputerowych</t>
  </si>
  <si>
    <t>Other information technology and computer service activities</t>
  </si>
  <si>
    <t>6311Z</t>
  </si>
  <si>
    <t>przetwarzanie danych; zarządzanie stronami internetowymi (hosting) i podobna działalność</t>
  </si>
  <si>
    <t>Data processing, hosting and related activities</t>
  </si>
  <si>
    <t>6312Z</t>
  </si>
  <si>
    <t>działalność portali internetowych</t>
  </si>
  <si>
    <t>Web portals</t>
  </si>
  <si>
    <t>6391Z</t>
  </si>
  <si>
    <t>działalność agencji informacyjnych</t>
  </si>
  <si>
    <t>News agency activities</t>
  </si>
  <si>
    <t>6399Z</t>
  </si>
  <si>
    <t>pozostała działalność usługowa w zakresie informacji, gdzie indziej niesklasyfikowana</t>
  </si>
  <si>
    <t>Other information service activities notelsewhere classified</t>
  </si>
  <si>
    <t>6411Z</t>
  </si>
  <si>
    <t>działalność banku centralnego</t>
  </si>
  <si>
    <t>Central banking</t>
  </si>
  <si>
    <t>6419Z</t>
  </si>
  <si>
    <t>pozostałe pośrednictwo pieniężne</t>
  </si>
  <si>
    <t>Other monetary intermediation</t>
  </si>
  <si>
    <t>6420Z</t>
  </si>
  <si>
    <t>działalność holdingów finansowych</t>
  </si>
  <si>
    <t>Activities of holding companies</t>
  </si>
  <si>
    <t>6430Z</t>
  </si>
  <si>
    <t>działalność trustów, funduszów i podobnych instytucji finansowych</t>
  </si>
  <si>
    <t>Trusts, funds and similar financial entities</t>
  </si>
  <si>
    <t>6491Z</t>
  </si>
  <si>
    <t>leasing finansowy</t>
  </si>
  <si>
    <t>Financial leasing</t>
  </si>
  <si>
    <t>6492Z</t>
  </si>
  <si>
    <t>pozostałe formy udzielania kredytów</t>
  </si>
  <si>
    <t>Other credit granting</t>
  </si>
  <si>
    <t>6499Z</t>
  </si>
  <si>
    <t>pozostała finansowa działalność usługowa, gdzie indziej niesklasyfikowana, z wyłączeniem ubezpieczeń i funduszów emerytalnych</t>
  </si>
  <si>
    <t>Other financial service activities, except insurance and pension funding notelsewhere classified</t>
  </si>
  <si>
    <t>6511Z</t>
  </si>
  <si>
    <t>ubezpieczenia na życie</t>
  </si>
  <si>
    <t>Life insurance</t>
  </si>
  <si>
    <t>6512Z</t>
  </si>
  <si>
    <t>pozostałe ubezpieczenia osobowe oraz ubezpieczenia majątkowe</t>
  </si>
  <si>
    <t>Other personal and property insurance</t>
  </si>
  <si>
    <t>6520Z</t>
  </si>
  <si>
    <t>reasekuracja</t>
  </si>
  <si>
    <t>Reinsurance</t>
  </si>
  <si>
    <t>6530Z</t>
  </si>
  <si>
    <t>fundusze emerytalne</t>
  </si>
  <si>
    <t>Pension funding</t>
  </si>
  <si>
    <t>6611Z</t>
  </si>
  <si>
    <t>zarządzanie rynkami finansowymi</t>
  </si>
  <si>
    <t>Administration of financial markets</t>
  </si>
  <si>
    <t>6612Z</t>
  </si>
  <si>
    <t>działalność maklerska związana z rynkiem papierów wartościowych i towarów giełdowych</t>
  </si>
  <si>
    <t>Security and commodity contracts brokerage</t>
  </si>
  <si>
    <t>6619Z</t>
  </si>
  <si>
    <t>pozostała działalność wspomagająca usługi finansowe, z wyłączeniem ubezpieczeń i funduszów emerytalnych</t>
  </si>
  <si>
    <t>Other activities auxiliary to financial services, except insurance and pension funding</t>
  </si>
  <si>
    <t>6621Z</t>
  </si>
  <si>
    <t>działalność związana z oceną ryzyka i szacowaniem poniesionych strat</t>
  </si>
  <si>
    <t>Risk and damage evaluation</t>
  </si>
  <si>
    <t>6622Z</t>
  </si>
  <si>
    <t>działalność agentów i brokerów ubezpieczeniowych</t>
  </si>
  <si>
    <t>Activities of insurance agents and brokers</t>
  </si>
  <si>
    <t>6629Z</t>
  </si>
  <si>
    <t>pozostała działalność wspomagająca ubezpieczenia i fundusze emerytalne</t>
  </si>
  <si>
    <t>Other activities auxiliary to insurance and pension funding</t>
  </si>
  <si>
    <t>6630Z</t>
  </si>
  <si>
    <t>działalność związana z zarządzaniem funduszami</t>
  </si>
  <si>
    <t>Fund management activities</t>
  </si>
  <si>
    <t>6810Z</t>
  </si>
  <si>
    <t>kupno i sprzedaż nieruchomości na własny rachunek</t>
  </si>
  <si>
    <t>Buying and selling of own real estate</t>
  </si>
  <si>
    <t>6820Z</t>
  </si>
  <si>
    <t>wynajem i zarządzanie nieruchomościami własnymi lub dzierżawionymi</t>
  </si>
  <si>
    <t>Rental and operating of own or leased real estate</t>
  </si>
  <si>
    <t>6831Z</t>
  </si>
  <si>
    <t>pośrednictwo w obrocie nieruchomościami</t>
  </si>
  <si>
    <t>Real estate agencies</t>
  </si>
  <si>
    <t>6832Z</t>
  </si>
  <si>
    <t>zarządzanie nieruchomościami wykonywane na zlecenie</t>
  </si>
  <si>
    <t>Management of real estate on a fee or contract basis</t>
  </si>
  <si>
    <t>6910Z</t>
  </si>
  <si>
    <t>działalność prawnicza</t>
  </si>
  <si>
    <t>Legal activities</t>
  </si>
  <si>
    <t>6920Z</t>
  </si>
  <si>
    <t>działalność rachunkowo-księgowa; doradztwo podatkowe</t>
  </si>
  <si>
    <t>Accounting, bookkeeping and auditing activities; tax consultancy</t>
  </si>
  <si>
    <t>7010Z</t>
  </si>
  <si>
    <t>działalność firm centralnych (head offices) i holdingów, z wyłączeniem holdingów finansowych</t>
  </si>
  <si>
    <t>Activities of head office and holding companies, excluding financial holding companies</t>
  </si>
  <si>
    <t>7021Z</t>
  </si>
  <si>
    <t>stosunki międzyludzkie (public relations) i komunikacja</t>
  </si>
  <si>
    <t>Public relations and communication activities</t>
  </si>
  <si>
    <t>7022Z</t>
  </si>
  <si>
    <t>pozostałe doradztwo w zakresie prowadzenia działalności gospodarczej i zarządzania</t>
  </si>
  <si>
    <t>Business and other management consultancy activities</t>
  </si>
  <si>
    <t>7111Z</t>
  </si>
  <si>
    <t>działalność w zakresie architektury</t>
  </si>
  <si>
    <t>Architectural activities</t>
  </si>
  <si>
    <t>7112Z</t>
  </si>
  <si>
    <t>działalność w zakresie inżynierii i związane z nią doradztwo techniczne</t>
  </si>
  <si>
    <t>Engineering activities and related technical consultancy</t>
  </si>
  <si>
    <t>7120A</t>
  </si>
  <si>
    <t>badania i analizy związane z jakością żywności</t>
  </si>
  <si>
    <t>Food quality testing and analysis</t>
  </si>
  <si>
    <t>7120B</t>
  </si>
  <si>
    <t>pozostałe badania i analizy techniczne</t>
  </si>
  <si>
    <t>Other technical testing and analysis</t>
  </si>
  <si>
    <t>7211Z</t>
  </si>
  <si>
    <t>badania naukowe i prace rozwojowe w dziedzinie biotechnologii</t>
  </si>
  <si>
    <t>Research and experimental development on biotechnology</t>
  </si>
  <si>
    <t>7219Z</t>
  </si>
  <si>
    <t>badania naukowe i prace rozwojowe w dziedzinie pozostałych nauk przyrodniczych i technicznych</t>
  </si>
  <si>
    <t>Other research and experimental development on natural sciences and engineering</t>
  </si>
  <si>
    <t>7220Z</t>
  </si>
  <si>
    <t>badania naukowe i prace rozwojowe w dziedzinie nauk społecznych i humanistycznych</t>
  </si>
  <si>
    <t>Research and experimental development on social sciences and humanities</t>
  </si>
  <si>
    <t>7311Z</t>
  </si>
  <si>
    <t>działalność agencji reklamowych</t>
  </si>
  <si>
    <t>Advertising agenciesactivities</t>
  </si>
  <si>
    <t>7312A</t>
  </si>
  <si>
    <t>pośrednictwo w sprzedaży czasu i miejsca na cele reklamowe w radio i telewizji</t>
  </si>
  <si>
    <t>Intermediation in the sale of time and place on advertising aims in the radio and television</t>
  </si>
  <si>
    <t>7312B</t>
  </si>
  <si>
    <t>pośrednictwo w sprzedaży miejsca na cele reklamowe w mediach drukowanych</t>
  </si>
  <si>
    <t>Intermediation in the sale of the place on advertising aimsin printed media</t>
  </si>
  <si>
    <t>7312C</t>
  </si>
  <si>
    <t>pośrednictwo w sprzedaży miejsca na cele reklamowe w mediach elektronicznych (internet)</t>
  </si>
  <si>
    <t>Intermediation in the sale of the place on advertising aimsin electronic media (Internet)</t>
  </si>
  <si>
    <t>7312D</t>
  </si>
  <si>
    <t>pośrednictwo w sprzedaży czasu i miejsca na cele reklamowe w pozostałych mediach</t>
  </si>
  <si>
    <t>Intermediation in the sale of the place on advertising aimsin other media</t>
  </si>
  <si>
    <t>7320Z</t>
  </si>
  <si>
    <t>badanie rynku i opinii publicznej</t>
  </si>
  <si>
    <t>Market research and public opinion polling</t>
  </si>
  <si>
    <t>7410Z</t>
  </si>
  <si>
    <t>działalność w zakresie specjalistycznego projektowania</t>
  </si>
  <si>
    <t>Specialised design activities</t>
  </si>
  <si>
    <t>7420Z</t>
  </si>
  <si>
    <t>działalność fotograficzna</t>
  </si>
  <si>
    <t>Photographic activities</t>
  </si>
  <si>
    <t>7430Z</t>
  </si>
  <si>
    <t>działalność związana z tłumaczeniami</t>
  </si>
  <si>
    <t>Translation and interpretation activities</t>
  </si>
  <si>
    <t>7490Z</t>
  </si>
  <si>
    <t>pozostała działalność profesjonalna, naukowa i techniczna, gdzie indziej niesklasyfikowana</t>
  </si>
  <si>
    <t>Other professional, scientific and technical activities notelsewhere classified</t>
  </si>
  <si>
    <t>7500Z</t>
  </si>
  <si>
    <t>działalność weterynaryjna</t>
  </si>
  <si>
    <t>Veterinary activities</t>
  </si>
  <si>
    <t>7711Z</t>
  </si>
  <si>
    <t>wynajem i dzierżawa samochodów osobowych i furgonetek</t>
  </si>
  <si>
    <t>Rental and leasing of cars and light motor vehicles</t>
  </si>
  <si>
    <t>7712Z</t>
  </si>
  <si>
    <t>wynajem i dzierżawa pozostałych pojazdów samochodowych, z wyłączeniem motocykli</t>
  </si>
  <si>
    <t>Rental and leasing of other motor vehicle, excluding motorcycles</t>
  </si>
  <si>
    <t>7721Z</t>
  </si>
  <si>
    <t>wypożyczanie i dzierżawa sprzętu rekreacyjnego i sportowego</t>
  </si>
  <si>
    <t>Rental and leasing of recreational and sports goods</t>
  </si>
  <si>
    <t>7722Z</t>
  </si>
  <si>
    <t>wypożyczanie kaset wideo, płyt cd, dvd itp.</t>
  </si>
  <si>
    <t>Rental of video tapes andCDs, DVDs etc.</t>
  </si>
  <si>
    <t>7729Z</t>
  </si>
  <si>
    <t>wypożyczanie i dzierżawa pozostałych artykułów użytku osobistego i domowego</t>
  </si>
  <si>
    <t>Rental and leasing of other personal and household goods</t>
  </si>
  <si>
    <t>7731Z</t>
  </si>
  <si>
    <t>wynajem i dzierżawa maszyn i urządzeń rolniczych</t>
  </si>
  <si>
    <t>Rental and leasing of agricultural machinery and equipment</t>
  </si>
  <si>
    <t>7732Z</t>
  </si>
  <si>
    <t>wynajem i dzierżawa maszyn i urządzeń budowlanych</t>
  </si>
  <si>
    <t>Rental and leasing of construction machinery and equipment</t>
  </si>
  <si>
    <t>7733Z</t>
  </si>
  <si>
    <t>wynajem i dzierżawa maszyn i urządzeń biurowych, włączając komputery</t>
  </si>
  <si>
    <t>Rental and leasing of office machinery and equipment, including computers</t>
  </si>
  <si>
    <t>7734Z</t>
  </si>
  <si>
    <t>wynajem i dzierżawa środków transportu wodnego</t>
  </si>
  <si>
    <t>Rental and leasing of water transport equipment</t>
  </si>
  <si>
    <t>7735Z</t>
  </si>
  <si>
    <t>wynajem i dzierżawa środków transportu lotniczego</t>
  </si>
  <si>
    <t>Rental and leasing of air transport equipment</t>
  </si>
  <si>
    <t>7739Z</t>
  </si>
  <si>
    <t>wynajem i dzierżawa pozostałych maszyn, urządzeń oraz dóbr materialnych, gdzie indziej niesklasyfikowane</t>
  </si>
  <si>
    <t>Rental and leasing of other machinery, equipment and tangible goods notelsewhere classified</t>
  </si>
  <si>
    <t>7740Z</t>
  </si>
  <si>
    <t>dzierżawa własności intelektualnej i podobnych produktów, z wyłączeniem prac chronionych prawem autorskim</t>
  </si>
  <si>
    <t>Leasing of intellectual property and similar products, except copyrighted works</t>
  </si>
  <si>
    <t>7810Z</t>
  </si>
  <si>
    <t>działalność związana z wyszukiwaniem miejsc pracy i pozyskiwaniem pracowników</t>
  </si>
  <si>
    <t>Activities of employment placement agencies</t>
  </si>
  <si>
    <t>7820Z</t>
  </si>
  <si>
    <t>działalność agencji pracy tymczasowej</t>
  </si>
  <si>
    <t>Temporary employment agency activities</t>
  </si>
  <si>
    <t>7830Z</t>
  </si>
  <si>
    <t>pozostała działalność związana z udostępnianiem pracowników</t>
  </si>
  <si>
    <t>Other human resources provision</t>
  </si>
  <si>
    <t>7911A</t>
  </si>
  <si>
    <t>działalność agentów turystycznych</t>
  </si>
  <si>
    <t>Tour agents activities</t>
  </si>
  <si>
    <t>7911B</t>
  </si>
  <si>
    <t>działalność pośredników turystycznych</t>
  </si>
  <si>
    <t>Tour middlemen activities</t>
  </si>
  <si>
    <t>7912Z</t>
  </si>
  <si>
    <t>działalność organizatorów turystyki</t>
  </si>
  <si>
    <t>Tour operator activities</t>
  </si>
  <si>
    <t>7990A</t>
  </si>
  <si>
    <t>działalność pilotów wycieczek i przewodników turystycznych</t>
  </si>
  <si>
    <t>Couriers on package tours and tour guides activities</t>
  </si>
  <si>
    <t>7990B</t>
  </si>
  <si>
    <t>działalność w zakresie informacji turystycznej</t>
  </si>
  <si>
    <t>Tourist information activities</t>
  </si>
  <si>
    <t>7990C</t>
  </si>
  <si>
    <t>pozostała działalność usługowa w zakresie rezerwacji, gdzie indziej niesklasyfikowana</t>
  </si>
  <si>
    <t>Other reservation service activities notelsewhere classified</t>
  </si>
  <si>
    <t>8010Z</t>
  </si>
  <si>
    <t>działalność ochroniarska, z wyłączeniem obsługi systemów bezpieczeństwa</t>
  </si>
  <si>
    <t>Private security activities, excluding security systems service activities</t>
  </si>
  <si>
    <t>8020Z</t>
  </si>
  <si>
    <t>działalność ochroniarska w zakresie obsługi systemów bezpieczeństwa</t>
  </si>
  <si>
    <t>Security systems service activities</t>
  </si>
  <si>
    <t>8030Z</t>
  </si>
  <si>
    <t>działalność detektywistyczna</t>
  </si>
  <si>
    <t>Investigation activities</t>
  </si>
  <si>
    <t>8110Z</t>
  </si>
  <si>
    <t>działalność pomocnicza związana z utrzymaniem porządku w budynkach</t>
  </si>
  <si>
    <t>Buildings service support activities</t>
  </si>
  <si>
    <t>8121Z</t>
  </si>
  <si>
    <t>niespecjalistyczne sprzątanie budynków i obiektów przemysłowych</t>
  </si>
  <si>
    <t>General cleaning of buildings</t>
  </si>
  <si>
    <t>8122Z</t>
  </si>
  <si>
    <t>specjalistyczne sprzątanie budynków i obiektów przemysłowych</t>
  </si>
  <si>
    <t>Specialised building and industrial cleaning activities</t>
  </si>
  <si>
    <t>8129Z</t>
  </si>
  <si>
    <t>pozostałe sprzątanie</t>
  </si>
  <si>
    <t>Other cleaning activities</t>
  </si>
  <si>
    <t>8130Z</t>
  </si>
  <si>
    <t>działalność usługowa związana z zagospodarowaniem terenów zieleni</t>
  </si>
  <si>
    <t>Landscape service activities</t>
  </si>
  <si>
    <t>8211Z</t>
  </si>
  <si>
    <t>działalność usługowa związana z administracyjną obsługą biura</t>
  </si>
  <si>
    <t>Office administrative service activities</t>
  </si>
  <si>
    <t>8219Z</t>
  </si>
  <si>
    <t>wykonywanie fotokopii, przygotowywanie dokumentów i pozostała specjalistyczna działalność wspomagająca prowadzenie biura</t>
  </si>
  <si>
    <t>Photocopying, document preparation and other specialised office support activities</t>
  </si>
  <si>
    <t>8220Z</t>
  </si>
  <si>
    <t>działalność centrów telefonicznych (call center)</t>
  </si>
  <si>
    <t>Activities of call centres</t>
  </si>
  <si>
    <t>8230Z</t>
  </si>
  <si>
    <t>działalność związana z organizacją targów, wystaw i kongresów</t>
  </si>
  <si>
    <t>Organisation of conventions and trade shows</t>
  </si>
  <si>
    <t>8291Z</t>
  </si>
  <si>
    <t>działalność świadczona przez agencje inkasa i biura kredytowe</t>
  </si>
  <si>
    <t>Activities of collection agencies and credit bureaus</t>
  </si>
  <si>
    <t>8292Z</t>
  </si>
  <si>
    <t>działalność związana z pakowaniem</t>
  </si>
  <si>
    <t>Packaging activities</t>
  </si>
  <si>
    <t>8299Z</t>
  </si>
  <si>
    <t>pozostała działalność wspomagająca prowadzenie działalności gospodarczej, gdzie indziej niesklasyfikowana</t>
  </si>
  <si>
    <t>Other business support service activities notelsewhere classified</t>
  </si>
  <si>
    <t>8411Z</t>
  </si>
  <si>
    <t>kierowanie podstawowymi rodzajami działalności publicznej</t>
  </si>
  <si>
    <t>General public administration activities</t>
  </si>
  <si>
    <t>8412Z</t>
  </si>
  <si>
    <t>kierowanie w zakresie działalności związanej z ochroną zdrowia, edukacją, kulturą oraz pozostałymi usługami społecznymi, z wyłączeniem zabezpieczeń społecznych</t>
  </si>
  <si>
    <t>Regulation of the activities of providing health care, education, cultural services and other social services, excluding social security</t>
  </si>
  <si>
    <t>8413Z</t>
  </si>
  <si>
    <t>kierowanie w zakresie efektywności gospodarowania</t>
  </si>
  <si>
    <t>Regulation of and contribution to more efficient operation of businesses</t>
  </si>
  <si>
    <t>8421Z</t>
  </si>
  <si>
    <t>sprawy zagraniczne</t>
  </si>
  <si>
    <t>Foreign affairs</t>
  </si>
  <si>
    <t>8422Z</t>
  </si>
  <si>
    <t>obrona narodowa</t>
  </si>
  <si>
    <t>Defence activities</t>
  </si>
  <si>
    <t>8423Z</t>
  </si>
  <si>
    <t>wymiar sprawiedliwości</t>
  </si>
  <si>
    <t>Justice and judicial activities</t>
  </si>
  <si>
    <t>8424Z</t>
  </si>
  <si>
    <t>bezpieczeństwo państwa, porządek i bezpieczeństwo publiczne</t>
  </si>
  <si>
    <t>Public order and safety activities</t>
  </si>
  <si>
    <t>8425Z</t>
  </si>
  <si>
    <t>ochrona przeciwpożarowa</t>
  </si>
  <si>
    <t>Fire service activities</t>
  </si>
  <si>
    <t>8430Z</t>
  </si>
  <si>
    <t>obowiązkowe zabezpieczenia społeczne</t>
  </si>
  <si>
    <t>Compulsory social security activities</t>
  </si>
  <si>
    <t>8510Z</t>
  </si>
  <si>
    <t>placówki wychowania przedszkolnego</t>
  </si>
  <si>
    <t>Pre-primary education</t>
  </si>
  <si>
    <t>8520Z</t>
  </si>
  <si>
    <t>szkoły podstawowe</t>
  </si>
  <si>
    <t>Primary education</t>
  </si>
  <si>
    <t>8531A</t>
  </si>
  <si>
    <t>gimnazja</t>
  </si>
  <si>
    <t>Lower secondary schools</t>
  </si>
  <si>
    <t>8531B</t>
  </si>
  <si>
    <t>licea ogólnokształcące</t>
  </si>
  <si>
    <t>General upper secondary schools</t>
  </si>
  <si>
    <t>8532A</t>
  </si>
  <si>
    <t>technika</t>
  </si>
  <si>
    <t>Technical secondary schools</t>
  </si>
  <si>
    <t>8532B</t>
  </si>
  <si>
    <t>branżowe szkoły i stopnia</t>
  </si>
  <si>
    <t>Basic vocational schools</t>
  </si>
  <si>
    <t>8532C</t>
  </si>
  <si>
    <t>szkoły specjalne przysposabiające do pracy</t>
  </si>
  <si>
    <t>Special job-training schools</t>
  </si>
  <si>
    <t>8532D</t>
  </si>
  <si>
    <t>branżowe szkoły ii stopnia</t>
  </si>
  <si>
    <t>8541A</t>
  </si>
  <si>
    <t>szkoły policealne</t>
  </si>
  <si>
    <t>8541B</t>
  </si>
  <si>
    <t>kolegia pracowników służb społecznych</t>
  </si>
  <si>
    <t>8541C</t>
  </si>
  <si>
    <t>placówki doskonalenia nauczycieli</t>
  </si>
  <si>
    <t>8542Z</t>
  </si>
  <si>
    <t>szkoły wyższe</t>
  </si>
  <si>
    <t>Higher education institutions</t>
  </si>
  <si>
    <t>8551Z</t>
  </si>
  <si>
    <t>pozaszkolne formy edukacji sportowej oraz zajęć sportowych i rekreacyjnych</t>
  </si>
  <si>
    <t>Out-of-school forms of sports and leisure education</t>
  </si>
  <si>
    <t>8552Z</t>
  </si>
  <si>
    <t>pozaszkolne formy edukacji artystycznej</t>
  </si>
  <si>
    <t>Out-of-school forms of cultural education</t>
  </si>
  <si>
    <t>8553Z</t>
  </si>
  <si>
    <t>pozaszkolne formy edukacji z zakresu nauki jazdy i pilotażu</t>
  </si>
  <si>
    <t>Out-of- school forms of driving education</t>
  </si>
  <si>
    <t>8559A</t>
  </si>
  <si>
    <t>nauka języków obcych</t>
  </si>
  <si>
    <t>Learning of foreign languages</t>
  </si>
  <si>
    <t>8559B</t>
  </si>
  <si>
    <t>pozostałe pozaszkolne formy edukacji, gdzie indziej niesklasyfikowane</t>
  </si>
  <si>
    <t>Other out-of-school forms of education, not elsewhere classified</t>
  </si>
  <si>
    <t>8560Z</t>
  </si>
  <si>
    <t>działalność wspomagająca edukację</t>
  </si>
  <si>
    <t>Educational support activities</t>
  </si>
  <si>
    <t>8610Z</t>
  </si>
  <si>
    <t>działalność szpitali</t>
  </si>
  <si>
    <t>Hospital activities</t>
  </si>
  <si>
    <t>8621Z</t>
  </si>
  <si>
    <t>praktyka lekarska ogólna</t>
  </si>
  <si>
    <t>General medical practice activities</t>
  </si>
  <si>
    <t>8622Z</t>
  </si>
  <si>
    <t>praktyka lekarska specjalistyczna</t>
  </si>
  <si>
    <t>Specialist medical practice activities</t>
  </si>
  <si>
    <t>8623Z</t>
  </si>
  <si>
    <t>praktyka lekarska dentystyczna</t>
  </si>
  <si>
    <t>Dental practice activities</t>
  </si>
  <si>
    <t>8690A</t>
  </si>
  <si>
    <t>działalność fizjoterapeutyczna</t>
  </si>
  <si>
    <t>Physiotherapeutical activities</t>
  </si>
  <si>
    <t>8690B</t>
  </si>
  <si>
    <t>działalność pogotowia ratunkowego</t>
  </si>
  <si>
    <t>Emergency ambulance activities</t>
  </si>
  <si>
    <t>8690C</t>
  </si>
  <si>
    <t>praktyka pielęgniarek i położnych</t>
  </si>
  <si>
    <t>Nurses and midwivesactivities</t>
  </si>
  <si>
    <t>8690D</t>
  </si>
  <si>
    <t>działalność paramedyczna</t>
  </si>
  <si>
    <t>Paramedical activities</t>
  </si>
  <si>
    <t>8690E</t>
  </si>
  <si>
    <t>pozostała działalność w zakresie opieki zdrowotnej, gdzie indziej niesklasyfikowana</t>
  </si>
  <si>
    <t>Other human health activities notelsewhere classified</t>
  </si>
  <si>
    <t>8710Z</t>
  </si>
  <si>
    <t>pomoc społeczna z zakwaterowaniem zapewniająca opiekę pielęgniarską</t>
  </si>
  <si>
    <t>Residential nursing care activities</t>
  </si>
  <si>
    <t>8720Z</t>
  </si>
  <si>
    <t>pomoc społeczna z zakwaterowaniem dla osób z zaburzeniami psychicznymi</t>
  </si>
  <si>
    <t>Residential care activities for mental retardation, mental health and substance abuse</t>
  </si>
  <si>
    <t>8730Z</t>
  </si>
  <si>
    <t>pomoc społeczna z zakwaterowaniem dla osób w podeszłym wieku i osób niepełnosprawnych</t>
  </si>
  <si>
    <t>Residential care activities for the elderly and disabled</t>
  </si>
  <si>
    <t>8790Z</t>
  </si>
  <si>
    <t>pozostała pomoc społeczna z zakwaterowaniem</t>
  </si>
  <si>
    <t>Other residential care activities</t>
  </si>
  <si>
    <t>8810Z</t>
  </si>
  <si>
    <t>pomoc społeczna bez zakwaterowania dla osób w podeszłym wieku i osób niepełnosprawnych</t>
  </si>
  <si>
    <t>Social work activities without accommodation for the elderly and disabled</t>
  </si>
  <si>
    <t>8891Z</t>
  </si>
  <si>
    <t>opieka dzienna nad dziećmi</t>
  </si>
  <si>
    <t>Child day-care activities</t>
  </si>
  <si>
    <t>8899Z</t>
  </si>
  <si>
    <t>pozostała pomoc społeczna bez zakwaterowania, gdzie indziej niesklasyfikowana</t>
  </si>
  <si>
    <t>Other social work activities without accommodation notelsewhere classified</t>
  </si>
  <si>
    <t>9001Z</t>
  </si>
  <si>
    <t>działalność związana z wystawianiem przedstawień artystycznych</t>
  </si>
  <si>
    <t>Performing artsactivities</t>
  </si>
  <si>
    <t>9002Z</t>
  </si>
  <si>
    <t>działalność wspomagająca wystawianie przedstawień artystycznych</t>
  </si>
  <si>
    <t>Support activities to performing arts</t>
  </si>
  <si>
    <t>9003Z</t>
  </si>
  <si>
    <t>artystyczna i literacka działalność twórcza</t>
  </si>
  <si>
    <t>Artistic creationactivities</t>
  </si>
  <si>
    <t>9004Z</t>
  </si>
  <si>
    <t>działalność obiektów kulturalnych</t>
  </si>
  <si>
    <t>Operation of arts facilities</t>
  </si>
  <si>
    <t>9101A</t>
  </si>
  <si>
    <t>działalność bibliotek</t>
  </si>
  <si>
    <t>Library activities</t>
  </si>
  <si>
    <t>9101B</t>
  </si>
  <si>
    <t>działalność archiwów</t>
  </si>
  <si>
    <t>Archives activities</t>
  </si>
  <si>
    <t>9102Z</t>
  </si>
  <si>
    <t>działalność muzeów</t>
  </si>
  <si>
    <t>Museums activities</t>
  </si>
  <si>
    <t>9103Z</t>
  </si>
  <si>
    <t>działalność historycznych miejsc i budynków oraz podobnych atrakcji turystycznych</t>
  </si>
  <si>
    <t>Operation of historical sites and buildings and similar visitor attractions</t>
  </si>
  <si>
    <t>9104Z</t>
  </si>
  <si>
    <t>działalność ogrodów botanicznych i zoologicznych oraz obszarów i obiektów ochrony przyrody</t>
  </si>
  <si>
    <t>Botanical and zoological gardens and nature reserves activities</t>
  </si>
  <si>
    <t>9200Z</t>
  </si>
  <si>
    <t>działalność związana z grami losowymi i zakładami wzajemnymi</t>
  </si>
  <si>
    <t>Gambling and betting activities</t>
  </si>
  <si>
    <t>9311Z</t>
  </si>
  <si>
    <t>działalność obiektów sportowych</t>
  </si>
  <si>
    <t>Operation of sports facilities</t>
  </si>
  <si>
    <t>9312Z</t>
  </si>
  <si>
    <t>działalność klubów sportowych</t>
  </si>
  <si>
    <t>Activities of sports clubs</t>
  </si>
  <si>
    <t>9313Z</t>
  </si>
  <si>
    <t>działalność obiektów służących poprawie kondycji fizycznej</t>
  </si>
  <si>
    <t>Operation of fitness facilities</t>
  </si>
  <si>
    <t>9319Z</t>
  </si>
  <si>
    <t>pozostała działalność związana ze sportem</t>
  </si>
  <si>
    <t>Other sports activities</t>
  </si>
  <si>
    <t>9321Z</t>
  </si>
  <si>
    <t>działalność wesołych miasteczek i parków rozrywki</t>
  </si>
  <si>
    <t>Activities of amusement parks and theme parks</t>
  </si>
  <si>
    <t>9329Z</t>
  </si>
  <si>
    <t>pozostała działalność rozrywkowa i rekreacyjna</t>
  </si>
  <si>
    <t>Other amusement and recreation activities</t>
  </si>
  <si>
    <t>9411Z</t>
  </si>
  <si>
    <t>działalność organizacji komercyjnych i pracodawców</t>
  </si>
  <si>
    <t>Activities of commercial and employers organisations</t>
  </si>
  <si>
    <t>9412Z</t>
  </si>
  <si>
    <t>działalność organizacji profesjonalnych</t>
  </si>
  <si>
    <t>Activities of professional organisations</t>
  </si>
  <si>
    <t>9420Z</t>
  </si>
  <si>
    <t>działalność związków zawodowych</t>
  </si>
  <si>
    <t>Activities of trade unions</t>
  </si>
  <si>
    <t>9491Z</t>
  </si>
  <si>
    <t>działalność organizacji religijnych</t>
  </si>
  <si>
    <t>Activities of religious organisations</t>
  </si>
  <si>
    <t>9492Z</t>
  </si>
  <si>
    <t>działalność organizacji politycznych</t>
  </si>
  <si>
    <t>Activities of political organisations</t>
  </si>
  <si>
    <t>9499Z</t>
  </si>
  <si>
    <t>działalność pozostałych organizacji członkowskich, gdzie indziej niesklasyfikowana</t>
  </si>
  <si>
    <t>Activities of other membership organisations notelsewhere classified</t>
  </si>
  <si>
    <t>9511Z</t>
  </si>
  <si>
    <t>naprawa i konserwacja komputerów i urządzeń peryferyjnych</t>
  </si>
  <si>
    <t>Repair and maintenance of computers and peripheral equipment</t>
  </si>
  <si>
    <t>9512Z</t>
  </si>
  <si>
    <t>naprawa i konserwacja sprzętu (tele)komunikacyjnego</t>
  </si>
  <si>
    <t>Repair and maintenance of (tele)communication equipment</t>
  </si>
  <si>
    <t>9521Z</t>
  </si>
  <si>
    <t>naprawa i konserwacja elektronicznego sprzętu powszechnego użytku</t>
  </si>
  <si>
    <t>Repair and maintenance of consumer electronics</t>
  </si>
  <si>
    <t>9522Z</t>
  </si>
  <si>
    <t>naprawa i konserwacja urządzeń gospodarstwa domowego oraz sprzętu użytku domowego i ogrodniczego</t>
  </si>
  <si>
    <t>Repair and maintenance of household appliances and home and garden equipment</t>
  </si>
  <si>
    <t>9523Z</t>
  </si>
  <si>
    <t>naprawa obuwia i wyrobów skórzanych</t>
  </si>
  <si>
    <t>Repair of footwear and leather goods</t>
  </si>
  <si>
    <t>9524Z</t>
  </si>
  <si>
    <t>naprawa i konserwacja mebli i wyposażenia domowego</t>
  </si>
  <si>
    <t>Repair and maintenance of furniture and home furnishings</t>
  </si>
  <si>
    <t>9525Z</t>
  </si>
  <si>
    <t>naprawa zegarów, zegarków oraz biżuterii</t>
  </si>
  <si>
    <t>Repair of watches, clocks and jewellery</t>
  </si>
  <si>
    <t>9529Z</t>
  </si>
  <si>
    <t>naprawa pozostałych artykułów użytku osobistego i domowego</t>
  </si>
  <si>
    <t>Repair of other personal and household goods</t>
  </si>
  <si>
    <t>9601Z</t>
  </si>
  <si>
    <t>pranie i czyszczenie wyrobów włókienniczych i futrzarskich</t>
  </si>
  <si>
    <t>Washing and (dry-)cleaning of textile and fur products</t>
  </si>
  <si>
    <t>9602Z</t>
  </si>
  <si>
    <t>fryzjerstwo i pozostałe zabiegi kosmetyczne</t>
  </si>
  <si>
    <t>Hairdressing and other beauty treatment</t>
  </si>
  <si>
    <t>9603Z</t>
  </si>
  <si>
    <t>pogrzeby i działalność pokrewna</t>
  </si>
  <si>
    <t>Funeral and related activities</t>
  </si>
  <si>
    <t>9604Z</t>
  </si>
  <si>
    <t>działalność usługowa związana z poprawą kondycji fizycznej</t>
  </si>
  <si>
    <t>Physical well-being activities</t>
  </si>
  <si>
    <t>9609Z</t>
  </si>
  <si>
    <t>pozostała działalność usługowa, gdzie indziej niesklasyfikowana</t>
  </si>
  <si>
    <t>Other personal service activities notelsewhere classified</t>
  </si>
  <si>
    <t>9700Z</t>
  </si>
  <si>
    <t>gospodarstwa domowe zatrudniające pracowników</t>
  </si>
  <si>
    <t>Households as employers of domestic personnel</t>
  </si>
  <si>
    <t>9810Z</t>
  </si>
  <si>
    <t>gospodarstwa domowe produkujące wyroby na własne potrzeby</t>
  </si>
  <si>
    <t>Goods-producing activities of private households for own use</t>
  </si>
  <si>
    <t>9820Z</t>
  </si>
  <si>
    <t>gospodarstwa domowe świadczące usługi na własne potrzeby</t>
  </si>
  <si>
    <t>Service-producing activities of private households for own use</t>
  </si>
  <si>
    <t>9900Z</t>
  </si>
  <si>
    <t>organizacje i zespoły eksterytorialne</t>
  </si>
  <si>
    <t>Extraterritorial organisations and bodiesprohibit</t>
  </si>
  <si>
    <t>Plik</t>
  </si>
  <si>
    <t>\\10.10.10.210\userprofile$\korczakm\Desktop\Projekty\e- FS\Firmy do poprawy\AAPP\eFS__2019-06-10_15-14.xml</t>
  </si>
  <si>
    <t>© INFO-KOR Sp. z o.o</t>
  </si>
  <si>
    <t>Wczytano</t>
  </si>
  <si>
    <t>Adres Wyniku</t>
  </si>
  <si>
    <t>Nazwa</t>
  </si>
  <si>
    <t>Wartość</t>
  </si>
  <si>
    <t>Liczba znaków "/"</t>
  </si>
  <si>
    <t>Aktywa_KwotaB</t>
  </si>
  <si>
    <t>/JednostkaInnaWTys/Bilans/Aktywa/KwotaA</t>
  </si>
  <si>
    <t>Aktywa_A_KwotaB</t>
  </si>
  <si>
    <t>/JednostkaInnaWTys/Bilans/Aktywa/Aktywa_A/KwotaA</t>
  </si>
  <si>
    <t>Aktywa_A_1_KwotaB</t>
  </si>
  <si>
    <t>/JednostkaInnaWTys/Bilans/Aktywa/Aktywa_A/Aktywa_A_I/KwotaA</t>
  </si>
  <si>
    <t>Aktywa_A_1_1_KwotaB</t>
  </si>
  <si>
    <t>/JednostkaInnaWTys/Bilans/Aktywa/Aktywa_A/Aktywa_A_I/Aktywa_A_I_1/KwotaA</t>
  </si>
  <si>
    <t>Aktywa_A_1_2_KwotaB</t>
  </si>
  <si>
    <t>/JednostkaInnaWTys/Bilans/Aktywa/Aktywa_A/Aktywa_A_I/Aktywa_A_I_2/KwotaA</t>
  </si>
  <si>
    <t>Aktywa_A_1_3_KwotaB</t>
  </si>
  <si>
    <t>/JednostkaInnaWTys/Bilans/Aktywa/Aktywa_A/Aktywa_A_I/Aktywa_A_I_3/KwotaA</t>
  </si>
  <si>
    <t>Aktywa_A_1_4_KwotaB</t>
  </si>
  <si>
    <t>/JednostkaInnaWTys/Bilans/Aktywa/Aktywa_A/Aktywa_A_I/Aktywa_A_I_4/KwotaA</t>
  </si>
  <si>
    <t>Aktywa_A_2_KwotaB</t>
  </si>
  <si>
    <t>/JednostkaInnaWTys/Bilans/Aktywa/Aktywa_A/Aktywa_A_II/KwotaA</t>
  </si>
  <si>
    <t>Aktywa_A_2_1_KwotaB</t>
  </si>
  <si>
    <t>/JednostkaInnaWTys/Bilans/Aktywa/Aktywa_A/Aktywa_A_II/Aktywa_A_II_1/KwotaA</t>
  </si>
  <si>
    <t>Aktywa_A_2_1_A_KwotaB</t>
  </si>
  <si>
    <t>/JednostkaInnaWTys/Bilans/Aktywa/Aktywa_A/Aktywa_A_II/Aktywa_A_II_1/Aktywa_A_II_1_A/KwotaA</t>
  </si>
  <si>
    <t>Aktywa_A_2_1_B_KwotaB</t>
  </si>
  <si>
    <t>/JednostkaInnaWTys/Bilans/Aktywa/Aktywa_A/Aktywa_A_II/Aktywa_A_II_1/Aktywa_A_II_1_B/KwotaA</t>
  </si>
  <si>
    <t>Aktywa_A_2_1_C_KwotaB</t>
  </si>
  <si>
    <t>/JednostkaInnaWTys/Bilans/Aktywa/Aktywa_A/Aktywa_A_II/Aktywa_A_II_1/Aktywa_A_II_1_C/KwotaA</t>
  </si>
  <si>
    <t>Aktywa_A_2_1_D_KwotaB</t>
  </si>
  <si>
    <t>/JednostkaInnaWTys/Bilans/Aktywa/Aktywa_A/Aktywa_A_II/Aktywa_A_II_1/Aktywa_A_II_1_D/KwotaA</t>
  </si>
  <si>
    <t>Aktywa_A_2_1_E_KwotaB</t>
  </si>
  <si>
    <t>/JednostkaInnaWTys/Bilans/Aktywa/Aktywa_A/Aktywa_A_II/Aktywa_A_II_1/Aktywa_A_II_1_E/KwotaA</t>
  </si>
  <si>
    <t>Aktywa_A_2_2_KwotaB</t>
  </si>
  <si>
    <t>/JednostkaInnaWTys/Bilans/Aktywa/Aktywa_A/Aktywa_A_II/Aktywa_A_II_2/KwotaA</t>
  </si>
  <si>
    <t>Aktywa_A_2_3_KwotaB</t>
  </si>
  <si>
    <t>/JednostkaInnaWTys/Bilans/Aktywa/Aktywa_A/Aktywa_A_II/Aktywa_A_II_3/KwotaA</t>
  </si>
  <si>
    <t>Aktywa_A_3_KwotaB</t>
  </si>
  <si>
    <t>/JednostkaInnaWTys/Bilans/Aktywa/Aktywa_A/Aktywa_A_III/KwotaA</t>
  </si>
  <si>
    <t>Aktywa_A_3_1_KwotaB</t>
  </si>
  <si>
    <t>/JednostkaInnaWTys/Bilans/Aktywa/Aktywa_A/Aktywa_A_III/Aktywa_A_III_1/KwotaA</t>
  </si>
  <si>
    <t>Aktywa_A_3_2_KwotaB</t>
  </si>
  <si>
    <t>/JednostkaInnaWTys/Bilans/Aktywa/Aktywa_A/Aktywa_A_III/Aktywa_A_III_2/KwotaA</t>
  </si>
  <si>
    <t>Aktywa_A_3_3_KwotaB</t>
  </si>
  <si>
    <t>/JednostkaInnaWTys/Bilans/Aktywa/Aktywa_A/Aktywa_A_III/Aktywa_A_III_3/KwotaA</t>
  </si>
  <si>
    <t>Aktywa_A_4_KwotaB</t>
  </si>
  <si>
    <t>/JednostkaInnaWTys/Bilans/Aktywa/Aktywa_A/Aktywa_A_IV/KwotaA</t>
  </si>
  <si>
    <t>Aktywa_A_4_1_KwotaB</t>
  </si>
  <si>
    <t>/JednostkaInnaWTys/Bilans/Aktywa/Aktywa_A/Aktywa_A_IV/Aktywa_A_IV_1/KwotaA</t>
  </si>
  <si>
    <t>Aktywa_A_4_2_KwotaB</t>
  </si>
  <si>
    <t>/JednostkaInnaWTys/Bilans/Aktywa/Aktywa_A/Aktywa_A_IV/Aktywa_A_IV_2/KwotaA</t>
  </si>
  <si>
    <t>Aktywa_A_4_3_KwotaB</t>
  </si>
  <si>
    <t>/JednostkaInnaWTys/Bilans/Aktywa/Aktywa_A/Aktywa_A_IV/Aktywa_A_IV_3/KwotaA</t>
  </si>
  <si>
    <t>Aktywa_A_4_3_A_KwotaB</t>
  </si>
  <si>
    <t>/JednostkaInnaWTys/Bilans/Aktywa/Aktywa_A/Aktywa_A_IV/Aktywa_A_IV_3/Aktywa_A_IV_3_A/KwotaA</t>
  </si>
  <si>
    <t>Aktywa_A_4_3_A_1_KwotaB</t>
  </si>
  <si>
    <t>/JednostkaInnaWTys/Bilans/Aktywa/Aktywa_A/Aktywa_A_IV/Aktywa_A_IV_3/Aktywa_A_IV_3_A/Aktywa_A_IV_3_A_1/KwotaA</t>
  </si>
  <si>
    <t>Aktywa_A_4_3_A_2_KwotaB</t>
  </si>
  <si>
    <t>/JednostkaInnaWTys/Bilans/Aktywa/Aktywa_A/Aktywa_A_IV/Aktywa_A_IV_3/Aktywa_A_IV_3_A/Aktywa_A_IV_3_A_2/KwotaA</t>
  </si>
  <si>
    <t>Aktywa_A_4_3_A_3_KwotaB</t>
  </si>
  <si>
    <t>/JednostkaInnaWTys/Bilans/Aktywa/Aktywa_A/Aktywa_A_IV/Aktywa_A_IV_3/Aktywa_A_IV_3_A/Aktywa_A_IV_3_A_3/KwotaA</t>
  </si>
  <si>
    <t>Aktywa_A_4_3_A_4_KwotaB</t>
  </si>
  <si>
    <t>/JednostkaInnaWTys/Bilans/Aktywa/Aktywa_A/Aktywa_A_IV/Aktywa_A_IV_3/Aktywa_A_IV_3_A/Aktywa_A_IV_3_A_4/KwotaA</t>
  </si>
  <si>
    <t>Aktywa_A_4_3_B_KwotaB</t>
  </si>
  <si>
    <t>/JednostkaInnaWTys/Bilans/Aktywa/Aktywa_A/Aktywa_A_IV/Aktywa_A_IV_3/Aktywa_A_IV_3_B/KwotaA</t>
  </si>
  <si>
    <t>Aktywa_A_4_3_B_1_KwotaB</t>
  </si>
  <si>
    <t>/JednostkaInnaWTys/Bilans/Aktywa/Aktywa_A/Aktywa_A_IV/Aktywa_A_IV_3/Aktywa_A_IV_3_B/Aktywa_A_IV_3_B_1/KwotaA</t>
  </si>
  <si>
    <t>Aktywa_A_4_3_B_2_KwotaB</t>
  </si>
  <si>
    <t>/JednostkaInnaWTys/Bilans/Aktywa/Aktywa_A/Aktywa_A_IV/Aktywa_A_IV_3/Aktywa_A_IV_3_B/Aktywa_A_IV_3_B_2/KwotaA</t>
  </si>
  <si>
    <t>Aktywa_A_4_3_B_3_KwotaB</t>
  </si>
  <si>
    <t>/JednostkaInnaWTys/Bilans/Aktywa/Aktywa_A/Aktywa_A_IV/Aktywa_A_IV_3/Aktywa_A_IV_3_B/Aktywa_A_IV_3_B_3/KwotaA</t>
  </si>
  <si>
    <t>Aktywa_A_4_3_B_4_KwotaB</t>
  </si>
  <si>
    <t>/JednostkaInnaWTys/Bilans/Aktywa/Aktywa_A/Aktywa_A_IV/Aktywa_A_IV_3/Aktywa_A_IV_3_B/Aktywa_A_IV_3_B_4/KwotaA</t>
  </si>
  <si>
    <t>Aktywa_A_4_3_C_KwotaB</t>
  </si>
  <si>
    <t>/JednostkaInnaWTys/Bilans/Aktywa/Aktywa_A/Aktywa_A_IV/Aktywa_A_IV_3/Aktywa_A_IV_3_C/KwotaA</t>
  </si>
  <si>
    <t>Aktywa_A_4_3_C_1_KwotaB</t>
  </si>
  <si>
    <t>/JednostkaInnaWTys/Bilans/Aktywa/Aktywa_A/Aktywa_A_IV/Aktywa_A_IV_3/Aktywa_A_IV_3_C/Aktywa_A_IV_3_C_1/KwotaA</t>
  </si>
  <si>
    <t>Aktywa_A_4_3_C_2_KwotaB</t>
  </si>
  <si>
    <t>/JednostkaInnaWTys/Bilans/Aktywa/Aktywa_A/Aktywa_A_IV/Aktywa_A_IV_3/Aktywa_A_IV_3_C/Aktywa_A_IV_3_C_2/KwotaA</t>
  </si>
  <si>
    <t>Aktywa_A_4_3_C_3_KwotaB</t>
  </si>
  <si>
    <t>/JednostkaInnaWTys/Bilans/Aktywa/Aktywa_A/Aktywa_A_IV/Aktywa_A_IV_3/Aktywa_A_IV_3_C/Aktywa_A_IV_3_C_3/KwotaA</t>
  </si>
  <si>
    <t>Aktywa_A_4_3_C_4_KwotaB</t>
  </si>
  <si>
    <t>/JednostkaInnaWTys/Bilans/Aktywa/Aktywa_A/Aktywa_A_IV/Aktywa_A_IV_3/Aktywa_A_IV_3_C/Aktywa_A_IV_3_C_4/KwotaA</t>
  </si>
  <si>
    <t>Aktywa_A_4_4_KwotaB</t>
  </si>
  <si>
    <t>/JednostkaInnaWTys/Bilans/Aktywa/Aktywa_A/Aktywa_A_IV/Aktywa_A_IV_4/KwotaA</t>
  </si>
  <si>
    <t>Aktywa_A_5_KwotaB</t>
  </si>
  <si>
    <t>/JednostkaInnaWTys/Bilans/Aktywa/Aktywa_A/Aktywa_A_V/KwotaA</t>
  </si>
  <si>
    <t>Aktywa_A_5_1_KwotaB</t>
  </si>
  <si>
    <t>/JednostkaInnaWTys/Bilans/Aktywa/Aktywa_A/Aktywa_A_V/Aktywa_A_V_1/KwotaA</t>
  </si>
  <si>
    <t>Aktywa_A_5_2_KwotaB</t>
  </si>
  <si>
    <t>/JednostkaInnaWTys/Bilans/Aktywa/Aktywa_A/Aktywa_A_V/Aktywa_A_V_2/KwotaA</t>
  </si>
  <si>
    <t>Aktywa_B_KwotaB</t>
  </si>
  <si>
    <t>/JednostkaInnaWTys/Bilans/Aktywa/Aktywa_B/KwotaA</t>
  </si>
  <si>
    <t>Aktywa_B_1_KwotaB</t>
  </si>
  <si>
    <t>/JednostkaInnaWTys/Bilans/Aktywa/Aktywa_B/Aktywa_B_I/KwotaA</t>
  </si>
  <si>
    <t>Aktywa_B_1_1_KwotaB</t>
  </si>
  <si>
    <t>/JednostkaInnaWTys/Bilans/Aktywa/Aktywa_B/Aktywa_B_I/Aktywa_B_I_1/KwotaA</t>
  </si>
  <si>
    <t>Aktywa_B_1_2_KwotaB</t>
  </si>
  <si>
    <t>/JednostkaInnaWTys/Bilans/Aktywa/Aktywa_B/Aktywa_B_I/Aktywa_B_I_2/KwotaA</t>
  </si>
  <si>
    <t>Aktywa_B_1_3_KwotaB</t>
  </si>
  <si>
    <t>/JednostkaInnaWTys/Bilans/Aktywa/Aktywa_B/Aktywa_B_I/Aktywa_B_I_3/KwotaA</t>
  </si>
  <si>
    <t>Aktywa_B_1_4_KwotaB</t>
  </si>
  <si>
    <t>/JednostkaInnaWTys/Bilans/Aktywa/Aktywa_B/Aktywa_B_I/Aktywa_B_I_4/KwotaA</t>
  </si>
  <si>
    <t>Aktywa_B_1_5_KwotaB</t>
  </si>
  <si>
    <t>/JednostkaInnaWTys/Bilans/Aktywa/Aktywa_B/Aktywa_B_I/Aktywa_B_I_5/KwotaA</t>
  </si>
  <si>
    <t>Aktywa_B_2_KwotaB</t>
  </si>
  <si>
    <t>/JednostkaInnaWTys/Bilans/Aktywa/Aktywa_B/Aktywa_B_II/KwotaA</t>
  </si>
  <si>
    <t>Aktywa_B_2_1_KwotaB</t>
  </si>
  <si>
    <t>/JednostkaInnaWTys/Bilans/Aktywa/Aktywa_B/Aktywa_B_II/Aktywa_B_II_1/KwotaA</t>
  </si>
  <si>
    <t>Aktywa_B_2_1_A_KwotaB</t>
  </si>
  <si>
    <t>/JednostkaInnaWTys/Bilans/Aktywa/Aktywa_B/Aktywa_B_II/Aktywa_B_II_1/Aktywa_B_II_1_A/KwotaA</t>
  </si>
  <si>
    <t>Aktywa_B_2_1_A_1_KwotaB</t>
  </si>
  <si>
    <t>/JednostkaInnaWTys/Bilans/Aktywa/Aktywa_B/Aktywa_B_II/Aktywa_B_II_1/Aktywa_B_II_1_A/Aktywa_B_II_1_A_1/KwotaA</t>
  </si>
  <si>
    <t>Aktywa_B_2_1_A_2_KwotaB</t>
  </si>
  <si>
    <t>/JednostkaInnaWTys/Bilans/Aktywa/Aktywa_B/Aktywa_B_II/Aktywa_B_II_1/Aktywa_B_II_1_A/Aktywa_B_II_1_A_2/KwotaA</t>
  </si>
  <si>
    <t>Aktywa_B_2_1_B_KwotaB</t>
  </si>
  <si>
    <t>/JednostkaInnaWTys/Bilans/Aktywa/Aktywa_B/Aktywa_B_II/Aktywa_B_II_1/Aktywa_B_II_1_B/KwotaA</t>
  </si>
  <si>
    <t>Aktywa_B_2_2_KwotaB</t>
  </si>
  <si>
    <t>/JednostkaInnaWTys/Bilans/Aktywa/Aktywa_B/Aktywa_B_II/Aktywa_B_II_2/KwotaA</t>
  </si>
  <si>
    <t>Aktywa_B_2_2_A_KwotaB</t>
  </si>
  <si>
    <t>/JednostkaInnaWTys/Bilans/Aktywa/Aktywa_B/Aktywa_B_II/Aktywa_B_II_2/Aktywa_B_II_2_A/KwotaA</t>
  </si>
  <si>
    <t>Aktywa_B_2_2_A_1_KwotaB</t>
  </si>
  <si>
    <t>/JednostkaInnaWTys/Bilans/Aktywa/Aktywa_B/Aktywa_B_II/Aktywa_B_II_2/Aktywa_B_II_2_A/Aktywa_B_II_2_A_1/KwotaA</t>
  </si>
  <si>
    <t>Aktywa_B_2_2_A_2_KwotaB</t>
  </si>
  <si>
    <t>/JednostkaInnaWTys/Bilans/Aktywa/Aktywa_B/Aktywa_B_II/Aktywa_B_II_2/Aktywa_B_II_2_A/Aktywa_B_II_2_A_2/KwotaA</t>
  </si>
  <si>
    <t>Aktywa_B_2_2_B_KwotaB</t>
  </si>
  <si>
    <t>/JednostkaInnaWTys/Bilans/Aktywa/Aktywa_B/Aktywa_B_II/Aktywa_B_II_2/Aktywa_B_II_2_B/KwotaA</t>
  </si>
  <si>
    <t>Aktywa_B_2_3_KwotaB</t>
  </si>
  <si>
    <t>/JednostkaInnaWTys/Bilans/Aktywa/Aktywa_B/Aktywa_B_II/Aktywa_B_II_3/KwotaA</t>
  </si>
  <si>
    <t>Aktywa_B_2_3_A_KwotaB</t>
  </si>
  <si>
    <t>/JednostkaInnaWTys/Bilans/Aktywa/Aktywa_B/Aktywa_B_II/Aktywa_B_II_3/Aktywa_B_II_3_A/KwotaA</t>
  </si>
  <si>
    <t>Aktywa_B_2_3_A_1_KwotaB</t>
  </si>
  <si>
    <t>/JednostkaInnaWTys/Bilans/Aktywa/Aktywa_B/Aktywa_B_II/Aktywa_B_II_3/Aktywa_B_II_3_A/Aktywa_B_II_3_A_1/KwotaA</t>
  </si>
  <si>
    <t>Aktywa_B_2_3_A_2_KwotaB</t>
  </si>
  <si>
    <t>/JednostkaInnaWTys/Bilans/Aktywa/Aktywa_B/Aktywa_B_II/Aktywa_B_II_3/Aktywa_B_II_3_A/Aktywa_B_II_3_A_2/KwotaA</t>
  </si>
  <si>
    <t>Aktywa_B_2_3_B_KwotaB</t>
  </si>
  <si>
    <t>/JednostkaInnaWTys/Bilans/Aktywa/Aktywa_B/Aktywa_B_II/Aktywa_B_II_3/Aktywa_B_II_3_B/KwotaA</t>
  </si>
  <si>
    <t>Aktywa_B_2_3_C_KwotaB</t>
  </si>
  <si>
    <t>/JednostkaInnaWTys/Bilans/Aktywa/Aktywa_B/Aktywa_B_II/Aktywa_B_II_3/Aktywa_B_II_3_C/KwotaA</t>
  </si>
  <si>
    <t>Aktywa_B_2_3_D_KwotaB</t>
  </si>
  <si>
    <t>/JednostkaInnaWTys/Bilans/Aktywa/Aktywa_B/Aktywa_B_II/Aktywa_B_II_3/Aktywa_B_II_3_D/KwotaA</t>
  </si>
  <si>
    <t>Aktywa_B_3_KwotaB</t>
  </si>
  <si>
    <t>/JednostkaInnaWTys/Bilans/Aktywa/Aktywa_B/Aktywa_B_III/KwotaA</t>
  </si>
  <si>
    <t>Aktywa_B_3_1_KwotaB</t>
  </si>
  <si>
    <t>/JednostkaInnaWTys/Bilans/Aktywa/Aktywa_B/Aktywa_B_III/Aktywa_B_III_1/KwotaA</t>
  </si>
  <si>
    <t>Aktywa_B_3_1_A_KwotaB</t>
  </si>
  <si>
    <t>/JednostkaInnaWTys/Bilans/Aktywa/Aktywa_B/Aktywa_B_III/Aktywa_B_III_1/Aktywa_B_III_1_A/KwotaA</t>
  </si>
  <si>
    <t>Aktywa_B_3_1_A_1_KwotaB</t>
  </si>
  <si>
    <t>/JednostkaInnaWTys/Bilans/Aktywa/Aktywa_B/Aktywa_B_III/Aktywa_B_III_1/Aktywa_B_III_1_A/Aktywa_B_III_1_A_1/KwotaA</t>
  </si>
  <si>
    <t>Aktywa_B_3_1_A_2_KwotaB</t>
  </si>
  <si>
    <t>/JednostkaInnaWTys/Bilans/Aktywa/Aktywa_B/Aktywa_B_III/Aktywa_B_III_1/Aktywa_B_III_1_A/Aktywa_B_III_1_A_2/KwotaA</t>
  </si>
  <si>
    <t>Aktywa_B_3_1_A_3_KwotaB</t>
  </si>
  <si>
    <t>/JednostkaInnaWTys/Bilans/Aktywa/Aktywa_B/Aktywa_B_III/Aktywa_B_III_1/Aktywa_B_III_1_A/Aktywa_B_III_1_A_3/KwotaA</t>
  </si>
  <si>
    <t>Aktywa_B_3_1_A_4_KwotaB</t>
  </si>
  <si>
    <t>/JednostkaInnaWTys/Bilans/Aktywa/Aktywa_B/Aktywa_B_III/Aktywa_B_III_1/Aktywa_B_III_1_A/Aktywa_B_III_1_A_4/KwotaA</t>
  </si>
  <si>
    <t>Aktywa_B_3_1_B_KwotaB</t>
  </si>
  <si>
    <t>/JednostkaInnaWTys/Bilans/Aktywa/Aktywa_B/Aktywa_B_III/Aktywa_B_III_1/Aktywa_B_III_1_B/KwotaA</t>
  </si>
  <si>
    <t>Aktywa_B_3_1_B_1_KwotaB</t>
  </si>
  <si>
    <t>/JednostkaInnaWTys/Bilans/Aktywa/Aktywa_B/Aktywa_B_III/Aktywa_B_III_1/Aktywa_B_III_1_B/Aktywa_B_III_1_B_1/KwotaA</t>
  </si>
  <si>
    <t>Aktywa_B_3_1_B_2_KwotaB</t>
  </si>
  <si>
    <t>/JednostkaInnaWTys/Bilans/Aktywa/Aktywa_B/Aktywa_B_III/Aktywa_B_III_1/Aktywa_B_III_1_B/Aktywa_B_III_1_B_2/KwotaA</t>
  </si>
  <si>
    <t>Aktywa_B_3_1_B_3_KwotaB</t>
  </si>
  <si>
    <t>/JednostkaInnaWTys/Bilans/Aktywa/Aktywa_B/Aktywa_B_III/Aktywa_B_III_1/Aktywa_B_III_1_B/Aktywa_B_III_1_B_3/KwotaA</t>
  </si>
  <si>
    <t>Aktywa_B_3_1_B_4_KwotaB</t>
  </si>
  <si>
    <t>/JednostkaInnaWTys/Bilans/Aktywa/Aktywa_B/Aktywa_B_III/Aktywa_B_III_1/Aktywa_B_III_1_B/Aktywa_B_III_1_B_4/KwotaA</t>
  </si>
  <si>
    <t>Aktywa_B_3_1_C_KwotaB</t>
  </si>
  <si>
    <t>/JednostkaInnaWTys/Bilans/Aktywa/Aktywa_B/Aktywa_B_III/Aktywa_B_III_1/Aktywa_B_III_1_C/KwotaA</t>
  </si>
  <si>
    <t>Aktywa_B_3_1_C_1_KwotaB</t>
  </si>
  <si>
    <t>/JednostkaInnaWTys/Bilans/Aktywa/Aktywa_B/Aktywa_B_III/Aktywa_B_III_1/Aktywa_B_III_1_C/Aktywa_B_III_1_C_1/KwotaA</t>
  </si>
  <si>
    <t>Aktywa_B_3_1_C_2_KwotaB</t>
  </si>
  <si>
    <t>/JednostkaInnaWTys/Bilans/Aktywa/Aktywa_B/Aktywa_B_III/Aktywa_B_III_1/Aktywa_B_III_1_C/Aktywa_B_III_1_C_2/KwotaA</t>
  </si>
  <si>
    <t>Aktywa_B_3_1_C_3_KwotaB</t>
  </si>
  <si>
    <t>/JednostkaInnaWTys/Bilans/Aktywa/Aktywa_B/Aktywa_B_III/Aktywa_B_III_1/Aktywa_B_III_1_C/Aktywa_B_III_1_C_3/KwotaA</t>
  </si>
  <si>
    <t>Aktywa_B_4_KwotaB</t>
  </si>
  <si>
    <t>/JednostkaInnaWTys/Bilans/Aktywa/Aktywa_B/Aktywa_B_IV/KwotaA</t>
  </si>
  <si>
    <t>Aktywa_C_KwotaB</t>
  </si>
  <si>
    <t>/JednostkaInnaWTys/Bilans/Aktywa/Aktywa_C/KwotaA</t>
  </si>
  <si>
    <t>Aktywa_D_KwotaB</t>
  </si>
  <si>
    <t>/JednostkaInnaWTys/Bilans/Aktywa/Aktywa_D/KwotaA</t>
  </si>
  <si>
    <t>Pasywa_KwotaB</t>
  </si>
  <si>
    <t>/JednostkaInnaWTys/Bilans/Pasywa/KwotaA</t>
  </si>
  <si>
    <t>Pasywa_A_KwotaB</t>
  </si>
  <si>
    <t>/JednostkaInnaWTys/Bilans/Pasywa/Pasywa_A/KwotaA</t>
  </si>
  <si>
    <t>Pasywa_A_1_KwotaB</t>
  </si>
  <si>
    <t>/JednostkaInnaWTys/Bilans/Pasywa/Pasywa_A/Pasywa_A_I/KwotaA</t>
  </si>
  <si>
    <t>Pasywa_A_2_KwotaB</t>
  </si>
  <si>
    <t>/JednostkaInnaWTys/Bilans/Pasywa/Pasywa_A/Pasywa_A_II/KwotaA</t>
  </si>
  <si>
    <t>Pasywa_A_2_1_KwotaB</t>
  </si>
  <si>
    <t>/JednostkaInnaWTys/Bilans/Pasywa/Pasywa_A/Pasywa_A_II/Pasywa_A_II_1/KwotaA</t>
  </si>
  <si>
    <t>Pasywa_A_3_KwotaB</t>
  </si>
  <si>
    <t>/JednostkaInnaWTys/Bilans/Pasywa/Pasywa_A/Pasywa_A_III/KwotaA</t>
  </si>
  <si>
    <t>Pasywa_A_3_1_KwotaB</t>
  </si>
  <si>
    <t>/JednostkaInnaWTys/Bilans/Pasywa/Pasywa_A/Pasywa_A_III/Pasywa_A_III_1/KwotaA</t>
  </si>
  <si>
    <t>Pasywa_A_4_KwotaB</t>
  </si>
  <si>
    <t>/JednostkaInnaWTys/Bilans/Pasywa/Pasywa_A/Pasywa_A_IV/KwotaA</t>
  </si>
  <si>
    <t>Pasywa_A_4_1_KwotaB</t>
  </si>
  <si>
    <t>/JednostkaInnaWTys/Bilans/Pasywa/Pasywa_A/Pasywa_A_IV/Pasywa_A_IV_1/KwotaA</t>
  </si>
  <si>
    <t>Pasywa_A_4_2_KwotaB</t>
  </si>
  <si>
    <t>/JednostkaInnaWTys/Bilans/Pasywa/Pasywa_A/Pasywa_A_IV/Pasywa_A_IV_2/KwotaA</t>
  </si>
  <si>
    <t>Pasywa_A_5_KwotaB</t>
  </si>
  <si>
    <t>/JednostkaInnaWTys/Bilans/Pasywa/Pasywa_A/Pasywa_A_V/KwotaA</t>
  </si>
  <si>
    <t>Pasywa_A_6_KwotaB</t>
  </si>
  <si>
    <t>/JednostkaInnaWTys/Bilans/Pasywa/Pasywa_A/Pasywa_A_VI/KwotaA</t>
  </si>
  <si>
    <t>Pasywa_A_7_KwotaB</t>
  </si>
  <si>
    <t>/JednostkaInnaWTys/Bilans/Pasywa/Pasywa_A/Pasywa_A_VII/KwotaA</t>
  </si>
  <si>
    <t>Pasywa_B_KwotaB</t>
  </si>
  <si>
    <t>/JednostkaInnaWTys/Bilans/Pasywa/Pasywa_B/KwotaA</t>
  </si>
  <si>
    <t>Pasywa_B_1_KwotaB</t>
  </si>
  <si>
    <t>/JednostkaInnaWTys/Bilans/Pasywa/Pasywa_B/Pasywa_B_I/KwotaA</t>
  </si>
  <si>
    <t>Pasywa_B_1_1_KwotaB</t>
  </si>
  <si>
    <t>/JednostkaInnaWTys/Bilans/Pasywa/Pasywa_B/Pasywa_B_I/Pasywa_B_I_1/KwotaA</t>
  </si>
  <si>
    <t>Pasywa_B_1_2_KwotaB</t>
  </si>
  <si>
    <t>/JednostkaInnaWTys/Bilans/Pasywa/Pasywa_B/Pasywa_B_I/Pasywa_B_I_2/KwotaA</t>
  </si>
  <si>
    <t>Pasywa_B_1_2_1_KwotaB</t>
  </si>
  <si>
    <t>/JednostkaInnaWTys/Bilans/Pasywa/Pasywa_B/Pasywa_B_I/Pasywa_B_I_2/Pasywa_B_I_2_1/KwotaA</t>
  </si>
  <si>
    <t>Pasywa_B_1_2_2_KwotaB</t>
  </si>
  <si>
    <t>/JednostkaInnaWTys/Bilans/Pasywa/Pasywa_B/Pasywa_B_I/Pasywa_B_I_2/Pasywa_B_I_2_2/KwotaA</t>
  </si>
  <si>
    <t>Pasywa_B_1_3_KwotaB</t>
  </si>
  <si>
    <t>/JednostkaInnaWTys/Bilans/Pasywa/Pasywa_B/Pasywa_B_I/Pasywa_B_I_3/KwotaA</t>
  </si>
  <si>
    <t>Pasywa_B_1_3_1_KwotaB</t>
  </si>
  <si>
    <t>/JednostkaInnaWTys/Bilans/Pasywa/Pasywa_B/Pasywa_B_I/Pasywa_B_I_3/Pasywa_B_I_3_1/KwotaA</t>
  </si>
  <si>
    <t>Pasywa_B_1_3_2_KwotaB</t>
  </si>
  <si>
    <t>/JednostkaInnaWTys/Bilans/Pasywa/Pasywa_B/Pasywa_B_I/Pasywa_B_I_3/Pasywa_B_I_3_2/KwotaA</t>
  </si>
  <si>
    <t>Pasywa_B_2_KwotaB</t>
  </si>
  <si>
    <t>/JednostkaInnaWTys/Bilans/Pasywa/Pasywa_B/Pasywa_B_II/KwotaA</t>
  </si>
  <si>
    <t>Pasywa_B_2_1_KwotaB</t>
  </si>
  <si>
    <t>/JednostkaInnaWTys/Bilans/Pasywa/Pasywa_B/Pasywa_B_II/Pasywa_B_II_1/KwotaA</t>
  </si>
  <si>
    <t>Pasywa_B_2_2_KwotaB</t>
  </si>
  <si>
    <t>/JednostkaInnaWTys/Bilans/Pasywa/Pasywa_B/Pasywa_B_II/Pasywa_B_II_2/KwotaA</t>
  </si>
  <si>
    <t>Pasywa_B_2_3_KwotaB</t>
  </si>
  <si>
    <t>/JednostkaInnaWTys/Bilans/Pasywa/Pasywa_B/Pasywa_B_II/Pasywa_B_II_3/KwotaA</t>
  </si>
  <si>
    <t>Pasywa_B_2_3_A_KwotaB</t>
  </si>
  <si>
    <t>/JednostkaInnaWTys/Bilans/Pasywa/Pasywa_B/Pasywa_B_II/Pasywa_B_II_3/Pasywa_B_II_3_A/KwotaA</t>
  </si>
  <si>
    <t>Pasywa_B_2_3_B_KwotaB</t>
  </si>
  <si>
    <t>/JednostkaInnaWTys/Bilans/Pasywa/Pasywa_B/Pasywa_B_II/Pasywa_B_II_3/Pasywa_B_II_3_B/KwotaA</t>
  </si>
  <si>
    <t>Pasywa_B_2_3_C_KwotaB</t>
  </si>
  <si>
    <t>/JednostkaInnaWTys/Bilans/Pasywa/Pasywa_B/Pasywa_B_II/Pasywa_B_II_3/Pasywa_B_II_3_C/KwotaA</t>
  </si>
  <si>
    <t>Pasywa_B_2_3_D_KwotaB</t>
  </si>
  <si>
    <t>/JednostkaInnaWTys/Bilans/Pasywa/Pasywa_B/Pasywa_B_II/Pasywa_B_II_3/Pasywa_B_II_3_D/KwotaA</t>
  </si>
  <si>
    <t>Pasywa_B_2_3_E_KwotaB</t>
  </si>
  <si>
    <t>/JednostkaInnaWTys/Bilans/Pasywa/Pasywa_B/Pasywa_B_II/Pasywa_B_II_3/Pasywa_B_II_3_E/KwotaA</t>
  </si>
  <si>
    <t>Pasywa_B_3_KwotaB</t>
  </si>
  <si>
    <t>/JednostkaInnaWTys/Bilans/Pasywa/Pasywa_B/Pasywa_B_III/KwotaA</t>
  </si>
  <si>
    <t>Pasywa_B_3_1_KwotaB</t>
  </si>
  <si>
    <t>/JednostkaInnaWTys/Bilans/Pasywa/Pasywa_B/Pasywa_B_III/Pasywa_B_III_1/KwotaA</t>
  </si>
  <si>
    <t>Pasywa_B_3_1_A_KwotaB</t>
  </si>
  <si>
    <t>/JednostkaInnaWTys/Bilans/Pasywa/Pasywa_B/Pasywa_B_III/Pasywa_B_III_1/Pasywa_B_III_1_A/KwotaA</t>
  </si>
  <si>
    <t>Pasywa_B_3_1_A_1_KwotaB</t>
  </si>
  <si>
    <t>/JednostkaInnaWTys/Bilans/Pasywa/Pasywa_B/Pasywa_B_III/Pasywa_B_III_1/Pasywa_B_III_1_A/Pasywa_B_III_1_A_1/KwotaA</t>
  </si>
  <si>
    <t>Pasywa_B_3_1_A_2_KwotaB</t>
  </si>
  <si>
    <t>/JednostkaInnaWTys/Bilans/Pasywa/Pasywa_B/Pasywa_B_III/Pasywa_B_III_1/Pasywa_B_III_1_A/Pasywa_B_III_1_A_2/KwotaA</t>
  </si>
  <si>
    <t>Pasywa_B_3_1_B_KwotaB</t>
  </si>
  <si>
    <t>/JednostkaInnaWTys/Bilans/Pasywa/Pasywa_B/Pasywa_B_III/Pasywa_B_III_1/Pasywa_B_III_1_B/KwotaA</t>
  </si>
  <si>
    <t>Pasywa_B_3_2_KwotaB</t>
  </si>
  <si>
    <t>/JednostkaInnaWTys/Bilans/Pasywa/Pasywa_B/Pasywa_B_III/Pasywa_B_III_2/KwotaA</t>
  </si>
  <si>
    <t>Pasywa_B_3_2_A_KwotaB</t>
  </si>
  <si>
    <t>/JednostkaInnaWTys/Bilans/Pasywa/Pasywa_B/Pasywa_B_III/Pasywa_B_III_2/Pasywa_B_III_2_A/KwotaA</t>
  </si>
  <si>
    <t>Pasywa_B_3_2_A_1_KwotaB</t>
  </si>
  <si>
    <t>/JednostkaInnaWTys/Bilans/Pasywa/Pasywa_B/Pasywa_B_III/Pasywa_B_III_2/Pasywa_B_III_2_A/Pasywa_B_III_2_A_1/KwotaA</t>
  </si>
  <si>
    <t>Pasywa_B_3_2_A_2_KwotaB</t>
  </si>
  <si>
    <t>/JednostkaInnaWTys/Bilans/Pasywa/Pasywa_B/Pasywa_B_III/Pasywa_B_III_2/Pasywa_B_III_2_A/Pasywa_B_III_2_A_2/KwotaA</t>
  </si>
  <si>
    <t>Pasywa_B_3_2_B_KwotaB</t>
  </si>
  <si>
    <t>/JednostkaInnaWTys/Bilans/Pasywa/Pasywa_B/Pasywa_B_III/Pasywa_B_III_2/Pasywa_B_III_2_B/KwotaA</t>
  </si>
  <si>
    <t>Pasywa_B_3_3_KwotaB</t>
  </si>
  <si>
    <t>/JednostkaInnaWTys/Bilans/Pasywa/Pasywa_B/Pasywa_B_III/Pasywa_B_III_3/KwotaA</t>
  </si>
  <si>
    <t>Pasywa_B_3_3_A_KwotaB</t>
  </si>
  <si>
    <t>/JednostkaInnaWTys/Bilans/Pasywa/Pasywa_B/Pasywa_B_III/Pasywa_B_III_3/Pasywa_B_III_3_A/KwotaA</t>
  </si>
  <si>
    <t>Pasywa_B_3_3_B_KwotaB</t>
  </si>
  <si>
    <t>/JednostkaInnaWTys/Bilans/Pasywa/Pasywa_B/Pasywa_B_III/Pasywa_B_III_3/Pasywa_B_III_3_B/KwotaA</t>
  </si>
  <si>
    <t>Pasywa_B_3_3_C_KwotaB</t>
  </si>
  <si>
    <t>/JednostkaInnaWTys/Bilans/Pasywa/Pasywa_B/Pasywa_B_III/Pasywa_B_III_3/Pasywa_B_III_3_C/KwotaA</t>
  </si>
  <si>
    <t>Pasywa_B_3_3_D_KwotaB</t>
  </si>
  <si>
    <t>/JednostkaInnaWTys/Bilans/Pasywa/Pasywa_B/Pasywa_B_III/Pasywa_B_III_3/Pasywa_B_III_3_D/KwotaA</t>
  </si>
  <si>
    <t>Pasywa_B_3_3_D_1_KwotaB</t>
  </si>
  <si>
    <t>/JednostkaInnaWTys/Bilans/Pasywa/Pasywa_B/Pasywa_B_III/Pasywa_B_III_3/Pasywa_B_III_3_D/Pasywa_B_III_3_D_1/KwotaA</t>
  </si>
  <si>
    <t>Pasywa_B_3_3_D_2_KwotaB</t>
  </si>
  <si>
    <t>/JednostkaInnaWTys/Bilans/Pasywa/Pasywa_B/Pasywa_B_III/Pasywa_B_III_3/Pasywa_B_III_3_D/Pasywa_B_III_3_D_2/KwotaA</t>
  </si>
  <si>
    <t>Pasywa_B_3_3_E_KwotaB</t>
  </si>
  <si>
    <t>/JednostkaInnaWTys/Bilans/Pasywa/Pasywa_B/Pasywa_B_III/Pasywa_B_III_3/Pasywa_B_III_3_E/KwotaA</t>
  </si>
  <si>
    <t>Pasywa_B_3_3_F_KwotaB</t>
  </si>
  <si>
    <t>/JednostkaInnaWTys/Bilans/Pasywa/Pasywa_B/Pasywa_B_III/Pasywa_B_III_3/Pasywa_B_III_3_F/KwotaA</t>
  </si>
  <si>
    <t>Pasywa_B_3_3_G_KwotaB</t>
  </si>
  <si>
    <t>/JednostkaInnaWTys/Bilans/Pasywa/Pasywa_B/Pasywa_B_III/Pasywa_B_III_3/Pasywa_B_III_3_G/KwotaA</t>
  </si>
  <si>
    <t>Pasywa_B_3_3_H_KwotaB</t>
  </si>
  <si>
    <t>/JednostkaInnaWTys/Bilans/Pasywa/Pasywa_B/Pasywa_B_III/Pasywa_B_III_3/Pasywa_B_III_3_H/KwotaA</t>
  </si>
  <si>
    <t>Pasywa_B_3_3_I_KwotaB</t>
  </si>
  <si>
    <t>/JednostkaInnaWTys/Bilans/Pasywa/Pasywa_B/Pasywa_B_III/Pasywa_B_III_3/Pasywa_B_III_3_I/KwotaA</t>
  </si>
  <si>
    <t>Pasywa_B_3_4_KwotaB</t>
  </si>
  <si>
    <t>/JednostkaInnaWTys/Bilans/Pasywa/Pasywa_B/Pasywa_B_III/Pasywa_B_III_4/KwotaA</t>
  </si>
  <si>
    <t>Pasywa_B_4_KwotaB</t>
  </si>
  <si>
    <t>/JednostkaInnaWTys/Bilans/Pasywa/Pasywa_B/Pasywa_B_IV/KwotaA</t>
  </si>
  <si>
    <t>Pasywa_B_4_1_KwotaB</t>
  </si>
  <si>
    <t>/JednostkaInnaWTys/Bilans/Pasywa/Pasywa_B/Pasywa_B_IV/Pasywa_B_IV_1/KwotaA</t>
  </si>
  <si>
    <t>Pasywa_B_4_2_KwotaB</t>
  </si>
  <si>
    <t>/JednostkaInnaWTys/Bilans/Pasywa/Pasywa_B/Pasywa_B_IV/Pasywa_B_IV_2/KwotaA</t>
  </si>
  <si>
    <t>Pasywa_B_4_2_1_KwotaB</t>
  </si>
  <si>
    <t>/JednostkaInnaWTys/Bilans/Pasywa/Pasywa_B/Pasywa_B_IV/Pasywa_B_IV_2/Pasywa_B_IV_2_1/KwotaA</t>
  </si>
  <si>
    <t>Pasywa_B_4_2_2_KwotaB</t>
  </si>
  <si>
    <t>/JednostkaInnaWTys/Bilans/Pasywa/Pasywa_B/Pasywa_B_IV/Pasywa_B_IV_2/Pasywa_B_IV_2_2/KwotaA</t>
  </si>
  <si>
    <t>RzisPorA_KwotaB</t>
  </si>
  <si>
    <t>/JednostkaInnaWTys/RZiS/RZiSPor/A/KwotaA</t>
  </si>
  <si>
    <t>RzisPorA_J_KwotaB</t>
  </si>
  <si>
    <t>/JednostkaInnaWTys/RZiS/RZiSPor/A/A_J/KwotaA</t>
  </si>
  <si>
    <t>RzisPorA_1_KwotaB</t>
  </si>
  <si>
    <t>/JednostkaInnaWTys/RZiS/RZiSPor/A/A_I/KwotaA</t>
  </si>
  <si>
    <t>RzisPorA_2_KwotaB</t>
  </si>
  <si>
    <t>/JednostkaInnaWTys/RZiS/RZiSPor/A/A_II/KwotaA</t>
  </si>
  <si>
    <t>RzisPorA_3_KwotaB</t>
  </si>
  <si>
    <t>/JednostkaInnaWTys/RZiS/RZiSPor/A/A_III/KwotaA</t>
  </si>
  <si>
    <t>RzisPorA_4_KwotaB</t>
  </si>
  <si>
    <t>/JednostkaInnaWTys/RZiS/RZiSPor/A/A_IV/KwotaA</t>
  </si>
  <si>
    <t>RzisPorB_KwotaB</t>
  </si>
  <si>
    <t>/JednostkaInnaWTys/RZiS/RZiSPor/B/KwotaA</t>
  </si>
  <si>
    <t>RzisPorB_1_KwotaB</t>
  </si>
  <si>
    <t>/JednostkaInnaWTys/RZiS/RZiSPor/B/B_I/KwotaA</t>
  </si>
  <si>
    <t>RzisPorB_2_KwotaB</t>
  </si>
  <si>
    <t>/JednostkaInnaWTys/RZiS/RZiSPor/B/B_II/KwotaA</t>
  </si>
  <si>
    <t>RzisPorB_3_KwotaB</t>
  </si>
  <si>
    <t>/JednostkaInnaWTys/RZiS/RZiSPor/B/B_III/KwotaA</t>
  </si>
  <si>
    <t>RzisPorB_4_KwotaB</t>
  </si>
  <si>
    <t>/JednostkaInnaWTys/RZiS/RZiSPor/B/B_IV/KwotaA</t>
  </si>
  <si>
    <t>RzisPorB_4_1_KwotaB</t>
  </si>
  <si>
    <t>/JednostkaInnaWTys/RZiS/RZiSPor/B/B_IV/B_IV_1/KwotaA</t>
  </si>
  <si>
    <t>RzisPorB_5_KwotaB</t>
  </si>
  <si>
    <t>/JednostkaInnaWTys/RZiS/RZiSPor/B/B_V/KwotaA</t>
  </si>
  <si>
    <t>RzisPorB_6_KwotaB</t>
  </si>
  <si>
    <t>/JednostkaInnaWTys/RZiS/RZiSPor/B/B_VI/KwotaA</t>
  </si>
  <si>
    <t>RzisPorB_6_1_KwotaB</t>
  </si>
  <si>
    <t>/JednostkaInnaWTys/RZiS/RZiSPor/B/B_VI/B_VI_1/KwotaA</t>
  </si>
  <si>
    <t>RzisPorB_7_KwotaB</t>
  </si>
  <si>
    <t>/JednostkaInnaWTys/RZiS/RZiSPor/B/B_VII/KwotaA</t>
  </si>
  <si>
    <t>RzisPorB_8_KwotaB</t>
  </si>
  <si>
    <t>/JednostkaInnaWTys/RZiS/RZiSPor/B/B_VIII/KwotaA</t>
  </si>
  <si>
    <t>RzisPorC_KwotaB</t>
  </si>
  <si>
    <t>/JednostkaInnaWTys/RZiS/RZiSPor/C/KwotaA</t>
  </si>
  <si>
    <t>RzisPorD_KwotaB</t>
  </si>
  <si>
    <t>/JednostkaInnaWTys/RZiS/RZiSPor/D/KwotaA</t>
  </si>
  <si>
    <t>RzisPorD_1_KwotaB</t>
  </si>
  <si>
    <t>/JednostkaInnaWTys/RZiS/RZiSPor/D/D_I/KwotaA</t>
  </si>
  <si>
    <t>RzisPorD_2_KwotaB</t>
  </si>
  <si>
    <t>/JednostkaInnaWTys/RZiS/RZiSPor/D/D_II/KwotaA</t>
  </si>
  <si>
    <t>RzisPorD_3_KwotaB</t>
  </si>
  <si>
    <t>/JednostkaInnaWTys/RZiS/RZiSPor/D/D_III/KwotaA</t>
  </si>
  <si>
    <t>RzisPorD_4_KwotaB</t>
  </si>
  <si>
    <t>/JednostkaInnaWTys/RZiS/RZiSPor/D/D_IV/KwotaA</t>
  </si>
  <si>
    <t>RzisPorE_KwotaB</t>
  </si>
  <si>
    <t>/JednostkaInnaWTys/RZiS/RZiSPor/E/KwotaA</t>
  </si>
  <si>
    <t>/JednostkaInnaWTys/RZiS/RZiSPor/E/E_I/KwotaA</t>
  </si>
  <si>
    <t>RzisPorE_1_KwotaB</t>
  </si>
  <si>
    <t>/JednostkaInnaWTys/RZiS/RZiSPor/E/E_II/KwotaA</t>
  </si>
  <si>
    <t>RzisPorE_2_KwotaB</t>
  </si>
  <si>
    <t>/JednostkaInnaWTys/RZiS/RZiSPor/E/E_III/KwotaA</t>
  </si>
  <si>
    <t>RzisPorF_KwotaB</t>
  </si>
  <si>
    <t>/JednostkaInnaWTys/RZiS/RZiSPor/F/KwotaA</t>
  </si>
  <si>
    <t>RzisPorG_KwotaB</t>
  </si>
  <si>
    <t>/JednostkaInnaWTys/RZiS/RZiSPor/G/KwotaA</t>
  </si>
  <si>
    <t>RzisPorG_1_KwotaB</t>
  </si>
  <si>
    <t>/JednostkaInnaWTys/RZiS/RZiSPor/G/G_I/KwotaA</t>
  </si>
  <si>
    <t>RzisPorG_1_A_KwotaB</t>
  </si>
  <si>
    <t>/JednostkaInnaWTys/RZiS/RZiSPor/G/G_I/G_I_A/KwotaA</t>
  </si>
  <si>
    <t>RzisPorG_1_A_1_KwotaB</t>
  </si>
  <si>
    <t>/JednostkaInnaWTys/RZiS/RZiSPor/G/G_I/G_I_A/G_I_A_1/KwotaA</t>
  </si>
  <si>
    <t>RzisPorG_1_B_KwotaB</t>
  </si>
  <si>
    <t>/JednostkaInnaWTys/RZiS/RZiSPor/G/G_I/G_I_B/KwotaA</t>
  </si>
  <si>
    <t>RzisPorG_1_B_1_KwotaB</t>
  </si>
  <si>
    <t>/JednostkaInnaWTys/RZiS/RZiSPor/G/G_I/G_I_B/G_I_B_1/KwotaA</t>
  </si>
  <si>
    <t>RzisPorG_2_KwotaB</t>
  </si>
  <si>
    <t>/JednostkaInnaWTys/RZiS/RZiSPor/G/G_II/KwotaA</t>
  </si>
  <si>
    <t>RzisPorG_2_J_KwotaB</t>
  </si>
  <si>
    <t>/JednostkaInnaWTys/RZiS/RZiSPor/G/G_II/G_II_J/KwotaA</t>
  </si>
  <si>
    <t>RzisPorG_3_KwotaB</t>
  </si>
  <si>
    <t>/JednostkaInnaWTys/RZiS/RZiSPor/G/G_III/KwotaA</t>
  </si>
  <si>
    <t>RzisPorG_3_J_KwotaB</t>
  </si>
  <si>
    <t>/JednostkaInnaWTys/RZiS/RZiSPor/G/G_III/G_III_J/KwotaA</t>
  </si>
  <si>
    <t>RzisPorG_4_KwotaB</t>
  </si>
  <si>
    <t>/JednostkaInnaWTys/RZiS/RZiSPor/G/G_IV/KwotaA</t>
  </si>
  <si>
    <t>RzisPorG_5_KwotaB</t>
  </si>
  <si>
    <t>/JednostkaInnaWTys/RZiS/RZiSPor/G/G_V/KwotaA</t>
  </si>
  <si>
    <t>RzisPorH_KwotaB</t>
  </si>
  <si>
    <t>/JednostkaInnaWTys/RZiS/RZiSPor/H/KwotaA</t>
  </si>
  <si>
    <t>RzisPorH_1_KwotaB</t>
  </si>
  <si>
    <t>/JednostkaInnaWTys/RZiS/RZiSPor/H/H_I/KwotaA</t>
  </si>
  <si>
    <t>RzisPorH_1_J_KwotaB</t>
  </si>
  <si>
    <t>/JednostkaInnaWTys/RZiS/RZiSPor/H/H_I/H_I_J/KwotaA</t>
  </si>
  <si>
    <t>RzisPorH_2_KwotaB</t>
  </si>
  <si>
    <t>/JednostkaInnaWTys/RZiS/RZiSPor/H/H_II/KwotaA</t>
  </si>
  <si>
    <t>RzisPorH_2_J_KwotaB</t>
  </si>
  <si>
    <t>/JednostkaInnaWTys/RZiS/RZiSPor/H/H_II/H_II_J/KwotaA</t>
  </si>
  <si>
    <t>RzisPorH_3_KwotaB</t>
  </si>
  <si>
    <t>/JednostkaInnaWTys/RZiS/RZiSPor/H/H_III/KwotaA</t>
  </si>
  <si>
    <t>RzisPorH_4_KwotaB</t>
  </si>
  <si>
    <t>/JednostkaInnaWTys/RZiS/RZiSPor/H/H_IV/KwotaA</t>
  </si>
  <si>
    <t>RzisPorI_KwotaB</t>
  </si>
  <si>
    <t>/JednostkaInnaWTys/RZiS/RZiSPor/I/KwotaA</t>
  </si>
  <si>
    <t>RzisPorJ_KwotaB</t>
  </si>
  <si>
    <t>/JednostkaInnaWTys/RZiS/RZiSPor/J/KwotaA</t>
  </si>
  <si>
    <t>RzisPorK_KwotaB</t>
  </si>
  <si>
    <t>/JednostkaInnaWTys/RZiS/RZiSPor/K/KwotaA</t>
  </si>
  <si>
    <t>RzisPorL_KwotaB</t>
  </si>
  <si>
    <t>/JednostkaInnaWTys/RZiS/RZiSPor/L/KwotaA</t>
  </si>
  <si>
    <t>Kapital_1_KwotaB</t>
  </si>
  <si>
    <t>/JednostkaInnaWTys/ZestZmianWKapitale/I/KwotaA</t>
  </si>
  <si>
    <t>Kapital_1_1_KwotaB</t>
  </si>
  <si>
    <t>/JednostkaInnaWTys/ZestZmianWKapitale/I/I_1/KwotaA</t>
  </si>
  <si>
    <t>Kapital_1_2_KwotaB</t>
  </si>
  <si>
    <t>/JednostkaInnaWTys/ZestZmianWKapitale/I/I_2/KwotaA</t>
  </si>
  <si>
    <t>Kapital_1A_KwotaB</t>
  </si>
  <si>
    <t>/JednostkaInnaWTys/ZestZmianWKapitale/IA/KwotaA</t>
  </si>
  <si>
    <t>Kapital_1A_1_KwotaB</t>
  </si>
  <si>
    <t>/JednostkaInnaWTys/ZestZmianWKapitale/IA/IA_1/KwotaA</t>
  </si>
  <si>
    <t>Kapital_1A_1_1_KwotaB</t>
  </si>
  <si>
    <t>/JednostkaInnaWTys/ZestZmianWKapitale/IA/IA_1/IA_1_1/KwotaA</t>
  </si>
  <si>
    <t>Kapital_1A_1_1_A_KwotaB</t>
  </si>
  <si>
    <t>/JednostkaInnaWTys/ZestZmianWKapitale/IA/IA_1/IA_1_1/IA_1_1_A/KwotaA</t>
  </si>
  <si>
    <t>Kapital_1A_1_1_A_1_KwotaB</t>
  </si>
  <si>
    <t>/JednostkaInnaWTys/ZestZmianWKapitale/IA/IA_1/IA_1_1/IA_1_1_A/IA_1_1_A_1/KwotaA</t>
  </si>
  <si>
    <t>Kapital_1A_1_1_B_KwotaB</t>
  </si>
  <si>
    <t>/JednostkaInnaWTys/ZestZmianWKapitale/IA/IA_1/IA_1_1/IA_1_1_B/KwotaA</t>
  </si>
  <si>
    <t>Kapital_1A_1_1_B_1_KwotaB</t>
  </si>
  <si>
    <t>/JednostkaInnaWTys/ZestZmianWKapitale/IA/IA_1/IA_1_1/IA_1_1_B/IA_1_1_B_1/KwotaA</t>
  </si>
  <si>
    <t>Kapital_1A_1_2_KwotaB</t>
  </si>
  <si>
    <t>/JednostkaInnaWTys/ZestZmianWKapitale/IA/IA_1/IA_1_2/KwotaA</t>
  </si>
  <si>
    <t>Kapital_1A_2_KwotaB</t>
  </si>
  <si>
    <t>/JednostkaInnaWTys/ZestZmianWKapitale/IA/IA_2/KwotaA</t>
  </si>
  <si>
    <t>Kapital_1A_2_1_KwotaB</t>
  </si>
  <si>
    <t>/JednostkaInnaWTys/ZestZmianWKapitale/IA/IA_2/IA_2_1/KwotaA</t>
  </si>
  <si>
    <t>Kapital_1A_2_1_A_KwotaB</t>
  </si>
  <si>
    <t>/JednostkaInnaWTys/ZestZmianWKapitale/IA/IA_2/IA_2_1/IA_2_1_A/KwotaA</t>
  </si>
  <si>
    <t>Kapital_1A_2_1_A_1_KwotaB</t>
  </si>
  <si>
    <t>/JednostkaInnaWTys/ZestZmianWKapitale/IA/IA_2/IA_2_1/IA_2_1_A/IA_2_1_A_1/KwotaA</t>
  </si>
  <si>
    <t>Kapital_1A_2_1_A_2_KwotaB</t>
  </si>
  <si>
    <t>/JednostkaInnaWTys/ZestZmianWKapitale/IA/IA_2/IA_2_1/IA_2_1_A/IA_2_1_A_2/KwotaA</t>
  </si>
  <si>
    <t>Kapital_1A_2_1_A_3_KwotaB</t>
  </si>
  <si>
    <t>/JednostkaInnaWTys/ZestZmianWKapitale/IA/IA_2/IA_2_1/IA_2_1_A/IA_2_1_A_3/KwotaA</t>
  </si>
  <si>
    <t>Kapital_1A_2_1_B_KwotaB</t>
  </si>
  <si>
    <t>/JednostkaInnaWTys/ZestZmianWKapitale/IA/IA_2/IA_2_1/IA_2_1_B/KwotaA</t>
  </si>
  <si>
    <t>Kapital_1A_2_1_B_1_KwotaB</t>
  </si>
  <si>
    <t>/JednostkaInnaWTys/ZestZmianWKapitale/IA/IA_2/IA_2_1/IA_2_1_B/IA_2_1_B_1/KwotaA</t>
  </si>
  <si>
    <t>Kapital_1A_2_2_KwotaB</t>
  </si>
  <si>
    <t>/JednostkaInnaWTys/ZestZmianWKapitale/IA/IA_2/IA_2_2/KwotaA</t>
  </si>
  <si>
    <t>Kapital_1A_3_KwotaB</t>
  </si>
  <si>
    <t>/JednostkaInnaWTys/ZestZmianWKapitale/IA/IA_3/KwotaA</t>
  </si>
  <si>
    <t>Kapital_1A_3_1_KwotaB</t>
  </si>
  <si>
    <t>/JednostkaInnaWTys/ZestZmianWKapitale/IA/IA_3/IA_3_1/KwotaA</t>
  </si>
  <si>
    <t>Kapital_1A_3_1_A_KwotaB</t>
  </si>
  <si>
    <t>/JednostkaInnaWTys/ZestZmianWKapitale/IA/IA_3/IA_3_1/IA_3_1_A/KwotaA</t>
  </si>
  <si>
    <t>Kapital_1A_3_1_B_KwotaB</t>
  </si>
  <si>
    <t>/JednostkaInnaWTys/ZestZmianWKapitale/IA/IA_3/IA_3_1/IA_3_1_B/KwotaA</t>
  </si>
  <si>
    <t>Kapital_1A_3_1_B_1_KwotaB</t>
  </si>
  <si>
    <t>/JednostkaInnaWTys/ZestZmianWKapitale/IA/IA_3/IA_3_1/IA_3_1_B/IA_3_1_B_1/KwotaA</t>
  </si>
  <si>
    <t>Kapital_1A_3_2_KwotaB</t>
  </si>
  <si>
    <t>/JednostkaInnaWTys/ZestZmianWKapitale/IA/IA_3/IA_3_2/KwotaA</t>
  </si>
  <si>
    <t>Kapital_1A_4_KwotaB</t>
  </si>
  <si>
    <t>/JednostkaInnaWTys/ZestZmianWKapitale/IA/IA_4/KwotaA</t>
  </si>
  <si>
    <t>Kapital_1A_4_1_KwotaB</t>
  </si>
  <si>
    <t>/JednostkaInnaWTys/ZestZmianWKapitale/IA/IA_4/IA_4_1/KwotaA</t>
  </si>
  <si>
    <t>Kapital_1A_4_1_A_KwotaB</t>
  </si>
  <si>
    <t>/JednostkaInnaWTys/ZestZmianWKapitale/IA/IA_4/IA_4_1/IA_4_1_A/KwotaA</t>
  </si>
  <si>
    <t>Kapital_1A_4_1_B_KwotaB</t>
  </si>
  <si>
    <t>/JednostkaInnaWTys/ZestZmianWKapitale/IA/IA_4/IA_4_1/IA_4_1_B/KwotaA</t>
  </si>
  <si>
    <t>Kapital_1A_4_2_KwotaB</t>
  </si>
  <si>
    <t>/JednostkaInnaWTys/ZestZmianWKapitale/IA/IA_4/IA_4_2/KwotaA</t>
  </si>
  <si>
    <t>Kapital_1A_5_KwotaB</t>
  </si>
  <si>
    <t>/JednostkaInnaWTys/ZestZmianWKapitale/IA/IA_5/KwotaA</t>
  </si>
  <si>
    <t>Kapital_1A_5_1_KwotaB</t>
  </si>
  <si>
    <t>/JednostkaInnaWTys/ZestZmianWKapitale/IA/IA_5/IA_5_1/KwotaA</t>
  </si>
  <si>
    <t>Kapital_1A_5_1_1_KwotaB</t>
  </si>
  <si>
    <t>/JednostkaInnaWTys/ZestZmianWKapitale/IA/IA_5/IA_5_1/IA_5_1_1/KwotaA</t>
  </si>
  <si>
    <t>Kapital_1A_5_1_2_KwotaB</t>
  </si>
  <si>
    <t>/JednostkaInnaWTys/ZestZmianWKapitale/IA/IA_5/IA_5_1/IA_5_1_2/KwotaA</t>
  </si>
  <si>
    <t>Kapital_1A_5_2_KwotaB</t>
  </si>
  <si>
    <t>/JednostkaInnaWTys/ZestZmianWKapitale/IA/IA_5/IA_5_2/KwotaA</t>
  </si>
  <si>
    <t>Kapital_1A_5_2_A_KwotaB</t>
  </si>
  <si>
    <t>/JednostkaInnaWTys/ZestZmianWKapitale/IA/IA_5/IA_5_2/IA_5_2_A/KwotaA</t>
  </si>
  <si>
    <t>Kapital_1A_5_2_A_1_KwotaB</t>
  </si>
  <si>
    <t>/JednostkaInnaWTys/ZestZmianWKapitale/IA/IA_5/IA_5_2/IA_5_2_A/IA_5_2_A_1/KwotaA</t>
  </si>
  <si>
    <t>Kapital_1A_5_2_B_KwotaB</t>
  </si>
  <si>
    <t>/JednostkaInnaWTys/ZestZmianWKapitale/IA/IA_5/IA_5_2/IA_5_2_B/KwotaA</t>
  </si>
  <si>
    <t>Kapital_1A_5_3_KwotaB</t>
  </si>
  <si>
    <t>/JednostkaInnaWTys/ZestZmianWKapitale/IA/IA_5/IA_5_3/KwotaA</t>
  </si>
  <si>
    <t>Kapital_1A_5_4_KwotaB</t>
  </si>
  <si>
    <t>/JednostkaInnaWTys/ZestZmianWKapitale/IA/IA_5/IA_5_4/KwotaA</t>
  </si>
  <si>
    <t>Kapital_1A_5_4_1_KwotaB</t>
  </si>
  <si>
    <t>/JednostkaInnaWTys/ZestZmianWKapitale/IA/IA_5/IA_5_4/IA_5_4_1/KwotaA</t>
  </si>
  <si>
    <t>Kapital_1A_5_4_2_KwotaB</t>
  </si>
  <si>
    <t>/JednostkaInnaWTys/ZestZmianWKapitale/IA/IA_5/IA_5_4/IA_5_4_2/KwotaA</t>
  </si>
  <si>
    <t>Kapital_1A_5_5_KwotaB</t>
  </si>
  <si>
    <t>/JednostkaInnaWTys/ZestZmianWKapitale/IA/IA_5/IA_5_5/KwotaA</t>
  </si>
  <si>
    <t>Kapital_1A_5_5_A_KwotaB</t>
  </si>
  <si>
    <t>/JednostkaInnaWTys/ZestZmianWKapitale/IA/IA_5/IA_5_5/IA_5_5_A/KwotaA</t>
  </si>
  <si>
    <t>Kapital_1A_5_5_A_1_KwotaB</t>
  </si>
  <si>
    <t>/JednostkaInnaWTys/ZestZmianWKapitale/IA/IA_5/IA_5_5/IA_5_5_A/IA_5_5_A_1/KwotaA</t>
  </si>
  <si>
    <t>Kapital_1A_5_5_B_KwotaB</t>
  </si>
  <si>
    <t>/JednostkaInnaWTys/ZestZmianWKapitale/IA/IA_5/IA_5_5/IA_5_5_B/KwotaA</t>
  </si>
  <si>
    <t>Kapital_1A_5_6_KwotaB</t>
  </si>
  <si>
    <t>/JednostkaInnaWTys/ZestZmianWKapitale/IA/IA_5/IA_5_6/KwotaA</t>
  </si>
  <si>
    <t>Kapital_1A_5_7_KwotaB</t>
  </si>
  <si>
    <t>/JednostkaInnaWTys/ZestZmianWKapitale/IA/IA_5/IA_5_7/KwotaA</t>
  </si>
  <si>
    <t>Kapital_1A_6_KwotaB</t>
  </si>
  <si>
    <t>/JednostkaInnaWTys/ZestZmianWKapitale/IA/IA_6/KwotaA</t>
  </si>
  <si>
    <t>Kapital_1A_6_A_KwotaB</t>
  </si>
  <si>
    <t>/JednostkaInnaWTys/ZestZmianWKapitale/IA/IA_6/IA_6_A/KwotaA</t>
  </si>
  <si>
    <t>Kapital_1A_6_B_KwotaB</t>
  </si>
  <si>
    <t>/JednostkaInnaWTys/ZestZmianWKapitale/IA/IA_6/IA_6_B/KwotaA</t>
  </si>
  <si>
    <t>Kapital_1A_6_C_KwotaB</t>
  </si>
  <si>
    <t>/JednostkaInnaWTys/ZestZmianWKapitale/IA/IA_6/IA_6_C/KwotaA</t>
  </si>
  <si>
    <t>Kapital_2_KwotaB</t>
  </si>
  <si>
    <t>/JednostkaInnaWTys/ZestZmianWKapitale/II/KwotaA</t>
  </si>
  <si>
    <t>Kapital_3_KwotaB</t>
  </si>
  <si>
    <t>/JednostkaInnaWTys/ZestZmianWKapitale/III/KwotaA</t>
  </si>
  <si>
    <t>CFPosr_A_KwotaB</t>
  </si>
  <si>
    <t>/JednostkaInnaWTys/RachPrzeplywow/PrzeplywyPosr/A/KwotaA</t>
  </si>
  <si>
    <t>CFPosr_A_1_KwotaB</t>
  </si>
  <si>
    <t>/JednostkaInnaWTys/RachPrzeplywow/PrzeplywyPosr/A/A_I/KwotaA</t>
  </si>
  <si>
    <t>CFPosr_A_2_KwotaB</t>
  </si>
  <si>
    <t>/JednostkaInnaWTys/RachPrzeplywow/PrzeplywyPosr/A/A_II/KwotaA</t>
  </si>
  <si>
    <t>CFPosr_A_2_1_KwotaB</t>
  </si>
  <si>
    <t>/JednostkaInnaWTys/RachPrzeplywow/PrzeplywyPosr/A/A_II/A_II_1/KwotaA</t>
  </si>
  <si>
    <t>CFPosr_A_2_2_KwotaB</t>
  </si>
  <si>
    <t>/JednostkaInnaWTys/RachPrzeplywow/PrzeplywyPosr/A/A_II/A_II_2/KwotaA</t>
  </si>
  <si>
    <t>CFPosr_A_2_3_KwotaB</t>
  </si>
  <si>
    <t>/JednostkaInnaWTys/RachPrzeplywow/PrzeplywyPosr/A/A_II/A_II_3/KwotaA</t>
  </si>
  <si>
    <t>CFPosr_A_2_4_KwotaB</t>
  </si>
  <si>
    <t>/JednostkaInnaWTys/RachPrzeplywow/PrzeplywyPosr/A/A_II/A_II_4/KwotaA</t>
  </si>
  <si>
    <t>CFPosr_A_2_5_KwotaB</t>
  </si>
  <si>
    <t>/JednostkaInnaWTys/RachPrzeplywow/PrzeplywyPosr/A/A_II/A_II_5/KwotaA</t>
  </si>
  <si>
    <t>CFPosr_A_2_6_KwotaB</t>
  </si>
  <si>
    <t>/JednostkaInnaWTys/RachPrzeplywow/PrzeplywyPosr/A/A_II/A_II_6/KwotaA</t>
  </si>
  <si>
    <t>CFPosr_A_2_7_KwotaB</t>
  </si>
  <si>
    <t>/JednostkaInnaWTys/RachPrzeplywow/PrzeplywyPosr/A/A_II/A_II_7/KwotaA</t>
  </si>
  <si>
    <t>CFPosr_A_2_8_KwotaB</t>
  </si>
  <si>
    <t>/JednostkaInnaWTys/RachPrzeplywow/PrzeplywyPosr/A/A_II/A_II_8/KwotaA</t>
  </si>
  <si>
    <t>CFPosr_A_2_9_KwotaB</t>
  </si>
  <si>
    <t>/JednostkaInnaWTys/RachPrzeplywow/PrzeplywyPosr/A/A_II/A_II_9/KwotaA</t>
  </si>
  <si>
    <t>CFPosr_A_2_10_KwotaB</t>
  </si>
  <si>
    <t>/JednostkaInnaWTys/RachPrzeplywow/PrzeplywyPosr/A/A_II/A_II_10/KwotaA</t>
  </si>
  <si>
    <t>CFPosr_A_3_KwotaB</t>
  </si>
  <si>
    <t>/JednostkaInnaWTys/RachPrzeplywow/PrzeplywyPosr/A/A_III/KwotaA</t>
  </si>
  <si>
    <t>CFPosr_B_KwotaB</t>
  </si>
  <si>
    <t>/JednostkaInnaWTys/RachPrzeplywow/PrzeplywyPosr/B/KwotaA</t>
  </si>
  <si>
    <t>CFPosr_B_1_KwotaB</t>
  </si>
  <si>
    <t>/JednostkaInnaWTys/RachPrzeplywow/PrzeplywyPosr/B/B_I/KwotaA</t>
  </si>
  <si>
    <t>CFPosr_B_1_1_KwotaB</t>
  </si>
  <si>
    <t>/JednostkaInnaWTys/RachPrzeplywow/PrzeplywyPosr/B/B_I/B_I_1/KwotaA</t>
  </si>
  <si>
    <t>CFPosr_B_1_2_KwotaB</t>
  </si>
  <si>
    <t>/JednostkaInnaWTys/RachPrzeplywow/PrzeplywyPosr/B/B_I/B_I_2/KwotaA</t>
  </si>
  <si>
    <t>CFPosr_B_1_3_KwotaB</t>
  </si>
  <si>
    <t>/JednostkaInnaWTys/RachPrzeplywow/PrzeplywyPosr/B/B_I/B_I_3/KwotaA</t>
  </si>
  <si>
    <t>CFPosr_B_1_3_A_KwotaB</t>
  </si>
  <si>
    <t>/JednostkaInnaWTys/RachPrzeplywow/PrzeplywyPosr/B/B_I/B_I_3/B_I_3_A/KwotaA</t>
  </si>
  <si>
    <t>CFPosr_B_1_3_B_KwotaB</t>
  </si>
  <si>
    <t>/JednostkaInnaWTys/RachPrzeplywow/PrzeplywyPosr/B/B_I/B_I_3/B_I_3_B/KwotaA</t>
  </si>
  <si>
    <t>CFPosr_B_1_3_B_1_KwotaB</t>
  </si>
  <si>
    <t>/JednostkaInnaWTys/RachPrzeplywow/PrzeplywyPosr/B/B_I/B_I_3/B_I_3_B/B_I_3_B_1/KwotaA</t>
  </si>
  <si>
    <t>CFPosr_B_1_3_B_2_KwotaB</t>
  </si>
  <si>
    <t>/JednostkaInnaWTys/RachPrzeplywow/PrzeplywyPosr/B/B_I/B_I_3/B_I_3_B/B_I_3_B_2/KwotaA</t>
  </si>
  <si>
    <t>CFPosr_B_1_3_B_3_KwotaB</t>
  </si>
  <si>
    <t>/JednostkaInnaWTys/RachPrzeplywow/PrzeplywyPosr/B/B_I/B_I_3/B_I_3_B/B_I_3_B_3/KwotaA</t>
  </si>
  <si>
    <t>CFPosr_B_1_3_B_4_KwotaB</t>
  </si>
  <si>
    <t>/JednostkaInnaWTys/RachPrzeplywow/PrzeplywyPosr/B/B_I/B_I_3/B_I_3_B/B_I_3_B_4/KwotaA</t>
  </si>
  <si>
    <t>CFPosr_B_1_3_B_5_KwotaB</t>
  </si>
  <si>
    <t>/JednostkaInnaWTys/RachPrzeplywow/PrzeplywyPosr/B/B_I/B_I_3/B_I_3_B/B_I_3_B_5/KwotaA</t>
  </si>
  <si>
    <t>CFPosr_B_1_4_KwotaB</t>
  </si>
  <si>
    <t>/JednostkaInnaWTys/RachPrzeplywow/PrzeplywyPosr/B/B_I/B_I_4/KwotaA</t>
  </si>
  <si>
    <t>CFPosr_B_2_KwotaB</t>
  </si>
  <si>
    <t>/JednostkaInnaWTys/RachPrzeplywow/PrzeplywyPosr/B/B_II/KwotaA</t>
  </si>
  <si>
    <t>CFPosr_B_2_1_KwotaB</t>
  </si>
  <si>
    <t>/JednostkaInnaWTys/RachPrzeplywow/PrzeplywyPosr/B/B_II/B_II_1/KwotaA</t>
  </si>
  <si>
    <t>CFPosr_B_2_2_KwotaB</t>
  </si>
  <si>
    <t>/JednostkaInnaWTys/RachPrzeplywow/PrzeplywyPosr/B/B_II/B_II_2/KwotaA</t>
  </si>
  <si>
    <t>CFPosr_B_2_3_KwotaB</t>
  </si>
  <si>
    <t>/JednostkaInnaWTys/RachPrzeplywow/PrzeplywyPosr/B/B_II/B_II_3/KwotaA</t>
  </si>
  <si>
    <t>CFPosr_B_2_3_A_KwotaB</t>
  </si>
  <si>
    <t>/JednostkaInnaWTys/RachPrzeplywow/PrzeplywyPosr/B/B_II/B_II_3/B_II_3_A/KwotaA</t>
  </si>
  <si>
    <t>CFPosr_B_2_3_B_KwotaB</t>
  </si>
  <si>
    <t>/JednostkaInnaWTys/RachPrzeplywow/PrzeplywyPosr/B/B_II/B_II_3/B_II_3_B/KwotaA</t>
  </si>
  <si>
    <t>CFPosr_B_2_3_B_1_KwotaB</t>
  </si>
  <si>
    <t>/JednostkaInnaWTys/RachPrzeplywow/PrzeplywyPosr/B/B_II/B_II_3/B_II_3_B/B_II_3_B_1/KwotaA</t>
  </si>
  <si>
    <t>CFPosr_B_2_3_B_2_KwotaB</t>
  </si>
  <si>
    <t>/JednostkaInnaWTys/RachPrzeplywow/PrzeplywyPosr/B/B_II/B_II_3/B_II_3_B/B_II_3_B_2/KwotaA</t>
  </si>
  <si>
    <t>CFPosr_B_2_4_KwotaB</t>
  </si>
  <si>
    <t>/JednostkaInnaWTys/RachPrzeplywow/PrzeplywyPosr/B/B_II/B_II_4/KwotaA</t>
  </si>
  <si>
    <t>CFPosr_B_3_KwotaB</t>
  </si>
  <si>
    <t>/JednostkaInnaWTys/RachPrzeplywow/PrzeplywyPosr/B/B_III/KwotaA</t>
  </si>
  <si>
    <t>CFPosr_C_KwotaB</t>
  </si>
  <si>
    <t>/JednostkaInnaWTys/RachPrzeplywow/PrzeplywyPosr/C/KwotaA</t>
  </si>
  <si>
    <t>CFPosr_C_1_KwotaB</t>
  </si>
  <si>
    <t>/JednostkaInnaWTys/RachPrzeplywow/PrzeplywyPosr/C/C_I/KwotaA</t>
  </si>
  <si>
    <t>CFPosr_C_1_1_KwotaB</t>
  </si>
  <si>
    <t>/JednostkaInnaWTys/RachPrzeplywow/PrzeplywyPosr/C/C_I/C_I_1/KwotaA</t>
  </si>
  <si>
    <t>CFPosr_C_1_2_KwotaB</t>
  </si>
  <si>
    <t>/JednostkaInnaWTys/RachPrzeplywow/PrzeplywyPosr/C/C_I/C_I_2/KwotaA</t>
  </si>
  <si>
    <t>CFPosr_C_1_3_KwotaB</t>
  </si>
  <si>
    <t>/JednostkaInnaWTys/RachPrzeplywow/PrzeplywyPosr/C/C_I/C_I_3/KwotaA</t>
  </si>
  <si>
    <t>CFPosr_C_1_4_KwotaB</t>
  </si>
  <si>
    <t>/JednostkaInnaWTys/RachPrzeplywow/PrzeplywyPosr/C/C_I/C_I_4/KwotaA</t>
  </si>
  <si>
    <t>CFPosr_C_2_KwotaB</t>
  </si>
  <si>
    <t>/JednostkaInnaWTys/RachPrzeplywow/PrzeplywyPosr/C/C_II/KwotaA</t>
  </si>
  <si>
    <t>CFPosr_C_2_1_KwotaB</t>
  </si>
  <si>
    <t>/JednostkaInnaWTys/RachPrzeplywow/PrzeplywyPosr/C/C_II/C_II_1/KwotaA</t>
  </si>
  <si>
    <t>CFPosr_C_2_2_KwotaB</t>
  </si>
  <si>
    <t>/JednostkaInnaWTys/RachPrzeplywow/PrzeplywyPosr/C/C_II/C_II_2/KwotaA</t>
  </si>
  <si>
    <t>CFPosr_C_2_3_KwotaB</t>
  </si>
  <si>
    <t>/JednostkaInnaWTys/RachPrzeplywow/PrzeplywyPosr/C/C_II/C_II_3/KwotaA</t>
  </si>
  <si>
    <t>CFPosr_C_2_4_KwotaB</t>
  </si>
  <si>
    <t>/JednostkaInnaWTys/RachPrzeplywow/PrzeplywyPosr/C/C_II/C_II_4/KwotaA</t>
  </si>
  <si>
    <t>CFPosr_C_2_5_KwotaB</t>
  </si>
  <si>
    <t>/JednostkaInnaWTys/RachPrzeplywow/PrzeplywyPosr/C/C_II/C_II_5/KwotaA</t>
  </si>
  <si>
    <t>CFPosr_C_2_6_KwotaB</t>
  </si>
  <si>
    <t>/JednostkaInnaWTys/RachPrzeplywow/PrzeplywyPosr/C/C_II/C_II_6/KwotaA</t>
  </si>
  <si>
    <t>CFPosr_C_2_7_KwotaB</t>
  </si>
  <si>
    <t>/JednostkaInnaWTys/RachPrzeplywow/PrzeplywyPosr/C/C_II/C_II_7/KwotaA</t>
  </si>
  <si>
    <t>CFPosr_C_2_8_KwotaB</t>
  </si>
  <si>
    <t>/JednostkaInnaWTys/RachPrzeplywow/PrzeplywyPosr/C/C_II/C_II_8/KwotaA</t>
  </si>
  <si>
    <t>CFPosr_C_2_9_KwotaB</t>
  </si>
  <si>
    <t>/JednostkaInnaWTys/RachPrzeplywow/PrzeplywyPosr/C/C_II/C_II_9/KwotaA</t>
  </si>
  <si>
    <t>CFPosr_C_3_KwotaB</t>
  </si>
  <si>
    <t>/JednostkaInnaWTys/RachPrzeplywow/PrzeplywyPosr/C/C_III/KwotaA</t>
  </si>
  <si>
    <t>CFPosr_D_KwotaB</t>
  </si>
  <si>
    <t>/JednostkaInnaWTys/RachPrzeplywow/PrzeplywyPosr/D/KwotaA</t>
  </si>
  <si>
    <t>CFPosr_E_KwotaB</t>
  </si>
  <si>
    <t>/JednostkaInnaWTys/RachPrzeplywow/PrzeplywyPosr/E/KwotaA</t>
  </si>
  <si>
    <t>CFPosr_E_1_KwotaB</t>
  </si>
  <si>
    <t>/JednostkaInnaWTys/RachPrzeplywow/PrzeplywyPosr/E/E_1/KwotaA</t>
  </si>
  <si>
    <t>CFPosr_F_KwotaB</t>
  </si>
  <si>
    <t>/JednostkaInnaWTys/RachPrzeplywow/PrzeplywyPosr/F/KwotaA</t>
  </si>
  <si>
    <t>CFPosr_G_KwotaB</t>
  </si>
  <si>
    <t>/JednostkaInnaWTys/RachPrzeplywow/PrzeplywyPosr/G/KwotaA</t>
  </si>
  <si>
    <t>CFPosr_G_1_KwotaB</t>
  </si>
  <si>
    <t>/JednostkaInnaWTys/RachPrzeplywow/PrzeplywyPosr/G/G_1/KwotaA</t>
  </si>
  <si>
    <t>P_ID_1_RP_KwotaA</t>
  </si>
  <si>
    <t>/JednostkaInnaWTys/DodatkoweInformacjeIObjasnieniaJednstkaInna/InformacjaDodatkowaDotyczacaPodatkuDochodowego/P_ID_1/RB</t>
  </si>
  <si>
    <t>P_ID_2_RP_KwotaA</t>
  </si>
  <si>
    <t>/JednostkaInnaWTys/DodatkoweInformacjeIObjasnieniaJednstkaInna/InformacjaDodatkowaDotyczacaPodatkuDochodowego/P_ID_2/Kwota/RB/KwotaA</t>
  </si>
  <si>
    <t>P_ID_3_RP_KwotaA</t>
  </si>
  <si>
    <t>/JednostkaInnaWTys/DodatkoweInformacjeIObjasnieniaJednstkaInna/InformacjaDodatkowaDotyczacaPodatkuDochodowego/P_ID_3/Kwota/RB/KwotaA</t>
  </si>
  <si>
    <t>P_ID_4_RP_KwotaA</t>
  </si>
  <si>
    <t>/JednostkaInnaWTys/DodatkoweInformacjeIObjasnieniaJednstkaInna/InformacjaDodatkowaDotyczacaPodatkuDochodowego/P_ID_4/Kwota/RB/KwotaA</t>
  </si>
  <si>
    <t>P_ID_5_RP_KwotaA</t>
  </si>
  <si>
    <t>/JednostkaInnaWTys/DodatkoweInformacjeIObjasnieniaJednstkaInna/InformacjaDodatkowaDotyczacaPodatkuDochodowego/P_ID_5/Kwota/RB/KwotaA</t>
  </si>
  <si>
    <t>P_ID_6_RP_KwotaA</t>
  </si>
  <si>
    <t>/JednostkaInnaWTys/DodatkoweInformacjeIObjasnieniaJednstkaInna/InformacjaDodatkowaDotyczacaPodatkuDochodowego/P_ID_6/Kwota/RB/KwotaA</t>
  </si>
  <si>
    <t>P_ID_7_RP_KwotaA</t>
  </si>
  <si>
    <t>/JednostkaInnaWTys/DodatkoweInformacjeIObjasnieniaJednstkaInna/InformacjaDodatkowaDotyczacaPodatkuDochodowego/P_ID_7/Kwota/RB/KwotaA</t>
  </si>
  <si>
    <t>P_ID_8_RP_KwotaA</t>
  </si>
  <si>
    <t>/JednostkaInnaWTys/DodatkoweInformacjeIObjasnieniaJednstkaInna/InformacjaDodatkowaDotyczacaPodatkuDochodowego/P_ID_8/Kwota/RB/KwotaA</t>
  </si>
  <si>
    <t>P_ID_9_RP_KwotaA</t>
  </si>
  <si>
    <t>/JednostkaInnaWTys/DodatkoweInformacjeIObjasnieniaJednstkaInna/InformacjaDodatkowaDotyczacaPodatkuDochodowego/P_ID_9/Kwota/RB/KwotaA</t>
  </si>
  <si>
    <t>P_ID_10_RP_KwotaA</t>
  </si>
  <si>
    <t>/JednostkaInnaWTys/DodatkoweInformacjeIObjasnieniaJednstkaInna/InformacjaDodatkowaDotyczacaPodatkuDochodowego/P_ID_10/RB</t>
  </si>
  <si>
    <t>P_ID_11_RP_KwotaA</t>
  </si>
  <si>
    <t>/JednostkaInnaWTys/DodatkoweInformacjeIObjasnieniaJednstkaInna/InformacjaDodatkowaDotyczacaPodatkuDochodowego/P_ID_11/RB</t>
  </si>
  <si>
    <t>/JednostkaInna/Bilans/Aktywa/KwotaA</t>
  </si>
  <si>
    <t>/JednostkaInna/Bilans/Aktywa/Aktywa_A/KwotaA</t>
  </si>
  <si>
    <t>/JednostkaInna/Bilans/Aktywa/Aktywa_A/Aktywa_A_I/KwotaA</t>
  </si>
  <si>
    <t>/JednostkaInna/Bilans/Aktywa/Aktywa_A/Aktywa_A_I/Aktywa_A_I_1/KwotaA</t>
  </si>
  <si>
    <t>/JednostkaInna/Bilans/Aktywa/Aktywa_A/Aktywa_A_I/Aktywa_A_I_2/KwotaA</t>
  </si>
  <si>
    <t>/JednostkaInna/Bilans/Aktywa/Aktywa_A/Aktywa_A_I/Aktywa_A_I_3/KwotaA</t>
  </si>
  <si>
    <t>/JednostkaInna/Bilans/Aktywa/Aktywa_A/Aktywa_A_I/Aktywa_A_I_4/KwotaA</t>
  </si>
  <si>
    <t>/JednostkaInna/Bilans/Aktywa/Aktywa_A/Aktywa_A_II/KwotaA</t>
  </si>
  <si>
    <t>/JednostkaInna/Bilans/Aktywa/Aktywa_A/Aktywa_A_II/Aktywa_A_II_1/KwotaA</t>
  </si>
  <si>
    <t>/JednostkaInna/Bilans/Aktywa/Aktywa_A/Aktywa_A_II/Aktywa_A_II_1/Aktywa_A_II_1_A/KwotaA</t>
  </si>
  <si>
    <t>/JednostkaInna/Bilans/Aktywa/Aktywa_A/Aktywa_A_II/Aktywa_A_II_1/Aktywa_A_II_1_B/KwotaA</t>
  </si>
  <si>
    <t>/JednostkaInna/Bilans/Aktywa/Aktywa_A/Aktywa_A_II/Aktywa_A_II_1/Aktywa_A_II_1_C/KwotaA</t>
  </si>
  <si>
    <t>/JednostkaInna/Bilans/Aktywa/Aktywa_A/Aktywa_A_II/Aktywa_A_II_1/Aktywa_A_II_1_D/KwotaA</t>
  </si>
  <si>
    <t>/JednostkaInna/Bilans/Aktywa/Aktywa_A/Aktywa_A_II/Aktywa_A_II_1/Aktywa_A_II_1_E/KwotaA</t>
  </si>
  <si>
    <t>/JednostkaInna/Bilans/Aktywa/Aktywa_A/Aktywa_A_II/Aktywa_A_II_2/KwotaA</t>
  </si>
  <si>
    <t>/JednostkaInna/Bilans/Aktywa/Aktywa_A/Aktywa_A_II/Aktywa_A_II_3/KwotaA</t>
  </si>
  <si>
    <t>/JednostkaInna/Bilans/Aktywa/Aktywa_A/Aktywa_A_III/KwotaA</t>
  </si>
  <si>
    <t>/JednostkaInna/Bilans/Aktywa/Aktywa_A/Aktywa_A_III/Aktywa_A_III_1/KwotaA</t>
  </si>
  <si>
    <t>/JednostkaInna/Bilans/Aktywa/Aktywa_A/Aktywa_A_III/Aktywa_A_III_2/KwotaA</t>
  </si>
  <si>
    <t>/JednostkaInna/Bilans/Aktywa/Aktywa_A/Aktywa_A_III/Aktywa_A_III_3/KwotaA</t>
  </si>
  <si>
    <t>/JednostkaInna/Bilans/Aktywa/Aktywa_A/Aktywa_A_IV/KwotaA</t>
  </si>
  <si>
    <t>/JednostkaInna/Bilans/Aktywa/Aktywa_A/Aktywa_A_IV/Aktywa_A_IV_1/KwotaA</t>
  </si>
  <si>
    <t>/JednostkaInna/Bilans/Aktywa/Aktywa_A/Aktywa_A_IV/Aktywa_A_IV_2/KwotaA</t>
  </si>
  <si>
    <t>/JednostkaInna/Bilans/Aktywa/Aktywa_A/Aktywa_A_IV/Aktywa_A_IV_3/KwotaA</t>
  </si>
  <si>
    <t>/JednostkaInna/Bilans/Aktywa/Aktywa_A/Aktywa_A_IV/Aktywa_A_IV_3/Aktywa_A_IV_3_A/KwotaA</t>
  </si>
  <si>
    <t>/JednostkaInna/Bilans/Aktywa/Aktywa_A/Aktywa_A_IV/Aktywa_A_IV_3/Aktywa_A_IV_3_A/Aktywa_A_IV_3_A_1/KwotaA</t>
  </si>
  <si>
    <t>/JednostkaInna/Bilans/Aktywa/Aktywa_A/Aktywa_A_IV/Aktywa_A_IV_3/Aktywa_A_IV_3_A/Aktywa_A_IV_3_A_2/KwotaA</t>
  </si>
  <si>
    <t>/JednostkaInna/Bilans/Aktywa/Aktywa_A/Aktywa_A_IV/Aktywa_A_IV_3/Aktywa_A_IV_3_A/Aktywa_A_IV_3_A_3/KwotaA</t>
  </si>
  <si>
    <t>/JednostkaInna/Bilans/Aktywa/Aktywa_A/Aktywa_A_IV/Aktywa_A_IV_3/Aktywa_A_IV_3_A/Aktywa_A_IV_3_A_4/KwotaA</t>
  </si>
  <si>
    <t>/JednostkaInna/Bilans/Aktywa/Aktywa_A/Aktywa_A_IV/Aktywa_A_IV_3/Aktywa_A_IV_3_B/KwotaA</t>
  </si>
  <si>
    <t>/JednostkaInna/Bilans/Aktywa/Aktywa_A/Aktywa_A_IV/Aktywa_A_IV_3/Aktywa_A_IV_3_B/Aktywa_A_IV_3_B_1/KwotaA</t>
  </si>
  <si>
    <t>/JednostkaInna/Bilans/Aktywa/Aktywa_A/Aktywa_A_IV/Aktywa_A_IV_3/Aktywa_A_IV_3_B/Aktywa_A_IV_3_B_2/KwotaA</t>
  </si>
  <si>
    <t>/JednostkaInna/Bilans/Aktywa/Aktywa_A/Aktywa_A_IV/Aktywa_A_IV_3/Aktywa_A_IV_3_B/Aktywa_A_IV_3_B_3/KwotaA</t>
  </si>
  <si>
    <t>/JednostkaInna/Bilans/Aktywa/Aktywa_A/Aktywa_A_IV/Aktywa_A_IV_3/Aktywa_A_IV_3_B/Aktywa_A_IV_3_B_4/KwotaA</t>
  </si>
  <si>
    <t>/JednostkaInna/Bilans/Aktywa/Aktywa_A/Aktywa_A_IV/Aktywa_A_IV_3/Aktywa_A_IV_3_C/KwotaA</t>
  </si>
  <si>
    <t>/JednostkaInna/Bilans/Aktywa/Aktywa_A/Aktywa_A_IV/Aktywa_A_IV_3/Aktywa_A_IV_3_C/Aktywa_A_IV_3_C_1/KwotaA</t>
  </si>
  <si>
    <t>/JednostkaInna/Bilans/Aktywa/Aktywa_A/Aktywa_A_IV/Aktywa_A_IV_3/Aktywa_A_IV_3_C/Aktywa_A_IV_3_C_2/KwotaA</t>
  </si>
  <si>
    <t>/JednostkaInna/Bilans/Aktywa/Aktywa_A/Aktywa_A_IV/Aktywa_A_IV_3/Aktywa_A_IV_3_C/Aktywa_A_IV_3_C_3/KwotaA</t>
  </si>
  <si>
    <t>/JednostkaInna/Bilans/Aktywa/Aktywa_A/Aktywa_A_IV/Aktywa_A_IV_3/Aktywa_A_IV_3_C/Aktywa_A_IV_3_C_4/KwotaA</t>
  </si>
  <si>
    <t>/JednostkaInna/Bilans/Aktywa/Aktywa_A/Aktywa_A_IV/Aktywa_A_IV_4/KwotaA</t>
  </si>
  <si>
    <t>/JednostkaInna/Bilans/Aktywa/Aktywa_A/Aktywa_A_V/KwotaA</t>
  </si>
  <si>
    <t>/JednostkaInna/Bilans/Aktywa/Aktywa_A/Aktywa_A_V/Aktywa_A_V_1/KwotaA</t>
  </si>
  <si>
    <t>/JednostkaInna/Bilans/Aktywa/Aktywa_A/Aktywa_A_V/Aktywa_A_V_2/KwotaA</t>
  </si>
  <si>
    <t>/JednostkaInna/Bilans/Aktywa/Aktywa_B/KwotaA</t>
  </si>
  <si>
    <t>/JednostkaInna/Bilans/Aktywa/Aktywa_B/Aktywa_B_I/KwotaA</t>
  </si>
  <si>
    <t>/JednostkaInna/Bilans/Aktywa/Aktywa_B/Aktywa_B_I/Aktywa_B_I_1/KwotaA</t>
  </si>
  <si>
    <t>/JednostkaInna/Bilans/Aktywa/Aktywa_B/Aktywa_B_I/Aktywa_B_I_2/KwotaA</t>
  </si>
  <si>
    <t>/JednostkaInna/Bilans/Aktywa/Aktywa_B/Aktywa_B_I/Aktywa_B_I_3/KwotaA</t>
  </si>
  <si>
    <t>/JednostkaInna/Bilans/Aktywa/Aktywa_B/Aktywa_B_I/Aktywa_B_I_4/KwotaA</t>
  </si>
  <si>
    <t>/JednostkaInna/Bilans/Aktywa/Aktywa_B/Aktywa_B_I/Aktywa_B_I_5/KwotaA</t>
  </si>
  <si>
    <t>/JednostkaInna/Bilans/Aktywa/Aktywa_B/Aktywa_B_II/KwotaA</t>
  </si>
  <si>
    <t>/JednostkaInna/Bilans/Aktywa/Aktywa_B/Aktywa_B_II/Aktywa_B_II_1/KwotaA</t>
  </si>
  <si>
    <t>/JednostkaInna/Bilans/Aktywa/Aktywa_B/Aktywa_B_II/Aktywa_B_II_1/Aktywa_B_II_1_A/KwotaA</t>
  </si>
  <si>
    <t>/JednostkaInna/Bilans/Aktywa/Aktywa_B/Aktywa_B_II/Aktywa_B_II_1/Aktywa_B_II_1_A/Aktywa_B_II_1_A_1/KwotaA</t>
  </si>
  <si>
    <t>/JednostkaInna/Bilans/Aktywa/Aktywa_B/Aktywa_B_II/Aktywa_B_II_1/Aktywa_B_II_1_A/Aktywa_B_II_1_A_2/KwotaA</t>
  </si>
  <si>
    <t>/JednostkaInna/Bilans/Aktywa/Aktywa_B/Aktywa_B_II/Aktywa_B_II_1/Aktywa_B_II_1_B/KwotaA</t>
  </si>
  <si>
    <t>/JednostkaInna/Bilans/Aktywa/Aktywa_B/Aktywa_B_II/Aktywa_B_II_2/KwotaA</t>
  </si>
  <si>
    <t>/JednostkaInna/Bilans/Aktywa/Aktywa_B/Aktywa_B_II/Aktywa_B_II_2/Aktywa_B_II_2_A/KwotaA</t>
  </si>
  <si>
    <t>/JednostkaInna/Bilans/Aktywa/Aktywa_B/Aktywa_B_II/Aktywa_B_II_2/Aktywa_B_II_2_A/Aktywa_B_II_2_A_1/KwotaA</t>
  </si>
  <si>
    <t>/JednostkaInna/Bilans/Aktywa/Aktywa_B/Aktywa_B_II/Aktywa_B_II_2/Aktywa_B_II_2_A/Aktywa_B_II_2_A_2/KwotaA</t>
  </si>
  <si>
    <t>/JednostkaInna/Bilans/Aktywa/Aktywa_B/Aktywa_B_II/Aktywa_B_II_2/Aktywa_B_II_2_B/KwotaA</t>
  </si>
  <si>
    <t>/JednostkaInna/Bilans/Aktywa/Aktywa_B/Aktywa_B_II/Aktywa_B_II_3/KwotaA</t>
  </si>
  <si>
    <t>/JednostkaInna/Bilans/Aktywa/Aktywa_B/Aktywa_B_II/Aktywa_B_II_3/Aktywa_B_II_3_A/KwotaA</t>
  </si>
  <si>
    <t>/JednostkaInna/Bilans/Aktywa/Aktywa_B/Aktywa_B_II/Aktywa_B_II_3/Aktywa_B_II_3_A/Aktywa_B_II_3_A_1/KwotaA</t>
  </si>
  <si>
    <t>/JednostkaInna/Bilans/Aktywa/Aktywa_B/Aktywa_B_II/Aktywa_B_II_3/Aktywa_B_II_3_A/Aktywa_B_II_3_A_2/KwotaA</t>
  </si>
  <si>
    <t>/JednostkaInna/Bilans/Aktywa/Aktywa_B/Aktywa_B_II/Aktywa_B_II_3/Aktywa_B_II_3_B/KwotaA</t>
  </si>
  <si>
    <t>/JednostkaInna/Bilans/Aktywa/Aktywa_B/Aktywa_B_II/Aktywa_B_II_3/Aktywa_B_II_3_C/KwotaA</t>
  </si>
  <si>
    <t>/JednostkaInna/Bilans/Aktywa/Aktywa_B/Aktywa_B_II/Aktywa_B_II_3/Aktywa_B_II_3_D/KwotaA</t>
  </si>
  <si>
    <t>/JednostkaInna/Bilans/Aktywa/Aktywa_B/Aktywa_B_III/KwotaA</t>
  </si>
  <si>
    <t>/JednostkaInna/Bilans/Aktywa/Aktywa_B/Aktywa_B_III/Aktywa_B_III_1/KwotaA</t>
  </si>
  <si>
    <t>/JednostkaInna/Bilans/Aktywa/Aktywa_B/Aktywa_B_III/Aktywa_B_III_1/Aktywa_B_III_1_A/KwotaA</t>
  </si>
  <si>
    <t>/JednostkaInna/Bilans/Aktywa/Aktywa_B/Aktywa_B_III/Aktywa_B_III_1/Aktywa_B_III_1_A/Aktywa_B_III_1_A_1/KwotaA</t>
  </si>
  <si>
    <t>/JednostkaInna/Bilans/Aktywa/Aktywa_B/Aktywa_B_III/Aktywa_B_III_1/Aktywa_B_III_1_A/Aktywa_B_III_1_A_2/KwotaA</t>
  </si>
  <si>
    <t>/JednostkaInna/Bilans/Aktywa/Aktywa_B/Aktywa_B_III/Aktywa_B_III_1/Aktywa_B_III_1_A/Aktywa_B_III_1_A_3/KwotaA</t>
  </si>
  <si>
    <t>/JednostkaInna/Bilans/Aktywa/Aktywa_B/Aktywa_B_III/Aktywa_B_III_1/Aktywa_B_III_1_A/Aktywa_B_III_1_A_4/KwotaA</t>
  </si>
  <si>
    <t>/JednostkaInna/Bilans/Aktywa/Aktywa_B/Aktywa_B_III/Aktywa_B_III_1/Aktywa_B_III_1_B/KwotaA</t>
  </si>
  <si>
    <t>/JednostkaInna/Bilans/Aktywa/Aktywa_B/Aktywa_B_III/Aktywa_B_III_1/Aktywa_B_III_1_B/Aktywa_B_III_1_B_1/KwotaA</t>
  </si>
  <si>
    <t>/JednostkaInna/Bilans/Aktywa/Aktywa_B/Aktywa_B_III/Aktywa_B_III_1/Aktywa_B_III_1_B/Aktywa_B_III_1_B_2/KwotaA</t>
  </si>
  <si>
    <t>/JednostkaInna/Bilans/Aktywa/Aktywa_B/Aktywa_B_III/Aktywa_B_III_1/Aktywa_B_III_1_B/Aktywa_B_III_1_B_3/KwotaA</t>
  </si>
  <si>
    <t>/JednostkaInna/Bilans/Aktywa/Aktywa_B/Aktywa_B_III/Aktywa_B_III_1/Aktywa_B_III_1_B/Aktywa_B_III_1_B_4/KwotaA</t>
  </si>
  <si>
    <t>/JednostkaInna/Bilans/Aktywa/Aktywa_B/Aktywa_B_III/Aktywa_B_III_1/Aktywa_B_III_1_C/KwotaA</t>
  </si>
  <si>
    <t>/JednostkaInna/Bilans/Aktywa/Aktywa_B/Aktywa_B_III/Aktywa_B_III_1/Aktywa_B_III_1_C/Aktywa_B_III_1_C_1/KwotaA</t>
  </si>
  <si>
    <t>/JednostkaInna/Bilans/Aktywa/Aktywa_B/Aktywa_B_III/Aktywa_B_III_1/Aktywa_B_III_1_C/Aktywa_B_III_1_C_2/KwotaA</t>
  </si>
  <si>
    <t>/JednostkaInna/Bilans/Aktywa/Aktywa_B/Aktywa_B_III/Aktywa_B_III_1/Aktywa_B_III_1_C/Aktywa_B_III_1_C_3/KwotaA</t>
  </si>
  <si>
    <t>/JednostkaInna/Bilans/Aktywa/Aktywa_B/Aktywa_B_IV/KwotaA</t>
  </si>
  <si>
    <t>/JednostkaInna/Bilans/Aktywa/Aktywa_C/KwotaA</t>
  </si>
  <si>
    <t>/JednostkaInna/Bilans/Aktywa/Aktywa_D/KwotaA</t>
  </si>
  <si>
    <t>/JednostkaInna/Bilans/Pasywa/KwotaA</t>
  </si>
  <si>
    <t>/JednostkaInna/Bilans/Pasywa/Pasywa_A/KwotaA</t>
  </si>
  <si>
    <t>/JednostkaInna/Bilans/Pasywa/Pasywa_A/Pasywa_A_I/KwotaA</t>
  </si>
  <si>
    <t>/JednostkaInna/Bilans/Pasywa/Pasywa_A/Pasywa_A_II/KwotaA</t>
  </si>
  <si>
    <t>/JednostkaInna/Bilans/Pasywa/Pasywa_A/Pasywa_A_II/Pasywa_A_II_1/KwotaA</t>
  </si>
  <si>
    <t>/JednostkaInna/Bilans/Pasywa/Pasywa_A/Pasywa_A_III/KwotaA</t>
  </si>
  <si>
    <t>/JednostkaInna/Bilans/Pasywa/Pasywa_A/Pasywa_A_III/Pasywa_A_III_1/KwotaA</t>
  </si>
  <si>
    <t>/JednostkaInna/Bilans/Pasywa/Pasywa_A/Pasywa_A_IV/KwotaA</t>
  </si>
  <si>
    <t>/JednostkaInna/Bilans/Pasywa/Pasywa_A/Pasywa_A_IV/Pasywa_A_IV_1/KwotaA</t>
  </si>
  <si>
    <t>/JednostkaInna/Bilans/Pasywa/Pasywa_A/Pasywa_A_IV/Pasywa_A_IV_2/KwotaA</t>
  </si>
  <si>
    <t>/JednostkaInna/Bilans/Pasywa/Pasywa_A/Pasywa_A_V/KwotaA</t>
  </si>
  <si>
    <t>/JednostkaInna/Bilans/Pasywa/Pasywa_A/Pasywa_A_VI/KwotaA</t>
  </si>
  <si>
    <t>/JednostkaInna/Bilans/Pasywa/Pasywa_A/Pasywa_A_VII/KwotaA</t>
  </si>
  <si>
    <t>/JednostkaInna/Bilans/Pasywa/Pasywa_B/KwotaA</t>
  </si>
  <si>
    <t>/JednostkaInna/Bilans/Pasywa/Pasywa_B/Pasywa_B_I/KwotaA</t>
  </si>
  <si>
    <t>/JednostkaInna/Bilans/Pasywa/Pasywa_B/Pasywa_B_I/Pasywa_B_I_1/KwotaA</t>
  </si>
  <si>
    <t>/JednostkaInna/Bilans/Pasywa/Pasywa_B/Pasywa_B_I/Pasywa_B_I_2/KwotaA</t>
  </si>
  <si>
    <t>/JednostkaInna/Bilans/Pasywa/Pasywa_B/Pasywa_B_I/Pasywa_B_I_2/Pasywa_B_I_2_1/KwotaA</t>
  </si>
  <si>
    <t>/JednostkaInna/Bilans/Pasywa/Pasywa_B/Pasywa_B_I/Pasywa_B_I_2/Pasywa_B_I_2_2/KwotaA</t>
  </si>
  <si>
    <t>/JednostkaInna/Bilans/Pasywa/Pasywa_B/Pasywa_B_I/Pasywa_B_I_3/KwotaA</t>
  </si>
  <si>
    <t>/JednostkaInna/Bilans/Pasywa/Pasywa_B/Pasywa_B_I/Pasywa_B_I_3/Pasywa_B_I_3_1/KwotaA</t>
  </si>
  <si>
    <t>/JednostkaInna/Bilans/Pasywa/Pasywa_B/Pasywa_B_I/Pasywa_B_I_3/Pasywa_B_I_3_2/KwotaA</t>
  </si>
  <si>
    <t>/JednostkaInna/Bilans/Pasywa/Pasywa_B/Pasywa_B_II/KwotaA</t>
  </si>
  <si>
    <t>/JednostkaInna/Bilans/Pasywa/Pasywa_B/Pasywa_B_II/Pasywa_B_II_1/KwotaA</t>
  </si>
  <si>
    <t>/JednostkaInna/Bilans/Pasywa/Pasywa_B/Pasywa_B_II/Pasywa_B_II_2/KwotaA</t>
  </si>
  <si>
    <t>/JednostkaInna/Bilans/Pasywa/Pasywa_B/Pasywa_B_II/Pasywa_B_II_3/KwotaA</t>
  </si>
  <si>
    <t>/JednostkaInna/Bilans/Pasywa/Pasywa_B/Pasywa_B_II/Pasywa_B_II_3/Pasywa_B_II_3_A/KwotaA</t>
  </si>
  <si>
    <t>/JednostkaInna/Bilans/Pasywa/Pasywa_B/Pasywa_B_II/Pasywa_B_II_3/Pasywa_B_II_3_B/KwotaA</t>
  </si>
  <si>
    <t>/JednostkaInna/Bilans/Pasywa/Pasywa_B/Pasywa_B_II/Pasywa_B_II_3/Pasywa_B_II_3_C/KwotaA</t>
  </si>
  <si>
    <t>/JednostkaInna/Bilans/Pasywa/Pasywa_B/Pasywa_B_II/Pasywa_B_II_3/Pasywa_B_II_3_D/KwotaA</t>
  </si>
  <si>
    <t>/JednostkaInna/Bilans/Pasywa/Pasywa_B/Pasywa_B_II/Pasywa_B_II_3/Pasywa_B_II_3_E/KwotaA</t>
  </si>
  <si>
    <t>/JednostkaInna/Bilans/Pasywa/Pasywa_B/Pasywa_B_III/KwotaA</t>
  </si>
  <si>
    <t>/JednostkaInna/Bilans/Pasywa/Pasywa_B/Pasywa_B_III/Pasywa_B_III_1/KwotaA</t>
  </si>
  <si>
    <t>/JednostkaInna/Bilans/Pasywa/Pasywa_B/Pasywa_B_III/Pasywa_B_III_1/Pasywa_B_III_1_A/KwotaA</t>
  </si>
  <si>
    <t>/JednostkaInna/Bilans/Pasywa/Pasywa_B/Pasywa_B_III/Pasywa_B_III_1/Pasywa_B_III_1_A/Pasywa_B_III_1_A_1/KwotaA</t>
  </si>
  <si>
    <t>/JednostkaInna/Bilans/Pasywa/Pasywa_B/Pasywa_B_III/Pasywa_B_III_1/Pasywa_B_III_1_A/Pasywa_B_III_1_A_2/KwotaA</t>
  </si>
  <si>
    <t>/JednostkaInna/Bilans/Pasywa/Pasywa_B/Pasywa_B_III/Pasywa_B_III_1/Pasywa_B_III_1_B/KwotaA</t>
  </si>
  <si>
    <t>/JednostkaInna/Bilans/Pasywa/Pasywa_B/Pasywa_B_III/Pasywa_B_III_2/KwotaA</t>
  </si>
  <si>
    <t>/JednostkaInna/Bilans/Pasywa/Pasywa_B/Pasywa_B_III/Pasywa_B_III_2/Pasywa_B_III_2_A/KwotaA</t>
  </si>
  <si>
    <t>/JednostkaInna/Bilans/Pasywa/Pasywa_B/Pasywa_B_III/Pasywa_B_III_2/Pasywa_B_III_2_A/Pasywa_B_III_2_A_1/KwotaA</t>
  </si>
  <si>
    <t>/JednostkaInna/Bilans/Pasywa/Pasywa_B/Pasywa_B_III/Pasywa_B_III_2/Pasywa_B_III_2_A/Pasywa_B_III_2_A_2/KwotaA</t>
  </si>
  <si>
    <t>/JednostkaInna/Bilans/Pasywa/Pasywa_B/Pasywa_B_III/Pasywa_B_III_2/Pasywa_B_III_2_B/KwotaA</t>
  </si>
  <si>
    <t>/JednostkaInna/Bilans/Pasywa/Pasywa_B/Pasywa_B_III/Pasywa_B_III_3/KwotaA</t>
  </si>
  <si>
    <t>/JednostkaInna/Bilans/Pasywa/Pasywa_B/Pasywa_B_III/Pasywa_B_III_3/Pasywa_B_III_3_A/KwotaA</t>
  </si>
  <si>
    <t>/JednostkaInna/Bilans/Pasywa/Pasywa_B/Pasywa_B_III/Pasywa_B_III_3/Pasywa_B_III_3_B/KwotaA</t>
  </si>
  <si>
    <t>/JednostkaInna/Bilans/Pasywa/Pasywa_B/Pasywa_B_III/Pasywa_B_III_3/Pasywa_B_III_3_C/KwotaA</t>
  </si>
  <si>
    <t>/JednostkaInna/Bilans/Pasywa/Pasywa_B/Pasywa_B_III/Pasywa_B_III_3/Pasywa_B_III_3_D/KwotaA</t>
  </si>
  <si>
    <t>/JednostkaInna/Bilans/Pasywa/Pasywa_B/Pasywa_B_III/Pasywa_B_III_3/Pasywa_B_III_3_D/Pasywa_B_III_3_D_1/KwotaA</t>
  </si>
  <si>
    <t>/JednostkaInna/Bilans/Pasywa/Pasywa_B/Pasywa_B_III/Pasywa_B_III_3/Pasywa_B_III_3_D/Pasywa_B_III_3_D_2/KwotaA</t>
  </si>
  <si>
    <t>/JednostkaInna/Bilans/Pasywa/Pasywa_B/Pasywa_B_III/Pasywa_B_III_3/Pasywa_B_III_3_E/KwotaA</t>
  </si>
  <si>
    <t>/JednostkaInna/Bilans/Pasywa/Pasywa_B/Pasywa_B_III/Pasywa_B_III_3/Pasywa_B_III_3_F/KwotaA</t>
  </si>
  <si>
    <t>/JednostkaInna/Bilans/Pasywa/Pasywa_B/Pasywa_B_III/Pasywa_B_III_3/Pasywa_B_III_3_G/KwotaA</t>
  </si>
  <si>
    <t>/JednostkaInna/Bilans/Pasywa/Pasywa_B/Pasywa_B_III/Pasywa_B_III_3/Pasywa_B_III_3_H/KwotaA</t>
  </si>
  <si>
    <t>/JednostkaInna/Bilans/Pasywa/Pasywa_B/Pasywa_B_III/Pasywa_B_III_3/Pasywa_B_III_3_I/KwotaA</t>
  </si>
  <si>
    <t>/JednostkaInna/Bilans/Pasywa/Pasywa_B/Pasywa_B_III/Pasywa_B_III_4/KwotaA</t>
  </si>
  <si>
    <t>/JednostkaInna/Bilans/Pasywa/Pasywa_B/Pasywa_B_IV/KwotaA</t>
  </si>
  <si>
    <t>/JednostkaInna/Bilans/Pasywa/Pasywa_B/Pasywa_B_IV/Pasywa_B_IV_1/KwotaA</t>
  </si>
  <si>
    <t>/JednostkaInna/Bilans/Pasywa/Pasywa_B/Pasywa_B_IV/Pasywa_B_IV_2/KwotaA</t>
  </si>
  <si>
    <t>/JednostkaInna/Bilans/Pasywa/Pasywa_B/Pasywa_B_IV/Pasywa_B_IV_2/Pasywa_B_IV_2_1/KwotaA</t>
  </si>
  <si>
    <t>/JednostkaInna/Bilans/Pasywa/Pasywa_B/Pasywa_B_IV/Pasywa_B_IV_2/Pasywa_B_IV_2_2/KwotaA</t>
  </si>
  <si>
    <t>/JednostkaInna/RZiS/RZiSPor/A/KwotaA</t>
  </si>
  <si>
    <t>/JednostkaInna/RZiS/RZiSPor/A/A_J/KwotaA</t>
  </si>
  <si>
    <t>/JednostkaInna/RZiS/RZiSPor/A/A_I/KwotaA</t>
  </si>
  <si>
    <t>/JednostkaInna/RZiS/RZiSPor/A/A_II/KwotaA</t>
  </si>
  <si>
    <t>/JednostkaInna/RZiS/RZiSPor/A/A_III/KwotaA</t>
  </si>
  <si>
    <t>/JednostkaInna/RZiS/RZiSPor/A/A_IV/KwotaA</t>
  </si>
  <si>
    <t>/JednostkaInna/RZiS/RZiSPor/B/KwotaA</t>
  </si>
  <si>
    <t>/JednostkaInna/RZiS/RZiSPor/B/B_I/KwotaA</t>
  </si>
  <si>
    <t>/JednostkaInna/RZiS/RZiSPor/B/B_II/KwotaA</t>
  </si>
  <si>
    <t>/JednostkaInna/RZiS/RZiSPor/B/B_III/KwotaA</t>
  </si>
  <si>
    <t>/JednostkaInna/RZiS/RZiSPor/B/B_IV/KwotaA</t>
  </si>
  <si>
    <t>/JednostkaInna/RZiS/RZiSPor/B/B_IV/B_IV_1/KwotaA</t>
  </si>
  <si>
    <t>/JednostkaInna/RZiS/RZiSPor/B/B_V/KwotaA</t>
  </si>
  <si>
    <t>/JednostkaInna/RZiS/RZiSPor/B/B_VI/KwotaA</t>
  </si>
  <si>
    <t>/JednostkaInna/RZiS/RZiSPor/B/B_VI/B_VI_1/KwotaA</t>
  </si>
  <si>
    <t>/JednostkaInna/RZiS/RZiSPor/B/B_VII/KwotaA</t>
  </si>
  <si>
    <t>/JednostkaInna/RZiS/RZiSPor/B/B_VIII/KwotaA</t>
  </si>
  <si>
    <t>/JednostkaInna/RZiS/RZiSPor/C/KwotaA</t>
  </si>
  <si>
    <t>/JednostkaInna/RZiS/RZiSPor/D/KwotaA</t>
  </si>
  <si>
    <t>/JednostkaInna/RZiS/RZiSPor/D/D_I/KwotaA</t>
  </si>
  <si>
    <t>/JednostkaInna/RZiS/RZiSPor/D/D_II/KwotaA</t>
  </si>
  <si>
    <t>/JednostkaInna/RZiS/RZiSPor/D/D_III/KwotaA</t>
  </si>
  <si>
    <t>/JednostkaInna/RZiS/RZiSPor/D/D_IV/KwotaA</t>
  </si>
  <si>
    <t>/JednostkaInna/RZiS/RZiSPor/E/KwotaA</t>
  </si>
  <si>
    <t>/JednostkaInna/RZiS/RZiSPor/E/E_I/KwotaA</t>
  </si>
  <si>
    <t>/JednostkaInna/RZiS/RZiSPor/E/E_II/KwotaA</t>
  </si>
  <si>
    <t>/JednostkaInna/RZiS/RZiSPor/E/E_III/KwotaA</t>
  </si>
  <si>
    <t>/JednostkaInna/RZiS/RZiSPor/F/KwotaA</t>
  </si>
  <si>
    <t>/JednostkaInna/RZiS/RZiSPor/G/KwotaA</t>
  </si>
  <si>
    <t>/JednostkaInna/RZiS/RZiSPor/G/G_I/KwotaA</t>
  </si>
  <si>
    <t>/JednostkaInna/RZiS/RZiSPor/G/G_I/G_I_A/KwotaA</t>
  </si>
  <si>
    <t>/JednostkaInna/RZiS/RZiSPor/G/G_I/G_I_A/G_I_A_1/KwotaA</t>
  </si>
  <si>
    <t>/JednostkaInna/RZiS/RZiSPor/G/G_I/G_I_B/KwotaA</t>
  </si>
  <si>
    <t>/JednostkaInna/RZiS/RZiSPor/G/G_I/G_I_B/G_I_B_1/KwotaA</t>
  </si>
  <si>
    <t>/JednostkaInna/RZiS/RZiSPor/G/G_II/KwotaA</t>
  </si>
  <si>
    <t>/JednostkaInna/RZiS/RZiSPor/G/G_II/G_II_J/KwotaA</t>
  </si>
  <si>
    <t>/JednostkaInna/RZiS/RZiSPor/G/G_III/KwotaA</t>
  </si>
  <si>
    <t>/JednostkaInna/RZiS/RZiSPor/G/G_III/G_III_J/KwotaA</t>
  </si>
  <si>
    <t>/JednostkaInna/RZiS/RZiSPor/G/G_IV/KwotaA</t>
  </si>
  <si>
    <t>/JednostkaInna/RZiS/RZiSPor/G/G_V/KwotaA</t>
  </si>
  <si>
    <t>/JednostkaInna/RZiS/RZiSPor/H/KwotaA</t>
  </si>
  <si>
    <t>/JednostkaInna/RZiS/RZiSPor/H/H_I/KwotaA</t>
  </si>
  <si>
    <t>/JednostkaInna/RZiS/RZiSPor/H/H_I/H_I_J/KwotaA</t>
  </si>
  <si>
    <t>/JednostkaInna/RZiS/RZiSPor/H/H_II/KwotaA</t>
  </si>
  <si>
    <t>/JednostkaInna/RZiS/RZiSPor/H/H_II/H_II_J/KwotaA</t>
  </si>
  <si>
    <t>/JednostkaInna/RZiS/RZiSPor/H/H_III/KwotaA</t>
  </si>
  <si>
    <t>/JednostkaInna/RZiS/RZiSPor/H/H_IV/KwotaA</t>
  </si>
  <si>
    <t>/JednostkaInna/RZiS/RZiSPor/I/KwotaA</t>
  </si>
  <si>
    <t>/JednostkaInna/RZiS/RZiSPor/J/KwotaA</t>
  </si>
  <si>
    <t>/JednostkaInna/RZiS/RZiSPor/K/KwotaA</t>
  </si>
  <si>
    <t>/JednostkaInna/RZiS/RZiSPor/L/KwotaA</t>
  </si>
  <si>
    <t>/JednostkaInna/ZestZmianWKapitale/I/KwotaA</t>
  </si>
  <si>
    <t>/JednostkaInna/ZestZmianWKapitale/I/I_1/KwotaA</t>
  </si>
  <si>
    <t>/JednostkaInna/ZestZmianWKapitale/I/I_2/KwotaA</t>
  </si>
  <si>
    <t>/JednostkaInna/ZestZmianWKapitale/IA/KwotaA</t>
  </si>
  <si>
    <t>/JednostkaInna/ZestZmianWKapitale/IA/IA_1/KwotaA</t>
  </si>
  <si>
    <t>/JednostkaInna/ZestZmianWKapitale/IA/IA_1/IA_1_1/KwotaA</t>
  </si>
  <si>
    <t>/JednostkaInna/ZestZmianWKapitale/IA/IA_1/IA_1_1/IA_1_1_A/KwotaA</t>
  </si>
  <si>
    <t>/JednostkaInna/ZestZmianWKapitale/IA/IA_1/IA_1_1/IA_1_1_A/IA_1_1_A_1/KwotaA</t>
  </si>
  <si>
    <t>/JednostkaInna/ZestZmianWKapitale/IA/IA_1/IA_1_1/IA_1_1_B/KwotaA</t>
  </si>
  <si>
    <t>/JednostkaInna/ZestZmianWKapitale/IA/IA_1/IA_1_1/IA_1_1_B/IA_1_1_B_1/KwotaA</t>
  </si>
  <si>
    <t>/JednostkaInna/ZestZmianWKapitale/IA/IA_1/IA_1_2/KwotaA</t>
  </si>
  <si>
    <t>/JednostkaInna/ZestZmianWKapitale/IA/IA_2/KwotaA</t>
  </si>
  <si>
    <t>/JednostkaInna/ZestZmianWKapitale/IA/IA_2/IA_2_1/KwotaA</t>
  </si>
  <si>
    <t>/JednostkaInna/ZestZmianWKapitale/IA/IA_2/IA_2_1/IA_2_1_A/KwotaA</t>
  </si>
  <si>
    <t>/JednostkaInna/ZestZmianWKapitale/IA/IA_2/IA_2_1/IA_2_1_A/IA_2_1_A_1/KwotaA</t>
  </si>
  <si>
    <t>/JednostkaInna/ZestZmianWKapitale/IA/IA_2/IA_2_1/IA_2_1_A/IA_2_1_A_2/KwotaA</t>
  </si>
  <si>
    <t>/JednostkaInna/ZestZmianWKapitale/IA/IA_2/IA_2_1/IA_2_1_A/IA_2_1_A_3/KwotaA</t>
  </si>
  <si>
    <t>/JednostkaInna/ZestZmianWKapitale/IA/IA_2/IA_2_1/IA_2_1_B/KwotaA</t>
  </si>
  <si>
    <t>/JednostkaInna/ZestZmianWKapitale/IA/IA_2/IA_2_1/IA_2_1_B/IA_2_1_B_1/KwotaA</t>
  </si>
  <si>
    <t>/JednostkaInna/ZestZmianWKapitale/IA/IA_2/IA_2_2/KwotaA</t>
  </si>
  <si>
    <t>/JednostkaInna/ZestZmianWKapitale/IA/IA_3/KwotaA</t>
  </si>
  <si>
    <t>/JednostkaInna/ZestZmianWKapitale/IA/IA_3/IA_3_1/KwotaA</t>
  </si>
  <si>
    <t>/JednostkaInna/ZestZmianWKapitale/IA/IA_3/IA_3_1/IA_3_1_A/KwotaA</t>
  </si>
  <si>
    <t>/JednostkaInna/ZestZmianWKapitale/IA/IA_3/IA_3_1/IA_3_1_B/KwotaA</t>
  </si>
  <si>
    <t>/JednostkaInna/ZestZmianWKapitale/IA/IA_3/IA_3_1/IA_3_1_B/IA_3_1_B_1/KwotaA</t>
  </si>
  <si>
    <t>/JednostkaInna/ZestZmianWKapitale/IA/IA_3/IA_3_2/KwotaA</t>
  </si>
  <si>
    <t>/JednostkaInna/ZestZmianWKapitale/IA/IA_4/KwotaA</t>
  </si>
  <si>
    <t>/JednostkaInna/ZestZmianWKapitale/IA/IA_4/IA_4_1/KwotaA</t>
  </si>
  <si>
    <t>/JednostkaInna/ZestZmianWKapitale/IA/IA_4/IA_4_1/IA_4_1_A/KwotaA</t>
  </si>
  <si>
    <t>/JednostkaInna/ZestZmianWKapitale/IA/IA_4/IA_4_1/IA_4_1_B/KwotaA</t>
  </si>
  <si>
    <t>/JednostkaInna/ZestZmianWKapitale/IA/IA_4/IA_4_2/KwotaA</t>
  </si>
  <si>
    <t>/JednostkaInna/ZestZmianWKapitale/IA/IA_5/KwotaA</t>
  </si>
  <si>
    <t>/JednostkaInna/ZestZmianWKapitale/IA/IA_5/IA_5_1/KwotaA</t>
  </si>
  <si>
    <t>/JednostkaInna/ZestZmianWKapitale/IA/IA_5/IA_5_1/IA_5_1_1/KwotaA</t>
  </si>
  <si>
    <t>/JednostkaInna/ZestZmianWKapitale/IA/IA_5/IA_5_1/IA_5_1_2/KwotaA</t>
  </si>
  <si>
    <t>/JednostkaInna/ZestZmianWKapitale/IA/IA_5/IA_5_2/KwotaA</t>
  </si>
  <si>
    <t>/JednostkaInna/ZestZmianWKapitale/IA/IA_5/IA_5_2/IA_5_2_A/KwotaA</t>
  </si>
  <si>
    <t>/JednostkaInna/ZestZmianWKapitale/IA/IA_5/IA_5_2/IA_5_2_A/IA_5_2_A_1/KwotaA</t>
  </si>
  <si>
    <t>/JednostkaInna/ZestZmianWKapitale/IA/IA_5/IA_5_2/IA_5_2_B/KwotaA</t>
  </si>
  <si>
    <t>/JednostkaInna/ZestZmianWKapitale/IA/IA_5/IA_5_3/KwotaA</t>
  </si>
  <si>
    <t>/JednostkaInna/ZestZmianWKapitale/IA/IA_5/IA_5_4/KwotaA</t>
  </si>
  <si>
    <t>/JednostkaInna/ZestZmianWKapitale/IA/IA_5/IA_5_4/IA_5_4_1/KwotaA</t>
  </si>
  <si>
    <t>/JednostkaInna/ZestZmianWKapitale/IA/IA_5/IA_5_4/IA_5_4_2/KwotaA</t>
  </si>
  <si>
    <t>/JednostkaInna/ZestZmianWKapitale/IA/IA_5/IA_5_5/KwotaA</t>
  </si>
  <si>
    <t>/JednostkaInna/ZestZmianWKapitale/IA/IA_5/IA_5_5/IA_5_5_A/KwotaA</t>
  </si>
  <si>
    <t>/JednostkaInna/ZestZmianWKapitale/IA/IA_5/IA_5_5/IA_5_5_A/IA_5_5_A_1/KwotaA</t>
  </si>
  <si>
    <t>/JednostkaInna/ZestZmianWKapitale/IA/IA_5/IA_5_5/IA_5_5_B/KwotaA</t>
  </si>
  <si>
    <t>/JednostkaInna/ZestZmianWKapitale/IA/IA_5/IA_5_6/KwotaA</t>
  </si>
  <si>
    <t>/JednostkaInna/ZestZmianWKapitale/IA/IA_5/IA_5_7/KwotaA</t>
  </si>
  <si>
    <t>/JednostkaInna/ZestZmianWKapitale/IA/IA_6/KwotaA</t>
  </si>
  <si>
    <t>/JednostkaInna/ZestZmianWKapitale/IA/IA_6/IA_6_A/KwotaA</t>
  </si>
  <si>
    <t>/JednostkaInna/ZestZmianWKapitale/IA/IA_6/IA_6_B/KwotaA</t>
  </si>
  <si>
    <t>/JednostkaInna/ZestZmianWKapitale/IA/IA_6/IA_6_C/KwotaA</t>
  </si>
  <si>
    <t>/JednostkaInna/ZestZmianWKapitale/II/KwotaA</t>
  </si>
  <si>
    <t>/JednostkaInna/ZestZmianWKapitale/III/KwotaA</t>
  </si>
  <si>
    <t>/JednostkaInna/RachPrzeplywow/PrzeplywyPosr/A/KwotaA</t>
  </si>
  <si>
    <t>/JednostkaInna/RachPrzeplywow/PrzeplywyPosr/A/A_I/KwotaA</t>
  </si>
  <si>
    <t>/JednostkaInna/RachPrzeplywow/PrzeplywyPosr/A/A_II/KwotaA</t>
  </si>
  <si>
    <t>/JednostkaInna/RachPrzeplywow/PrzeplywyPosr/A/A_II/A_II_1/KwotaA</t>
  </si>
  <si>
    <t>/JednostkaInna/RachPrzeplywow/PrzeplywyPosr/A/A_II/A_II_2/KwotaA</t>
  </si>
  <si>
    <t>/JednostkaInna/RachPrzeplywow/PrzeplywyPosr/A/A_II/A_II_3/KwotaA</t>
  </si>
  <si>
    <t>/JednostkaInna/RachPrzeplywow/PrzeplywyPosr/A/A_II/A_II_4/KwotaA</t>
  </si>
  <si>
    <t>/JednostkaInna/RachPrzeplywow/PrzeplywyPosr/A/A_II/A_II_5/KwotaA</t>
  </si>
  <si>
    <t>/JednostkaInna/RachPrzeplywow/PrzeplywyPosr/A/A_II/A_II_6/KwotaA</t>
  </si>
  <si>
    <t>/JednostkaInna/RachPrzeplywow/PrzeplywyPosr/A/A_II/A_II_7/KwotaA</t>
  </si>
  <si>
    <t>/JednostkaInna/RachPrzeplywow/PrzeplywyPosr/A/A_II/A_II_8/KwotaA</t>
  </si>
  <si>
    <t>/JednostkaInna/RachPrzeplywow/PrzeplywyPosr/A/A_II/A_II_9/KwotaA</t>
  </si>
  <si>
    <t>/JednostkaInna/RachPrzeplywow/PrzeplywyPosr/A/A_II/A_II_10/KwotaA</t>
  </si>
  <si>
    <t>/JednostkaInna/RachPrzeplywow/PrzeplywyPosr/A/A_III/KwotaA</t>
  </si>
  <si>
    <t>/JednostkaInna/RachPrzeplywow/PrzeplywyPosr/B/KwotaA</t>
  </si>
  <si>
    <t>/JednostkaInna/RachPrzeplywow/PrzeplywyPosr/B/B_I/KwotaA</t>
  </si>
  <si>
    <t>/JednostkaInna/RachPrzeplywow/PrzeplywyPosr/B/B_I/B_I_1/KwotaA</t>
  </si>
  <si>
    <t>/JednostkaInna/RachPrzeplywow/PrzeplywyPosr/B/B_I/B_I_2/KwotaA</t>
  </si>
  <si>
    <t>/JednostkaInna/RachPrzeplywow/PrzeplywyPosr/B/B_I/B_I_3/KwotaA</t>
  </si>
  <si>
    <t>/JednostkaInna/RachPrzeplywow/PrzeplywyPosr/B/B_I/B_I_3/B_I_3_A/KwotaA</t>
  </si>
  <si>
    <t>/JednostkaInna/RachPrzeplywow/PrzeplywyPosr/B/B_I/B_I_3/B_I_3_B/KwotaA</t>
  </si>
  <si>
    <t>/JednostkaInna/RachPrzeplywow/PrzeplywyPosr/B/B_I/B_I_3/B_I_3_B/B_I_3_B_1/KwotaA</t>
  </si>
  <si>
    <t>/JednostkaInna/RachPrzeplywow/PrzeplywyPosr/B/B_I/B_I_3/B_I_3_B/B_I_3_B_2/KwotaA</t>
  </si>
  <si>
    <t>/JednostkaInna/RachPrzeplywow/PrzeplywyPosr/B/B_I/B_I_3/B_I_3_B/B_I_3_B_3/KwotaA</t>
  </si>
  <si>
    <t>/JednostkaInna/RachPrzeplywow/PrzeplywyPosr/B/B_I/B_I_3/B_I_3_B/B_I_3_B_4/KwotaA</t>
  </si>
  <si>
    <t>/JednostkaInna/RachPrzeplywow/PrzeplywyPosr/B/B_I/B_I_3/B_I_3_B/B_I_3_B_5/KwotaA</t>
  </si>
  <si>
    <t>/JednostkaInna/RachPrzeplywow/PrzeplywyPosr/B/B_I/B_I_4/KwotaA</t>
  </si>
  <si>
    <t>/JednostkaInna/RachPrzeplywow/PrzeplywyPosr/B/B_II/KwotaA</t>
  </si>
  <si>
    <t>/JednostkaInna/RachPrzeplywow/PrzeplywyPosr/B/B_II/B_II_1/KwotaA</t>
  </si>
  <si>
    <t>/JednostkaInna/RachPrzeplywow/PrzeplywyPosr/B/B_II/B_II_2/KwotaA</t>
  </si>
  <si>
    <t>/JednostkaInna/RachPrzeplywow/PrzeplywyPosr/B/B_II/B_II_3/KwotaA</t>
  </si>
  <si>
    <t>/JednostkaInna/RachPrzeplywow/PrzeplywyPosr/B/B_II/B_II_3/B_II_3_A/KwotaA</t>
  </si>
  <si>
    <t>/JednostkaInna/RachPrzeplywow/PrzeplywyPosr/B/B_II/B_II_3/B_II_3_B/KwotaA</t>
  </si>
  <si>
    <t>/JednostkaInna/RachPrzeplywow/PrzeplywyPosr/B/B_II/B_II_3/B_II_3_B/B_II_3_B_1/KwotaA</t>
  </si>
  <si>
    <t>/JednostkaInna/RachPrzeplywow/PrzeplywyPosr/B/B_II/B_II_3/B_II_3_B/B_II_3_B_2/KwotaA</t>
  </si>
  <si>
    <t>/JednostkaInna/RachPrzeplywow/PrzeplywyPosr/B/B_II/B_II_4/KwotaA</t>
  </si>
  <si>
    <t>/JednostkaInna/RachPrzeplywow/PrzeplywyPosr/B/B_III/KwotaA</t>
  </si>
  <si>
    <t>/JednostkaInna/RachPrzeplywow/PrzeplywyPosr/C/KwotaA</t>
  </si>
  <si>
    <t>/JednostkaInna/RachPrzeplywow/PrzeplywyPosr/C/C_I/KwotaA</t>
  </si>
  <si>
    <t>/JednostkaInna/RachPrzeplywow/PrzeplywyPosr/C/C_I/C_I_1/KwotaA</t>
  </si>
  <si>
    <t>/JednostkaInna/RachPrzeplywow/PrzeplywyPosr/C/C_I/C_I_2/KwotaA</t>
  </si>
  <si>
    <t>/JednostkaInna/RachPrzeplywow/PrzeplywyPosr/C/C_I/C_I_3/KwotaA</t>
  </si>
  <si>
    <t>/JednostkaInna/RachPrzeplywow/PrzeplywyPosr/C/C_I/C_I_4/KwotaA</t>
  </si>
  <si>
    <t>/JednostkaInna/RachPrzeplywow/PrzeplywyPosr/C/C_II/KwotaA</t>
  </si>
  <si>
    <t>/JednostkaInna/RachPrzeplywow/PrzeplywyPosr/C/C_II/C_II_1/KwotaA</t>
  </si>
  <si>
    <t>/JednostkaInna/RachPrzeplywow/PrzeplywyPosr/C/C_II/C_II_2/KwotaA</t>
  </si>
  <si>
    <t>/JednostkaInna/RachPrzeplywow/PrzeplywyPosr/C/C_II/C_II_3/KwotaA</t>
  </si>
  <si>
    <t>/JednostkaInna/RachPrzeplywow/PrzeplywyPosr/C/C_II/C_II_4/KwotaA</t>
  </si>
  <si>
    <t>/JednostkaInna/RachPrzeplywow/PrzeplywyPosr/C/C_II/C_II_5/KwotaA</t>
  </si>
  <si>
    <t>/JednostkaInna/RachPrzeplywow/PrzeplywyPosr/C/C_II/C_II_6/KwotaA</t>
  </si>
  <si>
    <t>/JednostkaInna/RachPrzeplywow/PrzeplywyPosr/C/C_II/C_II_7/KwotaA</t>
  </si>
  <si>
    <t>/JednostkaInna/RachPrzeplywow/PrzeplywyPosr/C/C_II/C_II_8/KwotaA</t>
  </si>
  <si>
    <t>/JednostkaInna/RachPrzeplywow/PrzeplywyPosr/C/C_II/C_II_9/KwotaA</t>
  </si>
  <si>
    <t>/JednostkaInna/RachPrzeplywow/PrzeplywyPosr/C/C_III/KwotaA</t>
  </si>
  <si>
    <t>/JednostkaInna/RachPrzeplywow/PrzeplywyPosr/D/KwotaA</t>
  </si>
  <si>
    <t>/JednostkaInna/RachPrzeplywow/PrzeplywyPosr/E/KwotaA</t>
  </si>
  <si>
    <t>/JednostkaInna/RachPrzeplywow/PrzeplywyPosr/E/E_1/KwotaA</t>
  </si>
  <si>
    <t>/JednostkaInna/RachPrzeplywow/PrzeplywyPosr/F/KwotaA</t>
  </si>
  <si>
    <t>/JednostkaInna/RachPrzeplywow/PrzeplywyPosr/G/KwotaA</t>
  </si>
  <si>
    <t>/JednostkaInna/RachPrzeplywow/PrzeplywyPosr/G/G_1/KwotaA</t>
  </si>
  <si>
    <t>/JednostkaInna/DodatkoweInformacjeIObjasnieniaJednstkaInna/InformacjaDodatkowaDotyczacaPodatkuDochodowego/P_ID_1/RB</t>
  </si>
  <si>
    <t>/JednostkaInna/DodatkoweInformacjeIObjasnieniaJednstkaInna/InformacjaDodatkowaDotyczacaPodatkuDochodowego/P_ID_2/Kwota/RB/KwotaA</t>
  </si>
  <si>
    <t>/JednostkaInna/DodatkoweInformacjeIObjasnieniaJednstkaInna/InformacjaDodatkowaDotyczacaPodatkuDochodowego/P_ID_3/Kwota/RB/KwotaA</t>
  </si>
  <si>
    <t>/JednostkaInna/DodatkoweInformacjeIObjasnieniaJednstkaInna/InformacjaDodatkowaDotyczacaPodatkuDochodowego/P_ID_4/Kwota/RB/KwotaA</t>
  </si>
  <si>
    <t>/JednostkaInna/DodatkoweInformacjeIObjasnieniaJednstkaInna/InformacjaDodatkowaDotyczacaPodatkuDochodowego/P_ID_5/Kwota/RB/KwotaA</t>
  </si>
  <si>
    <t>/JednostkaInna/DodatkoweInformacjeIObjasnieniaJednstkaInna/InformacjaDodatkowaDotyczacaPodatkuDochodowego/P_ID_6/Kwota/RB/KwotaA</t>
  </si>
  <si>
    <t>/JednostkaInna/DodatkoweInformacjeIObjasnieniaJednstkaInna/InformacjaDodatkowaDotyczacaPodatkuDochodowego/P_ID_7/Kwota/RB/KwotaA</t>
  </si>
  <si>
    <t>/JednostkaInna/DodatkoweInformacjeIObjasnieniaJednstkaInna/InformacjaDodatkowaDotyczacaPodatkuDochodowego/P_ID_8/Kwota/RB/KwotaA</t>
  </si>
  <si>
    <t>/JednostkaInna/DodatkoweInformacjeIObjasnieniaJednstkaInna/InformacjaDodatkowaDotyczacaPodatkuDochodowego/P_ID_9/Kwota/RB/KwotaA</t>
  </si>
  <si>
    <t>/JednostkaInna/DodatkoweInformacjeIObjasnieniaJednstkaInna/InformacjaDodatkowaDotyczacaPodatkuDochodowego/P_ID_10/RB</t>
  </si>
  <si>
    <t>/JednostkaInna/DodatkoweInformacjeIObjasnieniaJednstkaInna/InformacjaDodatkowaDotyczacaPodatkuDochodowego/P_ID_11/RB</t>
  </si>
  <si>
    <t>/JednostkaInna/Naglowek/OkresOd</t>
  </si>
  <si>
    <t>/JednostkaInna/Naglowek/OkresDo</t>
  </si>
  <si>
    <t>/JednostkaInna/Naglowek/DataSporzadzenia</t>
  </si>
  <si>
    <t>/JednostkaInna/Naglowek/KodSprawozdania#kodSystemowy</t>
  </si>
  <si>
    <t>/JednostkaInna/Naglowek/KodSprawozdania#wersjaSchemy</t>
  </si>
  <si>
    <t>/JednostkaInna/Naglowek/KodSprawozdania</t>
  </si>
  <si>
    <t>/JednostkaInna/Naglowek/WariantSprawozdania</t>
  </si>
  <si>
    <t>/JednostkaInna/WprowadzenieDoSprawozdaniaFinansowego/P_1/P_1A/NazwaFirmy</t>
  </si>
  <si>
    <t>/JednostkaInna/WprowadzenieDoSprawozdaniaFinansowego/P_1/P_1A/Siedziba/Wojewodztwo</t>
  </si>
  <si>
    <t>/JednostkaInna/WprowadzenieDoSprawozdaniaFinansowego/P_1/P_1A/Siedziba/Powiat</t>
  </si>
  <si>
    <t>/JednostkaInna/WprowadzenieDoSprawozdaniaFinansowego/P_1/P_1A/Siedziba/Gmina</t>
  </si>
  <si>
    <t>/JednostkaInna/WprowadzenieDoSprawozdaniaFinansowego/P_1/P_1A/Siedziba/Miejscowosc</t>
  </si>
  <si>
    <t>/JednostkaInna/WprowadzenieDoSprawozdaniaFinansowego/P_1/P_1B/Adres/KodKraju</t>
  </si>
  <si>
    <t>/JednostkaInna/WprowadzenieDoSprawozdaniaFinansowego/P_1/P_1B/Adres/Wojewodztwo</t>
  </si>
  <si>
    <t>/JednostkaInna/WprowadzenieDoSprawozdaniaFinansowego/P_1/P_1B/Adres/Powiat</t>
  </si>
  <si>
    <t>/JednostkaInna/WprowadzenieDoSprawozdaniaFinansowego/P_1/P_1B/Adres/Gmina</t>
  </si>
  <si>
    <t>/JednostkaInna/WprowadzenieDoSprawozdaniaFinansowego/P_1/P_1B/Adres/Ulica</t>
  </si>
  <si>
    <t>/JednostkaInna/WprowadzenieDoSprawozdaniaFinansowego/P_1/P_1B/Adres/NrDomu</t>
  </si>
  <si>
    <t>/JednostkaInna/WprowadzenieDoSprawozdaniaFinansowego/P_1/P_1B/Adres/Miejscowosc</t>
  </si>
  <si>
    <t>/JednostkaInna/WprowadzenieDoSprawozdaniaFinansowego/P_1/P_1B/Adres/KodPocztowy</t>
  </si>
  <si>
    <t>/JednostkaInna/WprowadzenieDoSprawozdaniaFinansowego/P_1/P_1B/Adres/Poczta</t>
  </si>
  <si>
    <t>/JednostkaInna/WprowadzenieDoSprawozdaniaFinansowego/P_1/P_1C/KodPKD</t>
  </si>
  <si>
    <t>/JednostkaInna/WprowadzenieDoSprawozdaniaFinansowego/P_1/P_1D/KRS</t>
  </si>
  <si>
    <t>/JednostkaInna/WprowadzenieDoSprawozdaniaFinansowego/P_3/DataOd</t>
  </si>
  <si>
    <t>/JednostkaInna/WprowadzenieDoSprawozdaniaFinansowego/P_3/DataDo</t>
  </si>
  <si>
    <t>/JednostkaInna/WprowadzenieDoSprawozdaniaFinansowego/P_4</t>
  </si>
  <si>
    <t>/JednostkaInna/WprowadzenieDoSprawozdaniaFinansowego/P_5/P_5A</t>
  </si>
  <si>
    <t>/JednostkaInna/WprowadzenieDoSprawozdaniaFinansowego/P_5/P_5B</t>
  </si>
  <si>
    <t>/JednostkaInna/WprowadzenieDoSprawozdaniaFinansowego/P_7/P_7A</t>
  </si>
  <si>
    <t>/JednostkaInna/WprowadzenieDoSprawozdaniaFinansowego/P_7/P_7B</t>
  </si>
  <si>
    <t>/JednostkaInna/WprowadzenieDoSprawozdaniaFinansowego/P_7/P_7C</t>
  </si>
  <si>
    <t>/JednostkaInna/WprowadzenieDoSprawozdaniaFinansowego/P_7/P_7D</t>
  </si>
  <si>
    <t>/JednostkaInna/Bilans/Aktywa/KwotaB</t>
  </si>
  <si>
    <t>/JednostkaInna/Bilans/Aktywa/Aktywa_A/KwotaB</t>
  </si>
  <si>
    <t>/JednostkaInna/Bilans/Aktywa/Aktywa_A/Aktywa_A_IV/KwotaB</t>
  </si>
  <si>
    <t>/JednostkaInna/Bilans/Aktywa/Aktywa_A/Aktywa_A_IV/Aktywa_A_IV_3/KwotaB</t>
  </si>
  <si>
    <t>/JednostkaInna/Bilans/Aktywa/Aktywa_A/Aktywa_A_IV/Aktywa_A_IV_3/Aktywa_A_IV_3_A/KwotaB</t>
  </si>
  <si>
    <t>/JednostkaInna/Bilans/Aktywa/Aktywa_A/Aktywa_A_IV/Aktywa_A_IV_3/Aktywa_A_IV_3_A/Aktywa_A_IV_3_A_1/KwotaB</t>
  </si>
  <si>
    <t>/JednostkaInna/Bilans/Aktywa/Aktywa_A/Aktywa_A_IV/Aktywa_A_IV_3/Aktywa_A_IV_3_A/Aktywa_A_IV_3_A_3/KwotaB</t>
  </si>
  <si>
    <t>/JednostkaInna/Bilans/Aktywa/Aktywa_A/Aktywa_A_V/KwotaB</t>
  </si>
  <si>
    <t>/JednostkaInna/Bilans/Aktywa/Aktywa_A/Aktywa_A_V/Aktywa_A_V_1/KwotaB</t>
  </si>
  <si>
    <t>/JednostkaInna/Bilans/Aktywa/Aktywa_B/KwotaB</t>
  </si>
  <si>
    <t>/JednostkaInna/Bilans/Aktywa/Aktywa_B/Aktywa_B_II/KwotaB</t>
  </si>
  <si>
    <t>/JednostkaInna/Bilans/Aktywa/Aktywa_B/Aktywa_B_II/Aktywa_B_II_1/KwotaB</t>
  </si>
  <si>
    <t>/JednostkaInna/Bilans/Aktywa/Aktywa_B/Aktywa_B_II/Aktywa_B_II_1/Aktywa_B_II_1_A/KwotaB</t>
  </si>
  <si>
    <t>/JednostkaInna/Bilans/Aktywa/Aktywa_B/Aktywa_B_II/Aktywa_B_II_1/Aktywa_B_II_1_A/Aktywa_B_II_1_A_1/KwotaB</t>
  </si>
  <si>
    <t>/JednostkaInna/Bilans/Aktywa/Aktywa_B/Aktywa_B_II/Aktywa_B_II_3/KwotaB</t>
  </si>
  <si>
    <t>/JednostkaInna/Bilans/Aktywa/Aktywa_B/Aktywa_B_II/Aktywa_B_II_3/Aktywa_B_II_3_B/KwotaB</t>
  </si>
  <si>
    <t>/JednostkaInna/Bilans/Aktywa/Aktywa_B/Aktywa_B_III/KwotaB</t>
  </si>
  <si>
    <t>/JednostkaInna/Bilans/Aktywa/Aktywa_B/Aktywa_B_III/Aktywa_B_III_1/KwotaB</t>
  </si>
  <si>
    <t>/JednostkaInna/Bilans/Aktywa/Aktywa_B/Aktywa_B_III/Aktywa_B_III_1/Aktywa_B_III_1_A/KwotaB</t>
  </si>
  <si>
    <t>/JednostkaInna/Bilans/Aktywa/Aktywa_B/Aktywa_B_III/Aktywa_B_III_1/Aktywa_B_III_1_A/Aktywa_B_III_1_A_3/KwotaB</t>
  </si>
  <si>
    <t>/JednostkaInna/Bilans/Aktywa/Aktywa_B/Aktywa_B_III/Aktywa_B_III_1/Aktywa_B_III_1_C/KwotaB</t>
  </si>
  <si>
    <t>/JednostkaInna/Bilans/Aktywa/Aktywa_B/Aktywa_B_III/Aktywa_B_III_1/Aktywa_B_III_1_C/Aktywa_B_III_1_C_1/KwotaB</t>
  </si>
  <si>
    <t>/JednostkaInna/Bilans/Aktywa/Aktywa_B/Aktywa_B_IV/KwotaB</t>
  </si>
  <si>
    <t>/JednostkaInna/Bilans/Pasywa/KwotaB</t>
  </si>
  <si>
    <t>/JednostkaInna/Bilans/Pasywa/Pasywa_A/KwotaB</t>
  </si>
  <si>
    <t>/JednostkaInna/Bilans/Pasywa/Pasywa_A/Pasywa_A_I/KwotaB</t>
  </si>
  <si>
    <t>/JednostkaInna/Bilans/Pasywa/Pasywa_A/Pasywa_A_II/KwotaB</t>
  </si>
  <si>
    <t>/JednostkaInna/Bilans/Pasywa/Pasywa_A/Pasywa_A_IV/KwotaB</t>
  </si>
  <si>
    <t>/JednostkaInna/Bilans/Pasywa/Pasywa_A/Pasywa_A_IV/Pasywa_A_IV_1/KwotaB</t>
  </si>
  <si>
    <t>/JednostkaInna/Bilans/Pasywa/Pasywa_A/Pasywa_A_VI/KwotaB</t>
  </si>
  <si>
    <t>/JednostkaInna/Bilans/Pasywa/Pasywa_B/KwotaB</t>
  </si>
  <si>
    <t>/JednostkaInna/Bilans/Pasywa/Pasywa_B/Pasywa_B_I/KwotaB</t>
  </si>
  <si>
    <t>/JednostkaInna/Bilans/Pasywa/Pasywa_B/Pasywa_B_I/Pasywa_B_I_1/KwotaB</t>
  </si>
  <si>
    <t>/JednostkaInna/Bilans/Pasywa/Pasywa_B/Pasywa_B_I/Pasywa_B_I_2/KwotaB</t>
  </si>
  <si>
    <t>/JednostkaInna/Bilans/Pasywa/Pasywa_B/Pasywa_B_I/Pasywa_B_I_2/Pasywa_B_I_2_2/KwotaB</t>
  </si>
  <si>
    <t>/JednostkaInna/Bilans/Pasywa/Pasywa_B/Pasywa_B_II/KwotaB</t>
  </si>
  <si>
    <t>/JednostkaInna/Bilans/Pasywa/Pasywa_B/Pasywa_B_II/Pasywa_B_II_1/KwotaB</t>
  </si>
  <si>
    <t>/JednostkaInna/Bilans/Pasywa/Pasywa_B/Pasywa_B_III/KwotaB</t>
  </si>
  <si>
    <t>/JednostkaInna/Bilans/Pasywa/Pasywa_B/Pasywa_B_III/Pasywa_B_III_1/KwotaB</t>
  </si>
  <si>
    <t>/JednostkaInna/Bilans/Pasywa/Pasywa_B/Pasywa_B_III/Pasywa_B_III_1/Pasywa_B_III_1_A/KwotaB</t>
  </si>
  <si>
    <t>/JednostkaInna/Bilans/Pasywa/Pasywa_B/Pasywa_B_III/Pasywa_B_III_1/Pasywa_B_III_1_A/Pasywa_B_III_1_A_1/KwotaB</t>
  </si>
  <si>
    <t>/JednostkaInna/Bilans/Pasywa/Pasywa_B/Pasywa_B_III/Pasywa_B_III_1/Pasywa_B_III_1_B/KwotaB</t>
  </si>
  <si>
    <t>/JednostkaInna/Bilans/Pasywa/Pasywa_B/Pasywa_B_III/Pasywa_B_III_3/KwotaB</t>
  </si>
  <si>
    <t>/JednostkaInna/Bilans/Pasywa/Pasywa_B/Pasywa_B_III/Pasywa_B_III_3/Pasywa_B_III_3_D/KwotaB</t>
  </si>
  <si>
    <t>/JednostkaInna/Bilans/Pasywa/Pasywa_B/Pasywa_B_III/Pasywa_B_III_3/Pasywa_B_III_3_D/Pasywa_B_III_3_D_1/KwotaB</t>
  </si>
  <si>
    <t>/JednostkaInna/Bilans/Pasywa/Pasywa_B/Pasywa_B_III/Pasywa_B_III_3/Pasywa_B_III_3_G/KwotaB</t>
  </si>
  <si>
    <t>/JednostkaInna/Bilans/Pasywa/Pasywa_B/Pasywa_B_III/Pasywa_B_III_3/Pasywa_B_III_3_I/KwotaB</t>
  </si>
  <si>
    <t>/JednostkaInna/RZiS/RZiSPor/A/KwotaB</t>
  </si>
  <si>
    <t>/JednostkaInna/RZiS/RZiSPor/A/A_J/KwotaB</t>
  </si>
  <si>
    <t>/JednostkaInna/RZiS/RZiSPor/A/A_I/KwotaB</t>
  </si>
  <si>
    <t>/JednostkaInna/RZiS/RZiSPor/B/KwotaB</t>
  </si>
  <si>
    <t>/JednostkaInna/RZiS/RZiSPor/B/B_II/KwotaB</t>
  </si>
  <si>
    <t>/JednostkaInna/RZiS/RZiSPor/B/B_III/KwotaB</t>
  </si>
  <si>
    <t>/JednostkaInna/RZiS/RZiSPor/B/B_IV/KwotaB</t>
  </si>
  <si>
    <t>/JednostkaInna/RZiS/RZiSPor/B/B_V/KwotaB</t>
  </si>
  <si>
    <t>/JednostkaInna/RZiS/RZiSPor/B/B_VI/KwotaB</t>
  </si>
  <si>
    <t>/JednostkaInna/RZiS/RZiSPor/B/B_VI/B_VI_1/KwotaB</t>
  </si>
  <si>
    <t>/JednostkaInna/RZiS/RZiSPor/B/B_VII/KwotaB</t>
  </si>
  <si>
    <t>/JednostkaInna/RZiS/RZiSPor/C/KwotaB</t>
  </si>
  <si>
    <t>/JednostkaInna/RZiS/RZiSPor/D/KwotaB</t>
  </si>
  <si>
    <t>/JednostkaInna/RZiS/RZiSPor/D/D_IV/KwotaB</t>
  </si>
  <si>
    <t>/JednostkaInna/RZiS/RZiSPor/E/KwotaB</t>
  </si>
  <si>
    <t>/JednostkaInna/RZiS/RZiSPor/E/E_III/KwotaB</t>
  </si>
  <si>
    <t>/JednostkaInna/RZiS/RZiSPor/F/KwotaB</t>
  </si>
  <si>
    <t>/JednostkaInna/RZiS/RZiSPor/G/KwotaB</t>
  </si>
  <si>
    <t>/JednostkaInna/RZiS/RZiSPor/G/G_I/KwotaB</t>
  </si>
  <si>
    <t>/JednostkaInna/RZiS/RZiSPor/G/G_I/G_I_A/KwotaB</t>
  </si>
  <si>
    <t>/JednostkaInna/RZiS/RZiSPor/G/G_II/KwotaB</t>
  </si>
  <si>
    <t>/JednostkaInna/RZiS/RZiSPor/G/G_II/G_II_J/KwotaB</t>
  </si>
  <si>
    <t>/JednostkaInna/RZiS/RZiSPor/G/G_V/KwotaB</t>
  </si>
  <si>
    <t>/JednostkaInna/RZiS/RZiSPor/H/KwotaB</t>
  </si>
  <si>
    <t>/JednostkaInna/RZiS/RZiSPor/H/H_I/KwotaB</t>
  </si>
  <si>
    <t>/JednostkaInna/RZiS/RZiSPor/H/H_I/H_I_J/KwotaB</t>
  </si>
  <si>
    <t>/JednostkaInna/RZiS/RZiSPor/H/H_II/KwotaB</t>
  </si>
  <si>
    <t>/JednostkaInna/RZiS/RZiSPor/H/H_IV/KwotaB</t>
  </si>
  <si>
    <t>/JednostkaInna/RZiS/RZiSPor/I/KwotaB</t>
  </si>
  <si>
    <t>/JednostkaInna/RZiS/RZiSPor/J/KwotaB</t>
  </si>
  <si>
    <t>/JednostkaInna/RZiS/RZiSPor/L/KwotaB</t>
  </si>
  <si>
    <t>/JednostkaInna/ZestZmianWKapitale/I/KwotaB</t>
  </si>
  <si>
    <t>/JednostkaInna/ZestZmianWKapitale/IA/KwotaB</t>
  </si>
  <si>
    <t>/JednostkaInna/ZestZmianWKapitale/IA/IA_1/KwotaB</t>
  </si>
  <si>
    <t>/JednostkaInna/ZestZmianWKapitale/IA/IA_1/IA_1_1/KwotaB</t>
  </si>
  <si>
    <t>/JednostkaInna/ZestZmianWKapitale/IA/IA_1/IA_1_1/IA_1_1_A/KwotaB</t>
  </si>
  <si>
    <t>/JednostkaInna/ZestZmianWKapitale/IA/IA_1/IA_1_1/IA_1_1_A/IA_1_1_A_1/KwotaB</t>
  </si>
  <si>
    <t>/JednostkaInna/ZestZmianWKapitale/IA/IA_1/IA_1_2/KwotaB</t>
  </si>
  <si>
    <t>/JednostkaInna/ZestZmianWKapitale/IA/IA_2/KwotaB</t>
  </si>
  <si>
    <t>/JednostkaInna/ZestZmianWKapitale/IA/IA_2/IA_2_1/KwotaB</t>
  </si>
  <si>
    <t>/JednostkaInna/ZestZmianWKapitale/IA/IA_2/IA_2_1/IA_2_1_A/KwotaB</t>
  </si>
  <si>
    <t>/JednostkaInna/ZestZmianWKapitale/IA/IA_2/IA_2_1/IA_2_1_A/IA_2_1_A_2/KwotaB</t>
  </si>
  <si>
    <t>/JednostkaInna/ZestZmianWKapitale/IA/IA_2/IA_2_2/KwotaB</t>
  </si>
  <si>
    <t>/JednostkaInna/ZestZmianWKapitale/IA/IA_4/KwotaB</t>
  </si>
  <si>
    <t>/JednostkaInna/ZestZmianWKapitale/IA/IA_4/IA_4_1/KwotaB</t>
  </si>
  <si>
    <t>/JednostkaInna/ZestZmianWKapitale/IA/IA_4/IA_4_1/IA_4_1_A/KwotaB</t>
  </si>
  <si>
    <t>/JednostkaInna/ZestZmianWKapitale/IA/IA_4/IA_4_1/IA_4_1_A/PozycjaUszczegolawiajaca/NazwaPozycji</t>
  </si>
  <si>
    <t>/JednostkaInna/ZestZmianWKapitale/IA/IA_4/IA_4_1/IA_4_1_A/PozycjaUszczegolawiajaca/KwotyPozycji/KwotaA</t>
  </si>
  <si>
    <t>/JednostkaInna/ZestZmianWKapitale/IA/IA_4/IA_4_1/IA_4_1_A/PozycjaUszczegolawiajaca/KwotyPozycji/KwotaB</t>
  </si>
  <si>
    <t>/JednostkaInna/ZestZmianWKapitale/IA/IA_4/IA_4_2/KwotaB</t>
  </si>
  <si>
    <t>/JednostkaInna/ZestZmianWKapitale/IA/IA_5/KwotaB</t>
  </si>
  <si>
    <t>/JednostkaInna/ZestZmianWKapitale/IA/IA_5/IA_5_1/KwotaB</t>
  </si>
  <si>
    <t>/JednostkaInna/ZestZmianWKapitale/IA/IA_5/IA_5_2/KwotaB</t>
  </si>
  <si>
    <t>/JednostkaInna/ZestZmianWKapitale/IA/IA_5/IA_5_2/IA_5_2_B/KwotaB</t>
  </si>
  <si>
    <t>/JednostkaInna/ZestZmianWKapitale/IA/IA_5/IA_5_2/IA_5_2_B/PozycjaUszczegolawiajaca/NazwaPozycji</t>
  </si>
  <si>
    <t>/JednostkaInna/ZestZmianWKapitale/IA/IA_5/IA_5_2/IA_5_2_B/PozycjaUszczegolawiajaca/KwotyPozycji/KwotaA</t>
  </si>
  <si>
    <t>/JednostkaInna/ZestZmianWKapitale/IA/IA_5/IA_5_2/IA_5_2_B/PozycjaUszczegolawiajaca/KwotyPozycji/KwotaB</t>
  </si>
  <si>
    <t>/JednostkaInna/ZestZmianWKapitale/IA/IA_6/KwotaB</t>
  </si>
  <si>
    <t>/JednostkaInna/ZestZmianWKapitale/IA/IA_6/IA_6_A/KwotaB</t>
  </si>
  <si>
    <t>/JednostkaInna/ZestZmianWKapitale/II/KwotaB</t>
  </si>
  <si>
    <t>/JednostkaInna/ZestZmianWKapitale/III/KwotaB</t>
  </si>
  <si>
    <t>/JednostkaInna/RachPrzeplywow/PrzeplywyPosr/A/KwotaB</t>
  </si>
  <si>
    <t>/JednostkaInna/RachPrzeplywow/PrzeplywyPosr/A/A_I/KwotaB</t>
  </si>
  <si>
    <t>/JednostkaInna/RachPrzeplywow/PrzeplywyPosr/A/A_II/KwotaB</t>
  </si>
  <si>
    <t>/JednostkaInna/RachPrzeplywow/PrzeplywyPosr/A/A_II/A_II_2/KwotaB</t>
  </si>
  <si>
    <t>/JednostkaInna/RachPrzeplywow/PrzeplywyPosr/A/A_II/A_II_3/KwotaB</t>
  </si>
  <si>
    <t>/JednostkaInna/RachPrzeplywow/PrzeplywyPosr/A/A_II/A_II_5/KwotaB</t>
  </si>
  <si>
    <t>/JednostkaInna/RachPrzeplywow/PrzeplywyPosr/A/A_II/A_II_7/KwotaB</t>
  </si>
  <si>
    <t>/JednostkaInna/RachPrzeplywow/PrzeplywyPosr/A/A_II/A_II_8/KwotaB</t>
  </si>
  <si>
    <t>/JednostkaInna/RachPrzeplywow/PrzeplywyPosr/A/A_II/A_II_9/KwotaB</t>
  </si>
  <si>
    <t>/JednostkaInna/RachPrzeplywow/PrzeplywyPosr/A/A_III/KwotaB</t>
  </si>
  <si>
    <t>/JednostkaInna/RachPrzeplywow/PrzeplywyPosr/B/KwotaB</t>
  </si>
  <si>
    <t>/JednostkaInna/RachPrzeplywow/PrzeplywyPosr/B/B_I/KwotaB</t>
  </si>
  <si>
    <t>/JednostkaInna/RachPrzeplywow/PrzeplywyPosr/B/B_I/B_I_3/KwotaB</t>
  </si>
  <si>
    <t>/JednostkaInna/RachPrzeplywow/PrzeplywyPosr/B/B_I/B_I_3/B_I_3_B/KwotaB</t>
  </si>
  <si>
    <t>/JednostkaInna/RachPrzeplywow/PrzeplywyPosr/B/B_I/B_I_3/B_I_3_B/B_I_3_B_2/KwotaB</t>
  </si>
  <si>
    <t>/JednostkaInna/RachPrzeplywow/PrzeplywyPosr/B/B_I/B_I_3/B_I_3_B/B_I_3_B_3/KwotaB</t>
  </si>
  <si>
    <t>/JednostkaInna/RachPrzeplywow/PrzeplywyPosr/B/B_I/B_I_3/B_I_3_B/B_I_3_B_4/KwotaB</t>
  </si>
  <si>
    <t>/JednostkaInna/RachPrzeplywow/PrzeplywyPosr/B/B_II/KwotaB</t>
  </si>
  <si>
    <t>/JednostkaInna/RachPrzeplywow/PrzeplywyPosr/B/B_II/B_II_3/KwotaB</t>
  </si>
  <si>
    <t>/JednostkaInna/RachPrzeplywow/PrzeplywyPosr/B/B_II/B_II_3/B_II_3_A/KwotaB</t>
  </si>
  <si>
    <t>/JednostkaInna/RachPrzeplywow/PrzeplywyPosr/B/B_III/KwotaB</t>
  </si>
  <si>
    <t>/JednostkaInna/RachPrzeplywow/PrzeplywyPosr/C/KwotaB</t>
  </si>
  <si>
    <t>/JednostkaInna/RachPrzeplywow/PrzeplywyPosr/C/C_I/KwotaB</t>
  </si>
  <si>
    <t>/JednostkaInna/RachPrzeplywow/PrzeplywyPosr/C/C_I/C_I_1/KwotaB</t>
  </si>
  <si>
    <t>/JednostkaInna/RachPrzeplywow/PrzeplywyPosr/C/C_I/C_I_2/KwotaB</t>
  </si>
  <si>
    <t>/JednostkaInna/RachPrzeplywow/PrzeplywyPosr/C/C_II/KwotaB</t>
  </si>
  <si>
    <t>/JednostkaInna/RachPrzeplywow/PrzeplywyPosr/C/C_II/C_II_2/KwotaB</t>
  </si>
  <si>
    <t>/JednostkaInna/RachPrzeplywow/PrzeplywyPosr/C/C_II/C_II_4/KwotaB</t>
  </si>
  <si>
    <t>/JednostkaInna/RachPrzeplywow/PrzeplywyPosr/C/C_II/C_II_8/KwotaB</t>
  </si>
  <si>
    <t>/JednostkaInna/RachPrzeplywow/PrzeplywyPosr/C/C_III/KwotaB</t>
  </si>
  <si>
    <t>/JednostkaInna/RachPrzeplywow/PrzeplywyPosr/D/KwotaB</t>
  </si>
  <si>
    <t>/JednostkaInna/RachPrzeplywow/PrzeplywyPosr/E/KwotaB</t>
  </si>
  <si>
    <t>/JednostkaInna/RachPrzeplywow/PrzeplywyPosr/E/E_1/KwotaB</t>
  </si>
  <si>
    <t>/JednostkaInna/RachPrzeplywow/PrzeplywyPosr/F/KwotaB</t>
  </si>
  <si>
    <t>/JednostkaInna/RachPrzeplywow/PrzeplywyPosr/G/KwotaB</t>
  </si>
  <si>
    <t>/JednostkaInna/DodatkoweInformacjeIObjasnieniaJednstkaInna/DodatkoweInformacjeIObjasnienia/Opis</t>
  </si>
  <si>
    <t>/JednostkaInna/DodatkoweInformacjeIObjasnieniaJednstkaInna/DodatkoweInformacjeIObjasnienia/Plik/Nazwa</t>
  </si>
  <si>
    <t>/JednostkaInna/DodatkoweInformacjeIObjasnieniaJednstkaInna/DodatkoweInformacjeIObjasnienia/Plik/Zawartosc</t>
  </si>
  <si>
    <t>/JednostkaInna/DodatkoweInformacjeIObjasnieniaJednstkaInna/InformacjaDodatkowaDotyczacaPodatkuDochodowego/P_ID_1/RP</t>
  </si>
  <si>
    <t>/JednostkaInna/DodatkoweInformacjeIObjasnieniaJednstkaInna/InformacjaDodatkowaDotyczacaPodatkuDochodowego/P_ID_2/Kwota/RB/KwotaB</t>
  </si>
  <si>
    <t>/JednostkaInna/DodatkoweInformacjeIObjasnieniaJednstkaInna/InformacjaDodatkowaDotyczacaPodatkuDochodowego/P_ID_2/Kwota/RP/KwotaA</t>
  </si>
  <si>
    <t>/JednostkaInna/DodatkoweInformacjeIObjasnieniaJednstkaInna/InformacjaDodatkowaDotyczacaPodatkuDochodowego/P_ID_2/Kwota/RP/KwotaB</t>
  </si>
  <si>
    <t>/JednostkaInna/DodatkoweInformacjeIObjasnieniaJednstkaInna/InformacjaDodatkowaDotyczacaPodatkuDochodowego/P_ID_2/PozycjaUzytkownika/NazwaPozycji</t>
  </si>
  <si>
    <t>/JednostkaInna/DodatkoweInformacjeIObjasnieniaJednstkaInna/InformacjaDodatkowaDotyczacaPodatkuDochodowego/P_ID_2/PozycjaUzytkownika/Kwoty/RB/Kwota/KwotaA</t>
  </si>
  <si>
    <t>/JednostkaInna/DodatkoweInformacjeIObjasnieniaJednstkaInna/InformacjaDodatkowaDotyczacaPodatkuDochodowego/P_ID_2/PozycjaUzytkownika/Kwoty/RB/Kwota/KwotaB</t>
  </si>
  <si>
    <t>/JednostkaInna/DodatkoweInformacjeIObjasnieniaJednstkaInna/InformacjaDodatkowaDotyczacaPodatkuDochodowego/P_ID_2/PozycjaUzytkownika/Kwoty/RB/PodstawaPrawna/Art</t>
  </si>
  <si>
    <t>/JednostkaInna/DodatkoweInformacjeIObjasnieniaJednstkaInna/InformacjaDodatkowaDotyczacaPodatkuDochodowego/P_ID_2/PozycjaUzytkownika/Kwoty/RB/PodstawaPrawna/Ust</t>
  </si>
  <si>
    <t>/JednostkaInna/DodatkoweInformacjeIObjasnieniaJednstkaInna/InformacjaDodatkowaDotyczacaPodatkuDochodowego/P_ID_2/PozycjaUzytkownika/Kwoty/RP/KwotaA</t>
  </si>
  <si>
    <t>/JednostkaInna/DodatkoweInformacjeIObjasnieniaJednstkaInna/InformacjaDodatkowaDotyczacaPodatkuDochodowego/P_ID_2/PozycjaUzytkownika/Kwoty/RP/KwotaB</t>
  </si>
  <si>
    <t>/JednostkaInna/DodatkoweInformacjeIObjasnieniaJednstkaInna/InformacjaDodatkowaDotyczacaPodatkuDochodowego/P_ID_2/Pozostale/RB/KwotaA</t>
  </si>
  <si>
    <t>/JednostkaInna/DodatkoweInformacjeIObjasnieniaJednstkaInna/InformacjaDodatkowaDotyczacaPodatkuDochodowego/P_ID_2/Pozostale/RB/KwotaB</t>
  </si>
  <si>
    <t>/JednostkaInna/DodatkoweInformacjeIObjasnieniaJednstkaInna/InformacjaDodatkowaDotyczacaPodatkuDochodowego/P_ID_2/Pozostale/RP/KwotaA</t>
  </si>
  <si>
    <t>/JednostkaInna/DodatkoweInformacjeIObjasnieniaJednstkaInna/InformacjaDodatkowaDotyczacaPodatkuDochodowego/P_ID_2/Pozostale/RP/KwotaB</t>
  </si>
  <si>
    <t>/JednostkaInna/DodatkoweInformacjeIObjasnieniaJednstkaInna/InformacjaDodatkowaDotyczacaPodatkuDochodowego/P_ID_3/Kwota/RB/KwotaB</t>
  </si>
  <si>
    <t>/JednostkaInna/DodatkoweInformacjeIObjasnieniaJednstkaInna/InformacjaDodatkowaDotyczacaPodatkuDochodowego/P_ID_3/Kwota/RP/KwotaA</t>
  </si>
  <si>
    <t>/JednostkaInna/DodatkoweInformacjeIObjasnieniaJednstkaInna/InformacjaDodatkowaDotyczacaPodatkuDochodowego/P_ID_3/Kwota/RP/KwotaB</t>
  </si>
  <si>
    <t>/JednostkaInna/DodatkoweInformacjeIObjasnieniaJednstkaInna/InformacjaDodatkowaDotyczacaPodatkuDochodowego/P_ID_3/PozycjaUzytkownika/NazwaPozycji</t>
  </si>
  <si>
    <t>/JednostkaInna/DodatkoweInformacjeIObjasnieniaJednstkaInna/InformacjaDodatkowaDotyczacaPodatkuDochodowego/P_ID_3/PozycjaUzytkownika/Kwoty/RB/Kwota/KwotaA</t>
  </si>
  <si>
    <t>/JednostkaInna/DodatkoweInformacjeIObjasnieniaJednstkaInna/InformacjaDodatkowaDotyczacaPodatkuDochodowego/P_ID_3/PozycjaUzytkownika/Kwoty/RB/Kwota/KwotaB</t>
  </si>
  <si>
    <t>/JednostkaInna/DodatkoweInformacjeIObjasnieniaJednstkaInna/InformacjaDodatkowaDotyczacaPodatkuDochodowego/P_ID_3/PozycjaUzytkownika/Kwoty/RB/PodstawaPrawna/Art</t>
  </si>
  <si>
    <t>/JednostkaInna/DodatkoweInformacjeIObjasnieniaJednstkaInna/InformacjaDodatkowaDotyczacaPodatkuDochodowego/P_ID_3/PozycjaUzytkownika/Kwoty/RB/PodstawaPrawna/Ust</t>
  </si>
  <si>
    <t>/JednostkaInna/DodatkoweInformacjeIObjasnieniaJednstkaInna/InformacjaDodatkowaDotyczacaPodatkuDochodowego/P_ID_3/PozycjaUzytkownika/Kwoty/RB/PodstawaPrawna/Pkt</t>
  </si>
  <si>
    <t>/JednostkaInna/DodatkoweInformacjeIObjasnieniaJednstkaInna/InformacjaDodatkowaDotyczacaPodatkuDochodowego/P_ID_3/PozycjaUzytkownika/Kwoty/RP/KwotaA</t>
  </si>
  <si>
    <t>/JednostkaInna/DodatkoweInformacjeIObjasnieniaJednstkaInna/InformacjaDodatkowaDotyczacaPodatkuDochodowego/P_ID_3/PozycjaUzytkownika/Kwoty/RP/KwotaB</t>
  </si>
  <si>
    <t>/JednostkaInna/DodatkoweInformacjeIObjasnieniaJednstkaInna/InformacjaDodatkowaDotyczacaPodatkuDochodowego/P_ID_4/Kwota/RB/KwotaB</t>
  </si>
  <si>
    <t>/JednostkaInna/DodatkoweInformacjeIObjasnieniaJednstkaInna/InformacjaDodatkowaDotyczacaPodatkuDochodowego/P_ID_4/Kwota/RP/KwotaA</t>
  </si>
  <si>
    <t>/JednostkaInna/DodatkoweInformacjeIObjasnieniaJednstkaInna/InformacjaDodatkowaDotyczacaPodatkuDochodowego/P_ID_4/Kwota/RP/KwotaB</t>
  </si>
  <si>
    <t>/JednostkaInna/DodatkoweInformacjeIObjasnieniaJednstkaInna/InformacjaDodatkowaDotyczacaPodatkuDochodowego/P_ID_4/PozycjaUzytkownika/NazwaPozycji</t>
  </si>
  <si>
    <t>/JednostkaInna/DodatkoweInformacjeIObjasnieniaJednstkaInna/InformacjaDodatkowaDotyczacaPodatkuDochodowego/P_ID_4/PozycjaUzytkownika/Kwoty/RB/Kwota/KwotaA</t>
  </si>
  <si>
    <t>/JednostkaInna/DodatkoweInformacjeIObjasnieniaJednstkaInna/InformacjaDodatkowaDotyczacaPodatkuDochodowego/P_ID_4/PozycjaUzytkownika/Kwoty/RB/Kwota/KwotaB</t>
  </si>
  <si>
    <t>/JednostkaInna/DodatkoweInformacjeIObjasnieniaJednstkaInna/InformacjaDodatkowaDotyczacaPodatkuDochodowego/P_ID_4/PozycjaUzytkownika/Kwoty/RB/PodstawaPrawna/Art</t>
  </si>
  <si>
    <t>/JednostkaInna/DodatkoweInformacjeIObjasnieniaJednstkaInna/InformacjaDodatkowaDotyczacaPodatkuDochodowego/P_ID_4/PozycjaUzytkownika/Kwoty/RB/PodstawaPrawna/Ust</t>
  </si>
  <si>
    <t>/JednostkaInna/DodatkoweInformacjeIObjasnieniaJednstkaInna/InformacjaDodatkowaDotyczacaPodatkuDochodowego/P_ID_4/PozycjaUzytkownika/Kwoty/RB/PodstawaPrawna/Pkt</t>
  </si>
  <si>
    <t>/JednostkaInna/DodatkoweInformacjeIObjasnieniaJednstkaInna/InformacjaDodatkowaDotyczacaPodatkuDochodowego/P_ID_4/PozycjaUzytkownika/Kwoty/RP/KwotaA</t>
  </si>
  <si>
    <t>/JednostkaInna/DodatkoweInformacjeIObjasnieniaJednstkaInna/InformacjaDodatkowaDotyczacaPodatkuDochodowego/P_ID_4/PozycjaUzytkownika/Kwoty/RP/KwotaB</t>
  </si>
  <si>
    <t>/JednostkaInna/DodatkoweInformacjeIObjasnieniaJednstkaInna/InformacjaDodatkowaDotyczacaPodatkuDochodowego/P_ID_5/Kwota/RB/KwotaB</t>
  </si>
  <si>
    <t>/JednostkaInna/DodatkoweInformacjeIObjasnieniaJednstkaInna/InformacjaDodatkowaDotyczacaPodatkuDochodowego/P_ID_5/Kwota/RP/KwotaA</t>
  </si>
  <si>
    <t>/JednostkaInna/DodatkoweInformacjeIObjasnieniaJednstkaInna/InformacjaDodatkowaDotyczacaPodatkuDochodowego/P_ID_5/Kwota/RP/KwotaB</t>
  </si>
  <si>
    <t>/JednostkaInna/DodatkoweInformacjeIObjasnieniaJednstkaInna/InformacjaDodatkowaDotyczacaPodatkuDochodowego/P_ID_5/PozycjaUzytkownika/NazwaPozycji</t>
  </si>
  <si>
    <t>/JednostkaInna/DodatkoweInformacjeIObjasnieniaJednstkaInna/InformacjaDodatkowaDotyczacaPodatkuDochodowego/P_ID_5/PozycjaUzytkownika/Kwoty/RB/Kwota/KwotaA</t>
  </si>
  <si>
    <t>/JednostkaInna/DodatkoweInformacjeIObjasnieniaJednstkaInna/InformacjaDodatkowaDotyczacaPodatkuDochodowego/P_ID_5/PozycjaUzytkownika/Kwoty/RB/Kwota/KwotaB</t>
  </si>
  <si>
    <t>/JednostkaInna/DodatkoweInformacjeIObjasnieniaJednstkaInna/InformacjaDodatkowaDotyczacaPodatkuDochodowego/P_ID_5/PozycjaUzytkownika/Kwoty/RB/PodstawaPrawna/Art</t>
  </si>
  <si>
    <t>/JednostkaInna/DodatkoweInformacjeIObjasnieniaJednstkaInna/InformacjaDodatkowaDotyczacaPodatkuDochodowego/P_ID_5/PozycjaUzytkownika/Kwoty/RB/PodstawaPrawna/Ust</t>
  </si>
  <si>
    <t>/JednostkaInna/DodatkoweInformacjeIObjasnieniaJednstkaInna/InformacjaDodatkowaDotyczacaPodatkuDochodowego/P_ID_5/PozycjaUzytkownika/Kwoty/RP/KwotaA</t>
  </si>
  <si>
    <t>/JednostkaInna/DodatkoweInformacjeIObjasnieniaJednstkaInna/InformacjaDodatkowaDotyczacaPodatkuDochodowego/P_ID_5/PozycjaUzytkownika/Kwoty/RP/KwotaB</t>
  </si>
  <si>
    <t>/JednostkaInna/DodatkoweInformacjeIObjasnieniaJednstkaInna/InformacjaDodatkowaDotyczacaPodatkuDochodowego/P_ID_5/PozycjaUzytkownika/Kwoty/RB/PodstawaPrawna/Pkt</t>
  </si>
  <si>
    <t>/JednostkaInna/DodatkoweInformacjeIObjasnieniaJednstkaInna/InformacjaDodatkowaDotyczacaPodatkuDochodowego/P_ID_5/Pozostale/RB/KwotaA</t>
  </si>
  <si>
    <t>/JednostkaInna/DodatkoweInformacjeIObjasnieniaJednstkaInna/InformacjaDodatkowaDotyczacaPodatkuDochodowego/P_ID_5/Pozostale/RB/KwotaB</t>
  </si>
  <si>
    <t>/JednostkaInna/DodatkoweInformacjeIObjasnieniaJednstkaInna/InformacjaDodatkowaDotyczacaPodatkuDochodowego/P_ID_5/Pozostale/RP/KwotaA</t>
  </si>
  <si>
    <t>/JednostkaInna/DodatkoweInformacjeIObjasnieniaJednstkaInna/InformacjaDodatkowaDotyczacaPodatkuDochodowego/P_ID_5/Pozostale/RP/KwotaB</t>
  </si>
  <si>
    <t>/JednostkaInna/DodatkoweInformacjeIObjasnieniaJednstkaInna/InformacjaDodatkowaDotyczacaPodatkuDochodowego/P_ID_6/Kwota/RB/KwotaB</t>
  </si>
  <si>
    <t>/JednostkaInna/DodatkoweInformacjeIObjasnieniaJednstkaInna/InformacjaDodatkowaDotyczacaPodatkuDochodowego/P_ID_6/Kwota/RP/KwotaA</t>
  </si>
  <si>
    <t>/JednostkaInna/DodatkoweInformacjeIObjasnieniaJednstkaInna/InformacjaDodatkowaDotyczacaPodatkuDochodowego/P_ID_6/Kwota/RP/KwotaB</t>
  </si>
  <si>
    <t>/JednostkaInna/DodatkoweInformacjeIObjasnieniaJednstkaInna/InformacjaDodatkowaDotyczacaPodatkuDochodowego/P_ID_6/PozycjaUzytkownika/NazwaPozycji</t>
  </si>
  <si>
    <t>/JednostkaInna/DodatkoweInformacjeIObjasnieniaJednstkaInna/InformacjaDodatkowaDotyczacaPodatkuDochodowego/P_ID_6/PozycjaUzytkownika/Kwoty/RB/Kwota/KwotaA</t>
  </si>
  <si>
    <t>/JednostkaInna/DodatkoweInformacjeIObjasnieniaJednstkaInna/InformacjaDodatkowaDotyczacaPodatkuDochodowego/P_ID_6/PozycjaUzytkownika/Kwoty/RB/Kwota/KwotaB</t>
  </si>
  <si>
    <t>/JednostkaInna/DodatkoweInformacjeIObjasnieniaJednstkaInna/InformacjaDodatkowaDotyczacaPodatkuDochodowego/P_ID_6/PozycjaUzytkownika/Kwoty/RB/PodstawaPrawna/Art</t>
  </si>
  <si>
    <t>/JednostkaInna/DodatkoweInformacjeIObjasnieniaJednstkaInna/InformacjaDodatkowaDotyczacaPodatkuDochodowego/P_ID_6/PozycjaUzytkownika/Kwoty/RB/PodstawaPrawna/Ust</t>
  </si>
  <si>
    <t>/JednostkaInna/DodatkoweInformacjeIObjasnieniaJednstkaInna/InformacjaDodatkowaDotyczacaPodatkuDochodowego/P_ID_6/PozycjaUzytkownika/Kwoty/RB/PodstawaPrawna/Pkt</t>
  </si>
  <si>
    <t>/JednostkaInna/DodatkoweInformacjeIObjasnieniaJednstkaInna/InformacjaDodatkowaDotyczacaPodatkuDochodowego/P_ID_6/PozycjaUzytkownika/Kwoty/RP/KwotaA</t>
  </si>
  <si>
    <t>/JednostkaInna/DodatkoweInformacjeIObjasnieniaJednstkaInna/InformacjaDodatkowaDotyczacaPodatkuDochodowego/P_ID_6/PozycjaUzytkownika/Kwoty/RP/KwotaB</t>
  </si>
  <si>
    <t>/JednostkaInna/DodatkoweInformacjeIObjasnieniaJednstkaInna/InformacjaDodatkowaDotyczacaPodatkuDochodowego/P_ID_7/Kwota/RB/KwotaB</t>
  </si>
  <si>
    <t>/JednostkaInna/DodatkoweInformacjeIObjasnieniaJednstkaInna/InformacjaDodatkowaDotyczacaPodatkuDochodowego/P_ID_7/Kwota/RP/KwotaA</t>
  </si>
  <si>
    <t>/JednostkaInna/DodatkoweInformacjeIObjasnieniaJednstkaInna/InformacjaDodatkowaDotyczacaPodatkuDochodowego/P_ID_7/Kwota/RP/KwotaB</t>
  </si>
  <si>
    <t>/JednostkaInna/DodatkoweInformacjeIObjasnieniaJednstkaInna/InformacjaDodatkowaDotyczacaPodatkuDochodowego/P_ID_7/PozycjaUzytkownika/NazwaPozycji</t>
  </si>
  <si>
    <t>/JednostkaInna/DodatkoweInformacjeIObjasnieniaJednstkaInna/InformacjaDodatkowaDotyczacaPodatkuDochodowego/P_ID_7/PozycjaUzytkownika/Kwoty/RB/Kwota/KwotaA</t>
  </si>
  <si>
    <t>/JednostkaInna/DodatkoweInformacjeIObjasnieniaJednstkaInna/InformacjaDodatkowaDotyczacaPodatkuDochodowego/P_ID_7/PozycjaUzytkownika/Kwoty/RB/Kwota/KwotaB</t>
  </si>
  <si>
    <t>/JednostkaInna/DodatkoweInformacjeIObjasnieniaJednstkaInna/InformacjaDodatkowaDotyczacaPodatkuDochodowego/P_ID_7/PozycjaUzytkownika/Kwoty/RB/PodstawaPrawna/Art</t>
  </si>
  <si>
    <t>/JednostkaInna/DodatkoweInformacjeIObjasnieniaJednstkaInna/InformacjaDodatkowaDotyczacaPodatkuDochodowego/P_ID_7/PozycjaUzytkownika/Kwoty/RB/PodstawaPrawna/Ust</t>
  </si>
  <si>
    <t>/JednostkaInna/DodatkoweInformacjeIObjasnieniaJednstkaInna/InformacjaDodatkowaDotyczacaPodatkuDochodowego/P_ID_7/PozycjaUzytkownika/Kwoty/RB/PodstawaPrawna/Pkt</t>
  </si>
  <si>
    <t>/JednostkaInna/DodatkoweInformacjeIObjasnieniaJednstkaInna/InformacjaDodatkowaDotyczacaPodatkuDochodowego/P_ID_7/PozycjaUzytkownika/Kwoty/RP/KwotaA</t>
  </si>
  <si>
    <t>/JednostkaInna/DodatkoweInformacjeIObjasnieniaJednstkaInna/InformacjaDodatkowaDotyczacaPodatkuDochodowego/P_ID_7/PozycjaUzytkownika/Kwoty/RP/KwotaB</t>
  </si>
  <si>
    <t>/JednostkaInna/DodatkoweInformacjeIObjasnieniaJednstkaInna/InformacjaDodatkowaDotyczacaPodatkuDochodowego/P_ID_8/Kwota/RB/KwotaB</t>
  </si>
  <si>
    <t>/JednostkaInna/DodatkoweInformacjeIObjasnieniaJednstkaInna/InformacjaDodatkowaDotyczacaPodatkuDochodowego/P_ID_8/Kwota/RP/KwotaA</t>
  </si>
  <si>
    <t>/JednostkaInna/DodatkoweInformacjeIObjasnieniaJednstkaInna/InformacjaDodatkowaDotyczacaPodatkuDochodowego/P_ID_8/Kwota/RP/KwotaB</t>
  </si>
  <si>
    <t>/JednostkaInna/DodatkoweInformacjeIObjasnieniaJednstkaInna/InformacjaDodatkowaDotyczacaPodatkuDochodowego/P_ID_9/Kwota/RB/KwotaB</t>
  </si>
  <si>
    <t>/JednostkaInna/DodatkoweInformacjeIObjasnieniaJednstkaInna/InformacjaDodatkowaDotyczacaPodatkuDochodowego/P_ID_9/Kwota/RP/KwotaA</t>
  </si>
  <si>
    <t>/JednostkaInna/DodatkoweInformacjeIObjasnieniaJednstkaInna/InformacjaDodatkowaDotyczacaPodatkuDochodowego/P_ID_9/Kwota/RP/KwotaB</t>
  </si>
  <si>
    <t>/JednostkaInna/DodatkoweInformacjeIObjasnieniaJednstkaInna/InformacjaDodatkowaDotyczacaPodatkuDochodowego/P_ID_10/RP</t>
  </si>
  <si>
    <t>/JednostkaInna/DodatkoweInformacjeIObjasnieniaJednstkaInna/InformacjaDodatkowaDotyczacaPodatkuDochodowego/P_ID_11/RP</t>
  </si>
  <si>
    <t>Ścieżka temp</t>
  </si>
  <si>
    <t>\\10.10.10.210\userprofile$\korczakm\Documents\eSpr_xxx Sp. z o.o._2018 _2019-10-08_13-51.xml</t>
  </si>
  <si>
    <t>Województwa</t>
  </si>
  <si>
    <t>Aktualna drukarka</t>
  </si>
  <si>
    <t>PDFCreator na danym komputerze</t>
  </si>
  <si>
    <t>Typ pozycji</t>
  </si>
  <si>
    <t>typ</t>
  </si>
  <si>
    <t>ograniczenie</t>
  </si>
  <si>
    <t>format</t>
  </si>
  <si>
    <t>wartosć minimalna</t>
  </si>
  <si>
    <t>wartosć maksymalna</t>
  </si>
  <si>
    <t>xml</t>
  </si>
  <si>
    <t>V:\MLE_BSS\EXACT\PROJECTS\FS\eSpr_xxx Sp. z o.o._2018 _2019-10-08_13-51.xml</t>
  </si>
  <si>
    <t>Nazwa pliku</t>
  </si>
  <si>
    <t>Opis pliku</t>
  </si>
  <si>
    <t>Nazwa obszaru</t>
  </si>
  <si>
    <t>plwaes01</t>
  </si>
  <si>
    <t>Dolnośląskie</t>
  </si>
  <si>
    <t>\\WAWSRVPRN001\SecurePrint on Ne05:</t>
  </si>
  <si>
    <t>PDFCreator on Ne00:</t>
  </si>
  <si>
    <t>Num.</t>
  </si>
  <si>
    <t>decimal</t>
  </si>
  <si>
    <t>0,00</t>
  </si>
  <si>
    <t>załączniku nr 1</t>
  </si>
  <si>
    <t>tak</t>
  </si>
  <si>
    <t>plwaes04</t>
  </si>
  <si>
    <t>Kujawsko-pomorskie</t>
  </si>
  <si>
    <t>NumT</t>
  </si>
  <si>
    <t>integer</t>
  </si>
  <si>
    <t>0</t>
  </si>
  <si>
    <t>załączniku nr 2</t>
  </si>
  <si>
    <t>nie</t>
  </si>
  <si>
    <t>wawsrvsql001</t>
  </si>
  <si>
    <t>Lubelskie</t>
  </si>
  <si>
    <t>Data</t>
  </si>
  <si>
    <t>date</t>
  </si>
  <si>
    <t>0000-00-00</t>
  </si>
  <si>
    <t>załączniku nr 3</t>
  </si>
  <si>
    <t>RB</t>
  </si>
  <si>
    <t>RP</t>
  </si>
  <si>
    <t>Łódzkie</t>
  </si>
  <si>
    <t>Znak</t>
  </si>
  <si>
    <t>string</t>
  </si>
  <si>
    <t>załączniku nr 4</t>
  </si>
  <si>
    <t>KwotaA</t>
  </si>
  <si>
    <t>KwotaB</t>
  </si>
  <si>
    <t>KwotaC</t>
  </si>
  <si>
    <t>Małopolskie</t>
  </si>
  <si>
    <t>Str.</t>
  </si>
  <si>
    <t>załączniku nr 5</t>
  </si>
  <si>
    <t>Mazowieckie</t>
  </si>
  <si>
    <t>mazovian district</t>
  </si>
  <si>
    <t>Bool</t>
  </si>
  <si>
    <t>boolean</t>
  </si>
  <si>
    <t>załączniku nr 6</t>
  </si>
  <si>
    <t>Opolskie</t>
  </si>
  <si>
    <t>WłasnyPDF1</t>
  </si>
  <si>
    <t>polska</t>
  </si>
  <si>
    <t>złotych</t>
  </si>
  <si>
    <t>porównawczy</t>
  </si>
  <si>
    <t>Podkarpackie</t>
  </si>
  <si>
    <t>Subcarpathia</t>
  </si>
  <si>
    <t>WłasnyPDF2</t>
  </si>
  <si>
    <t>angielska</t>
  </si>
  <si>
    <t>tysiącach</t>
  </si>
  <si>
    <t>kalkulacyjny</t>
  </si>
  <si>
    <t>Podlaskie</t>
  </si>
  <si>
    <t>WłasnyPDF3</t>
  </si>
  <si>
    <t>pokaż wszystko</t>
  </si>
  <si>
    <t>Pomorskie</t>
  </si>
  <si>
    <t>WłasnyPDF4</t>
  </si>
  <si>
    <t>Śląskie</t>
  </si>
  <si>
    <t>Silesia</t>
  </si>
  <si>
    <t>WłasnyPDF5</t>
  </si>
  <si>
    <t>struktury</t>
  </si>
  <si>
    <t>Świętokrzyskie</t>
  </si>
  <si>
    <t>jednostka inna</t>
  </si>
  <si>
    <t>Warmińsko-mazurskie</t>
  </si>
  <si>
    <t>JednostkaInna</t>
  </si>
  <si>
    <t>xsi</t>
  </si>
  <si>
    <r>
      <t>"</t>
    </r>
    <r>
      <rPr>
        <sz val="10"/>
        <color theme="1"/>
        <rFont val="Courier New"/>
        <family val="3"/>
        <charset val="238"/>
      </rPr>
      <t>http://www.w3.org/2001/XMLSchema-instance</t>
    </r>
    <r>
      <rPr>
        <sz val="10"/>
        <color rgb="FF881280"/>
        <rFont val="Courier New"/>
        <family val="3"/>
        <charset val="238"/>
      </rPr>
      <t>"</t>
    </r>
  </si>
  <si>
    <t>Wielkopolskie</t>
  </si>
  <si>
    <t>"SFJINZ (1)"</t>
  </si>
  <si>
    <t>xsi:schemaLocation</t>
  </si>
  <si>
    <r>
      <t>"</t>
    </r>
    <r>
      <rPr>
        <sz val="10"/>
        <color theme="1"/>
        <rFont val="Courier New"/>
        <family val="3"/>
        <charset val="238"/>
      </rPr>
      <t>http://www.mf.gov.pl/schematy/SF/DefinicjeTypySprawozdaniaFinansowe/2018/07/09/JednostkaInnaWZlotych https://www.mf.gov.pl/documents/764034/6464789/JednostkaInnaWZlotych(1)_v1-2.xsd</t>
    </r>
    <r>
      <rPr>
        <sz val="10"/>
        <color rgb="FF881280"/>
        <rFont val="Courier New"/>
        <family val="3"/>
        <charset val="238"/>
      </rPr>
      <t>"</t>
    </r>
  </si>
  <si>
    <t>Zachodniopomorskie</t>
  </si>
  <si>
    <t>Typ sprawozdania</t>
  </si>
  <si>
    <t>SprFinJednostkaInnaWZlotych</t>
  </si>
  <si>
    <t>01</t>
  </si>
  <si>
    <t>dtsf:</t>
  </si>
  <si>
    <r>
      <t>"</t>
    </r>
    <r>
      <rPr>
        <sz val="10"/>
        <color theme="1"/>
        <rFont val="Courier New"/>
        <family val="3"/>
        <charset val="238"/>
      </rPr>
      <t>http://www.mf.gov.pl/schematy/SF/DefinicjeTypySprawozdaniaFinansowe/2018/07/09/DefinicjeTypySprawozdaniaFinansowe/</t>
    </r>
    <r>
      <rPr>
        <sz val="10"/>
        <color rgb="FF881280"/>
        <rFont val="Courier New"/>
        <family val="3"/>
        <charset val="238"/>
      </rPr>
      <t>"</t>
    </r>
  </si>
  <si>
    <t>Pola specjalne</t>
  </si>
  <si>
    <t>02</t>
  </si>
  <si>
    <t>etd:</t>
  </si>
  <si>
    <r>
      <t>"</t>
    </r>
    <r>
      <rPr>
        <sz val="10"/>
        <color theme="1"/>
        <rFont val="Courier New"/>
        <family val="3"/>
        <charset val="238"/>
      </rPr>
      <t>http://crd.gov.pl/xml/schematy/dziedzinowe/mf/2016/01/25/eD/DefinicjeTypy/</t>
    </r>
    <r>
      <rPr>
        <sz val="10"/>
        <color rgb="FF881280"/>
        <rFont val="Courier New"/>
        <family val="3"/>
        <charset val="238"/>
      </rPr>
      <t>"</t>
    </r>
  </si>
  <si>
    <t>kod systemowy</t>
  </si>
  <si>
    <t>00</t>
  </si>
  <si>
    <r>
      <t>"</t>
    </r>
    <r>
      <rPr>
        <sz val="10"/>
        <color theme="1"/>
        <rFont val="Courier New"/>
        <family val="3"/>
        <charset val="238"/>
      </rPr>
      <t>http://www.mf.gov.pl/schematy/SF/DefinicjeTypySprawozdaniaFinansowe/2018/07/09/JednostkaInnaWZlotych</t>
    </r>
    <r>
      <rPr>
        <sz val="10"/>
        <color rgb="FF881280"/>
        <rFont val="Courier New"/>
        <family val="3"/>
        <charset val="238"/>
      </rPr>
      <t>"</t>
    </r>
  </si>
  <si>
    <t>wersjaSchemy</t>
  </si>
  <si>
    <t>"1-2"</t>
  </si>
  <si>
    <t>03</t>
  </si>
  <si>
    <t>jin:</t>
  </si>
  <si>
    <r>
      <t>"</t>
    </r>
    <r>
      <rPr>
        <sz val="10"/>
        <color theme="1"/>
        <rFont val="Courier New"/>
        <family val="3"/>
        <charset val="238"/>
      </rPr>
      <t>http://www.mf.gov.pl/schematy/SF/DefinicjeTypySprawozdaniaFinansowe/2018/07/09/JednostkaInnaStruktury</t>
    </r>
    <r>
      <rPr>
        <sz val="10"/>
        <color rgb="FF881280"/>
        <rFont val="Courier New"/>
        <family val="3"/>
        <charset val="238"/>
      </rPr>
      <t>"</t>
    </r>
  </si>
  <si>
    <t>Kod sprawozdania</t>
  </si>
  <si>
    <t>jednostka inna w tysiącach</t>
  </si>
  <si>
    <t>Wariant sprawozdania</t>
  </si>
  <si>
    <t>JednostkaInnaWTys</t>
  </si>
  <si>
    <t>"SFJINT (1)"</t>
  </si>
  <si>
    <t>"http://www.mf.gov.pl/schematy/SF/DefinicjeTypySprawozdaniaFinansowe/2018/07/09/JednostkaInnaWTysiacach https://www.mf.gov.pl/documents/764034/6464789/JednostkaInnaWTysiacach(1)_v1-2.xsd"</t>
  </si>
  <si>
    <t>Definicje struktur</t>
  </si>
  <si>
    <t>przedrostek</t>
  </si>
  <si>
    <t>struktura</t>
  </si>
  <si>
    <t>SprFinJednostkaInnaWTysiacach</t>
  </si>
  <si>
    <t>"http://www.w3.org/2001/XMLSchema-instance"</t>
  </si>
  <si>
    <t>"http://www.mf.gov.pl/schematy/SF/DefinicjeTypySprawozdaniaFinansowe/2018/07/09/JednostkaInnaWZlotych https://www.mf.gov.pl/documents/764034/6464789/JednostkaInnaWZlotych(1)_v1-2.xsd"</t>
  </si>
  <si>
    <r>
      <t>"</t>
    </r>
    <r>
      <rPr>
        <sz val="10"/>
        <color theme="1"/>
        <rFont val="Courier New"/>
        <family val="3"/>
        <charset val="238"/>
      </rPr>
      <t>http://www.mf.gov.pl/schematy/SF/DefinicjeTypySprawozdaniaFinansowe/2018/07/09/JednostkaInnaWTysiacach</t>
    </r>
    <r>
      <rPr>
        <sz val="10"/>
        <color rgb="FF881280"/>
        <rFont val="Courier New"/>
        <family val="3"/>
        <charset val="238"/>
      </rPr>
      <t>"</t>
    </r>
  </si>
  <si>
    <t>"http://www.mf.gov.pl/schematy/SF/DefinicjeTypySprawozdaniaFinansowe/2018/07/09/DefinicjeTypySprawozdaniaFinansowe/"</t>
  </si>
  <si>
    <t>"http://crd.gov.pl/xml/schematy/dziedzinowe/mf/2016/01/25/eD/DefinicjeTypy/"</t>
  </si>
  <si>
    <t>"http://www.mf.gov.pl/schematy/SF/DefinicjeTypySprawozdaniaFinansowe/2018/07/09/JednostkaInnaWZlotych"</t>
  </si>
  <si>
    <t>"http://www.mf.gov.pl/schematy/SF/DefinicjeTypySprawozdaniaFinansowe/2018/07/09/JednostkaInnaStruktury"</t>
  </si>
  <si>
    <t>typ pozycji</t>
  </si>
  <si>
    <t>Pole xml</t>
  </si>
  <si>
    <t>Nazwa komóki do skryptów</t>
  </si>
  <si>
    <t>Warunki widoczności kwoty</t>
  </si>
  <si>
    <t>widocznosć</t>
  </si>
  <si>
    <t xml:space="preserve">Numer kolumny </t>
  </si>
  <si>
    <t>Ostatni poziom taga?</t>
  </si>
  <si>
    <t>wariant RZiS</t>
  </si>
  <si>
    <t>wymagalnosć</t>
  </si>
  <si>
    <t>Unikalna nazwa</t>
  </si>
  <si>
    <t/>
  </si>
  <si>
    <t>Naglowek</t>
  </si>
  <si>
    <t>1Naglowek</t>
  </si>
  <si>
    <t>OkresOd</t>
  </si>
  <si>
    <t>1OkresOd</t>
  </si>
  <si>
    <t>OkresDo</t>
  </si>
  <si>
    <t>1OkresDo</t>
  </si>
  <si>
    <t>DataSporzadzenia</t>
  </si>
  <si>
    <t>1DataSporzadzenia</t>
  </si>
  <si>
    <t>KodS</t>
  </si>
  <si>
    <t>KodSprawozdania</t>
  </si>
  <si>
    <t>0KodSprawozdania</t>
  </si>
  <si>
    <t>WariantSprawozdania</t>
  </si>
  <si>
    <t>0WariantSprawozdania</t>
  </si>
  <si>
    <t>/</t>
  </si>
  <si>
    <t>WprowadzenieDoSprawozdaniaFinansowego</t>
  </si>
  <si>
    <t>0WprowadzenieDoSprawozdaniaFinansowego</t>
  </si>
  <si>
    <t>P_1</t>
  </si>
  <si>
    <t>0P_1</t>
  </si>
  <si>
    <t>P_1A</t>
  </si>
  <si>
    <t>0P_1A</t>
  </si>
  <si>
    <t>NazwaFirmy</t>
  </si>
  <si>
    <t>1NazwaFirmy</t>
  </si>
  <si>
    <t>Siedziba</t>
  </si>
  <si>
    <t>0Siedziba</t>
  </si>
  <si>
    <t>Wojewodztwo</t>
  </si>
  <si>
    <t>1Wojewodztwo</t>
  </si>
  <si>
    <t>Powiat</t>
  </si>
  <si>
    <t>1Powiat</t>
  </si>
  <si>
    <t>Gmina</t>
  </si>
  <si>
    <t>1Gmina</t>
  </si>
  <si>
    <t>Miejscowosc</t>
  </si>
  <si>
    <t>1Miejscowosc</t>
  </si>
  <si>
    <t>dtsf:/</t>
  </si>
  <si>
    <t>P_1B</t>
  </si>
  <si>
    <t>0P_1B</t>
  </si>
  <si>
    <t>Adres</t>
  </si>
  <si>
    <t>0Adres</t>
  </si>
  <si>
    <t>Str.Kraj</t>
  </si>
  <si>
    <t>KodKraju</t>
  </si>
  <si>
    <t>1KodKraju</t>
  </si>
  <si>
    <t>Ulica</t>
  </si>
  <si>
    <t>1Ulica</t>
  </si>
  <si>
    <t>NrDomu</t>
  </si>
  <si>
    <t>1NrDomu</t>
  </si>
  <si>
    <t>NrLokalu</t>
  </si>
  <si>
    <t>1NrLokalu</t>
  </si>
  <si>
    <t>KodPocztowy</t>
  </si>
  <si>
    <t>1KodPocztowy</t>
  </si>
  <si>
    <t>Poczta</t>
  </si>
  <si>
    <t>1Poczta</t>
  </si>
  <si>
    <t>AdresPrzedsiebiorcyZagranicznego</t>
  </si>
  <si>
    <t>0AdresPrzedsiebiorcyZagranicznego</t>
  </si>
  <si>
    <t>KodKrajuZagr</t>
  </si>
  <si>
    <t>1KodKrajuZagr</t>
  </si>
  <si>
    <t>MiejscowoscZagr</t>
  </si>
  <si>
    <t>1MiejscowoscZagr</t>
  </si>
  <si>
    <t>UlicaZagr</t>
  </si>
  <si>
    <t>1UlicaZagr</t>
  </si>
  <si>
    <t>NrDomuZagr</t>
  </si>
  <si>
    <t>1NrDomuZagr</t>
  </si>
  <si>
    <t>NrLokaluZagr</t>
  </si>
  <si>
    <t>1NrLokaluZagr</t>
  </si>
  <si>
    <t>P_1C</t>
  </si>
  <si>
    <t>0P_1C</t>
  </si>
  <si>
    <t>Str.PKD</t>
  </si>
  <si>
    <t>KodPKD</t>
  </si>
  <si>
    <t>KodPKD1</t>
  </si>
  <si>
    <t>1KodPKD1</t>
  </si>
  <si>
    <t>KodPKD2</t>
  </si>
  <si>
    <t>1KodPKD2</t>
  </si>
  <si>
    <t>KodPKD3</t>
  </si>
  <si>
    <t>1KodPKD3</t>
  </si>
  <si>
    <t>KodPKD4</t>
  </si>
  <si>
    <t>1KodPKD4</t>
  </si>
  <si>
    <t>KodPKD5</t>
  </si>
  <si>
    <t>1KodPKD5</t>
  </si>
  <si>
    <t>KodPKD6</t>
  </si>
  <si>
    <t>1KodPKD6</t>
  </si>
  <si>
    <t>KodPKD7</t>
  </si>
  <si>
    <t>1KodPKD7</t>
  </si>
  <si>
    <t>KodPKD8</t>
  </si>
  <si>
    <t>1KodPKD8</t>
  </si>
  <si>
    <t>KodPKD9</t>
  </si>
  <si>
    <t>1KodPKD9</t>
  </si>
  <si>
    <t>KodPKD10</t>
  </si>
  <si>
    <t>1KodPKD10</t>
  </si>
  <si>
    <t>Str.KRS</t>
  </si>
  <si>
    <t>P_1D</t>
  </si>
  <si>
    <t>NIP</t>
  </si>
  <si>
    <t>0NIP</t>
  </si>
  <si>
    <t>P_1E</t>
  </si>
  <si>
    <t>KRS</t>
  </si>
  <si>
    <t>0KRS</t>
  </si>
  <si>
    <t>P_2</t>
  </si>
  <si>
    <t>0P_2</t>
  </si>
  <si>
    <t>DataOd</t>
  </si>
  <si>
    <t>DataOdZakonczenie</t>
  </si>
  <si>
    <t>0DataOdZakonczenie</t>
  </si>
  <si>
    <t>DataDoOpis</t>
  </si>
  <si>
    <t>DataDoZakonczenie</t>
  </si>
  <si>
    <t>0DataDoZakonczenie</t>
  </si>
  <si>
    <t>P_3</t>
  </si>
  <si>
    <t>0P_3</t>
  </si>
  <si>
    <t>1DataOd</t>
  </si>
  <si>
    <t>DataDo</t>
  </si>
  <si>
    <t>1DataDo</t>
  </si>
  <si>
    <t>P_4</t>
  </si>
  <si>
    <t>DaneLaczne</t>
  </si>
  <si>
    <t>1DaneLaczne</t>
  </si>
  <si>
    <t>P_5</t>
  </si>
  <si>
    <t>0P_5</t>
  </si>
  <si>
    <t>P_5A</t>
  </si>
  <si>
    <t>ZalozenieKontynuacji</t>
  </si>
  <si>
    <t>1ZalozenieKontynuacji</t>
  </si>
  <si>
    <t>P_5B</t>
  </si>
  <si>
    <t>ZagrozenieKontynuacji</t>
  </si>
  <si>
    <t>1ZagrozenieKontynuacji</t>
  </si>
  <si>
    <t>P_5C</t>
  </si>
  <si>
    <t>ZagrozenieKontynuacjiOkolicznosci</t>
  </si>
  <si>
    <t>1ZagrozenieKontynuacjiOkolicznosci</t>
  </si>
  <si>
    <t>P_6</t>
  </si>
  <si>
    <t>0P_6</t>
  </si>
  <si>
    <t>P_6A</t>
  </si>
  <si>
    <t>Polaczenie</t>
  </si>
  <si>
    <t>1Polaczenie</t>
  </si>
  <si>
    <t>P_6B</t>
  </si>
  <si>
    <t>MetodaRozliczeniaPolaczenia</t>
  </si>
  <si>
    <t>1MetodaRozliczeniaPolaczenia</t>
  </si>
  <si>
    <t>P_7</t>
  </si>
  <si>
    <t>0P_7</t>
  </si>
  <si>
    <t>P_7A</t>
  </si>
  <si>
    <t>1P_7A</t>
  </si>
  <si>
    <t>P_7B</t>
  </si>
  <si>
    <t>1P_7B</t>
  </si>
  <si>
    <t>P_7C</t>
  </si>
  <si>
    <t>1P_7C</t>
  </si>
  <si>
    <t>P_7D</t>
  </si>
  <si>
    <t>1P_7D</t>
  </si>
  <si>
    <t>Bilans</t>
  </si>
  <si>
    <t>1Bilans</t>
  </si>
  <si>
    <t>Aktywa</t>
  </si>
  <si>
    <t>1Aktywa</t>
  </si>
  <si>
    <t>Aktywa_A</t>
  </si>
  <si>
    <t>A</t>
  </si>
  <si>
    <t>2Aktywa_A</t>
  </si>
  <si>
    <t>Aktywa_A_I</t>
  </si>
  <si>
    <t>Aktywa_A_1</t>
  </si>
  <si>
    <t>3Aktywa_A_1</t>
  </si>
  <si>
    <t>Aktywa_A_I_1</t>
  </si>
  <si>
    <t>Aktywa_A_1_1</t>
  </si>
  <si>
    <t>4Aktywa_A_1_1</t>
  </si>
  <si>
    <t>Aktywa_A_I_2</t>
  </si>
  <si>
    <t>Aktywa_A_1_2</t>
  </si>
  <si>
    <t>4Aktywa_A_1_2</t>
  </si>
  <si>
    <t>Aktywa_A_I_3</t>
  </si>
  <si>
    <t>Aktywa_A_1_3</t>
  </si>
  <si>
    <t>4Aktywa_A_1_3</t>
  </si>
  <si>
    <t>Aktywa_A_I_4</t>
  </si>
  <si>
    <t>Aktywa_A_1_4</t>
  </si>
  <si>
    <t>4Aktywa_A_1_4</t>
  </si>
  <si>
    <t>jin:/</t>
  </si>
  <si>
    <t>Aktywa_A_1_koniec</t>
  </si>
  <si>
    <t>3Aktywa_A_1_koniec</t>
  </si>
  <si>
    <t>Aktywa_A_II</t>
  </si>
  <si>
    <t>Aktywa_A_2</t>
  </si>
  <si>
    <t>3Aktywa_A_2</t>
  </si>
  <si>
    <t>Aktywa_A_II_1</t>
  </si>
  <si>
    <t>Aktywa_A_2_1</t>
  </si>
  <si>
    <t>4Aktywa_A_2_1</t>
  </si>
  <si>
    <t>Aktywa_A_II_1_A</t>
  </si>
  <si>
    <t>Aktywa_A_2_1_A</t>
  </si>
  <si>
    <t>5Aktywa_A_2_1_A</t>
  </si>
  <si>
    <t>Aktywa_A_II_1_B</t>
  </si>
  <si>
    <t>Aktywa_A_2_1_B</t>
  </si>
  <si>
    <t>B</t>
  </si>
  <si>
    <t>5Aktywa_A_2_1_B</t>
  </si>
  <si>
    <t>Aktywa_A_II_1_C</t>
  </si>
  <si>
    <t>Aktywa_A_2_1_C</t>
  </si>
  <si>
    <t>C</t>
  </si>
  <si>
    <t>5Aktywa_A_2_1_C</t>
  </si>
  <si>
    <t>Aktywa_A_II_1_D</t>
  </si>
  <si>
    <t>Aktywa_A_2_1_D</t>
  </si>
  <si>
    <t>D</t>
  </si>
  <si>
    <t>5Aktywa_A_2_1_D</t>
  </si>
  <si>
    <t>Aktywa_A_II_1_E</t>
  </si>
  <si>
    <t>Aktywa_A_2_1_E</t>
  </si>
  <si>
    <t>E</t>
  </si>
  <si>
    <t>5Aktywa_A_2_1_E</t>
  </si>
  <si>
    <t>Aktywa_A_2_1_koniec</t>
  </si>
  <si>
    <t>4Aktywa_A_2_1_koniec</t>
  </si>
  <si>
    <t>Aktywa_A_II_2</t>
  </si>
  <si>
    <t>Aktywa_A_2_2</t>
  </si>
  <si>
    <t>4Aktywa_A_2_2</t>
  </si>
  <si>
    <t>Aktywa_A_II_3</t>
  </si>
  <si>
    <t>Aktywa_A_2_3</t>
  </si>
  <si>
    <t>4Aktywa_A_2_3</t>
  </si>
  <si>
    <t>Aktywa_A_2_koniec</t>
  </si>
  <si>
    <t>3Aktywa_A_2_koniec</t>
  </si>
  <si>
    <t>Aktywa_A_III</t>
  </si>
  <si>
    <t>Aktywa_A_3</t>
  </si>
  <si>
    <t>3Aktywa_A_3</t>
  </si>
  <si>
    <t>Aktywa_A_III_1</t>
  </si>
  <si>
    <t>Aktywa_A_3_1</t>
  </si>
  <si>
    <t>4Aktywa_A_3_1</t>
  </si>
  <si>
    <t>Aktywa_A_III_2</t>
  </si>
  <si>
    <t>Aktywa_A_3_2</t>
  </si>
  <si>
    <t>4Aktywa_A_3_2</t>
  </si>
  <si>
    <t>Aktywa_A_III_3</t>
  </si>
  <si>
    <t>Aktywa_A_3_3</t>
  </si>
  <si>
    <t>4Aktywa_A_3_3</t>
  </si>
  <si>
    <t>Aktywa_A_3_koniec</t>
  </si>
  <si>
    <t>3Aktywa_A_3_koniec</t>
  </si>
  <si>
    <t>Aktywa_A_IV</t>
  </si>
  <si>
    <t>Aktywa_A_4</t>
  </si>
  <si>
    <t>3Aktywa_A_4</t>
  </si>
  <si>
    <t>Aktywa_A_IV_1</t>
  </si>
  <si>
    <t>Aktywa_A_4_1</t>
  </si>
  <si>
    <t>4Aktywa_A_4_1</t>
  </si>
  <si>
    <t>Aktywa_A_IV_2</t>
  </si>
  <si>
    <t>Aktywa_A_4_2</t>
  </si>
  <si>
    <t>4Aktywa_A_4_2</t>
  </si>
  <si>
    <t>Aktywa_A_IV_3</t>
  </si>
  <si>
    <t>Aktywa_A_4_3</t>
  </si>
  <si>
    <t>4Aktywa_A_4_3</t>
  </si>
  <si>
    <t>Aktywa_A_IV_3_A</t>
  </si>
  <si>
    <t>Aktywa_A_4_3_A</t>
  </si>
  <si>
    <t>5Aktywa_A_4_3_A</t>
  </si>
  <si>
    <t>Aktywa_A_IV_3_A_1</t>
  </si>
  <si>
    <t>Aktywa_A_4_3_A_1</t>
  </si>
  <si>
    <t>6Aktywa_A_4_3_A_1</t>
  </si>
  <si>
    <t>Aktywa_A_IV_3_A_2</t>
  </si>
  <si>
    <t>Aktywa_A_4_3_A_2</t>
  </si>
  <si>
    <t>6Aktywa_A_4_3_A_2</t>
  </si>
  <si>
    <t>Aktywa_A_IV_3_A_3</t>
  </si>
  <si>
    <t>Aktywa_A_4_3_A_3</t>
  </si>
  <si>
    <t>6Aktywa_A_4_3_A_3</t>
  </si>
  <si>
    <t>Aktywa_A_IV_3_A_4</t>
  </si>
  <si>
    <t>Aktywa_A_4_3_A_4</t>
  </si>
  <si>
    <t>6Aktywa_A_4_3_A_4</t>
  </si>
  <si>
    <t>Aktywa_A_4_3_A_koniec</t>
  </si>
  <si>
    <t>5Aktywa_A_4_3_A_koniec</t>
  </si>
  <si>
    <t>Aktywa_A_IV_3_B</t>
  </si>
  <si>
    <t>Aktywa_A_4_3_B</t>
  </si>
  <si>
    <t>5Aktywa_A_4_3_B</t>
  </si>
  <si>
    <t>Aktywa_A_IV_3_B_1</t>
  </si>
  <si>
    <t>Aktywa_A_4_3_B_1</t>
  </si>
  <si>
    <t>6Aktywa_A_4_3_B_1</t>
  </si>
  <si>
    <t>Aktywa_A_IV_3_B_2</t>
  </si>
  <si>
    <t>Aktywa_A_4_3_B_2</t>
  </si>
  <si>
    <t>6Aktywa_A_4_3_B_2</t>
  </si>
  <si>
    <t>Aktywa_A_IV_3_B_3</t>
  </si>
  <si>
    <t>Aktywa_A_4_3_B_3</t>
  </si>
  <si>
    <t>6Aktywa_A_4_3_B_3</t>
  </si>
  <si>
    <t>Aktywa_A_IV_3_B_4</t>
  </si>
  <si>
    <t>Aktywa_A_4_3_B_4</t>
  </si>
  <si>
    <t>6Aktywa_A_4_3_B_4</t>
  </si>
  <si>
    <t>Aktywa_A_4_3_B_koniec</t>
  </si>
  <si>
    <t>5Aktywa_A_4_3_B_koniec</t>
  </si>
  <si>
    <t>Aktywa_A_IV_3_C</t>
  </si>
  <si>
    <t>Aktywa_A_4_3_C</t>
  </si>
  <si>
    <t>5Aktywa_A_4_3_C</t>
  </si>
  <si>
    <t>Aktywa_A_IV_3_C_1</t>
  </si>
  <si>
    <t>Aktywa_A_4_3_C_1</t>
  </si>
  <si>
    <t>6Aktywa_A_4_3_C_1</t>
  </si>
  <si>
    <t>Aktywa_A_IV_3_C_2</t>
  </si>
  <si>
    <t>Aktywa_A_4_3_C_2</t>
  </si>
  <si>
    <t>6Aktywa_A_4_3_C_2</t>
  </si>
  <si>
    <t>Aktywa_A_IV_3_C_3</t>
  </si>
  <si>
    <t>Aktywa_A_4_3_C_3</t>
  </si>
  <si>
    <t>6Aktywa_A_4_3_C_3</t>
  </si>
  <si>
    <t>Aktywa_A_IV_3_C_4</t>
  </si>
  <si>
    <t>Aktywa_A_4_3_C_4</t>
  </si>
  <si>
    <t>6Aktywa_A_4_3_C_4</t>
  </si>
  <si>
    <t>Aktywa_A_4_3_C_koniec</t>
  </si>
  <si>
    <t>5Aktywa_A_4_3_C_koniec</t>
  </si>
  <si>
    <t>Aktywa_A_4_3_koniec</t>
  </si>
  <si>
    <t>4Aktywa_A_4_3_koniec</t>
  </si>
  <si>
    <t>Aktywa_A_IV_4</t>
  </si>
  <si>
    <t>Aktywa_A_4_4</t>
  </si>
  <si>
    <t>4Aktywa_A_4_4</t>
  </si>
  <si>
    <t>Aktywa_A_4_koniec</t>
  </si>
  <si>
    <t>3Aktywa_A_4_koniec</t>
  </si>
  <si>
    <t>Aktywa_A_V</t>
  </si>
  <si>
    <t>Aktywa_A_5</t>
  </si>
  <si>
    <t>3Aktywa_A_5</t>
  </si>
  <si>
    <t>Aktywa_A_V_1</t>
  </si>
  <si>
    <t>Aktywa_A_5_1</t>
  </si>
  <si>
    <t>4Aktywa_A_5_1</t>
  </si>
  <si>
    <t>Aktywa_A_V_2</t>
  </si>
  <si>
    <t>Aktywa_A_5_2</t>
  </si>
  <si>
    <t>4Aktywa_A_5_2</t>
  </si>
  <si>
    <t>Aktywa_A_5_koniec</t>
  </si>
  <si>
    <t>3Aktywa_A_5_koniec</t>
  </si>
  <si>
    <t>Aktywa_A_koniec</t>
  </si>
  <si>
    <t>2Aktywa_A_koniec</t>
  </si>
  <si>
    <t>Aktywa_B</t>
  </si>
  <si>
    <t>2Aktywa_B</t>
  </si>
  <si>
    <t>Aktywa_B_I</t>
  </si>
  <si>
    <t>Aktywa_B_1</t>
  </si>
  <si>
    <t>3Aktywa_B_1</t>
  </si>
  <si>
    <t>Aktywa_B_I_1</t>
  </si>
  <si>
    <t>Aktywa_B_1_1</t>
  </si>
  <si>
    <t>4Aktywa_B_1_1</t>
  </si>
  <si>
    <t>Aktywa_B_I_2</t>
  </si>
  <si>
    <t>Aktywa_B_1_2</t>
  </si>
  <si>
    <t>4Aktywa_B_1_2</t>
  </si>
  <si>
    <t>Aktywa_B_I_3</t>
  </si>
  <si>
    <t>Aktywa_B_1_3</t>
  </si>
  <si>
    <t>4Aktywa_B_1_3</t>
  </si>
  <si>
    <t>Aktywa_B_I_4</t>
  </si>
  <si>
    <t>Aktywa_B_1_4</t>
  </si>
  <si>
    <t>4Aktywa_B_1_4</t>
  </si>
  <si>
    <t>Aktywa_B_I_5</t>
  </si>
  <si>
    <t>Aktywa_B_1_5</t>
  </si>
  <si>
    <t>4Aktywa_B_1_5</t>
  </si>
  <si>
    <t>Aktywa_B_1_koniec</t>
  </si>
  <si>
    <t>3Aktywa_B_1_koniec</t>
  </si>
  <si>
    <t>Aktywa_B_II</t>
  </si>
  <si>
    <t>Aktywa_B_2</t>
  </si>
  <si>
    <t>3Aktywa_B_2</t>
  </si>
  <si>
    <t>Aktywa_B_II_1</t>
  </si>
  <si>
    <t>Aktywa_B_2_1</t>
  </si>
  <si>
    <t>4Aktywa_B_2_1</t>
  </si>
  <si>
    <t>Aktywa_B_II_1_A</t>
  </si>
  <si>
    <t>Aktywa_B_2_1_A</t>
  </si>
  <si>
    <t>5Aktywa_B_2_1_A</t>
  </si>
  <si>
    <t>Aktywa_B_II_1_A_1</t>
  </si>
  <si>
    <t>Aktywa_B_2_1_A_1</t>
  </si>
  <si>
    <t>6Aktywa_B_2_1_A_1</t>
  </si>
  <si>
    <t>Aktywa_B_II_1_A_2</t>
  </si>
  <si>
    <t>Aktywa_B_2_1_A_2</t>
  </si>
  <si>
    <t>6Aktywa_B_2_1_A_2</t>
  </si>
  <si>
    <t>Aktywa_B_2_1_A_koniec</t>
  </si>
  <si>
    <t>5Aktywa_B_2_1_A_koniec</t>
  </si>
  <si>
    <t>Aktywa_B_II_1_B</t>
  </si>
  <si>
    <t>Aktywa_B_2_1_B</t>
  </si>
  <si>
    <t>5Aktywa_B_2_1_B</t>
  </si>
  <si>
    <t>Aktywa_B_2_1_koniec</t>
  </si>
  <si>
    <t>4Aktywa_B_2_1_koniec</t>
  </si>
  <si>
    <t>Aktywa_B_II_2</t>
  </si>
  <si>
    <t>Aktywa_B_2_2</t>
  </si>
  <si>
    <t>4Aktywa_B_2_2</t>
  </si>
  <si>
    <t>Aktywa_B_II_2_A</t>
  </si>
  <si>
    <t>Aktywa_B_2_2_A</t>
  </si>
  <si>
    <t>5Aktywa_B_2_2_A</t>
  </si>
  <si>
    <t>Aktywa_B_II_2_A_1</t>
  </si>
  <si>
    <t>Aktywa_B_2_2_A_1</t>
  </si>
  <si>
    <t>6Aktywa_B_2_2_A_1</t>
  </si>
  <si>
    <t>Aktywa_B_II_2_A_2</t>
  </si>
  <si>
    <t>Aktywa_B_2_2_A_2</t>
  </si>
  <si>
    <t>6Aktywa_B_2_2_A_2</t>
  </si>
  <si>
    <t>Aktywa_B_2_2_A_koniec</t>
  </si>
  <si>
    <t>5Aktywa_B_2_2_A_koniec</t>
  </si>
  <si>
    <t>Aktywa_B_II_2_B</t>
  </si>
  <si>
    <t>Aktywa_B_2_2_B</t>
  </si>
  <si>
    <t>5Aktywa_B_2_2_B</t>
  </si>
  <si>
    <t>Aktywa_B_2_2_koniec</t>
  </si>
  <si>
    <t>4Aktywa_B_2_2_koniec</t>
  </si>
  <si>
    <t>Aktywa_B_II_3</t>
  </si>
  <si>
    <t>Aktywa_B_2_3</t>
  </si>
  <si>
    <t>4Aktywa_B_2_3</t>
  </si>
  <si>
    <t>Aktywa_B_II_3_A</t>
  </si>
  <si>
    <t>Aktywa_B_2_3_A</t>
  </si>
  <si>
    <t>5Aktywa_B_2_3_A</t>
  </si>
  <si>
    <t>Aktywa_B_II_3_A_1</t>
  </si>
  <si>
    <t>Aktywa_B_2_3_A_1</t>
  </si>
  <si>
    <t>6Aktywa_B_2_3_A_1</t>
  </si>
  <si>
    <t>Aktywa_B_II_3_A_2</t>
  </si>
  <si>
    <t>Aktywa_B_2_3_A_2</t>
  </si>
  <si>
    <t>6Aktywa_B_2_3_A_2</t>
  </si>
  <si>
    <t>Aktywa_B_2_3_A_koniec</t>
  </si>
  <si>
    <t>5Aktywa_B_2_3_A_koniec</t>
  </si>
  <si>
    <t>Aktywa_B_II_3_B</t>
  </si>
  <si>
    <t>Aktywa_B_2_3_B</t>
  </si>
  <si>
    <t>5Aktywa_B_2_3_B</t>
  </si>
  <si>
    <t>Aktywa_B_II_3_C</t>
  </si>
  <si>
    <t>Aktywa_B_2_3_C</t>
  </si>
  <si>
    <t>5Aktywa_B_2_3_C</t>
  </si>
  <si>
    <t>Aktywa_B_II_3_D</t>
  </si>
  <si>
    <t>Aktywa_B_2_3_D</t>
  </si>
  <si>
    <t>5Aktywa_B_2_3_D</t>
  </si>
  <si>
    <t>Aktywa_B_2_3_koniec</t>
  </si>
  <si>
    <t>4Aktywa_B_2_3_koniec</t>
  </si>
  <si>
    <t>Aktywa_B_2_koniec</t>
  </si>
  <si>
    <t>3Aktywa_B_2_koniec</t>
  </si>
  <si>
    <t>Aktywa_B_III</t>
  </si>
  <si>
    <t>Aktywa_B_3</t>
  </si>
  <si>
    <t>3Aktywa_B_3</t>
  </si>
  <si>
    <t>Aktywa_B_III_1</t>
  </si>
  <si>
    <t>Aktywa_B_3_1</t>
  </si>
  <si>
    <t>4Aktywa_B_3_1</t>
  </si>
  <si>
    <t>Aktywa_B_III_1_A</t>
  </si>
  <si>
    <t>Aktywa_B_3_1_A</t>
  </si>
  <si>
    <t>5Aktywa_B_3_1_A</t>
  </si>
  <si>
    <t>Aktywa_B_III_1_A_1</t>
  </si>
  <si>
    <t>Aktywa_B_3_1_A_1</t>
  </si>
  <si>
    <t>6Aktywa_B_3_1_A_1</t>
  </si>
  <si>
    <t>Aktywa_B_III_1_A_2</t>
  </si>
  <si>
    <t>Aktywa_B_3_1_A_2</t>
  </si>
  <si>
    <t>6Aktywa_B_3_1_A_2</t>
  </si>
  <si>
    <t>Aktywa_B_III_1_A_3</t>
  </si>
  <si>
    <t>Aktywa_B_3_1_A_3</t>
  </si>
  <si>
    <t>6Aktywa_B_3_1_A_3</t>
  </si>
  <si>
    <t>Aktywa_B_III_1_A_4</t>
  </si>
  <si>
    <t>Aktywa_B_3_1_A_4</t>
  </si>
  <si>
    <t>6Aktywa_B_3_1_A_4</t>
  </si>
  <si>
    <t>Aktywa_B_3_1_A_koniec</t>
  </si>
  <si>
    <t>5Aktywa_B_3_1_A_koniec</t>
  </si>
  <si>
    <t>Aktywa_B_III_1_B</t>
  </si>
  <si>
    <t>Aktywa_B_3_1_B</t>
  </si>
  <si>
    <t>5Aktywa_B_3_1_B</t>
  </si>
  <si>
    <t>Aktywa_B_III_1_B_1</t>
  </si>
  <si>
    <t>Aktywa_B_3_1_B_1</t>
  </si>
  <si>
    <t>6Aktywa_B_3_1_B_1</t>
  </si>
  <si>
    <t>Aktywa_B_III_1_B_2</t>
  </si>
  <si>
    <t>Aktywa_B_3_1_B_2</t>
  </si>
  <si>
    <t>6Aktywa_B_3_1_B_2</t>
  </si>
  <si>
    <t>Aktywa_B_III_1_B_3</t>
  </si>
  <si>
    <t>Aktywa_B_3_1_B_3</t>
  </si>
  <si>
    <t>6Aktywa_B_3_1_B_3</t>
  </si>
  <si>
    <t>Aktywa_B_III_1_B_4</t>
  </si>
  <si>
    <t>Aktywa_B_3_1_B_4</t>
  </si>
  <si>
    <t>6Aktywa_B_3_1_B_4</t>
  </si>
  <si>
    <t>Aktywa_B_3_1_B_koniec</t>
  </si>
  <si>
    <t>5Aktywa_B_3_1_B_koniec</t>
  </si>
  <si>
    <t>Aktywa_B_III_1_C</t>
  </si>
  <si>
    <t>Aktywa_B_3_1_C</t>
  </si>
  <si>
    <t>5Aktywa_B_3_1_C</t>
  </si>
  <si>
    <t>Aktywa_B_III_1_C_1</t>
  </si>
  <si>
    <t>Aktywa_B_3_1_C_1</t>
  </si>
  <si>
    <t>6Aktywa_B_3_1_C_1</t>
  </si>
  <si>
    <t>Aktywa_B_III_1_C_2</t>
  </si>
  <si>
    <t>Aktywa_B_3_1_C_2</t>
  </si>
  <si>
    <t>6Aktywa_B_3_1_C_2</t>
  </si>
  <si>
    <t>Aktywa_B_III_1_C_3</t>
  </si>
  <si>
    <t>Aktywa_B_3_1_C_3</t>
  </si>
  <si>
    <t>6Aktywa_B_3_1_C_3</t>
  </si>
  <si>
    <t>Aktywa_B_3_1_C_koniec</t>
  </si>
  <si>
    <t>5Aktywa_B_3_1_C_koniec</t>
  </si>
  <si>
    <t>Aktywa_B_3_1_koniec</t>
  </si>
  <si>
    <t>4Aktywa_B_3_1_koniec</t>
  </si>
  <si>
    <t>Aktywa_B_III_2</t>
  </si>
  <si>
    <t>Aktywa_B_3_2</t>
  </si>
  <si>
    <t>4Aktywa_B_3_2</t>
  </si>
  <si>
    <t>Aktywa_B_3_koniec</t>
  </si>
  <si>
    <t>3Aktywa_B_3_koniec</t>
  </si>
  <si>
    <t>Aktywa_B_IV</t>
  </si>
  <si>
    <t>Aktywa_B_4</t>
  </si>
  <si>
    <t>3Aktywa_B_4</t>
  </si>
  <si>
    <t>Aktywa_B_koniec</t>
  </si>
  <si>
    <t>2Aktywa_B_koniec</t>
  </si>
  <si>
    <t>Aktywa_C</t>
  </si>
  <si>
    <t>2Aktywa_C</t>
  </si>
  <si>
    <t>Aktywa_D</t>
  </si>
  <si>
    <t>2Aktywa_D</t>
  </si>
  <si>
    <t>Aktywa_koniec</t>
  </si>
  <si>
    <t>1Aktywa_koniec</t>
  </si>
  <si>
    <t>Pasywa</t>
  </si>
  <si>
    <t>1Pasywa</t>
  </si>
  <si>
    <t>Pasywa_A</t>
  </si>
  <si>
    <t>2Pasywa_A</t>
  </si>
  <si>
    <t>Pasywa_A_I</t>
  </si>
  <si>
    <t>Pasywa_A_1</t>
  </si>
  <si>
    <t>3Pasywa_A_1</t>
  </si>
  <si>
    <t>Pasywa_A_II</t>
  </si>
  <si>
    <t>Pasywa_A_2</t>
  </si>
  <si>
    <t>3Pasywa_A_2</t>
  </si>
  <si>
    <t>Pasywa_A_II_1</t>
  </si>
  <si>
    <t>Pasywa_A_2_1</t>
  </si>
  <si>
    <t>4Pasywa_A_2_1</t>
  </si>
  <si>
    <t>Pasywa_A_2_koniec</t>
  </si>
  <si>
    <t>3Pasywa_A_2_koniec</t>
  </si>
  <si>
    <t>Pasywa_A_III</t>
  </si>
  <si>
    <t>Pasywa_A_3</t>
  </si>
  <si>
    <t>3Pasywa_A_3</t>
  </si>
  <si>
    <t>Pasywa_A_III_1</t>
  </si>
  <si>
    <t>Pasywa_A_3_1</t>
  </si>
  <si>
    <t>4Pasywa_A_3_1</t>
  </si>
  <si>
    <t>Pasywa_A_3_koniec</t>
  </si>
  <si>
    <t>3Pasywa_A_3_koniec</t>
  </si>
  <si>
    <t>Pasywa_A_IV</t>
  </si>
  <si>
    <t>Pasywa_A_4</t>
  </si>
  <si>
    <t>3Pasywa_A_4</t>
  </si>
  <si>
    <t>Pasywa_A_IV_1</t>
  </si>
  <si>
    <t>Pasywa_A_4_1</t>
  </si>
  <si>
    <t>4Pasywa_A_4_1</t>
  </si>
  <si>
    <t>Pasywa_A_IV_2</t>
  </si>
  <si>
    <t>Pasywa_A_4_2</t>
  </si>
  <si>
    <t>4Pasywa_A_4_2</t>
  </si>
  <si>
    <t>Pasywa_A_4_koniec</t>
  </si>
  <si>
    <t>3Pasywa_A_4_koniec</t>
  </si>
  <si>
    <t>Pasywa_A_V</t>
  </si>
  <si>
    <t>Pasywa_A_5</t>
  </si>
  <si>
    <t>3Pasywa_A_5</t>
  </si>
  <si>
    <t>Pasywa_A_VI</t>
  </si>
  <si>
    <t>Pasywa_A_6</t>
  </si>
  <si>
    <t>3Pasywa_A_6</t>
  </si>
  <si>
    <t>Pasywa_A_VII</t>
  </si>
  <si>
    <t>Pasywa_A_7</t>
  </si>
  <si>
    <t>3Pasywa_A_7</t>
  </si>
  <si>
    <t>Pasywa_A_koniec</t>
  </si>
  <si>
    <t>2Pasywa_A_koniec</t>
  </si>
  <si>
    <t>Pasywa_B</t>
  </si>
  <si>
    <t>2Pasywa_B</t>
  </si>
  <si>
    <t>Pasywa_B_I</t>
  </si>
  <si>
    <t>Pasywa_B_1</t>
  </si>
  <si>
    <t>3Pasywa_B_1</t>
  </si>
  <si>
    <t>Pasywa_B_I_1</t>
  </si>
  <si>
    <t>Pasywa_B_1_1</t>
  </si>
  <si>
    <t>4Pasywa_B_1_1</t>
  </si>
  <si>
    <t>Pasywa_B_I_2</t>
  </si>
  <si>
    <t>Pasywa_B_1_2</t>
  </si>
  <si>
    <t>4Pasywa_B_1_2</t>
  </si>
  <si>
    <t>Pasywa_B_I_2_1</t>
  </si>
  <si>
    <t>Pasywa_B_1_2_1</t>
  </si>
  <si>
    <t>5Pasywa_B_1_2_1</t>
  </si>
  <si>
    <t>Pasywa_B_I_2_2</t>
  </si>
  <si>
    <t>Pasywa_B_1_2_2</t>
  </si>
  <si>
    <t>5Pasywa_B_1_2_2</t>
  </si>
  <si>
    <t>Pasywa_B_1_2_koniec</t>
  </si>
  <si>
    <t>4Pasywa_B_1_2_koniec</t>
  </si>
  <si>
    <t>Pasywa_B_I_3</t>
  </si>
  <si>
    <t>Pasywa_B_1_3</t>
  </si>
  <si>
    <t>4Pasywa_B_1_3</t>
  </si>
  <si>
    <t>Pasywa_B_I_3_1</t>
  </si>
  <si>
    <t>Pasywa_B_1_3_1</t>
  </si>
  <si>
    <t>5Pasywa_B_1_3_1</t>
  </si>
  <si>
    <t>Pasywa_B_I_3_2</t>
  </si>
  <si>
    <t>Pasywa_B_1_3_2</t>
  </si>
  <si>
    <t>5Pasywa_B_1_3_2</t>
  </si>
  <si>
    <t>Pasywa_B_1_3_koniec</t>
  </si>
  <si>
    <t>4Pasywa_B_1_3_koniec</t>
  </si>
  <si>
    <t>Pasywa_B_1_koniec</t>
  </si>
  <si>
    <t>3Pasywa_B_1_koniec</t>
  </si>
  <si>
    <t>Pasywa_B_II</t>
  </si>
  <si>
    <t>Pasywa_B_2</t>
  </si>
  <si>
    <t>3Pasywa_B_2</t>
  </si>
  <si>
    <t>Pasywa_B_II_1</t>
  </si>
  <si>
    <t>Pasywa_B_2_1</t>
  </si>
  <si>
    <t>4Pasywa_B_2_1</t>
  </si>
  <si>
    <t>Pasywa_B_II_2</t>
  </si>
  <si>
    <t>Pasywa_B_2_2</t>
  </si>
  <si>
    <t>4Pasywa_B_2_2</t>
  </si>
  <si>
    <t>Pasywa_B_II_3</t>
  </si>
  <si>
    <t>Pasywa_B_2_3</t>
  </si>
  <si>
    <t>4Pasywa_B_2_3</t>
  </si>
  <si>
    <t>Pasywa_B_II_3_A</t>
  </si>
  <si>
    <t>Pasywa_B_2_3_A</t>
  </si>
  <si>
    <t>5Pasywa_B_2_3_A</t>
  </si>
  <si>
    <t>Pasywa_B_II_3_B</t>
  </si>
  <si>
    <t>Pasywa_B_2_3_B</t>
  </si>
  <si>
    <t>5Pasywa_B_2_3_B</t>
  </si>
  <si>
    <t>Pasywa_B_II_3_C</t>
  </si>
  <si>
    <t>Pasywa_B_2_3_C</t>
  </si>
  <si>
    <t>5Pasywa_B_2_3_C</t>
  </si>
  <si>
    <t>Pasywa_B_II_3_D</t>
  </si>
  <si>
    <t>Pasywa_B_2_3_D</t>
  </si>
  <si>
    <t>5Pasywa_B_2_3_D</t>
  </si>
  <si>
    <t>Pasywa_B_II_3_E</t>
  </si>
  <si>
    <t>Pasywa_B_2_3_E</t>
  </si>
  <si>
    <t>5Pasywa_B_2_3_E</t>
  </si>
  <si>
    <t>Pasywa_B_2_3_koniec</t>
  </si>
  <si>
    <t>4Pasywa_B_2_3_koniec</t>
  </si>
  <si>
    <t>Pasywa_B_2_koniec</t>
  </si>
  <si>
    <t>3Pasywa_B_2_koniec</t>
  </si>
  <si>
    <t>Pasywa_B_III</t>
  </si>
  <si>
    <t>Pasywa_B_3</t>
  </si>
  <si>
    <t>3Pasywa_B_3</t>
  </si>
  <si>
    <t>Pasywa_B_III_1</t>
  </si>
  <si>
    <t>Pasywa_B_3_1</t>
  </si>
  <si>
    <t>4Pasywa_B_3_1</t>
  </si>
  <si>
    <t>Pasywa_B_III_1_A</t>
  </si>
  <si>
    <t>Pasywa_B_3_1_A</t>
  </si>
  <si>
    <t>5Pasywa_B_3_1_A</t>
  </si>
  <si>
    <t>Pasywa_B_III_1_A_1</t>
  </si>
  <si>
    <t>Pasywa_B_3_1_A_1</t>
  </si>
  <si>
    <t>6Pasywa_B_3_1_A_1</t>
  </si>
  <si>
    <t>Pasywa_B_III_1_A_2</t>
  </si>
  <si>
    <t>Pasywa_B_3_1_A_2</t>
  </si>
  <si>
    <t>6Pasywa_B_3_1_A_2</t>
  </si>
  <si>
    <t>Pasywa_B_3_1_A_koniec</t>
  </si>
  <si>
    <t>5Pasywa_B_3_1_A_koniec</t>
  </si>
  <si>
    <t>Pasywa_B_III_1_B</t>
  </si>
  <si>
    <t>Pasywa_B_3_1_B</t>
  </si>
  <si>
    <t>5Pasywa_B_3_1_B</t>
  </si>
  <si>
    <t>Pasywa_B_3_1_koniec</t>
  </si>
  <si>
    <t>4Pasywa_B_3_1_koniec</t>
  </si>
  <si>
    <t>Pasywa_B_III_2</t>
  </si>
  <si>
    <t>Pasywa_B_3_2</t>
  </si>
  <si>
    <t>4Pasywa_B_3_2</t>
  </si>
  <si>
    <t>Pasywa_B_III_2_A</t>
  </si>
  <si>
    <t>Pasywa_B_3_2_A</t>
  </si>
  <si>
    <t>5Pasywa_B_3_2_A</t>
  </si>
  <si>
    <t>Pasywa_B_III_2_A_1</t>
  </si>
  <si>
    <t>Pasywa_B_3_2_A_1</t>
  </si>
  <si>
    <t>6Pasywa_B_3_2_A_1</t>
  </si>
  <si>
    <t>Pasywa_B_III_2_A_2</t>
  </si>
  <si>
    <t>Pasywa_B_3_2_A_2</t>
  </si>
  <si>
    <t>6Pasywa_B_3_2_A_2</t>
  </si>
  <si>
    <t>Pasywa_B_3_2_A_koniec</t>
  </si>
  <si>
    <t>5Pasywa_B_3_2_A_koniec</t>
  </si>
  <si>
    <t>Pasywa_B_III_2_B</t>
  </si>
  <si>
    <t>Pasywa_B_3_2_B</t>
  </si>
  <si>
    <t>5Pasywa_B_3_2_B</t>
  </si>
  <si>
    <t>Pasywa_B_3_2_koniec</t>
  </si>
  <si>
    <t>4Pasywa_B_3_2_koniec</t>
  </si>
  <si>
    <t>Pasywa_B_III_3</t>
  </si>
  <si>
    <t>Pasywa_B_3_3</t>
  </si>
  <si>
    <t>4Pasywa_B_3_3</t>
  </si>
  <si>
    <t>Pasywa_B_III_3_A</t>
  </si>
  <si>
    <t>Pasywa_B_3_3_A</t>
  </si>
  <si>
    <t>5Pasywa_B_3_3_A</t>
  </si>
  <si>
    <t>Pasywa_B_III_3_B</t>
  </si>
  <si>
    <t>Pasywa_B_3_3_B</t>
  </si>
  <si>
    <t>5Pasywa_B_3_3_B</t>
  </si>
  <si>
    <t>Pasywa_B_III_3_C</t>
  </si>
  <si>
    <t>Pasywa_B_3_3_C</t>
  </si>
  <si>
    <t>5Pasywa_B_3_3_C</t>
  </si>
  <si>
    <t>Pasywa_B_III_3_D</t>
  </si>
  <si>
    <t>Pasywa_B_3_3_D</t>
  </si>
  <si>
    <t>5Pasywa_B_3_3_D</t>
  </si>
  <si>
    <t>Pasywa_B_III_3_D_1</t>
  </si>
  <si>
    <t>Pasywa_B_3_3_D_1</t>
  </si>
  <si>
    <t>6Pasywa_B_3_3_D_1</t>
  </si>
  <si>
    <t>Pasywa_B_III_3_D_2</t>
  </si>
  <si>
    <t>Pasywa_B_3_3_D_2</t>
  </si>
  <si>
    <t>6Pasywa_B_3_3_D_2</t>
  </si>
  <si>
    <t>Pasywa_B_3_3_D_koniec</t>
  </si>
  <si>
    <t>5Pasywa_B_3_3_D_koniec</t>
  </si>
  <si>
    <t>Pasywa_B_III_3_E</t>
  </si>
  <si>
    <t>Pasywa_B_3_3_E</t>
  </si>
  <si>
    <t>5Pasywa_B_3_3_E</t>
  </si>
  <si>
    <t>Pasywa_B_III_3_F</t>
  </si>
  <si>
    <t>Pasywa_B_3_3_F</t>
  </si>
  <si>
    <t>F</t>
  </si>
  <si>
    <t>5Pasywa_B_3_3_F</t>
  </si>
  <si>
    <t>Pasywa_B_III_3_G</t>
  </si>
  <si>
    <t>Pasywa_B_3_3_G</t>
  </si>
  <si>
    <t>G</t>
  </si>
  <si>
    <t>5Pasywa_B_3_3_G</t>
  </si>
  <si>
    <t>Pasywa_B_III_3_H</t>
  </si>
  <si>
    <t>Pasywa_B_3_3_H</t>
  </si>
  <si>
    <t>H</t>
  </si>
  <si>
    <t>5Pasywa_B_3_3_H</t>
  </si>
  <si>
    <t>Pasywa_B_III_3_I</t>
  </si>
  <si>
    <t>Pasywa_B_3_3_I</t>
  </si>
  <si>
    <t>I</t>
  </si>
  <si>
    <t>5Pasywa_B_3_3_I</t>
  </si>
  <si>
    <t>Pasywa_B_3_3_koniec</t>
  </si>
  <si>
    <t>4Pasywa_B_3_3_koniec</t>
  </si>
  <si>
    <t>Pasywa_B_III_4</t>
  </si>
  <si>
    <t>Pasywa_B_3_4</t>
  </si>
  <si>
    <t>4Pasywa_B_3_4</t>
  </si>
  <si>
    <t>Pasywa_B_3_koniec</t>
  </si>
  <si>
    <t>3Pasywa_B_3_koniec</t>
  </si>
  <si>
    <t>Pasywa_B_IV</t>
  </si>
  <si>
    <t>Pasywa_B_4</t>
  </si>
  <si>
    <t>3Pasywa_B_4</t>
  </si>
  <si>
    <t>Pasywa_B_IV_1</t>
  </si>
  <si>
    <t>Pasywa_B_4_1</t>
  </si>
  <si>
    <t>4Pasywa_B_4_1</t>
  </si>
  <si>
    <t>Pasywa_B_IV_2</t>
  </si>
  <si>
    <t>Pasywa_B_4_2</t>
  </si>
  <si>
    <t>4Pasywa_B_4_2</t>
  </si>
  <si>
    <t>Pasywa_B_IV_2_1</t>
  </si>
  <si>
    <t>Pasywa_B_4_2_1</t>
  </si>
  <si>
    <t>5Pasywa_B_4_2_1</t>
  </si>
  <si>
    <t>Pasywa_B_IV_2_2</t>
  </si>
  <si>
    <t>Pasywa_B_4_2_2</t>
  </si>
  <si>
    <t>5Pasywa_B_4_2_2</t>
  </si>
  <si>
    <t>Pasywa_B_4_2_koniec</t>
  </si>
  <si>
    <t>4Pasywa_B_4_2_koniec</t>
  </si>
  <si>
    <t>Pasywa_B_4_koniec</t>
  </si>
  <si>
    <t>3Pasywa_B_4_koniec</t>
  </si>
  <si>
    <t>Pasywa_B_koniec</t>
  </si>
  <si>
    <t>2Pasywa_B_koniec</t>
  </si>
  <si>
    <t>Pasywa_koniec</t>
  </si>
  <si>
    <t>1Pasywa_koniec</t>
  </si>
  <si>
    <t>Bilans_koniec</t>
  </si>
  <si>
    <t>1Bilans_koniec</t>
  </si>
  <si>
    <t>RZiS</t>
  </si>
  <si>
    <t>Y</t>
  </si>
  <si>
    <t>1Y</t>
  </si>
  <si>
    <t>RZiSPor</t>
  </si>
  <si>
    <t>RzisPorPor</t>
  </si>
  <si>
    <t>1RzisPorPor</t>
  </si>
  <si>
    <t>RzisPorA</t>
  </si>
  <si>
    <t>1RzisPorA</t>
  </si>
  <si>
    <t>A_J</t>
  </si>
  <si>
    <t>RzisPorA_J</t>
  </si>
  <si>
    <t>J</t>
  </si>
  <si>
    <t>2RzisPorA_J</t>
  </si>
  <si>
    <t>A_I</t>
  </si>
  <si>
    <t>RzisPorA_1</t>
  </si>
  <si>
    <t>2RzisPorA_1</t>
  </si>
  <si>
    <t>A_II</t>
  </si>
  <si>
    <t>RzisPorA_2</t>
  </si>
  <si>
    <t>2RzisPorA_2</t>
  </si>
  <si>
    <t>A_III</t>
  </si>
  <si>
    <t>RzisPorA_3</t>
  </si>
  <si>
    <t>2RzisPorA_3</t>
  </si>
  <si>
    <t>A_IV</t>
  </si>
  <si>
    <t>RzisPorA_4</t>
  </si>
  <si>
    <t>2RzisPorA_4</t>
  </si>
  <si>
    <t>RzisPorA_koniec</t>
  </si>
  <si>
    <t>1RzisPorA_koniec</t>
  </si>
  <si>
    <t>RzisPorB</t>
  </si>
  <si>
    <t>1RzisPorB</t>
  </si>
  <si>
    <t>B_I</t>
  </si>
  <si>
    <t>RzisPorB_1</t>
  </si>
  <si>
    <t>2RzisPorB_1</t>
  </si>
  <si>
    <t>B_II</t>
  </si>
  <si>
    <t>RzisPorB_2</t>
  </si>
  <si>
    <t>2RzisPorB_2</t>
  </si>
  <si>
    <t>B_III</t>
  </si>
  <si>
    <t>RzisPorB_3</t>
  </si>
  <si>
    <t>2RzisPorB_3</t>
  </si>
  <si>
    <t>B_IV</t>
  </si>
  <si>
    <t>RzisPorB_4</t>
  </si>
  <si>
    <t>2RzisPorB_4</t>
  </si>
  <si>
    <t>B_IV_1</t>
  </si>
  <si>
    <t>RzisPorB_4_1</t>
  </si>
  <si>
    <t>3RzisPorB_4_1</t>
  </si>
  <si>
    <t>RzisPorB_4_koniec</t>
  </si>
  <si>
    <t>2RzisPorB_4_koniec</t>
  </si>
  <si>
    <t>B_V</t>
  </si>
  <si>
    <t>RzisPorB_5</t>
  </si>
  <si>
    <t>2RzisPorB_5</t>
  </si>
  <si>
    <t>B_VI</t>
  </si>
  <si>
    <t>RzisPorB_6</t>
  </si>
  <si>
    <t>2RzisPorB_6</t>
  </si>
  <si>
    <t>B_VI_1</t>
  </si>
  <si>
    <t>RzisPorB_6_1</t>
  </si>
  <si>
    <t>3RzisPorB_6_1</t>
  </si>
  <si>
    <t>RzisPorB_6_koniec</t>
  </si>
  <si>
    <t>2RzisPorB_6_koniec</t>
  </si>
  <si>
    <t>B_VII</t>
  </si>
  <si>
    <t>RzisPorB_7</t>
  </si>
  <si>
    <t>2RzisPorB_7</t>
  </si>
  <si>
    <t>B_VIII</t>
  </si>
  <si>
    <t>RzisPorB_8</t>
  </si>
  <si>
    <t>2RzisPorB_8</t>
  </si>
  <si>
    <t>RzisPorB_koniec</t>
  </si>
  <si>
    <t>1RzisPorB_koniec</t>
  </si>
  <si>
    <t>RzisPorC</t>
  </si>
  <si>
    <t>1RzisPorC</t>
  </si>
  <si>
    <t>RzisPorD</t>
  </si>
  <si>
    <t>1RzisPorD</t>
  </si>
  <si>
    <t>D_I</t>
  </si>
  <si>
    <t>RzisPorD_1</t>
  </si>
  <si>
    <t>2RzisPorD_1</t>
  </si>
  <si>
    <t>D_II</t>
  </si>
  <si>
    <t>RzisPorD_2</t>
  </si>
  <si>
    <t>2RzisPorD_2</t>
  </si>
  <si>
    <t>D_III</t>
  </si>
  <si>
    <t>RzisPorD_3</t>
  </si>
  <si>
    <t>2RzisPorD_3</t>
  </si>
  <si>
    <t>D_IV</t>
  </si>
  <si>
    <t>RzisPorD_4</t>
  </si>
  <si>
    <t>2RzisPorD_4</t>
  </si>
  <si>
    <t>RzisPorD_koniec</t>
  </si>
  <si>
    <t>1RzisPorD_koniec</t>
  </si>
  <si>
    <t>RzisPorE</t>
  </si>
  <si>
    <t>1RzisPorE</t>
  </si>
  <si>
    <t>E_I</t>
  </si>
  <si>
    <t>RzisPorE_1</t>
  </si>
  <si>
    <t>2RzisPorE_1</t>
  </si>
  <si>
    <t>E_II</t>
  </si>
  <si>
    <t>RzisPorE_2</t>
  </si>
  <si>
    <t>2RzisPorE_2</t>
  </si>
  <si>
    <t>E_III</t>
  </si>
  <si>
    <t>RzisPorE_3</t>
  </si>
  <si>
    <t>2RzisPorE_3</t>
  </si>
  <si>
    <t>RzisPorE_koniec</t>
  </si>
  <si>
    <t>1RzisPorE_koniec</t>
  </si>
  <si>
    <t>RzisPorF</t>
  </si>
  <si>
    <t>1RzisPorF</t>
  </si>
  <si>
    <t>RzisPorG</t>
  </si>
  <si>
    <t>1RzisPorG</t>
  </si>
  <si>
    <t>G_I</t>
  </si>
  <si>
    <t>RzisPorG_1</t>
  </si>
  <si>
    <t>2RzisPorG_1</t>
  </si>
  <si>
    <t>G_I_A</t>
  </si>
  <si>
    <t>RzisPorG_1_A</t>
  </si>
  <si>
    <t>3RzisPorG_1_A</t>
  </si>
  <si>
    <t>G_I_A_1</t>
  </si>
  <si>
    <t>RzisPorG_1_A_1</t>
  </si>
  <si>
    <t>4RzisPorG_1_A_1</t>
  </si>
  <si>
    <t>RzisPorG_1_A_koniec</t>
  </si>
  <si>
    <t>3RzisPorG_1_A_koniec</t>
  </si>
  <si>
    <t>G_I_B</t>
  </si>
  <si>
    <t>RzisPorG_1_B</t>
  </si>
  <si>
    <t>3RzisPorG_1_B</t>
  </si>
  <si>
    <t>G_I_B_1</t>
  </si>
  <si>
    <t>RzisPorG_1_B_1</t>
  </si>
  <si>
    <t>4RzisPorG_1_B_1</t>
  </si>
  <si>
    <t>RzisPorG_1_B_koniec</t>
  </si>
  <si>
    <t>3RzisPorG_1_B_koniec</t>
  </si>
  <si>
    <t>RzisPorG_1_koniec</t>
  </si>
  <si>
    <t>2RzisPorG_1_koniec</t>
  </si>
  <si>
    <t>G_II</t>
  </si>
  <si>
    <t>RzisPorG_2</t>
  </si>
  <si>
    <t>2RzisPorG_2</t>
  </si>
  <si>
    <t>G_II_J</t>
  </si>
  <si>
    <t>RzisPorG_2_J</t>
  </si>
  <si>
    <t>3RzisPorG_2_J</t>
  </si>
  <si>
    <t>RzisPorG_2_koniec</t>
  </si>
  <si>
    <t>2RzisPorG_2_koniec</t>
  </si>
  <si>
    <t>G_III</t>
  </si>
  <si>
    <t>RzisPorG_3</t>
  </si>
  <si>
    <t>2RzisPorG_3</t>
  </si>
  <si>
    <t>G_III_J</t>
  </si>
  <si>
    <t>RzisPorG_3_J</t>
  </si>
  <si>
    <t>3RzisPorG_3_J</t>
  </si>
  <si>
    <t>RzisPorG_3_koniec</t>
  </si>
  <si>
    <t>2RzisPorG_3_koniec</t>
  </si>
  <si>
    <t>G_IV</t>
  </si>
  <si>
    <t>RzisPorG_4</t>
  </si>
  <si>
    <t>2RzisPorG_4</t>
  </si>
  <si>
    <t>G_V</t>
  </si>
  <si>
    <t>RzisPorG_5</t>
  </si>
  <si>
    <t>2RzisPorG_5</t>
  </si>
  <si>
    <t>RzisPorG_koniec</t>
  </si>
  <si>
    <t>1RzisPorG_koniec</t>
  </si>
  <si>
    <t>RzisPorH</t>
  </si>
  <si>
    <t>1RzisPorH</t>
  </si>
  <si>
    <t>H_I</t>
  </si>
  <si>
    <t>RzisPorH_1</t>
  </si>
  <si>
    <t>2RzisPorH_1</t>
  </si>
  <si>
    <t>H_I_J</t>
  </si>
  <si>
    <t>RzisPorH_1_J</t>
  </si>
  <si>
    <t>3RzisPorH_1_J</t>
  </si>
  <si>
    <t>RzisPorH_1_koniec</t>
  </si>
  <si>
    <t>2RzisPorH_1_koniec</t>
  </si>
  <si>
    <t>H_II</t>
  </si>
  <si>
    <t>RzisPorH_2</t>
  </si>
  <si>
    <t>2RzisPorH_2</t>
  </si>
  <si>
    <t>H_II_J</t>
  </si>
  <si>
    <t>RzisPorH_2_J</t>
  </si>
  <si>
    <t>3RzisPorH_2_J</t>
  </si>
  <si>
    <t>RzisPorH_2_koniec</t>
  </si>
  <si>
    <t>2RzisPorH_2_koniec</t>
  </si>
  <si>
    <t>H_III</t>
  </si>
  <si>
    <t>RzisPorH_3</t>
  </si>
  <si>
    <t>2RzisPorH_3</t>
  </si>
  <si>
    <t>H_IV</t>
  </si>
  <si>
    <t>RzisPorH_4</t>
  </si>
  <si>
    <t>2RzisPorH_4</t>
  </si>
  <si>
    <t>RzisPorH_koniec</t>
  </si>
  <si>
    <t>1RzisPorH_koniec</t>
  </si>
  <si>
    <t>RzisPorI</t>
  </si>
  <si>
    <t>1RzisPorI</t>
  </si>
  <si>
    <t>RzisPorJ</t>
  </si>
  <si>
    <t>1RzisPorJ</t>
  </si>
  <si>
    <t>K</t>
  </si>
  <si>
    <t>RzisPorK</t>
  </si>
  <si>
    <t>1RzisPorK</t>
  </si>
  <si>
    <t>L</t>
  </si>
  <si>
    <t>RzisPorL</t>
  </si>
  <si>
    <t>1RzisPorL</t>
  </si>
  <si>
    <t>1RZiSPor</t>
  </si>
  <si>
    <t>RZiSKalk</t>
  </si>
  <si>
    <t>RzisKalk</t>
  </si>
  <si>
    <t>1RzisKalk</t>
  </si>
  <si>
    <t>RzisKalkA</t>
  </si>
  <si>
    <t>1RzisKalkA</t>
  </si>
  <si>
    <t>RzisKalkA_J</t>
  </si>
  <si>
    <t>2RzisKalkA_J</t>
  </si>
  <si>
    <t>RzisKalkA_1</t>
  </si>
  <si>
    <t>2RzisKalkA_1</t>
  </si>
  <si>
    <t>RzisKalkA_2</t>
  </si>
  <si>
    <t>2RzisKalkA_2</t>
  </si>
  <si>
    <t>RzisKalkA_koniec</t>
  </si>
  <si>
    <t>1RzisKalkA_koniec</t>
  </si>
  <si>
    <t>RzisKalkB</t>
  </si>
  <si>
    <t>1RzisKalkB</t>
  </si>
  <si>
    <t>B_J</t>
  </si>
  <si>
    <t>RzisKalkB_J</t>
  </si>
  <si>
    <t>2RzisKalkB_J</t>
  </si>
  <si>
    <t>RzisKalkB_1</t>
  </si>
  <si>
    <t>2RzisKalkB_1</t>
  </si>
  <si>
    <t>RzisKalkB_2</t>
  </si>
  <si>
    <t>2RzisKalkB_2</t>
  </si>
  <si>
    <t>RzisKalkB_koniec</t>
  </si>
  <si>
    <t>1RzisKalkB_koniec</t>
  </si>
  <si>
    <t>RzisKalkC</t>
  </si>
  <si>
    <t>1RzisKalkC</t>
  </si>
  <si>
    <t>RzisKalkD</t>
  </si>
  <si>
    <t>1RzisKalkD</t>
  </si>
  <si>
    <t>RzisKalkE</t>
  </si>
  <si>
    <t>1RzisKalkE</t>
  </si>
  <si>
    <t>RzisKalkF</t>
  </si>
  <si>
    <t>1RzisKalkF</t>
  </si>
  <si>
    <t>RzisKalkG</t>
  </si>
  <si>
    <t>1RzisKalkG</t>
  </si>
  <si>
    <t>RzisKalkG_1</t>
  </si>
  <si>
    <t>2RzisKalkG_1</t>
  </si>
  <si>
    <t>RzisKalkG_2</t>
  </si>
  <si>
    <t>2RzisKalkG_2</t>
  </si>
  <si>
    <t>RzisKalkG_3</t>
  </si>
  <si>
    <t>2RzisKalkG_3</t>
  </si>
  <si>
    <t>RzisKalkG_4</t>
  </si>
  <si>
    <t>2RzisKalkG_4</t>
  </si>
  <si>
    <t>RzisKalkG_koniec</t>
  </si>
  <si>
    <t>1RzisKalkG_koniec</t>
  </si>
  <si>
    <t>RzisKalkH</t>
  </si>
  <si>
    <t>1RzisKalkH</t>
  </si>
  <si>
    <t>RzisKalkH_1</t>
  </si>
  <si>
    <t>2RzisKalkH_1</t>
  </si>
  <si>
    <t>RzisKalkH_2</t>
  </si>
  <si>
    <t>2RzisKalkH_2</t>
  </si>
  <si>
    <t>RzisKalkH_3</t>
  </si>
  <si>
    <t>2RzisKalkH_3</t>
  </si>
  <si>
    <t>RzisKalkH_koniec</t>
  </si>
  <si>
    <t>1RzisKalkH_koniec</t>
  </si>
  <si>
    <t>RzisKalkI</t>
  </si>
  <si>
    <t>1RzisKalkI</t>
  </si>
  <si>
    <t>RzisKalkJ</t>
  </si>
  <si>
    <t>1RzisKalkJ</t>
  </si>
  <si>
    <t>J_I</t>
  </si>
  <si>
    <t>RzisKalkJ_1</t>
  </si>
  <si>
    <t>2RzisKalkJ_1</t>
  </si>
  <si>
    <t>J_I_A</t>
  </si>
  <si>
    <t>RzisKalkJ_1_1</t>
  </si>
  <si>
    <t>3RzisKalkJ_1_1</t>
  </si>
  <si>
    <t>J_I_A_1</t>
  </si>
  <si>
    <t>RzisKalkJ_1_1_1</t>
  </si>
  <si>
    <t>4RzisKalkJ_1_1_1</t>
  </si>
  <si>
    <t>RzisKalkJ_1_1_koniec</t>
  </si>
  <si>
    <t>3RzisKalkJ_1_1_koniec</t>
  </si>
  <si>
    <t>J_I_B</t>
  </si>
  <si>
    <t>RzisKalkJ_1_2</t>
  </si>
  <si>
    <t>3RzisKalkJ_1_2</t>
  </si>
  <si>
    <t>J_I_B_1</t>
  </si>
  <si>
    <t>RzisKalkJ_1_2_1</t>
  </si>
  <si>
    <t>4RzisKalkJ_1_2_1</t>
  </si>
  <si>
    <t>RzisKalkJ_1_2_koniec</t>
  </si>
  <si>
    <t>3RzisKalkJ_1_2_koniec</t>
  </si>
  <si>
    <t>RzisKalkJ_1_koniec</t>
  </si>
  <si>
    <t>2RzisKalkJ_1_koniec</t>
  </si>
  <si>
    <t>J_II</t>
  </si>
  <si>
    <t>RzisKalkJ_2</t>
  </si>
  <si>
    <t>2RzisKalkJ_2</t>
  </si>
  <si>
    <t>J_II_J</t>
  </si>
  <si>
    <t>RzisKalkJ_2_J</t>
  </si>
  <si>
    <t>3RzisKalkJ_2_J</t>
  </si>
  <si>
    <t>RzisKalkJ_2_koniec</t>
  </si>
  <si>
    <t>2RzisKalkJ_2_koniec</t>
  </si>
  <si>
    <t>J_III</t>
  </si>
  <si>
    <t>RzisKalkJ_3</t>
  </si>
  <si>
    <t>2RzisKalkJ_3</t>
  </si>
  <si>
    <t>J_III_J</t>
  </si>
  <si>
    <t>RzisKalkJ_3_J</t>
  </si>
  <si>
    <t>3RzisKalkJ_3_J</t>
  </si>
  <si>
    <t>RzisKalkJ_3_koniec</t>
  </si>
  <si>
    <t>2RzisKalkJ_3_koniec</t>
  </si>
  <si>
    <t>J_IV</t>
  </si>
  <si>
    <t>RzisKalkJ_4</t>
  </si>
  <si>
    <t>2RzisKalkJ_4</t>
  </si>
  <si>
    <t>J_V</t>
  </si>
  <si>
    <t>RzisKalkJ_5</t>
  </si>
  <si>
    <t>2RzisKalkJ_5</t>
  </si>
  <si>
    <t>RzisKalkJ_koniec</t>
  </si>
  <si>
    <t>1RzisKalkJ_koniec</t>
  </si>
  <si>
    <t>RzisKalkK</t>
  </si>
  <si>
    <t>1RzisKalkK</t>
  </si>
  <si>
    <t>K_I</t>
  </si>
  <si>
    <t>RzisKalkK_1</t>
  </si>
  <si>
    <t>2RzisKalkK_1</t>
  </si>
  <si>
    <t>K_I_J</t>
  </si>
  <si>
    <t>RzisKalkK_1_J</t>
  </si>
  <si>
    <t>3RzisKalkK_1_J</t>
  </si>
  <si>
    <t>RzisKalkK_1_koniec</t>
  </si>
  <si>
    <t>2RzisKalkK_1_koniec</t>
  </si>
  <si>
    <t>K_II</t>
  </si>
  <si>
    <t>RzisKalkK_2</t>
  </si>
  <si>
    <t>2RzisKalkK_2</t>
  </si>
  <si>
    <t>K_II_J</t>
  </si>
  <si>
    <t>RzisKalkK_2_J</t>
  </si>
  <si>
    <t>3RzisKalkK_2_J</t>
  </si>
  <si>
    <t>RzisKalkK_2_koniec</t>
  </si>
  <si>
    <t>2RzisKalkK_2_koniec</t>
  </si>
  <si>
    <t>K_III</t>
  </si>
  <si>
    <t>RzisKalkK_3</t>
  </si>
  <si>
    <t>2RzisKalkK_3</t>
  </si>
  <si>
    <t>K_IV</t>
  </si>
  <si>
    <t>RzisKalkK_4</t>
  </si>
  <si>
    <t>2RzisKalkK_4</t>
  </si>
  <si>
    <t>RzisKalkK_koniec</t>
  </si>
  <si>
    <t>1RzisKalkK_koniec</t>
  </si>
  <si>
    <t>RzisKalkL</t>
  </si>
  <si>
    <t>1RzisKalkL</t>
  </si>
  <si>
    <t>M</t>
  </si>
  <si>
    <t>RzisKalkM</t>
  </si>
  <si>
    <t>1RzisKalkM</t>
  </si>
  <si>
    <t>N</t>
  </si>
  <si>
    <t>RzisKalkN</t>
  </si>
  <si>
    <t>1RzisKalkN</t>
  </si>
  <si>
    <t>O</t>
  </si>
  <si>
    <t>RzisKalkO</t>
  </si>
  <si>
    <t>1RzisKalkO</t>
  </si>
  <si>
    <t>1RZiSKalk</t>
  </si>
  <si>
    <t>1RZiS</t>
  </si>
  <si>
    <t>ZestZmianWKapitale</t>
  </si>
  <si>
    <t>1ZestZmianWKapitale</t>
  </si>
  <si>
    <t>Kapital_1</t>
  </si>
  <si>
    <t>1Kapital_1</t>
  </si>
  <si>
    <t>I_1</t>
  </si>
  <si>
    <t>Kapital_1_1</t>
  </si>
  <si>
    <t>2Kapital_1_1</t>
  </si>
  <si>
    <t>I_2</t>
  </si>
  <si>
    <t>Kapital_1_2</t>
  </si>
  <si>
    <t>2Kapital_1_2</t>
  </si>
  <si>
    <t>Kapital_1_koniec</t>
  </si>
  <si>
    <t>1Kapital_1_koniec</t>
  </si>
  <si>
    <t>IA</t>
  </si>
  <si>
    <t>Kapital_1A</t>
  </si>
  <si>
    <t>1A</t>
  </si>
  <si>
    <t>1Kapital_1A</t>
  </si>
  <si>
    <t>IA_1</t>
  </si>
  <si>
    <t>Kapital_1A_1</t>
  </si>
  <si>
    <t>2Kapital_1A_1</t>
  </si>
  <si>
    <t>IA_1_1</t>
  </si>
  <si>
    <t>Kapital_1A_1_1</t>
  </si>
  <si>
    <t>3Kapital_1A_1_1</t>
  </si>
  <si>
    <t>IA_1_1_A</t>
  </si>
  <si>
    <t>Kapital_1A_1_1_A</t>
  </si>
  <si>
    <t>4Kapital_1A_1_1_A</t>
  </si>
  <si>
    <t>IA_1_1_A_1</t>
  </si>
  <si>
    <t>Kapital_1A_1_1_A_1</t>
  </si>
  <si>
    <t>5Kapital_1A_1_1_A_1</t>
  </si>
  <si>
    <t>Kapital_1A_1_1_A_koniec</t>
  </si>
  <si>
    <t>4Kapital_1A_1_1_A_koniec</t>
  </si>
  <si>
    <t>IA_1_1_B</t>
  </si>
  <si>
    <t>Kapital_1A_1_1_B</t>
  </si>
  <si>
    <t>4Kapital_1A_1_1_B</t>
  </si>
  <si>
    <t>IA_1_1_B_1</t>
  </si>
  <si>
    <t>Kapital_1A_1_1_B_1</t>
  </si>
  <si>
    <t>5Kapital_1A_1_1_B_1</t>
  </si>
  <si>
    <t>Kapital_1A_1_1_B_koniec</t>
  </si>
  <si>
    <t>4Kapital_1A_1_1_B_koniec</t>
  </si>
  <si>
    <t>Kapital_1A_1_1_koniec</t>
  </si>
  <si>
    <t>3Kapital_1A_1_1_koniec</t>
  </si>
  <si>
    <t>IA_1_2</t>
  </si>
  <si>
    <t>Kapital_1A_1_2</t>
  </si>
  <si>
    <t>3Kapital_1A_1_2</t>
  </si>
  <si>
    <t>Kapital_1A_1_koniec</t>
  </si>
  <si>
    <t>2Kapital_1A_1_koniec</t>
  </si>
  <si>
    <t>IA_2</t>
  </si>
  <si>
    <t>Kapital_1A_2</t>
  </si>
  <si>
    <t>2Kapital_1A_2</t>
  </si>
  <si>
    <t>IA_2_1</t>
  </si>
  <si>
    <t>Kapital_1A_2_1</t>
  </si>
  <si>
    <t>3Kapital_1A_2_1</t>
  </si>
  <si>
    <t>IA_2_1_A</t>
  </si>
  <si>
    <t>Kapital_1A_2_1_A</t>
  </si>
  <si>
    <t>4Kapital_1A_2_1_A</t>
  </si>
  <si>
    <t>IA_2_1_A_1</t>
  </si>
  <si>
    <t>Kapital_1A_2_1_A_1</t>
  </si>
  <si>
    <t>5Kapital_1A_2_1_A_1</t>
  </si>
  <si>
    <t>IA_2_1_A_2</t>
  </si>
  <si>
    <t>Kapital_1A_2_1_A_2</t>
  </si>
  <si>
    <t>5Kapital_1A_2_1_A_2</t>
  </si>
  <si>
    <t>IA_2_1_A_3</t>
  </si>
  <si>
    <t>Kapital_1A_2_1_A_3</t>
  </si>
  <si>
    <t>5Kapital_1A_2_1_A_3</t>
  </si>
  <si>
    <t>Kapital_1A_2_1_A_koniec</t>
  </si>
  <si>
    <t>4Kapital_1A_2_1_A_koniec</t>
  </si>
  <si>
    <t>IA_2_1_B</t>
  </si>
  <si>
    <t>Kapital_1A_2_1_B</t>
  </si>
  <si>
    <t>4Kapital_1A_2_1_B</t>
  </si>
  <si>
    <t>IA_2_1_B_1</t>
  </si>
  <si>
    <t>Kapital_1A_2_1_B_1</t>
  </si>
  <si>
    <t>5Kapital_1A_2_1_B_1</t>
  </si>
  <si>
    <t>Kapital_1A_2_1_B_koniec</t>
  </si>
  <si>
    <t>4Kapital_1A_2_1_B_koniec</t>
  </si>
  <si>
    <t>Kapital_1A_2_1_koniec</t>
  </si>
  <si>
    <t>3Kapital_1A_2_1_koniec</t>
  </si>
  <si>
    <t>IA_2_2</t>
  </si>
  <si>
    <t>Kapital_1A_2_2</t>
  </si>
  <si>
    <t>3Kapital_1A_2_2</t>
  </si>
  <si>
    <t>Kapital_1A_2_koniec</t>
  </si>
  <si>
    <t>2Kapital_1A_2_koniec</t>
  </si>
  <si>
    <t>IA_3</t>
  </si>
  <si>
    <t>Kapital_1A_3</t>
  </si>
  <si>
    <t>2Kapital_1A_3</t>
  </si>
  <si>
    <t>IA_3_1</t>
  </si>
  <si>
    <t>Kapital_1A_3_1</t>
  </si>
  <si>
    <t>3Kapital_1A_3_1</t>
  </si>
  <si>
    <t>IA_3_1_A</t>
  </si>
  <si>
    <t>Kapital_1A_3_1_A</t>
  </si>
  <si>
    <t>4Kapital_1A_3_1_A</t>
  </si>
  <si>
    <t>IA_3_1_B</t>
  </si>
  <si>
    <t>Kapital_1A_3_1_B</t>
  </si>
  <si>
    <t>4Kapital_1A_3_1_B</t>
  </si>
  <si>
    <t>IA_3_1_B_1</t>
  </si>
  <si>
    <t>Kapital_1A_3_1_B_1</t>
  </si>
  <si>
    <t>5Kapital_1A_3_1_B_1</t>
  </si>
  <si>
    <t>Kapital_1A_3_1_B_koniec</t>
  </si>
  <si>
    <t>4Kapital_1A_3_1_B_koniec</t>
  </si>
  <si>
    <t>Kapital_1A_3_1_koniec</t>
  </si>
  <si>
    <t>3Kapital_1A_3_1_koniec</t>
  </si>
  <si>
    <t>IA_3_2</t>
  </si>
  <si>
    <t>Kapital_1A_3_2</t>
  </si>
  <si>
    <t>3Kapital_1A_3_2</t>
  </si>
  <si>
    <t>Kapital_1A_3_koniec</t>
  </si>
  <si>
    <t>2Kapital_1A_3_koniec</t>
  </si>
  <si>
    <t>IA_4</t>
  </si>
  <si>
    <t>Kapital_1A_4</t>
  </si>
  <si>
    <t>2Kapital_1A_4</t>
  </si>
  <si>
    <t>IA_4_1</t>
  </si>
  <si>
    <t>Kapital_1A_4_1</t>
  </si>
  <si>
    <t>3Kapital_1A_4_1</t>
  </si>
  <si>
    <t>IA_4_1_A</t>
  </si>
  <si>
    <t>Kapital_1A_4_1_A</t>
  </si>
  <si>
    <t>4Kapital_1A_4_1_A</t>
  </si>
  <si>
    <t>IA_4_1_B</t>
  </si>
  <si>
    <t>Kapital_1A_4_1_B</t>
  </si>
  <si>
    <t>4Kapital_1A_4_1_B</t>
  </si>
  <si>
    <t>Kapital_1A_4_1_koniec</t>
  </si>
  <si>
    <t>3Kapital_1A_4_1_koniec</t>
  </si>
  <si>
    <t>IA_4_2</t>
  </si>
  <si>
    <t>Kapital_1A_4_2</t>
  </si>
  <si>
    <t>3Kapital_1A_4_2</t>
  </si>
  <si>
    <t>Kapital_1A_4_koniec</t>
  </si>
  <si>
    <t>2Kapital_1A_4_koniec</t>
  </si>
  <si>
    <t>IA_5</t>
  </si>
  <si>
    <t>Kapital_1A_5</t>
  </si>
  <si>
    <t>2Kapital_1A_5</t>
  </si>
  <si>
    <t>IA_5_1</t>
  </si>
  <si>
    <t>Kapital_1A_5_1</t>
  </si>
  <si>
    <t>3Kapital_1A_5_1</t>
  </si>
  <si>
    <t>IA_5_1_1</t>
  </si>
  <si>
    <t>Kapital_1A_5_1_1</t>
  </si>
  <si>
    <t>4Kapital_1A_5_1_1</t>
  </si>
  <si>
    <t>IA_5_1_2</t>
  </si>
  <si>
    <t>Kapital_1A_5_1_2</t>
  </si>
  <si>
    <t>4Kapital_1A_5_1_2</t>
  </si>
  <si>
    <t>Kapital_1A_5_1_koniec</t>
  </si>
  <si>
    <t>3Kapital_1A_5_1_koniec</t>
  </si>
  <si>
    <t>IA_5_2</t>
  </si>
  <si>
    <t>Kapital_1A_5_2</t>
  </si>
  <si>
    <t>3Kapital_1A_5_2</t>
  </si>
  <si>
    <t>IA_5_2_A</t>
  </si>
  <si>
    <t>Kapital_1A_5_2_A</t>
  </si>
  <si>
    <t>4Kapital_1A_5_2_A</t>
  </si>
  <si>
    <t>IA_5_2_A_1</t>
  </si>
  <si>
    <t>Kapital_1A_5_2_A_1</t>
  </si>
  <si>
    <t>5Kapital_1A_5_2_A_1</t>
  </si>
  <si>
    <t>Kapital_1A_5_2_A_koniec</t>
  </si>
  <si>
    <t>4Kapital_1A_5_2_A_koniec</t>
  </si>
  <si>
    <t>IA_5_2_B</t>
  </si>
  <si>
    <t>Kapital_1A_5_2_B</t>
  </si>
  <si>
    <t>4Kapital_1A_5_2_B</t>
  </si>
  <si>
    <t>Kapital_1A_5_2_koniec</t>
  </si>
  <si>
    <t>3Kapital_1A_5_2_koniec</t>
  </si>
  <si>
    <t>IA_5_3</t>
  </si>
  <si>
    <t>Kapital_1A_5_3</t>
  </si>
  <si>
    <t>3Kapital_1A_5_3</t>
  </si>
  <si>
    <t>IA_5_4</t>
  </si>
  <si>
    <t>Kapital_1A_5_4</t>
  </si>
  <si>
    <t>3Kapital_1A_5_4</t>
  </si>
  <si>
    <t>IA_5_4_1</t>
  </si>
  <si>
    <t>Kapital_1A_5_4_1</t>
  </si>
  <si>
    <t>4Kapital_1A_5_4_1</t>
  </si>
  <si>
    <t>IA_5_4_2</t>
  </si>
  <si>
    <t>Kapital_1A_5_4_2</t>
  </si>
  <si>
    <t>4Kapital_1A_5_4_2</t>
  </si>
  <si>
    <t>Kapital_1A_5_4_koniec</t>
  </si>
  <si>
    <t>3Kapital_1A_5_4_koniec</t>
  </si>
  <si>
    <t>IA_5_5</t>
  </si>
  <si>
    <t>Kapital_1A_5_5</t>
  </si>
  <si>
    <t>3Kapital_1A_5_5</t>
  </si>
  <si>
    <t>IA_5_5_A</t>
  </si>
  <si>
    <t>Kapital_1A_5_5_A</t>
  </si>
  <si>
    <t>4Kapital_1A_5_5_A</t>
  </si>
  <si>
    <t>IA_5_5_A_1</t>
  </si>
  <si>
    <t>Kapital_1A_5_5_A_1</t>
  </si>
  <si>
    <t>5Kapital_1A_5_5_A_1</t>
  </si>
  <si>
    <t>Kapital_1A_5_5_A_koniec</t>
  </si>
  <si>
    <t>4Kapital_1A_5_5_A_koniec</t>
  </si>
  <si>
    <t>IA_5_5_B</t>
  </si>
  <si>
    <t>Kapital_1A_5_5_B</t>
  </si>
  <si>
    <t>4Kapital_1A_5_5_B</t>
  </si>
  <si>
    <t>Kapital_1A_5_5_koniec</t>
  </si>
  <si>
    <t>3Kapital_1A_5_5_koniec</t>
  </si>
  <si>
    <t>IA_5_6</t>
  </si>
  <si>
    <t>Kapital_1A_5_6</t>
  </si>
  <si>
    <t>3Kapital_1A_5_6</t>
  </si>
  <si>
    <t>IA_5_7</t>
  </si>
  <si>
    <t>Kapital_1A_5_7</t>
  </si>
  <si>
    <t>3Kapital_1A_5_7</t>
  </si>
  <si>
    <t>Kapital_1A_5_koniec</t>
  </si>
  <si>
    <t>2Kapital_1A_5_koniec</t>
  </si>
  <si>
    <t>IA_6</t>
  </si>
  <si>
    <t>Kapital_1A_6</t>
  </si>
  <si>
    <t>2Kapital_1A_6</t>
  </si>
  <si>
    <t>IA_6_A</t>
  </si>
  <si>
    <t>Kapital_1A_6_A</t>
  </si>
  <si>
    <t>3Kapital_1A_6_A</t>
  </si>
  <si>
    <t>IA_6_B</t>
  </si>
  <si>
    <t>Kapital_1A_6_B</t>
  </si>
  <si>
    <t>3Kapital_1A_6_B</t>
  </si>
  <si>
    <t>IA_6_C</t>
  </si>
  <si>
    <t>Kapital_1A_6_C</t>
  </si>
  <si>
    <t>3Kapital_1A_6_C</t>
  </si>
  <si>
    <t>Kapital_1A_6_koniec</t>
  </si>
  <si>
    <t>2Kapital_1A_6_koniec</t>
  </si>
  <si>
    <t>Kapital_1A_koniec</t>
  </si>
  <si>
    <t>1Kapital_1A_koniec</t>
  </si>
  <si>
    <t>II</t>
  </si>
  <si>
    <t>Kapital_2</t>
  </si>
  <si>
    <t>1Kapital_2</t>
  </si>
  <si>
    <t>III</t>
  </si>
  <si>
    <t>Kapital_3</t>
  </si>
  <si>
    <t>1Kapital_3</t>
  </si>
  <si>
    <t>RachPrzeplywow</t>
  </si>
  <si>
    <t>X</t>
  </si>
  <si>
    <t>Przeplywy</t>
  </si>
  <si>
    <t>1X</t>
  </si>
  <si>
    <t>PrzeplywyPosr</t>
  </si>
  <si>
    <t>Posr</t>
  </si>
  <si>
    <t>1Posr</t>
  </si>
  <si>
    <t>CFPosr_A</t>
  </si>
  <si>
    <t>CF</t>
  </si>
  <si>
    <t>2CFPosr_A</t>
  </si>
  <si>
    <t>CFPosr_A_1</t>
  </si>
  <si>
    <t>3CFPosr_A_1</t>
  </si>
  <si>
    <t>CFPosr_A_2</t>
  </si>
  <si>
    <t>3CFPosr_A_2</t>
  </si>
  <si>
    <t>A_II_1</t>
  </si>
  <si>
    <t>CFPosr_A_2_1</t>
  </si>
  <si>
    <t>4CFPosr_A_2_1</t>
  </si>
  <si>
    <t>A_II_2</t>
  </si>
  <si>
    <t>CFPosr_A_2_2</t>
  </si>
  <si>
    <t>4CFPosr_A_2_2</t>
  </si>
  <si>
    <t>A_II_3</t>
  </si>
  <si>
    <t>CFPosr_A_2_3</t>
  </si>
  <si>
    <t>4CFPosr_A_2_3</t>
  </si>
  <si>
    <t>A_II_4</t>
  </si>
  <si>
    <t>CFPosr_A_2_4</t>
  </si>
  <si>
    <t>4CFPosr_A_2_4</t>
  </si>
  <si>
    <t>A_II_5</t>
  </si>
  <si>
    <t>CFPosr_A_2_5</t>
  </si>
  <si>
    <t>4CFPosr_A_2_5</t>
  </si>
  <si>
    <t>A_II_6</t>
  </si>
  <si>
    <t>CFPosr_A_2_6</t>
  </si>
  <si>
    <t>4CFPosr_A_2_6</t>
  </si>
  <si>
    <t>A_II_7</t>
  </si>
  <si>
    <t>CFPosr_A_2_7</t>
  </si>
  <si>
    <t>4CFPosr_A_2_7</t>
  </si>
  <si>
    <t>A_II_8</t>
  </si>
  <si>
    <t>CFPosr_A_2_8</t>
  </si>
  <si>
    <t>4CFPosr_A_2_8</t>
  </si>
  <si>
    <t>A_II_9</t>
  </si>
  <si>
    <t>CFPosr_A_2_9</t>
  </si>
  <si>
    <t>4CFPosr_A_2_9</t>
  </si>
  <si>
    <t>A_II_10</t>
  </si>
  <si>
    <t>CFPosr_A_2_10</t>
  </si>
  <si>
    <t>4CFPosr_A_2_10</t>
  </si>
  <si>
    <t>CFPosr_A_2_koniec</t>
  </si>
  <si>
    <t>3CFPosr_A_2_koniec</t>
  </si>
  <si>
    <t>CFPosr_A_3</t>
  </si>
  <si>
    <t>3CFPosr_A_3</t>
  </si>
  <si>
    <t>CFPosr_A_koniec</t>
  </si>
  <si>
    <t>2CFPosr_A_koniec</t>
  </si>
  <si>
    <t>CFPosr_B</t>
  </si>
  <si>
    <t>2CFPosr_B</t>
  </si>
  <si>
    <t>CFPosr_B_1</t>
  </si>
  <si>
    <t>3CFPosr_B_1</t>
  </si>
  <si>
    <t>B_I_1</t>
  </si>
  <si>
    <t>CFPosr_B_1_1</t>
  </si>
  <si>
    <t>4CFPosr_B_1_1</t>
  </si>
  <si>
    <t>B_I_2</t>
  </si>
  <si>
    <t>CFPosr_B_1_2</t>
  </si>
  <si>
    <t>4CFPosr_B_1_2</t>
  </si>
  <si>
    <t>B_I_3</t>
  </si>
  <si>
    <t>CFPosr_B_1_3</t>
  </si>
  <si>
    <t>4CFPosr_B_1_3</t>
  </si>
  <si>
    <t>B_I_3_A</t>
  </si>
  <si>
    <t>CFPosr_B_1_3_A</t>
  </si>
  <si>
    <t>5CFPosr_B_1_3_A</t>
  </si>
  <si>
    <t>B_I_3_B</t>
  </si>
  <si>
    <t>CFPosr_B_1_3_B</t>
  </si>
  <si>
    <t>5CFPosr_B_1_3_B</t>
  </si>
  <si>
    <t>B_I_3_B_1</t>
  </si>
  <si>
    <t>CFPosr_B_1_3_B_1</t>
  </si>
  <si>
    <t>6CFPosr_B_1_3_B_1</t>
  </si>
  <si>
    <t>B_I_3_B_2</t>
  </si>
  <si>
    <t>CFPosr_B_1_3_B_2</t>
  </si>
  <si>
    <t>6CFPosr_B_1_3_B_2</t>
  </si>
  <si>
    <t>B_I_3_B_3</t>
  </si>
  <si>
    <t>CFPosr_B_1_3_B_3</t>
  </si>
  <si>
    <t>6CFPosr_B_1_3_B_3</t>
  </si>
  <si>
    <t>B_I_3_B_4</t>
  </si>
  <si>
    <t>CFPosr_B_1_3_B_4</t>
  </si>
  <si>
    <t>6CFPosr_B_1_3_B_4</t>
  </si>
  <si>
    <t>B_I_3_B_5</t>
  </si>
  <si>
    <t>CFPosr_B_1_3_B_5</t>
  </si>
  <si>
    <t>6CFPosr_B_1_3_B_5</t>
  </si>
  <si>
    <t>CFPosr_B_1_3_B_koniec</t>
  </si>
  <si>
    <t>5CFPosr_B_1_3_B_koniec</t>
  </si>
  <si>
    <t>CFPosr_B_1_3_koniec</t>
  </si>
  <si>
    <t>4CFPosr_B_1_3_koniec</t>
  </si>
  <si>
    <t>B_I_4</t>
  </si>
  <si>
    <t>CFPosr_B_1_4</t>
  </si>
  <si>
    <t>4CFPosr_B_1_4</t>
  </si>
  <si>
    <t>CFPosr_B_1_koniec</t>
  </si>
  <si>
    <t>3CFPosr_B_1_koniec</t>
  </si>
  <si>
    <t>CFPosr_B_2</t>
  </si>
  <si>
    <t>3CFPosr_B_2</t>
  </si>
  <si>
    <t>B_II_1</t>
  </si>
  <si>
    <t>CFPosr_B_2_1</t>
  </si>
  <si>
    <t>4CFPosr_B_2_1</t>
  </si>
  <si>
    <t>B_II_2</t>
  </si>
  <si>
    <t>CFPosr_B_2_2</t>
  </si>
  <si>
    <t>4CFPosr_B_2_2</t>
  </si>
  <si>
    <t>B_II_3</t>
  </si>
  <si>
    <t>CFPosr_B_2_3</t>
  </si>
  <si>
    <t>4CFPosr_B_2_3</t>
  </si>
  <si>
    <t>B_II_3_A</t>
  </si>
  <si>
    <t>CFPosr_B_2_3_A</t>
  </si>
  <si>
    <t>5CFPosr_B_2_3_A</t>
  </si>
  <si>
    <t>B_II_3_B</t>
  </si>
  <si>
    <t>CFPosr_B_2_3_B</t>
  </si>
  <si>
    <t>5CFPosr_B_2_3_B</t>
  </si>
  <si>
    <t>B_II_3_B_1</t>
  </si>
  <si>
    <t>CFPosr_B_2_3_B_1</t>
  </si>
  <si>
    <t>6CFPosr_B_2_3_B_1</t>
  </si>
  <si>
    <t>B_II_3_B_2</t>
  </si>
  <si>
    <t>CFPosr_B_2_3_B_2</t>
  </si>
  <si>
    <t>6CFPosr_B_2_3_B_2</t>
  </si>
  <si>
    <t>CFPosr_B_2_3_B_koniec</t>
  </si>
  <si>
    <t>5CFPosr_B_2_3_B_koniec</t>
  </si>
  <si>
    <t>CFPosr_B_2_3_koniec</t>
  </si>
  <si>
    <t>4CFPosr_B_2_3_koniec</t>
  </si>
  <si>
    <t>B_II_4</t>
  </si>
  <si>
    <t>CFPosr_B_2_4</t>
  </si>
  <si>
    <t>4CFPosr_B_2_4</t>
  </si>
  <si>
    <t>CFPosr_B_2_koniec</t>
  </si>
  <si>
    <t>3CFPosr_B_2_koniec</t>
  </si>
  <si>
    <t>CFPosr_B_3</t>
  </si>
  <si>
    <t>3CFPosr_B_3</t>
  </si>
  <si>
    <t>CFPosr_B_koniec</t>
  </si>
  <si>
    <t>2CFPosr_B_koniec</t>
  </si>
  <si>
    <t>CFPosr_C</t>
  </si>
  <si>
    <t>2CFPosr_C</t>
  </si>
  <si>
    <t>C_I</t>
  </si>
  <si>
    <t>CFPosr_C_1</t>
  </si>
  <si>
    <t>3CFPosr_C_1</t>
  </si>
  <si>
    <t>C_I_1</t>
  </si>
  <si>
    <t>CFPosr_C_1_1</t>
  </si>
  <si>
    <t>4CFPosr_C_1_1</t>
  </si>
  <si>
    <t>C_I_2</t>
  </si>
  <si>
    <t>CFPosr_C_1_2</t>
  </si>
  <si>
    <t>4CFPosr_C_1_2</t>
  </si>
  <si>
    <t>C_I_3</t>
  </si>
  <si>
    <t>CFPosr_C_1_3</t>
  </si>
  <si>
    <t>4CFPosr_C_1_3</t>
  </si>
  <si>
    <t>C_I_4</t>
  </si>
  <si>
    <t>CFPosr_C_1_4</t>
  </si>
  <si>
    <t>4CFPosr_C_1_4</t>
  </si>
  <si>
    <t>CFPosr_C_1_koniec</t>
  </si>
  <si>
    <t>3CFPosr_C_1_koniec</t>
  </si>
  <si>
    <t>C_II</t>
  </si>
  <si>
    <t>CFPosr_C_2</t>
  </si>
  <si>
    <t>3CFPosr_C_2</t>
  </si>
  <si>
    <t>C_II_1</t>
  </si>
  <si>
    <t>CFPosr_C_2_1</t>
  </si>
  <si>
    <t>4CFPosr_C_2_1</t>
  </si>
  <si>
    <t>C_II_2</t>
  </si>
  <si>
    <t>CFPosr_C_2_2</t>
  </si>
  <si>
    <t>4CFPosr_C_2_2</t>
  </si>
  <si>
    <t>C_II_3</t>
  </si>
  <si>
    <t>CFPosr_C_2_3</t>
  </si>
  <si>
    <t>4CFPosr_C_2_3</t>
  </si>
  <si>
    <t>C_II_4</t>
  </si>
  <si>
    <t>CFPosr_C_2_4</t>
  </si>
  <si>
    <t>4CFPosr_C_2_4</t>
  </si>
  <si>
    <t>C_II_5</t>
  </si>
  <si>
    <t>CFPosr_C_2_5</t>
  </si>
  <si>
    <t>4CFPosr_C_2_5</t>
  </si>
  <si>
    <t>C_II_6</t>
  </si>
  <si>
    <t>CFPosr_C_2_6</t>
  </si>
  <si>
    <t>4CFPosr_C_2_6</t>
  </si>
  <si>
    <t>C_II_7</t>
  </si>
  <si>
    <t>CFPosr_C_2_7</t>
  </si>
  <si>
    <t>4CFPosr_C_2_7</t>
  </si>
  <si>
    <t>C_II_8</t>
  </si>
  <si>
    <t>CFPosr_C_2_8</t>
  </si>
  <si>
    <t>4CFPosr_C_2_8</t>
  </si>
  <si>
    <t>C_II_9</t>
  </si>
  <si>
    <t>CFPosr_C_2_9</t>
  </si>
  <si>
    <t>4CFPosr_C_2_9</t>
  </si>
  <si>
    <t>CFPosr_C_2_koniec</t>
  </si>
  <si>
    <t>3CFPosr_C_2_koniec</t>
  </si>
  <si>
    <t>C_III</t>
  </si>
  <si>
    <t>CFPosr_C_3</t>
  </si>
  <si>
    <t>3CFPosr_C_3</t>
  </si>
  <si>
    <t>CFPosr_C_koniec</t>
  </si>
  <si>
    <t>2CFPosr_C_koniec</t>
  </si>
  <si>
    <t>CFPosr_D</t>
  </si>
  <si>
    <t>2CFPosr_D</t>
  </si>
  <si>
    <t>CFPosr_E</t>
  </si>
  <si>
    <t>2CFPosr_E</t>
  </si>
  <si>
    <t>E_1</t>
  </si>
  <si>
    <t>CFPosr_E_1</t>
  </si>
  <si>
    <t>3CFPosr_E_1</t>
  </si>
  <si>
    <t>CFPosr_E_koniec</t>
  </si>
  <si>
    <t>2CFPosr_E_koniec</t>
  </si>
  <si>
    <t>CFPosr_F</t>
  </si>
  <si>
    <t>2CFPosr_F</t>
  </si>
  <si>
    <t>CFPosr_G</t>
  </si>
  <si>
    <t>2CFPosr_G</t>
  </si>
  <si>
    <t>G_1</t>
  </si>
  <si>
    <t>CFPosr_G_1</t>
  </si>
  <si>
    <t>3CFPosr_G_1</t>
  </si>
  <si>
    <t>CFPosr_G_koniec</t>
  </si>
  <si>
    <t>2CFPosr_G_koniec</t>
  </si>
  <si>
    <t>DodatkoweInformacjeIObjasnieniaJednostkaInna</t>
  </si>
  <si>
    <t>DodatkoweInformacjeIObjasnieniaJednstkaInna</t>
  </si>
  <si>
    <t>1DodatkoweInformacjeIObjasnieniaJednstkaInna</t>
  </si>
  <si>
    <t>DodatkoweInformacjeIObjasnienia</t>
  </si>
  <si>
    <t>1DodatkoweInformacjeIObjasnienia</t>
  </si>
  <si>
    <t>Opis1</t>
  </si>
  <si>
    <t>1Opis1</t>
  </si>
  <si>
    <t>1Plik</t>
  </si>
  <si>
    <t>NazwaPDF1</t>
  </si>
  <si>
    <t>1NazwaPDF1</t>
  </si>
  <si>
    <t>xB64</t>
  </si>
  <si>
    <t>Zawartosc</t>
  </si>
  <si>
    <t>1Zawartosc</t>
  </si>
  <si>
    <t>Opis2</t>
  </si>
  <si>
    <t>1Opis2</t>
  </si>
  <si>
    <t>NazwaPDF2</t>
  </si>
  <si>
    <t>1NazwaPDF2</t>
  </si>
  <si>
    <t>Opis3</t>
  </si>
  <si>
    <t>1Opis3</t>
  </si>
  <si>
    <t>NazwaPDF3</t>
  </si>
  <si>
    <t>1NazwaPDF3</t>
  </si>
  <si>
    <t>Opis4</t>
  </si>
  <si>
    <t>1Opis4</t>
  </si>
  <si>
    <t>NazwaPDF4</t>
  </si>
  <si>
    <t>1NazwaPDF4</t>
  </si>
  <si>
    <t>Opis5</t>
  </si>
  <si>
    <t>1Opis5</t>
  </si>
  <si>
    <t>NazwaPDF5</t>
  </si>
  <si>
    <t>1NazwaPDF5</t>
  </si>
  <si>
    <t>Opis6</t>
  </si>
  <si>
    <t>1Opis6</t>
  </si>
  <si>
    <t>NazwaPDF6</t>
  </si>
  <si>
    <t>1NazwaPDF6</t>
  </si>
  <si>
    <t>Opis7</t>
  </si>
  <si>
    <t>1Opis7</t>
  </si>
  <si>
    <t>NazwaPDF7</t>
  </si>
  <si>
    <t>1NazwaPDF7</t>
  </si>
  <si>
    <t>Opis8</t>
  </si>
  <si>
    <t>1Opis8</t>
  </si>
  <si>
    <t>NazwaPDF8</t>
  </si>
  <si>
    <t>1NazwaPDF8</t>
  </si>
  <si>
    <t>Opis9</t>
  </si>
  <si>
    <t>1Opis9</t>
  </si>
  <si>
    <t>NazwaPDF9</t>
  </si>
  <si>
    <t>1NazwaPDF9</t>
  </si>
  <si>
    <t>Opis10</t>
  </si>
  <si>
    <t>1Opis10</t>
  </si>
  <si>
    <t>NazwaPDF10</t>
  </si>
  <si>
    <t>1NazwaPDF10</t>
  </si>
  <si>
    <t>Opis11</t>
  </si>
  <si>
    <t>1Opis11</t>
  </si>
  <si>
    <t>NazwaPDF11</t>
  </si>
  <si>
    <t>1NazwaPDF11</t>
  </si>
  <si>
    <t>InformacjaDodatkowaDotyczacaPodatkuDochodowego</t>
  </si>
  <si>
    <t>1InformacjaDodatkowaDotyczacaPodatkuDochodowego</t>
  </si>
  <si>
    <t>Pod1</t>
  </si>
  <si>
    <t>P_ID_1</t>
  </si>
  <si>
    <t>P</t>
  </si>
  <si>
    <t>ID</t>
  </si>
  <si>
    <t>3P_ID_1</t>
  </si>
  <si>
    <t>Pod2</t>
  </si>
  <si>
    <t>P_ID_2</t>
  </si>
  <si>
    <t>3P_ID_2</t>
  </si>
  <si>
    <t>P_ID_3</t>
  </si>
  <si>
    <t>3P_ID_3</t>
  </si>
  <si>
    <t>P_ID_4</t>
  </si>
  <si>
    <t>3P_ID_4</t>
  </si>
  <si>
    <t>P_ID_5</t>
  </si>
  <si>
    <t>3P_ID_5</t>
  </si>
  <si>
    <t>P_ID_6</t>
  </si>
  <si>
    <t>3P_ID_6</t>
  </si>
  <si>
    <t>P_ID_7</t>
  </si>
  <si>
    <t>3P_ID_7</t>
  </si>
  <si>
    <t>P_ID_8</t>
  </si>
  <si>
    <t>3P_ID_8</t>
  </si>
  <si>
    <t>P_ID_9</t>
  </si>
  <si>
    <t>3P_ID_9</t>
  </si>
  <si>
    <t>P_ID_10</t>
  </si>
  <si>
    <t>3P_ID_10</t>
  </si>
  <si>
    <t>P_ID_11</t>
  </si>
  <si>
    <t>3P_ID_11</t>
  </si>
  <si>
    <t>Funkcja</t>
  </si>
  <si>
    <t>Arkusz</t>
  </si>
  <si>
    <t>Komórka</t>
  </si>
  <si>
    <t>Ustawienie</t>
  </si>
  <si>
    <t>Dodatkowe parametry</t>
  </si>
  <si>
    <t>chbSumy</t>
  </si>
  <si>
    <t>Aktywa_A_KwotaA</t>
  </si>
  <si>
    <t>Procedura</t>
  </si>
  <si>
    <t>Pasywa_A_KwotaA</t>
  </si>
  <si>
    <t>RZISPorA_KwotaA</t>
  </si>
  <si>
    <t>RZISPorB_KwotaA</t>
  </si>
  <si>
    <t>RZISPorC_KwotaA</t>
  </si>
  <si>
    <t>RZISPorD_KwotaA</t>
  </si>
  <si>
    <t>RZISPorE_KwotaA</t>
  </si>
  <si>
    <t>RZISPorF_KwotaA</t>
  </si>
  <si>
    <t>RZISPorG_KwotaA</t>
  </si>
  <si>
    <t>RZISPorG_1_KwotaA</t>
  </si>
  <si>
    <t>RZISPorH_KwotaA</t>
  </si>
  <si>
    <t>RZISPorI_KwotaA</t>
  </si>
  <si>
    <t>RZISPorL_KwotaA</t>
  </si>
  <si>
    <t>RZISPorA_KwotaB</t>
  </si>
  <si>
    <t>RZISPorB_KwotaB</t>
  </si>
  <si>
    <t>RZISPorC_KwotaB</t>
  </si>
  <si>
    <t>RZISPorD_KwotaB</t>
  </si>
  <si>
    <t>RZISPorE_KwotaB</t>
  </si>
  <si>
    <t>RZISPorH_KwotaB</t>
  </si>
  <si>
    <t>RZISPorG_KwotaB</t>
  </si>
  <si>
    <t>RZISPorG_1_KwotaB</t>
  </si>
  <si>
    <t>RZISPorI_KwotaB</t>
  </si>
  <si>
    <t>RZISPorL_KwotaB</t>
  </si>
  <si>
    <t>Kapital</t>
  </si>
  <si>
    <t>Kapital_1_KwotaA</t>
  </si>
  <si>
    <t>Kapital_1A_KwotaA</t>
  </si>
  <si>
    <t>Kapital_1A_1_KwotaA</t>
  </si>
  <si>
    <t>Kapital_1A_1_1_KwotaA</t>
  </si>
  <si>
    <t>Kapital_1A_1_1_A_KwotaA</t>
  </si>
  <si>
    <t>Kapital_1A_1_1_B_KwotaA</t>
  </si>
  <si>
    <t>Kapital_1A_1_2_KwotaA</t>
  </si>
  <si>
    <t>Kapital_1A_2_KwotaA</t>
  </si>
  <si>
    <t>Kapital_1A_2_1_KwotaA</t>
  </si>
  <si>
    <t>Kapital_1A_2_1_A_KwotaA</t>
  </si>
  <si>
    <t>Kapital_1A_2_1_B_KwotaA</t>
  </si>
  <si>
    <t>Kapital_1A_2_2_KwotaA</t>
  </si>
  <si>
    <t>Kapital_1A_3_KwotaA</t>
  </si>
  <si>
    <t>Kapital_1A_3_1_KwotaA</t>
  </si>
  <si>
    <t>Kapital_1A_3_1_B_KwotaA</t>
  </si>
  <si>
    <t>Kapital_1A_3_2_KwotaA</t>
  </si>
  <si>
    <t>Kapital_1A_4_KwotaA</t>
  </si>
  <si>
    <t>Kapital_1A_4_1_KwotaA</t>
  </si>
  <si>
    <t>Kapital_1A_4_2_KwotaA</t>
  </si>
  <si>
    <t>Kapital_1A_5_KwotaA</t>
  </si>
  <si>
    <t>Kapital_1A_5_1_KwotaA</t>
  </si>
  <si>
    <t>Kapital_1A_5_2_KwotaA</t>
  </si>
  <si>
    <t>Kapital_1A_5_2_A_KwotaA</t>
  </si>
  <si>
    <t>Kapital_1A_5_3_KwotaA</t>
  </si>
  <si>
    <t>Kapital_1A_5_4_KwotaA</t>
  </si>
  <si>
    <t>Kapital_1A_5_5_KwotaA</t>
  </si>
  <si>
    <t>Kapital_1A_5_5_A_KwotaA</t>
  </si>
  <si>
    <t>Kapital_1A_5_6_KwotaA</t>
  </si>
  <si>
    <t>Kapital_1A_5_7_KwotaA</t>
  </si>
  <si>
    <t>Kapital_1A_6_KwotaA</t>
  </si>
  <si>
    <t>Kapital_1A_6_A_KwotaA</t>
  </si>
  <si>
    <t>Kapital_1A_6_B_KwotaA</t>
  </si>
  <si>
    <t>Kapital_2_KwotaA</t>
  </si>
  <si>
    <t>CFPosr_A_KwotaA</t>
  </si>
  <si>
    <t>CFPosr_A_1_KwotaA</t>
  </si>
  <si>
    <t>CFPosr_A_2_KwotaA</t>
  </si>
  <si>
    <t>CFPosr_A_3_KwotaA</t>
  </si>
  <si>
    <t>CFPosr_B_KwotaA</t>
  </si>
  <si>
    <t>CFPosr_B_1_KwotaA</t>
  </si>
  <si>
    <t>CFPosr_B_1_3_KwotaA</t>
  </si>
  <si>
    <t>CFPosr_B_1_3_B_KwotaA</t>
  </si>
  <si>
    <t>CFPosr_B_2_KwotaA</t>
  </si>
  <si>
    <t>CFPosr_B_2_3_KwotaA</t>
  </si>
  <si>
    <t>CFPosr_B_2_3_B_KwotaA</t>
  </si>
  <si>
    <t>CFPosr_B_3_KwotaA</t>
  </si>
  <si>
    <t>CFPosr_C_KwotaA</t>
  </si>
  <si>
    <t>CFPosr_C_1_KwotaA</t>
  </si>
  <si>
    <t>CFPosr_C_2_KwotaA</t>
  </si>
  <si>
    <t>CFPosr_C_3_KwotaA</t>
  </si>
  <si>
    <t>CFPosr_D_KwotaA</t>
  </si>
  <si>
    <t>CFPosr_F_KwotaA</t>
  </si>
  <si>
    <t>CFPosr_G_KwotaA</t>
  </si>
  <si>
    <t>NotaPodatkowa</t>
  </si>
  <si>
    <t>P_ID_1_RB_KwotaA</t>
  </si>
  <si>
    <t>P_ID_2_RB_KwotaA</t>
  </si>
  <si>
    <t>P_ID_3_RB_KwotaA</t>
  </si>
  <si>
    <t>P_ID_4_RB_KwotaA</t>
  </si>
  <si>
    <t>P_ID_5_RB_KwotaA</t>
  </si>
  <si>
    <t>P_ID_6_RB_KwotaA</t>
  </si>
  <si>
    <t>P_ID_7_RB_KwotaA</t>
  </si>
  <si>
    <t>P_ID_8_RB_KwotaA</t>
  </si>
  <si>
    <t>P_ID_9_RB_KwotaA</t>
  </si>
  <si>
    <t>P_ID_10_RB_KwotaA</t>
  </si>
  <si>
    <t>P_ID_11_RB_KwotaA</t>
  </si>
  <si>
    <t>RZISPorA_KwotaC</t>
  </si>
  <si>
    <t>RZISPorB_KwotaC</t>
  </si>
  <si>
    <t>RZISPorC_KwotaC</t>
  </si>
  <si>
    <t>RZISPorD_KwotaC</t>
  </si>
  <si>
    <t>RZISPorE_KwotaC</t>
  </si>
  <si>
    <t>RZISPorF_KwotaC</t>
  </si>
  <si>
    <t>RZISPorG_KwotaC</t>
  </si>
  <si>
    <t>RZISPorG_1_KwotaC</t>
  </si>
  <si>
    <t>RZISPorH_KwotaC</t>
  </si>
  <si>
    <t>RZISPorI_KwotaC</t>
  </si>
  <si>
    <t>RZISPorL_KwotaC</t>
  </si>
  <si>
    <t>Kapital_1A_KwotaC</t>
  </si>
  <si>
    <t>Kapital_1A_1_1_KwotaC</t>
  </si>
  <si>
    <t>Kapital_1A_1_1_A_KwotaC</t>
  </si>
  <si>
    <t>Kapital_1A_1_1_B_KwotaC</t>
  </si>
  <si>
    <t>Kapital_1A_1_2_KwotaC</t>
  </si>
  <si>
    <t>Kapital_1A_2_1_KwotaC</t>
  </si>
  <si>
    <t>Kapital_1A_2_1_A_KwotaC</t>
  </si>
  <si>
    <t>Kapital_1A_2_1_B_KwotaC</t>
  </si>
  <si>
    <t>Kapital_1A_2_2_KwotaC</t>
  </si>
  <si>
    <t>Kapital_1A_3_1_KwotaC</t>
  </si>
  <si>
    <t>Kapital_1A_3_1_B_KwotaC</t>
  </si>
  <si>
    <t>Kapital_1A_3_2_KwotaC</t>
  </si>
  <si>
    <t>Kapital_1A_4_1_KwotaC</t>
  </si>
  <si>
    <t>Kapital_1A_4_2_KwotaC</t>
  </si>
  <si>
    <t>Kapital_1A_5_KwotaC</t>
  </si>
  <si>
    <t>Kapital_1A_5_2_KwotaC</t>
  </si>
  <si>
    <t>Kapital_1A_5_2_A_KwotaC</t>
  </si>
  <si>
    <t>Kapital_1A_5_3_KwotaC</t>
  </si>
  <si>
    <t>Kapital_1A_5_5_KwotaC</t>
  </si>
  <si>
    <t>Kapital_1A_5_5_A_KwotaC</t>
  </si>
  <si>
    <t>Kapital_1A_5_6_KwotaC</t>
  </si>
  <si>
    <t>Kapital_1A_5_7_KwotaC</t>
  </si>
  <si>
    <t>Kapital_1A_6_KwotaC</t>
  </si>
  <si>
    <t>Kapital_1A_6_A_KwotaC</t>
  </si>
  <si>
    <t>Kapital_1A_6_B_KwotaC</t>
  </si>
  <si>
    <t>Kapital_2_KwotaC</t>
  </si>
  <si>
    <t>CFPosr_A_KwotaC</t>
  </si>
  <si>
    <t>CFPosr_A_1_KwotaC</t>
  </si>
  <si>
    <t>CFPosr_A_2_KwotaC</t>
  </si>
  <si>
    <t>CFPosr_A_3_KwotaC</t>
  </si>
  <si>
    <t>CFPosr_B_KwotaC</t>
  </si>
  <si>
    <t>CFPosr_B_1_KwotaC</t>
  </si>
  <si>
    <t>CFPosr_B_1_3_KwotaC</t>
  </si>
  <si>
    <t>CFPosr_B_1_3_B_KwotaC</t>
  </si>
  <si>
    <t>CFPosr_B_2_KwotaC</t>
  </si>
  <si>
    <t>CFPosr_B_2_3_KwotaC</t>
  </si>
  <si>
    <t>CFPosr_B_2_3_B_KwotaC</t>
  </si>
  <si>
    <t>CFPosr_B_3_KwotaC</t>
  </si>
  <si>
    <t>CFPosr_C_KwotaC</t>
  </si>
  <si>
    <t>CFPosr_C_1_KwotaC</t>
  </si>
  <si>
    <t>CFPosr_C_2_KwotaC</t>
  </si>
  <si>
    <t>CFPosr_C_3_KwotaC</t>
  </si>
  <si>
    <t>CFPosr_D_KwotaC</t>
  </si>
  <si>
    <t>CFPosr_G_KwotaC</t>
  </si>
  <si>
    <t>chbNoty</t>
  </si>
  <si>
    <t>Aktywa_A_1_1_KwotaA</t>
  </si>
  <si>
    <t>Aktywa_A_1_2_KwotaA</t>
  </si>
  <si>
    <t>Aktywa_A_1_3_KwotaA</t>
  </si>
  <si>
    <t>Aktywa_A_1_4_KwotaA</t>
  </si>
  <si>
    <t>Aktywa_A_2_1_A_KwotaA</t>
  </si>
  <si>
    <t>Aktywa_A_2_1_B_KwotaA</t>
  </si>
  <si>
    <t>Aktywa_A_2_1_C_KwotaA</t>
  </si>
  <si>
    <t>Aktywa_A_2_1_D_KwotaA</t>
  </si>
  <si>
    <t>Aktywa_A_2_1_E_KwotaA</t>
  </si>
  <si>
    <t>Aktywa_A_2_2_KwotaA</t>
  </si>
  <si>
    <t>Aktywa_A_3_1_KwotaA</t>
  </si>
  <si>
    <t>Aktywa_A_3_2_KwotaA</t>
  </si>
  <si>
    <t>Aktywa_A_3_3_KwotaA</t>
  </si>
  <si>
    <t>Aktywa_A_4_1_KwotaA</t>
  </si>
  <si>
    <t>Aktywa_A_4_2_KwotaA</t>
  </si>
  <si>
    <t>Aktywa_A_4_4_KwotaA</t>
  </si>
  <si>
    <t>Aktywa_A_5_1_KwotaA</t>
  </si>
  <si>
    <t>Aktywa_A_5_2_KwotaA</t>
  </si>
  <si>
    <t>Aktywa_B_1_1_KwotaA</t>
  </si>
  <si>
    <t>Aktywa_B_1_2_KwotaA</t>
  </si>
  <si>
    <t>Aktywa_B_1_3_KwotaA</t>
  </si>
  <si>
    <t>Aktywa_B_1_4_KwotaA</t>
  </si>
  <si>
    <t>Aktywa_B_2_1_A_1_KwotaA</t>
  </si>
  <si>
    <t>Aktywa_B_2_1_A_2_KwotaA</t>
  </si>
  <si>
    <t>Aktywa_B_2_1_B_KwotaA</t>
  </si>
  <si>
    <t>Aktywa_B_2_2_A_1_KwotaA</t>
  </si>
  <si>
    <t>Aktywa_B_2_2_A_2_KwotaA</t>
  </si>
  <si>
    <t>Aktywa_B_2_2_B_KwotaA</t>
  </si>
  <si>
    <t>Aktywa_B_2_3_A_1_KwotaA</t>
  </si>
  <si>
    <t>Aktywa_B_2_3_A_2_KwotaA</t>
  </si>
  <si>
    <t>Aktywa_B_2_3_B_KwotaA</t>
  </si>
  <si>
    <t>Aktywa_B_2_3_C_KwotaA</t>
  </si>
  <si>
    <t>Aktywa_B_2_3_D_KwotaA</t>
  </si>
  <si>
    <t>Aktywa_B_4_KwotaA</t>
  </si>
  <si>
    <t>Pasywa_A_1_KwotaA</t>
  </si>
  <si>
    <t>Pasywa_B_1_1_KwotaA</t>
  </si>
  <si>
    <t>Pasywa_B_1_2_1_KwotaA</t>
  </si>
  <si>
    <t>Pasywa_B_1_2_2_KwotaA</t>
  </si>
  <si>
    <t>Pasywa_B_1_3_1_KwotaA</t>
  </si>
  <si>
    <t>Pasywa_B_1_3_2_KwotaA</t>
  </si>
  <si>
    <t>Pasywa_B_2_1_KwotaA</t>
  </si>
  <si>
    <t>Pasywa_B_2_2_KwotaA</t>
  </si>
  <si>
    <t>Pasywa_B_2_3_A_KwotaA</t>
  </si>
  <si>
    <t>Pasywa_B_2_3_B_KwotaA</t>
  </si>
  <si>
    <t>Pasywa_B_2_3_C_KwotaA</t>
  </si>
  <si>
    <t>Pasywa_B_2_3_D_KwotaA</t>
  </si>
  <si>
    <t>Pasywa_B_2_3_E_KwotaA</t>
  </si>
  <si>
    <t>Pasywa_B_3_1_B_KwotaA</t>
  </si>
  <si>
    <t>Pasywa_B_3_2_B_KwotaA</t>
  </si>
  <si>
    <t>Pasywa_B_3_3_A_KwotaA</t>
  </si>
  <si>
    <t>Pasywa_B_3_3_B_KwotaA</t>
  </si>
  <si>
    <t>Pasywa_B_3_3_C_KwotaA</t>
  </si>
  <si>
    <t>Pasywa_B_3_3_F_KwotaA</t>
  </si>
  <si>
    <t>Pasywa_B_3_3_I_KwotaA</t>
  </si>
  <si>
    <t>Pasywa_B_4_2_1_KwotaA</t>
  </si>
  <si>
    <t>Pasywa_B_4_2_2_KwotaA</t>
  </si>
  <si>
    <t>RZISPorA_1_KwotaA</t>
  </si>
  <si>
    <t>RZISPorA_4_KwotaA</t>
  </si>
  <si>
    <t>RZISPorA_1_KwotaB</t>
  </si>
  <si>
    <t>RZISPorA_4_KwotaB</t>
  </si>
  <si>
    <t>RZISPorD_1_KwotaA</t>
  </si>
  <si>
    <t>RZISPorD_2_KwotaA</t>
  </si>
  <si>
    <t>RZISPorD_3_KwotaA</t>
  </si>
  <si>
    <t>RZISPorD_4_KwotaA</t>
  </si>
  <si>
    <t>RZISPorE_1_KwotaA</t>
  </si>
  <si>
    <t>RZISPorE_2_KwotaA</t>
  </si>
  <si>
    <t>RZISPorE_3_KwotaA</t>
  </si>
  <si>
    <t>RZISPorD_1_KwotaB</t>
  </si>
  <si>
    <t>RZISPorD_2_KwotaB</t>
  </si>
  <si>
    <t>RZISPorD_3_KwotaB</t>
  </si>
  <si>
    <t>RZISPorD_4_KwotaB</t>
  </si>
  <si>
    <t>RZISPorE_1_KwotaB</t>
  </si>
  <si>
    <t>RZISPorE_2_KwotaB</t>
  </si>
  <si>
    <t>RZISPorE_3_KwotaB</t>
  </si>
  <si>
    <t>RZISPorG_4_KwotaA</t>
  </si>
  <si>
    <t>RZISPorG_5_KwotaA</t>
  </si>
  <si>
    <t>RZISPorG_4_KwotaB</t>
  </si>
  <si>
    <t>RZISPorG_5_KwotaB</t>
  </si>
  <si>
    <t>RZISPorH_3_KwotaA</t>
  </si>
  <si>
    <t>RZISPorH_4_KwotaA</t>
  </si>
  <si>
    <t>RZISPorH_3_KwotaB</t>
  </si>
  <si>
    <t>RZISPorH_4_KwotaB</t>
  </si>
  <si>
    <t>RZISPorJ_KwotaA</t>
  </si>
  <si>
    <t>RZISPorJ_KwotaB</t>
  </si>
  <si>
    <t>Aktywa_B_3_1_C_1_KwotaA</t>
  </si>
  <si>
    <t>chbUkryj</t>
  </si>
  <si>
    <t>SpisTresci</t>
  </si>
  <si>
    <t>K6</t>
  </si>
  <si>
    <t>odkryj</t>
  </si>
  <si>
    <t>K7</t>
  </si>
  <si>
    <t>K8</t>
  </si>
  <si>
    <t>K9</t>
  </si>
  <si>
    <t>K10</t>
  </si>
  <si>
    <t>K11</t>
  </si>
  <si>
    <t>K12</t>
  </si>
  <si>
    <t>K13</t>
  </si>
  <si>
    <t>Oswiadczenie</t>
  </si>
  <si>
    <t>K3</t>
  </si>
  <si>
    <t>K4</t>
  </si>
  <si>
    <t>K5</t>
  </si>
  <si>
    <t>K14</t>
  </si>
  <si>
    <t>K15</t>
  </si>
  <si>
    <t>K16</t>
  </si>
  <si>
    <t>K17</t>
  </si>
  <si>
    <t>K18</t>
  </si>
  <si>
    <t>K19</t>
  </si>
  <si>
    <t>K20</t>
  </si>
  <si>
    <t>K21</t>
  </si>
  <si>
    <t>K22</t>
  </si>
  <si>
    <t>K23</t>
  </si>
  <si>
    <t>K24</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</si>
  <si>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</si>
  <si>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</si>
  <si>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</si>
  <si>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</si>
  <si>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</si>
  <si>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</si>
  <si>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</si>
  <si>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</si>
  <si>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</si>
  <si>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</si>
  <si>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</si>
  <si>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</si>
  <si>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</si>
  <si>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</si>
  <si>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</si>
  <si>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</si>
  <si>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</si>
  <si>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</si>
  <si>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</si>
  <si>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</si>
  <si>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</si>
  <si>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</si>
  <si>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</si>
  <si>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</si>
  <si>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K49</t>
  </si>
  <si>
    <t>K50</t>
  </si>
  <si>
    <t>K51</t>
  </si>
  <si>
    <t>K52</t>
  </si>
  <si>
    <t>K53</t>
  </si>
  <si>
    <t>K54</t>
  </si>
  <si>
    <t>Wstep</t>
  </si>
  <si>
    <t>K2</t>
  </si>
  <si>
    <t>ukryj</t>
  </si>
  <si>
    <t>K55</t>
  </si>
  <si>
    <t>K56</t>
  </si>
  <si>
    <t>K57</t>
  </si>
  <si>
    <t>K58</t>
  </si>
  <si>
    <t>K59</t>
  </si>
  <si>
    <t>K60</t>
  </si>
  <si>
    <t>K61</t>
  </si>
  <si>
    <t>K62</t>
  </si>
  <si>
    <t>K63</t>
  </si>
  <si>
    <t>K64</t>
  </si>
  <si>
    <t>K65</t>
  </si>
  <si>
    <t>K66</t>
  </si>
  <si>
    <t>K67</t>
  </si>
  <si>
    <t>K68</t>
  </si>
  <si>
    <t>K69</t>
  </si>
  <si>
    <t>K70</t>
  </si>
  <si>
    <t>K71</t>
  </si>
  <si>
    <t>K72</t>
  </si>
  <si>
    <t>K73</t>
  </si>
  <si>
    <t>K74</t>
  </si>
  <si>
    <t>K75</t>
  </si>
  <si>
    <t>K76</t>
  </si>
  <si>
    <t>K77</t>
  </si>
  <si>
    <t>K78</t>
  </si>
  <si>
    <t>K79</t>
  </si>
  <si>
    <t>K80</t>
  </si>
  <si>
    <t>K81</t>
  </si>
  <si>
    <t>K82</t>
  </si>
  <si>
    <t>K83</t>
  </si>
  <si>
    <t>K84</t>
  </si>
  <si>
    <t>K85</t>
  </si>
  <si>
    <t>K86</t>
  </si>
  <si>
    <t>K87</t>
  </si>
  <si>
    <t>K88</t>
  </si>
  <si>
    <t>K89</t>
  </si>
  <si>
    <t>K90</t>
  </si>
  <si>
    <t>K91</t>
  </si>
  <si>
    <t>K92</t>
  </si>
  <si>
    <t>K93</t>
  </si>
  <si>
    <t>K94</t>
  </si>
  <si>
    <t>K95</t>
  </si>
  <si>
    <t>K96</t>
  </si>
  <si>
    <t>K97</t>
  </si>
  <si>
    <t>K98</t>
  </si>
  <si>
    <t>K99</t>
  </si>
  <si>
    <t>K100</t>
  </si>
  <si>
    <t>K101</t>
  </si>
  <si>
    <t>K102</t>
  </si>
  <si>
    <t>K103</t>
  </si>
  <si>
    <t>K104</t>
  </si>
  <si>
    <t>K105</t>
  </si>
  <si>
    <t>K106</t>
  </si>
  <si>
    <t>K107</t>
  </si>
  <si>
    <t>K108</t>
  </si>
  <si>
    <t>K109</t>
  </si>
  <si>
    <t>K110</t>
  </si>
  <si>
    <t>K111</t>
  </si>
  <si>
    <t>K112</t>
  </si>
  <si>
    <t>K113</t>
  </si>
  <si>
    <t>K114</t>
  </si>
  <si>
    <t>K115</t>
  </si>
  <si>
    <t>K116</t>
  </si>
  <si>
    <t>K117</t>
  </si>
  <si>
    <t>K118</t>
  </si>
  <si>
    <t>K119</t>
  </si>
  <si>
    <t>K120</t>
  </si>
  <si>
    <t>K121</t>
  </si>
  <si>
    <t>K122</t>
  </si>
  <si>
    <t>K123</t>
  </si>
  <si>
    <t>K124</t>
  </si>
  <si>
    <t>K125</t>
  </si>
  <si>
    <t>K126</t>
  </si>
  <si>
    <t>K127</t>
  </si>
  <si>
    <t>K128</t>
  </si>
  <si>
    <t>K129</t>
  </si>
  <si>
    <t>K130</t>
  </si>
  <si>
    <t>K131</t>
  </si>
  <si>
    <t>K132</t>
  </si>
  <si>
    <t>K133</t>
  </si>
  <si>
    <t>K134</t>
  </si>
  <si>
    <t>K135</t>
  </si>
  <si>
    <t>K136</t>
  </si>
  <si>
    <t>K137</t>
  </si>
  <si>
    <t>K138</t>
  </si>
  <si>
    <t>K139</t>
  </si>
  <si>
    <t>K140</t>
  </si>
  <si>
    <t>K141</t>
  </si>
  <si>
    <t>K142</t>
  </si>
  <si>
    <t>K143</t>
  </si>
  <si>
    <t>K144</t>
  </si>
  <si>
    <t>K145</t>
  </si>
  <si>
    <t>K146</t>
  </si>
  <si>
    <t>K147</t>
  </si>
  <si>
    <t>K148</t>
  </si>
  <si>
    <t>K149</t>
  </si>
  <si>
    <t>K150</t>
  </si>
  <si>
    <t>K151</t>
  </si>
  <si>
    <t>K152</t>
  </si>
  <si>
    <t>K153</t>
  </si>
  <si>
    <t>K154</t>
  </si>
  <si>
    <t>K155</t>
  </si>
  <si>
    <t>K156</t>
  </si>
  <si>
    <t>K157</t>
  </si>
  <si>
    <t>K158</t>
  </si>
  <si>
    <t>K159</t>
  </si>
  <si>
    <t>K160</t>
  </si>
  <si>
    <t>K161</t>
  </si>
  <si>
    <t>K162</t>
  </si>
  <si>
    <t>K163</t>
  </si>
  <si>
    <t>K164</t>
  </si>
  <si>
    <t>K165</t>
  </si>
  <si>
    <t>K166</t>
  </si>
  <si>
    <t>K167</t>
  </si>
  <si>
    <t>K168</t>
  </si>
  <si>
    <t>K169</t>
  </si>
  <si>
    <t>K170</t>
  </si>
  <si>
    <t>K171</t>
  </si>
  <si>
    <t>K172</t>
  </si>
  <si>
    <t>K173</t>
  </si>
  <si>
    <t>K174</t>
  </si>
  <si>
    <t>K175</t>
  </si>
  <si>
    <t>K176</t>
  </si>
  <si>
    <t>K177</t>
  </si>
  <si>
    <t>K178</t>
  </si>
  <si>
    <t>K179</t>
  </si>
  <si>
    <t>K180</t>
  </si>
  <si>
    <t>K181</t>
  </si>
  <si>
    <t>K182</t>
  </si>
  <si>
    <t>K183</t>
  </si>
  <si>
    <t>K184</t>
  </si>
  <si>
    <t>K185</t>
  </si>
  <si>
    <t>K186</t>
  </si>
  <si>
    <t>K187</t>
  </si>
  <si>
    <t>K188</t>
  </si>
  <si>
    <t>K189</t>
  </si>
  <si>
    <t>K190</t>
  </si>
  <si>
    <t>K191</t>
  </si>
  <si>
    <t>K192</t>
  </si>
  <si>
    <t>K193</t>
  </si>
  <si>
    <t>K194</t>
  </si>
  <si>
    <t>K195</t>
  </si>
  <si>
    <t>K196</t>
  </si>
  <si>
    <t>K197</t>
  </si>
  <si>
    <t>K198</t>
  </si>
  <si>
    <t>K199</t>
  </si>
  <si>
    <t>K200</t>
  </si>
  <si>
    <t>K201</t>
  </si>
  <si>
    <t>K202</t>
  </si>
  <si>
    <t>K203</t>
  </si>
  <si>
    <t>K204</t>
  </si>
  <si>
    <t>K205</t>
  </si>
  <si>
    <t>K206</t>
  </si>
  <si>
    <t>K207</t>
  </si>
  <si>
    <t>K208</t>
  </si>
  <si>
    <t>K209</t>
  </si>
  <si>
    <t>K210</t>
  </si>
  <si>
    <t>K211</t>
  </si>
  <si>
    <t>K212</t>
  </si>
  <si>
    <t>K213</t>
  </si>
  <si>
    <t>K214</t>
  </si>
  <si>
    <t>K215</t>
  </si>
  <si>
    <t>K216</t>
  </si>
  <si>
    <t>K217</t>
  </si>
  <si>
    <t>K218</t>
  </si>
  <si>
    <t>K219</t>
  </si>
  <si>
    <t>K220</t>
  </si>
  <si>
    <t>K221</t>
  </si>
  <si>
    <t>K222</t>
  </si>
  <si>
    <t>K223</t>
  </si>
  <si>
    <t>K224</t>
  </si>
  <si>
    <t>K225</t>
  </si>
  <si>
    <t>K226</t>
  </si>
  <si>
    <t>K227</t>
  </si>
  <si>
    <t>K228</t>
  </si>
  <si>
    <t>K229</t>
  </si>
  <si>
    <t>K230</t>
  </si>
  <si>
    <t>K231</t>
  </si>
  <si>
    <t>K232</t>
  </si>
  <si>
    <t>K233</t>
  </si>
  <si>
    <t>K234</t>
  </si>
  <si>
    <t>K235</t>
  </si>
  <si>
    <t>K236</t>
  </si>
  <si>
    <t>K237</t>
  </si>
  <si>
    <t>K238</t>
  </si>
  <si>
    <t>K239</t>
  </si>
  <si>
    <t>K240</t>
  </si>
  <si>
    <t>K241</t>
  </si>
  <si>
    <t>K242</t>
  </si>
  <si>
    <t>K243</t>
  </si>
  <si>
    <t>K244</t>
  </si>
  <si>
    <t>K245</t>
  </si>
  <si>
    <t>K246</t>
  </si>
  <si>
    <t>K247</t>
  </si>
  <si>
    <t>K248</t>
  </si>
  <si>
    <t>K249</t>
  </si>
  <si>
    <t>K250</t>
  </si>
  <si>
    <t>K251</t>
  </si>
  <si>
    <t>K252</t>
  </si>
  <si>
    <t>K253</t>
  </si>
  <si>
    <t>K254</t>
  </si>
  <si>
    <t>K255</t>
  </si>
  <si>
    <t>K256</t>
  </si>
  <si>
    <t>K257</t>
  </si>
  <si>
    <t>K258</t>
  </si>
  <si>
    <t>K259</t>
  </si>
  <si>
    <t>K260</t>
  </si>
  <si>
    <t>K261</t>
  </si>
  <si>
    <t>K262</t>
  </si>
  <si>
    <t>K263</t>
  </si>
  <si>
    <t>K264</t>
  </si>
  <si>
    <t>K265</t>
  </si>
  <si>
    <t>K266</t>
  </si>
  <si>
    <t>K267</t>
  </si>
  <si>
    <t>K268</t>
  </si>
  <si>
    <t>K269</t>
  </si>
  <si>
    <t>K270</t>
  </si>
  <si>
    <t>K271</t>
  </si>
  <si>
    <t>K272</t>
  </si>
  <si>
    <t>K273</t>
  </si>
  <si>
    <t>K274</t>
  </si>
  <si>
    <t>K275</t>
  </si>
  <si>
    <t>K276</t>
  </si>
  <si>
    <t>K277</t>
  </si>
  <si>
    <t>K278</t>
  </si>
  <si>
    <t>K279</t>
  </si>
  <si>
    <t>K280</t>
  </si>
  <si>
    <t>K281</t>
  </si>
  <si>
    <t>K282</t>
  </si>
  <si>
    <t>K283</t>
  </si>
  <si>
    <t>K284</t>
  </si>
  <si>
    <t>K285</t>
  </si>
  <si>
    <t>K286</t>
  </si>
  <si>
    <t>K287</t>
  </si>
  <si>
    <t>K288</t>
  </si>
  <si>
    <t>K289</t>
  </si>
  <si>
    <t>K290</t>
  </si>
  <si>
    <t>K291</t>
  </si>
  <si>
    <t>K292</t>
  </si>
  <si>
    <t>K293</t>
  </si>
  <si>
    <t>K294</t>
  </si>
  <si>
    <t>K295</t>
  </si>
  <si>
    <t>K296</t>
  </si>
  <si>
    <t>K297</t>
  </si>
  <si>
    <t>K298</t>
  </si>
  <si>
    <t>K299</t>
  </si>
  <si>
    <t>K300</t>
  </si>
  <si>
    <t>K301</t>
  </si>
  <si>
    <t>K302</t>
  </si>
  <si>
    <t>K303</t>
  </si>
  <si>
    <t>K304</t>
  </si>
  <si>
    <t>K305</t>
  </si>
  <si>
    <t>K306</t>
  </si>
  <si>
    <t>K307</t>
  </si>
  <si>
    <t>K308</t>
  </si>
  <si>
    <t>K309</t>
  </si>
  <si>
    <t>K310</t>
  </si>
  <si>
    <t>K311</t>
  </si>
  <si>
    <t>K312</t>
  </si>
  <si>
    <t>K313</t>
  </si>
  <si>
    <t>K314</t>
  </si>
  <si>
    <t>K315</t>
  </si>
  <si>
    <t>K316</t>
  </si>
  <si>
    <t>K317</t>
  </si>
  <si>
    <t>K318</t>
  </si>
  <si>
    <t>K319</t>
  </si>
  <si>
    <t>K320</t>
  </si>
  <si>
    <t>K321</t>
  </si>
  <si>
    <t>K322</t>
  </si>
  <si>
    <t>K323</t>
  </si>
  <si>
    <t>K324</t>
  </si>
  <si>
    <t>K325</t>
  </si>
  <si>
    <t>K326</t>
  </si>
  <si>
    <t>K327</t>
  </si>
  <si>
    <t>K328</t>
  </si>
  <si>
    <t>K329</t>
  </si>
  <si>
    <t>K330</t>
  </si>
  <si>
    <t>K331</t>
  </si>
  <si>
    <t>K332</t>
  </si>
  <si>
    <t>K333</t>
  </si>
  <si>
    <t>K334</t>
  </si>
  <si>
    <t>K335</t>
  </si>
  <si>
    <t>K336</t>
  </si>
  <si>
    <t>K337</t>
  </si>
  <si>
    <t>K338</t>
  </si>
  <si>
    <t>K339</t>
  </si>
  <si>
    <t>K340</t>
  </si>
  <si>
    <t>K341</t>
  </si>
  <si>
    <t>K342</t>
  </si>
  <si>
    <t>K343</t>
  </si>
  <si>
    <t>K344</t>
  </si>
  <si>
    <t>K345</t>
  </si>
  <si>
    <t>K346</t>
  </si>
  <si>
    <t>K347</t>
  </si>
  <si>
    <t>K348</t>
  </si>
  <si>
    <t>K349</t>
  </si>
  <si>
    <t>K350</t>
  </si>
  <si>
    <t>K351</t>
  </si>
  <si>
    <t>K352</t>
  </si>
  <si>
    <t>K353</t>
  </si>
  <si>
    <t>K354</t>
  </si>
  <si>
    <t>K355</t>
  </si>
  <si>
    <t>K356</t>
  </si>
  <si>
    <t>K357</t>
  </si>
  <si>
    <t>K358</t>
  </si>
  <si>
    <t>K359</t>
  </si>
  <si>
    <t>K360</t>
  </si>
  <si>
    <t>K361</t>
  </si>
  <si>
    <t>K362</t>
  </si>
  <si>
    <t>K363</t>
  </si>
  <si>
    <t>K364</t>
  </si>
  <si>
    <t>K365</t>
  </si>
  <si>
    <t>K366</t>
  </si>
  <si>
    <t>K367</t>
  </si>
  <si>
    <t>K368</t>
  </si>
  <si>
    <t>K369</t>
  </si>
  <si>
    <t>K370</t>
  </si>
  <si>
    <t>K371</t>
  </si>
  <si>
    <t>K372</t>
  </si>
  <si>
    <t>K373</t>
  </si>
  <si>
    <t>K374</t>
  </si>
  <si>
    <t>K375</t>
  </si>
  <si>
    <t>K376</t>
  </si>
  <si>
    <t>K377</t>
  </si>
  <si>
    <t>K378</t>
  </si>
  <si>
    <t>K379</t>
  </si>
  <si>
    <t>K380</t>
  </si>
  <si>
    <t>K381</t>
  </si>
  <si>
    <t>K382</t>
  </si>
  <si>
    <t>K383</t>
  </si>
  <si>
    <t>K384</t>
  </si>
  <si>
    <t>K385</t>
  </si>
  <si>
    <t>K386</t>
  </si>
  <si>
    <t>K387</t>
  </si>
  <si>
    <t>K388</t>
  </si>
  <si>
    <t>K389</t>
  </si>
  <si>
    <t>K390</t>
  </si>
  <si>
    <t>K391</t>
  </si>
  <si>
    <t>K392</t>
  </si>
  <si>
    <t>K393</t>
  </si>
  <si>
    <t>K394</t>
  </si>
  <si>
    <t>K395</t>
  </si>
  <si>
    <t>K396</t>
  </si>
  <si>
    <t>K397</t>
  </si>
  <si>
    <t>K398</t>
  </si>
  <si>
    <t>K399</t>
  </si>
  <si>
    <t>K400</t>
  </si>
  <si>
    <t>K401</t>
  </si>
  <si>
    <t>K402</t>
  </si>
  <si>
    <t>K403</t>
  </si>
  <si>
    <t>K404</t>
  </si>
  <si>
    <t>K405</t>
  </si>
  <si>
    <t>K406</t>
  </si>
  <si>
    <t>K407</t>
  </si>
  <si>
    <t>K408</t>
  </si>
  <si>
    <t>K409</t>
  </si>
  <si>
    <t>K410</t>
  </si>
  <si>
    <t>K411</t>
  </si>
  <si>
    <t>K412</t>
  </si>
  <si>
    <t>K413</t>
  </si>
  <si>
    <t>K414</t>
  </si>
  <si>
    <t>K415</t>
  </si>
  <si>
    <t>K416</t>
  </si>
  <si>
    <t>K417</t>
  </si>
  <si>
    <t>K418</t>
  </si>
  <si>
    <t>K419</t>
  </si>
  <si>
    <t>K420</t>
  </si>
  <si>
    <t>K421</t>
  </si>
  <si>
    <t>K422</t>
  </si>
  <si>
    <t>K423</t>
  </si>
  <si>
    <t>K424</t>
  </si>
  <si>
    <t>K425</t>
  </si>
  <si>
    <t>K426</t>
  </si>
  <si>
    <t>K427</t>
  </si>
  <si>
    <t>K428</t>
  </si>
  <si>
    <t>M7</t>
  </si>
  <si>
    <t>M8</t>
  </si>
  <si>
    <t>M9</t>
  </si>
  <si>
    <t>M10</t>
  </si>
  <si>
    <t>M11</t>
  </si>
  <si>
    <t>M12</t>
  </si>
  <si>
    <t>M13</t>
  </si>
  <si>
    <t>M14</t>
  </si>
  <si>
    <t>M15</t>
  </si>
  <si>
    <t>M16</t>
  </si>
  <si>
    <t>M17</t>
  </si>
  <si>
    <t>M18</t>
  </si>
  <si>
    <t>M19</t>
  </si>
  <si>
    <t>M20</t>
  </si>
  <si>
    <t>NotyPrzycisk</t>
  </si>
  <si>
    <t>J2</t>
  </si>
  <si>
    <t>J3</t>
  </si>
  <si>
    <t>J4</t>
  </si>
  <si>
    <t>J5</t>
  </si>
  <si>
    <t>J6</t>
  </si>
  <si>
    <t>J7</t>
  </si>
  <si>
    <t>J8</t>
  </si>
  <si>
    <t>J9</t>
  </si>
  <si>
    <t>J10</t>
  </si>
  <si>
    <t>J11</t>
  </si>
  <si>
    <t>J12</t>
  </si>
  <si>
    <t>J13</t>
  </si>
  <si>
    <t>J14</t>
  </si>
  <si>
    <t>J15</t>
  </si>
  <si>
    <t>J16</t>
  </si>
  <si>
    <t>J17</t>
  </si>
  <si>
    <t>J18</t>
  </si>
  <si>
    <t>J19</t>
  </si>
  <si>
    <t>J20</t>
  </si>
  <si>
    <t>J21</t>
  </si>
  <si>
    <t>J22</t>
  </si>
  <si>
    <t>J23</t>
  </si>
  <si>
    <t>J24</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</si>
  <si>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</si>
  <si>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</si>
  <si>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</si>
  <si>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</si>
  <si>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</si>
  <si>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</si>
  <si>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</si>
  <si>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</si>
  <si>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</si>
  <si>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</si>
  <si>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</si>
  <si>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</si>
  <si>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</si>
  <si>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</si>
  <si>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</si>
  <si>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</si>
  <si>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</si>
  <si>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</si>
  <si>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</si>
  <si>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</si>
  <si>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</si>
  <si>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</si>
  <si>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</si>
  <si>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</si>
  <si>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J49</t>
  </si>
  <si>
    <t>J50</t>
  </si>
  <si>
    <t>J51</t>
  </si>
  <si>
    <t>J52</t>
  </si>
  <si>
    <t>J53</t>
  </si>
  <si>
    <t>J54</t>
  </si>
  <si>
    <t>J55</t>
  </si>
  <si>
    <t>J56</t>
  </si>
  <si>
    <t>J57</t>
  </si>
  <si>
    <t>J58</t>
  </si>
  <si>
    <t>J59</t>
  </si>
  <si>
    <t>J60</t>
  </si>
  <si>
    <t>J61</t>
  </si>
  <si>
    <t>J62</t>
  </si>
  <si>
    <t>J63</t>
  </si>
  <si>
    <t>J64</t>
  </si>
  <si>
    <t>J65</t>
  </si>
  <si>
    <t>J66</t>
  </si>
  <si>
    <t>J67</t>
  </si>
  <si>
    <t>J68</t>
  </si>
  <si>
    <t>J69</t>
  </si>
  <si>
    <t>J70</t>
  </si>
  <si>
    <t>J71</t>
  </si>
  <si>
    <t>J72</t>
  </si>
  <si>
    <t>J73</t>
  </si>
  <si>
    <t>J74</t>
  </si>
  <si>
    <t>J75</t>
  </si>
  <si>
    <t>J76</t>
  </si>
  <si>
    <t>J77</t>
  </si>
  <si>
    <t>J78</t>
  </si>
  <si>
    <t>J79</t>
  </si>
  <si>
    <t>J80</t>
  </si>
  <si>
    <t>J81</t>
  </si>
  <si>
    <t>J82</t>
  </si>
  <si>
    <t>J83</t>
  </si>
  <si>
    <t>J84</t>
  </si>
  <si>
    <t>J85</t>
  </si>
  <si>
    <t>J86</t>
  </si>
  <si>
    <t>J87</t>
  </si>
  <si>
    <t>J88</t>
  </si>
  <si>
    <t>J89</t>
  </si>
  <si>
    <t>J90</t>
  </si>
  <si>
    <t>J91</t>
  </si>
  <si>
    <t>J92</t>
  </si>
  <si>
    <t>J93</t>
  </si>
  <si>
    <t>J94</t>
  </si>
  <si>
    <t>J95</t>
  </si>
  <si>
    <t>J96</t>
  </si>
  <si>
    <t>J97</t>
  </si>
  <si>
    <t>J98</t>
  </si>
  <si>
    <t>J99</t>
  </si>
  <si>
    <t>J100</t>
  </si>
  <si>
    <t>J101</t>
  </si>
  <si>
    <t>J102</t>
  </si>
  <si>
    <t>J103</t>
  </si>
  <si>
    <t>J104</t>
  </si>
  <si>
    <t>J105</t>
  </si>
  <si>
    <t>J106</t>
  </si>
  <si>
    <t>J107</t>
  </si>
  <si>
    <t>J108</t>
  </si>
  <si>
    <t>J109</t>
  </si>
  <si>
    <t>J110</t>
  </si>
  <si>
    <t>J111</t>
  </si>
  <si>
    <t>J112</t>
  </si>
  <si>
    <t>J113</t>
  </si>
  <si>
    <t>J114</t>
  </si>
  <si>
    <t>J115</t>
  </si>
  <si>
    <t>J116</t>
  </si>
  <si>
    <t>J117</t>
  </si>
  <si>
    <t>J118</t>
  </si>
  <si>
    <t>J119</t>
  </si>
  <si>
    <t>J120</t>
  </si>
  <si>
    <t>J121</t>
  </si>
  <si>
    <t>J122</t>
  </si>
  <si>
    <t>J123</t>
  </si>
  <si>
    <t>J124</t>
  </si>
  <si>
    <t>J125</t>
  </si>
  <si>
    <t>J126</t>
  </si>
  <si>
    <t>J127</t>
  </si>
  <si>
    <t>J128</t>
  </si>
  <si>
    <t>J129</t>
  </si>
  <si>
    <t>J130</t>
  </si>
  <si>
    <t>J131</t>
  </si>
  <si>
    <t>J132</t>
  </si>
  <si>
    <t>J133</t>
  </si>
  <si>
    <t>J134</t>
  </si>
  <si>
    <t>J135</t>
  </si>
  <si>
    <t>J136</t>
  </si>
  <si>
    <t>J137</t>
  </si>
  <si>
    <t>J138</t>
  </si>
  <si>
    <t>J139</t>
  </si>
  <si>
    <t>J140</t>
  </si>
  <si>
    <t>J141</t>
  </si>
  <si>
    <t>J142</t>
  </si>
  <si>
    <t>J143</t>
  </si>
  <si>
    <t>J144</t>
  </si>
  <si>
    <t>J145</t>
  </si>
  <si>
    <t>J146</t>
  </si>
  <si>
    <t>J147</t>
  </si>
  <si>
    <t>J148</t>
  </si>
  <si>
    <t>J149</t>
  </si>
  <si>
    <t>J150</t>
  </si>
  <si>
    <t>J151</t>
  </si>
  <si>
    <t>J152</t>
  </si>
  <si>
    <t>J153</t>
  </si>
  <si>
    <t>J154</t>
  </si>
  <si>
    <t>J155</t>
  </si>
  <si>
    <t>J156</t>
  </si>
  <si>
    <t>J157</t>
  </si>
  <si>
    <t>J158</t>
  </si>
  <si>
    <t>J159</t>
  </si>
  <si>
    <t>J160</t>
  </si>
  <si>
    <t>J161</t>
  </si>
  <si>
    <t>J162</t>
  </si>
  <si>
    <t>J163</t>
  </si>
  <si>
    <t>J164</t>
  </si>
  <si>
    <t>J165</t>
  </si>
  <si>
    <t>J166</t>
  </si>
  <si>
    <t>J167</t>
  </si>
  <si>
    <t>J168</t>
  </si>
  <si>
    <t>J169</t>
  </si>
  <si>
    <t>J170</t>
  </si>
  <si>
    <t>J171</t>
  </si>
  <si>
    <t>J172</t>
  </si>
  <si>
    <t>J173</t>
  </si>
  <si>
    <t>J174</t>
  </si>
  <si>
    <t>J175</t>
  </si>
  <si>
    <t>J176</t>
  </si>
  <si>
    <t>J177</t>
  </si>
  <si>
    <t>J178</t>
  </si>
  <si>
    <t>J179</t>
  </si>
  <si>
    <t>J180</t>
  </si>
  <si>
    <t>J181</t>
  </si>
  <si>
    <t>J182</t>
  </si>
  <si>
    <t>J183</t>
  </si>
  <si>
    <t>J184</t>
  </si>
  <si>
    <t>J185</t>
  </si>
  <si>
    <t>J186</t>
  </si>
  <si>
    <t>J187</t>
  </si>
  <si>
    <t>J188</t>
  </si>
  <si>
    <t>J189</t>
  </si>
  <si>
    <t>J190</t>
  </si>
  <si>
    <t>J191</t>
  </si>
  <si>
    <t>J192</t>
  </si>
  <si>
    <t>J193</t>
  </si>
  <si>
    <t>J194</t>
  </si>
  <si>
    <t>J195</t>
  </si>
  <si>
    <t>J196</t>
  </si>
  <si>
    <t>J197</t>
  </si>
  <si>
    <t>J198</t>
  </si>
  <si>
    <t>J199</t>
  </si>
  <si>
    <t>J200</t>
  </si>
  <si>
    <t>J201</t>
  </si>
  <si>
    <t>J202</t>
  </si>
  <si>
    <t>J203</t>
  </si>
  <si>
    <t>J204</t>
  </si>
  <si>
    <t>J205</t>
  </si>
  <si>
    <t>J206</t>
  </si>
  <si>
    <t>J207</t>
  </si>
  <si>
    <t>J208</t>
  </si>
  <si>
    <t>J209</t>
  </si>
  <si>
    <t>J210</t>
  </si>
  <si>
    <t>J211</t>
  </si>
  <si>
    <t>J212</t>
  </si>
  <si>
    <t>J213</t>
  </si>
  <si>
    <t>J214</t>
  </si>
  <si>
    <t>J215</t>
  </si>
  <si>
    <t>J216</t>
  </si>
  <si>
    <t>J217</t>
  </si>
  <si>
    <t>J218</t>
  </si>
  <si>
    <t>J219</t>
  </si>
  <si>
    <t>J220</t>
  </si>
  <si>
    <t>J221</t>
  </si>
  <si>
    <t>J222</t>
  </si>
  <si>
    <t>J223</t>
  </si>
  <si>
    <t>J224</t>
  </si>
  <si>
    <t>J225</t>
  </si>
  <si>
    <t>J226</t>
  </si>
  <si>
    <t>J227</t>
  </si>
  <si>
    <t>J228</t>
  </si>
  <si>
    <t>J229</t>
  </si>
  <si>
    <t>J230</t>
  </si>
  <si>
    <t>J231</t>
  </si>
  <si>
    <t>J232</t>
  </si>
  <si>
    <t>J233</t>
  </si>
  <si>
    <t>J234</t>
  </si>
  <si>
    <t>J235</t>
  </si>
  <si>
    <t>J236</t>
  </si>
  <si>
    <t>J237</t>
  </si>
  <si>
    <t>J238</t>
  </si>
  <si>
    <t>J239</t>
  </si>
  <si>
    <t>J240</t>
  </si>
  <si>
    <t>J241</t>
  </si>
  <si>
    <t>J242</t>
  </si>
  <si>
    <t>J243</t>
  </si>
  <si>
    <t>J244</t>
  </si>
  <si>
    <t>J245</t>
  </si>
  <si>
    <t>J246</t>
  </si>
  <si>
    <t>J247</t>
  </si>
  <si>
    <t>J248</t>
  </si>
  <si>
    <t>J249</t>
  </si>
  <si>
    <t>J250</t>
  </si>
  <si>
    <t>J251</t>
  </si>
  <si>
    <t>J252</t>
  </si>
  <si>
    <t>J253</t>
  </si>
  <si>
    <t>J254</t>
  </si>
  <si>
    <t>J255</t>
  </si>
  <si>
    <t>J256</t>
  </si>
  <si>
    <t>J257</t>
  </si>
  <si>
    <t>J258</t>
  </si>
  <si>
    <t>J259</t>
  </si>
  <si>
    <t>J260</t>
  </si>
  <si>
    <t>J261</t>
  </si>
  <si>
    <t>J262</t>
  </si>
  <si>
    <t>J263</t>
  </si>
  <si>
    <t>J264</t>
  </si>
  <si>
    <t>J265</t>
  </si>
  <si>
    <t>J266</t>
  </si>
  <si>
    <t>J267</t>
  </si>
  <si>
    <t>J268</t>
  </si>
  <si>
    <t>J269</t>
  </si>
  <si>
    <t>J270</t>
  </si>
  <si>
    <t>J271</t>
  </si>
  <si>
    <t>J272</t>
  </si>
  <si>
    <t>J273</t>
  </si>
  <si>
    <t>J274</t>
  </si>
  <si>
    <t>J275</t>
  </si>
  <si>
    <t>J276</t>
  </si>
  <si>
    <t>J277</t>
  </si>
  <si>
    <t>J278</t>
  </si>
  <si>
    <t>J279</t>
  </si>
  <si>
    <t>J280</t>
  </si>
  <si>
    <t>J281</t>
  </si>
  <si>
    <t>J282</t>
  </si>
  <si>
    <t>J283</t>
  </si>
  <si>
    <t>J284</t>
  </si>
  <si>
    <t>J285</t>
  </si>
  <si>
    <t>J286</t>
  </si>
  <si>
    <t>J287</t>
  </si>
  <si>
    <t>J288</t>
  </si>
  <si>
    <t>J289</t>
  </si>
  <si>
    <t>J290</t>
  </si>
  <si>
    <t>J291</t>
  </si>
  <si>
    <t>J292</t>
  </si>
  <si>
    <t>J293</t>
  </si>
  <si>
    <t>J294</t>
  </si>
  <si>
    <t>J295</t>
  </si>
  <si>
    <t>J296</t>
  </si>
  <si>
    <t>J297</t>
  </si>
  <si>
    <t>J298</t>
  </si>
  <si>
    <t>J299</t>
  </si>
  <si>
    <t>J300</t>
  </si>
  <si>
    <t>J301</t>
  </si>
  <si>
    <t>J302</t>
  </si>
  <si>
    <t>J303</t>
  </si>
  <si>
    <t>J304</t>
  </si>
  <si>
    <t>J305</t>
  </si>
  <si>
    <t>J306</t>
  </si>
  <si>
    <t>J307</t>
  </si>
  <si>
    <t>J308</t>
  </si>
  <si>
    <t>J309</t>
  </si>
  <si>
    <t>J310</t>
  </si>
  <si>
    <t>J311</t>
  </si>
  <si>
    <t>J312</t>
  </si>
  <si>
    <t>J313</t>
  </si>
  <si>
    <t>J314</t>
  </si>
  <si>
    <t>J315</t>
  </si>
  <si>
    <t>J316</t>
  </si>
  <si>
    <t>J317</t>
  </si>
  <si>
    <t>J318</t>
  </si>
  <si>
    <t>J319</t>
  </si>
  <si>
    <t>J320</t>
  </si>
  <si>
    <t>J321</t>
  </si>
  <si>
    <t>J322</t>
  </si>
  <si>
    <t>J323</t>
  </si>
  <si>
    <t>J324</t>
  </si>
  <si>
    <t>J325</t>
  </si>
  <si>
    <t>J326</t>
  </si>
  <si>
    <t>J327</t>
  </si>
  <si>
    <t>J328</t>
  </si>
  <si>
    <t>J329</t>
  </si>
  <si>
    <t>J330</t>
  </si>
  <si>
    <t>J331</t>
  </si>
  <si>
    <t>J332</t>
  </si>
  <si>
    <t>J333</t>
  </si>
  <si>
    <t>J334</t>
  </si>
  <si>
    <t>J335</t>
  </si>
  <si>
    <t>J336</t>
  </si>
  <si>
    <t>J337</t>
  </si>
  <si>
    <t>J338</t>
  </si>
  <si>
    <t>J339</t>
  </si>
  <si>
    <t>J340</t>
  </si>
  <si>
    <t>J341</t>
  </si>
  <si>
    <t>J342</t>
  </si>
  <si>
    <t>J343</t>
  </si>
  <si>
    <t>J344</t>
  </si>
  <si>
    <t>J345</t>
  </si>
  <si>
    <t>J346</t>
  </si>
  <si>
    <t>J347</t>
  </si>
  <si>
    <t>J348</t>
  </si>
  <si>
    <t>J349</t>
  </si>
  <si>
    <t>J350</t>
  </si>
  <si>
    <t>J351</t>
  </si>
  <si>
    <t>J352</t>
  </si>
  <si>
    <t>J353</t>
  </si>
  <si>
    <t>J354</t>
  </si>
  <si>
    <t>J355</t>
  </si>
  <si>
    <t>J356</t>
  </si>
  <si>
    <t>J357</t>
  </si>
  <si>
    <t>J358</t>
  </si>
  <si>
    <t>J359</t>
  </si>
  <si>
    <t>J360</t>
  </si>
  <si>
    <t>J361</t>
  </si>
  <si>
    <t>J362</t>
  </si>
  <si>
    <t>J363</t>
  </si>
  <si>
    <t>J364</t>
  </si>
  <si>
    <t>J365</t>
  </si>
  <si>
    <t>J366</t>
  </si>
  <si>
    <t>J367</t>
  </si>
  <si>
    <t>J368</t>
  </si>
  <si>
    <t>J369</t>
  </si>
  <si>
    <t>J370</t>
  </si>
  <si>
    <t>J371</t>
  </si>
  <si>
    <t>J372</t>
  </si>
  <si>
    <t>J373</t>
  </si>
  <si>
    <t>J374</t>
  </si>
  <si>
    <t>J375</t>
  </si>
  <si>
    <t>J376</t>
  </si>
  <si>
    <t>J377</t>
  </si>
  <si>
    <t>J378</t>
  </si>
  <si>
    <t>J379</t>
  </si>
  <si>
    <t>J380</t>
  </si>
  <si>
    <t>J381</t>
  </si>
  <si>
    <t>J382</t>
  </si>
  <si>
    <t>J383</t>
  </si>
  <si>
    <t>J384</t>
  </si>
  <si>
    <t>J385</t>
  </si>
  <si>
    <t>J386</t>
  </si>
  <si>
    <t>J387</t>
  </si>
  <si>
    <t>J388</t>
  </si>
  <si>
    <t>J389</t>
  </si>
  <si>
    <t>J390</t>
  </si>
  <si>
    <t>J391</t>
  </si>
  <si>
    <t>J392</t>
  </si>
  <si>
    <t>J393</t>
  </si>
  <si>
    <t>J394</t>
  </si>
  <si>
    <t>J395</t>
  </si>
  <si>
    <t>J396</t>
  </si>
  <si>
    <t>J397</t>
  </si>
  <si>
    <t>J398</t>
  </si>
  <si>
    <t>J399</t>
  </si>
  <si>
    <t>J400</t>
  </si>
  <si>
    <t>J401</t>
  </si>
  <si>
    <t>J402</t>
  </si>
  <si>
    <t>J403</t>
  </si>
  <si>
    <t>J404</t>
  </si>
  <si>
    <t>J405</t>
  </si>
  <si>
    <t>J406</t>
  </si>
  <si>
    <t>J407</t>
  </si>
  <si>
    <t>J408</t>
  </si>
  <si>
    <t>J409</t>
  </si>
  <si>
    <t>J410</t>
  </si>
  <si>
    <t>J411</t>
  </si>
  <si>
    <t>J412</t>
  </si>
  <si>
    <t>J413</t>
  </si>
  <si>
    <t>J414</t>
  </si>
  <si>
    <t>J415</t>
  </si>
  <si>
    <t>J416</t>
  </si>
  <si>
    <t>J417</t>
  </si>
  <si>
    <t>J418</t>
  </si>
  <si>
    <t>J419</t>
  </si>
  <si>
    <t>J420</t>
  </si>
  <si>
    <t>J421</t>
  </si>
  <si>
    <t>J422</t>
  </si>
  <si>
    <t>J423</t>
  </si>
  <si>
    <t>J424</t>
  </si>
  <si>
    <t>J425</t>
  </si>
  <si>
    <t>J426</t>
  </si>
  <si>
    <t>J427</t>
  </si>
  <si>
    <t>J428</t>
  </si>
  <si>
    <t>J429</t>
  </si>
  <si>
    <t>J430</t>
  </si>
  <si>
    <t>J431</t>
  </si>
  <si>
    <t>J432</t>
  </si>
  <si>
    <t>J433</t>
  </si>
  <si>
    <t>J434</t>
  </si>
  <si>
    <t>J435</t>
  </si>
  <si>
    <t>J436</t>
  </si>
  <si>
    <t>J437</t>
  </si>
  <si>
    <t>J438</t>
  </si>
  <si>
    <t>J439</t>
  </si>
  <si>
    <t>J440</t>
  </si>
  <si>
    <t>J441</t>
  </si>
  <si>
    <t>J442</t>
  </si>
  <si>
    <t>J443</t>
  </si>
  <si>
    <t>J444</t>
  </si>
  <si>
    <t>J445</t>
  </si>
  <si>
    <t>J446</t>
  </si>
  <si>
    <t>J447</t>
  </si>
  <si>
    <t>J448</t>
  </si>
  <si>
    <t>J449</t>
  </si>
  <si>
    <t>J450</t>
  </si>
  <si>
    <t>J451</t>
  </si>
  <si>
    <t>J452</t>
  </si>
  <si>
    <t>J453</t>
  </si>
  <si>
    <t>J454</t>
  </si>
  <si>
    <t>J455</t>
  </si>
  <si>
    <t>J456</t>
  </si>
  <si>
    <t>J457</t>
  </si>
  <si>
    <t>J458</t>
  </si>
  <si>
    <t>J459</t>
  </si>
  <si>
    <t>J460</t>
  </si>
  <si>
    <t>J461</t>
  </si>
  <si>
    <t>J462</t>
  </si>
  <si>
    <t>J463</t>
  </si>
  <si>
    <t>J464</t>
  </si>
  <si>
    <t>J465</t>
  </si>
  <si>
    <t>J466</t>
  </si>
  <si>
    <t>J467</t>
  </si>
  <si>
    <t>J468</t>
  </si>
  <si>
    <t>J469</t>
  </si>
  <si>
    <t>J470</t>
  </si>
  <si>
    <t>J471</t>
  </si>
  <si>
    <t>J472</t>
  </si>
  <si>
    <t>J473</t>
  </si>
  <si>
    <t>J474</t>
  </si>
  <si>
    <t>J475</t>
  </si>
  <si>
    <t>J476</t>
  </si>
  <si>
    <t>J477</t>
  </si>
  <si>
    <t>J478</t>
  </si>
  <si>
    <t>J479</t>
  </si>
  <si>
    <t>J480</t>
  </si>
  <si>
    <t>J481</t>
  </si>
  <si>
    <t>J482</t>
  </si>
  <si>
    <t>J483</t>
  </si>
  <si>
    <t>J484</t>
  </si>
  <si>
    <t>J485</t>
  </si>
  <si>
    <t>J486</t>
  </si>
  <si>
    <t>J487</t>
  </si>
  <si>
    <t>J488</t>
  </si>
  <si>
    <t>J489</t>
  </si>
  <si>
    <t>J490</t>
  </si>
  <si>
    <t>J491</t>
  </si>
  <si>
    <t>J492</t>
  </si>
  <si>
    <t>J493</t>
  </si>
  <si>
    <t>J494</t>
  </si>
  <si>
    <t>J495</t>
  </si>
  <si>
    <t>J496</t>
  </si>
  <si>
    <t>J497</t>
  </si>
  <si>
    <t>J498</t>
  </si>
  <si>
    <t>J499</t>
  </si>
  <si>
    <t>J500</t>
  </si>
  <si>
    <t>J501</t>
  </si>
  <si>
    <t>J502</t>
  </si>
  <si>
    <t>J503</t>
  </si>
  <si>
    <t>J504</t>
  </si>
  <si>
    <t>J505</t>
  </si>
  <si>
    <t>J506</t>
  </si>
  <si>
    <t>J507</t>
  </si>
  <si>
    <t>J508</t>
  </si>
  <si>
    <t>J509</t>
  </si>
  <si>
    <t>J510</t>
  </si>
  <si>
    <t>J511</t>
  </si>
  <si>
    <t>J512</t>
  </si>
  <si>
    <t>J513</t>
  </si>
  <si>
    <t>J514</t>
  </si>
  <si>
    <t>J515</t>
  </si>
  <si>
    <t>J516</t>
  </si>
  <si>
    <t>J517</t>
  </si>
  <si>
    <t>J518</t>
  </si>
  <si>
    <t>J519</t>
  </si>
  <si>
    <t>J520</t>
  </si>
  <si>
    <t>J521</t>
  </si>
  <si>
    <t>J522</t>
  </si>
  <si>
    <t>J523</t>
  </si>
  <si>
    <t>J524</t>
  </si>
  <si>
    <t>J525</t>
  </si>
  <si>
    <t>J526</t>
  </si>
  <si>
    <t>J527</t>
  </si>
  <si>
    <t>J528</t>
  </si>
  <si>
    <t>J529</t>
  </si>
  <si>
    <t>J530</t>
  </si>
  <si>
    <t>J531</t>
  </si>
  <si>
    <t>J532</t>
  </si>
  <si>
    <t>J533</t>
  </si>
  <si>
    <t>J534</t>
  </si>
  <si>
    <t>J535</t>
  </si>
  <si>
    <t>J536</t>
  </si>
  <si>
    <t>J537</t>
  </si>
  <si>
    <t>J538</t>
  </si>
  <si>
    <t>J539</t>
  </si>
  <si>
    <t>J540</t>
  </si>
  <si>
    <t>J541</t>
  </si>
  <si>
    <t>J542</t>
  </si>
  <si>
    <t>J543</t>
  </si>
  <si>
    <t>J544</t>
  </si>
  <si>
    <t>J545</t>
  </si>
  <si>
    <t>J546</t>
  </si>
  <si>
    <t>J547</t>
  </si>
  <si>
    <t>J548</t>
  </si>
  <si>
    <t>J549</t>
  </si>
  <si>
    <t>J550</t>
  </si>
  <si>
    <t>J551</t>
  </si>
  <si>
    <t>J552</t>
  </si>
  <si>
    <t>J553</t>
  </si>
  <si>
    <t>J554</t>
  </si>
  <si>
    <t>J555</t>
  </si>
  <si>
    <t>J556</t>
  </si>
  <si>
    <t>J557</t>
  </si>
  <si>
    <t>J558</t>
  </si>
  <si>
    <t>J559</t>
  </si>
  <si>
    <t>J560</t>
  </si>
  <si>
    <t>J561</t>
  </si>
  <si>
    <t>J562</t>
  </si>
  <si>
    <t>J563</t>
  </si>
  <si>
    <t>J564</t>
  </si>
  <si>
    <t>J565</t>
  </si>
  <si>
    <t>J566</t>
  </si>
  <si>
    <t>J567</t>
  </si>
  <si>
    <t>J568</t>
  </si>
  <si>
    <t>J569</t>
  </si>
  <si>
    <t>J570</t>
  </si>
  <si>
    <t>J571</t>
  </si>
  <si>
    <t>J572</t>
  </si>
  <si>
    <t>J573</t>
  </si>
  <si>
    <t>J574</t>
  </si>
  <si>
    <t>J575</t>
  </si>
  <si>
    <t>J576</t>
  </si>
  <si>
    <t>J577</t>
  </si>
  <si>
    <t>J578</t>
  </si>
  <si>
    <t>J579</t>
  </si>
  <si>
    <t>J580</t>
  </si>
  <si>
    <t>J581</t>
  </si>
  <si>
    <t>J582</t>
  </si>
  <si>
    <t>J583</t>
  </si>
  <si>
    <t>J584</t>
  </si>
  <si>
    <t>J585</t>
  </si>
  <si>
    <t>J586</t>
  </si>
  <si>
    <t>J587</t>
  </si>
  <si>
    <t>J588</t>
  </si>
  <si>
    <t>J589</t>
  </si>
  <si>
    <t>J590</t>
  </si>
  <si>
    <t>J591</t>
  </si>
  <si>
    <t>J592</t>
  </si>
  <si>
    <t>J593</t>
  </si>
  <si>
    <t>J594</t>
  </si>
  <si>
    <t>J595</t>
  </si>
  <si>
    <t>J596</t>
  </si>
  <si>
    <t>J597</t>
  </si>
  <si>
    <t>J598</t>
  </si>
  <si>
    <t>J599</t>
  </si>
  <si>
    <t>J600</t>
  </si>
  <si>
    <t>J601</t>
  </si>
  <si>
    <t>J602</t>
  </si>
  <si>
    <t>J603</t>
  </si>
  <si>
    <t>J604</t>
  </si>
  <si>
    <t>J605</t>
  </si>
  <si>
    <t>J606</t>
  </si>
  <si>
    <t>J607</t>
  </si>
  <si>
    <t>J608</t>
  </si>
  <si>
    <t>J609</t>
  </si>
  <si>
    <t>J610</t>
  </si>
  <si>
    <t>J611</t>
  </si>
  <si>
    <t>J612</t>
  </si>
  <si>
    <t>J613</t>
  </si>
  <si>
    <t>J614</t>
  </si>
  <si>
    <t>J615</t>
  </si>
  <si>
    <t>J616</t>
  </si>
  <si>
    <t>J617</t>
  </si>
  <si>
    <t>J618</t>
  </si>
  <si>
    <t>J619</t>
  </si>
  <si>
    <t>J620</t>
  </si>
  <si>
    <t>J621</t>
  </si>
  <si>
    <t>J622</t>
  </si>
  <si>
    <t>J623</t>
  </si>
  <si>
    <t>J624</t>
  </si>
  <si>
    <t>J625</t>
  </si>
  <si>
    <t>J626</t>
  </si>
  <si>
    <t>J627</t>
  </si>
  <si>
    <t>J628</t>
  </si>
  <si>
    <t>J629</t>
  </si>
  <si>
    <t>J630</t>
  </si>
  <si>
    <t>J631</t>
  </si>
  <si>
    <t>J632</t>
  </si>
  <si>
    <t>J633</t>
  </si>
  <si>
    <t>J634</t>
  </si>
  <si>
    <t>J635</t>
  </si>
  <si>
    <t>J636</t>
  </si>
  <si>
    <t>J637</t>
  </si>
  <si>
    <t>J638</t>
  </si>
  <si>
    <t>J639</t>
  </si>
  <si>
    <t>J640</t>
  </si>
  <si>
    <t>J641</t>
  </si>
  <si>
    <t>J642</t>
  </si>
  <si>
    <t>J643</t>
  </si>
  <si>
    <t>J644</t>
  </si>
  <si>
    <t>J645</t>
  </si>
  <si>
    <t>J646</t>
  </si>
  <si>
    <t>J647</t>
  </si>
  <si>
    <t>J648</t>
  </si>
  <si>
    <t>J649</t>
  </si>
  <si>
    <t>J650</t>
  </si>
  <si>
    <t>J651</t>
  </si>
  <si>
    <t>J652</t>
  </si>
  <si>
    <t>J653</t>
  </si>
  <si>
    <t>J654</t>
  </si>
  <si>
    <t>J655</t>
  </si>
  <si>
    <t>J656</t>
  </si>
  <si>
    <t>J657</t>
  </si>
  <si>
    <t>J658</t>
  </si>
  <si>
    <t>J659</t>
  </si>
  <si>
    <t>J660</t>
  </si>
  <si>
    <t>J661</t>
  </si>
  <si>
    <t>J662</t>
  </si>
  <si>
    <t>J663</t>
  </si>
  <si>
    <t>J664</t>
  </si>
  <si>
    <t>J665</t>
  </si>
  <si>
    <t>J666</t>
  </si>
  <si>
    <t>J667</t>
  </si>
  <si>
    <t>J668</t>
  </si>
  <si>
    <t>J669</t>
  </si>
  <si>
    <t>J670</t>
  </si>
  <si>
    <t>J671</t>
  </si>
  <si>
    <t>J672</t>
  </si>
  <si>
    <t>J673</t>
  </si>
  <si>
    <t>J674</t>
  </si>
  <si>
    <t>J675</t>
  </si>
  <si>
    <t>J676</t>
  </si>
  <si>
    <t>J677</t>
  </si>
  <si>
    <t>J678</t>
  </si>
  <si>
    <t>J679</t>
  </si>
  <si>
    <t>J680</t>
  </si>
  <si>
    <t>J681</t>
  </si>
  <si>
    <t>J682</t>
  </si>
  <si>
    <t>J683</t>
  </si>
  <si>
    <t>J684</t>
  </si>
  <si>
    <t>J685</t>
  </si>
  <si>
    <t>J686</t>
  </si>
  <si>
    <t>J687</t>
  </si>
  <si>
    <t>J688</t>
  </si>
  <si>
    <t>J689</t>
  </si>
  <si>
    <t>J690</t>
  </si>
  <si>
    <t>J691</t>
  </si>
  <si>
    <t>J692</t>
  </si>
  <si>
    <t>J693</t>
  </si>
  <si>
    <t>J694</t>
  </si>
  <si>
    <t>J695</t>
  </si>
  <si>
    <t>J696</t>
  </si>
  <si>
    <t>J697</t>
  </si>
  <si>
    <t>J698</t>
  </si>
  <si>
    <t>J699</t>
  </si>
  <si>
    <t>J700</t>
  </si>
  <si>
    <t>J701</t>
  </si>
  <si>
    <t>J702</t>
  </si>
  <si>
    <t>J703</t>
  </si>
  <si>
    <t>J704</t>
  </si>
  <si>
    <t>J705</t>
  </si>
  <si>
    <t>J706</t>
  </si>
  <si>
    <t>J707</t>
  </si>
  <si>
    <t>J708</t>
  </si>
  <si>
    <t>J709</t>
  </si>
  <si>
    <t>J710</t>
  </si>
  <si>
    <t>J711</t>
  </si>
  <si>
    <t>J712</t>
  </si>
  <si>
    <t>J713</t>
  </si>
  <si>
    <t>J714</t>
  </si>
  <si>
    <t>J715</t>
  </si>
  <si>
    <t>J716</t>
  </si>
  <si>
    <t>J717</t>
  </si>
  <si>
    <t>J718</t>
  </si>
  <si>
    <t>J719</t>
  </si>
  <si>
    <t>J720</t>
  </si>
  <si>
    <t>J721</t>
  </si>
  <si>
    <t>J722</t>
  </si>
  <si>
    <t>J723</t>
  </si>
  <si>
    <t>J724</t>
  </si>
  <si>
    <t>J725</t>
  </si>
  <si>
    <t>J726</t>
  </si>
  <si>
    <t>J727</t>
  </si>
  <si>
    <t>J728</t>
  </si>
  <si>
    <t>J729</t>
  </si>
  <si>
    <t>J730</t>
  </si>
  <si>
    <t>J731</t>
  </si>
  <si>
    <t>J732</t>
  </si>
  <si>
    <t>J733</t>
  </si>
  <si>
    <t>J734</t>
  </si>
  <si>
    <t>J735</t>
  </si>
  <si>
    <t>J736</t>
  </si>
  <si>
    <t>J737</t>
  </si>
  <si>
    <t>J738</t>
  </si>
  <si>
    <t>J739</t>
  </si>
  <si>
    <t>J740</t>
  </si>
  <si>
    <t>J741</t>
  </si>
  <si>
    <t>J742</t>
  </si>
  <si>
    <t>J743</t>
  </si>
  <si>
    <t>J744</t>
  </si>
  <si>
    <t>J745</t>
  </si>
  <si>
    <t>J746</t>
  </si>
  <si>
    <t>J747</t>
  </si>
  <si>
    <t>J748</t>
  </si>
  <si>
    <t>J749</t>
  </si>
  <si>
    <t>J750</t>
  </si>
  <si>
    <t>J751</t>
  </si>
  <si>
    <t>J752</t>
  </si>
  <si>
    <t>J753</t>
  </si>
  <si>
    <t>J754</t>
  </si>
  <si>
    <t>J755</t>
  </si>
  <si>
    <t>J756</t>
  </si>
  <si>
    <t>J757</t>
  </si>
  <si>
    <t>J758</t>
  </si>
  <si>
    <t>J759</t>
  </si>
  <si>
    <t>J760</t>
  </si>
  <si>
    <t>J761</t>
  </si>
  <si>
    <t>J762</t>
  </si>
  <si>
    <t>J763</t>
  </si>
  <si>
    <t>J764</t>
  </si>
  <si>
    <t>J765</t>
  </si>
  <si>
    <t>J766</t>
  </si>
  <si>
    <t>J767</t>
  </si>
  <si>
    <t>J768</t>
  </si>
  <si>
    <t>J769</t>
  </si>
  <si>
    <t>J770</t>
  </si>
  <si>
    <t>J771</t>
  </si>
  <si>
    <t>J772</t>
  </si>
  <si>
    <t>J773</t>
  </si>
  <si>
    <t>J774</t>
  </si>
  <si>
    <t>J775</t>
  </si>
  <si>
    <t>J776</t>
  </si>
  <si>
    <t>J777</t>
  </si>
  <si>
    <t>J778</t>
  </si>
  <si>
    <t>J779</t>
  </si>
  <si>
    <t>J780</t>
  </si>
  <si>
    <t>J781</t>
  </si>
  <si>
    <t>J782</t>
  </si>
  <si>
    <t>J783</t>
  </si>
  <si>
    <t>J784</t>
  </si>
  <si>
    <t>J785</t>
  </si>
  <si>
    <t>J786</t>
  </si>
  <si>
    <t>J787</t>
  </si>
  <si>
    <t>J788</t>
  </si>
  <si>
    <t>J789</t>
  </si>
  <si>
    <t>J790</t>
  </si>
  <si>
    <t>J791</t>
  </si>
  <si>
    <t>J792</t>
  </si>
  <si>
    <t>J793</t>
  </si>
  <si>
    <t>J794</t>
  </si>
  <si>
    <t>J795</t>
  </si>
  <si>
    <t>J796</t>
  </si>
  <si>
    <t>J797</t>
  </si>
  <si>
    <t>J798</t>
  </si>
  <si>
    <t>J799</t>
  </si>
  <si>
    <t>J800</t>
  </si>
  <si>
    <t>J801</t>
  </si>
  <si>
    <t>J802</t>
  </si>
  <si>
    <t>J803</t>
  </si>
  <si>
    <t>J804</t>
  </si>
  <si>
    <t>J805</t>
  </si>
  <si>
    <t>J806</t>
  </si>
  <si>
    <t>J807</t>
  </si>
  <si>
    <t>J808</t>
  </si>
  <si>
    <t>J809</t>
  </si>
  <si>
    <t>J810</t>
  </si>
  <si>
    <t>J811</t>
  </si>
  <si>
    <t>J812</t>
  </si>
  <si>
    <t>J813</t>
  </si>
  <si>
    <t>J814</t>
  </si>
  <si>
    <t>J815</t>
  </si>
  <si>
    <t>J816</t>
  </si>
  <si>
    <t>J817</t>
  </si>
  <si>
    <t>J818</t>
  </si>
  <si>
    <t>J819</t>
  </si>
  <si>
    <t>J820</t>
  </si>
  <si>
    <t>J821</t>
  </si>
  <si>
    <t>J822</t>
  </si>
  <si>
    <t>J823</t>
  </si>
  <si>
    <t>J824</t>
  </si>
  <si>
    <t>J825</t>
  </si>
  <si>
    <t>J826</t>
  </si>
  <si>
    <t>J827</t>
  </si>
  <si>
    <t>J828</t>
  </si>
  <si>
    <t>J829</t>
  </si>
  <si>
    <t>J830</t>
  </si>
  <si>
    <t>J831</t>
  </si>
  <si>
    <t>J832</t>
  </si>
  <si>
    <t>J833</t>
  </si>
  <si>
    <t>J834</t>
  </si>
  <si>
    <t>J835</t>
  </si>
  <si>
    <t>J836</t>
  </si>
  <si>
    <t>J837</t>
  </si>
  <si>
    <t>J838</t>
  </si>
  <si>
    <t>J839</t>
  </si>
  <si>
    <t>J840</t>
  </si>
  <si>
    <t>J841</t>
  </si>
  <si>
    <t>J842</t>
  </si>
  <si>
    <t>J843</t>
  </si>
  <si>
    <t>J844</t>
  </si>
  <si>
    <t>J845</t>
  </si>
  <si>
    <t>J846</t>
  </si>
  <si>
    <t>J847</t>
  </si>
  <si>
    <t>J848</t>
  </si>
  <si>
    <t>J849</t>
  </si>
  <si>
    <t>J850</t>
  </si>
  <si>
    <t>J851</t>
  </si>
  <si>
    <t>J852</t>
  </si>
  <si>
    <t>J853</t>
  </si>
  <si>
    <t>J854</t>
  </si>
  <si>
    <t>J855</t>
  </si>
  <si>
    <t>J856</t>
  </si>
  <si>
    <t>J857</t>
  </si>
  <si>
    <t>J858</t>
  </si>
  <si>
    <t>J859</t>
  </si>
  <si>
    <t>J860</t>
  </si>
  <si>
    <t>J861</t>
  </si>
  <si>
    <t>J862</t>
  </si>
  <si>
    <t>J863</t>
  </si>
  <si>
    <t>J864</t>
  </si>
  <si>
    <t>J865</t>
  </si>
  <si>
    <t>J866</t>
  </si>
  <si>
    <t>J867</t>
  </si>
  <si>
    <t>J868</t>
  </si>
  <si>
    <t>J869</t>
  </si>
  <si>
    <t>J870</t>
  </si>
  <si>
    <t>J871</t>
  </si>
  <si>
    <t>J872</t>
  </si>
  <si>
    <t>J873</t>
  </si>
  <si>
    <t>J874</t>
  </si>
  <si>
    <t>J875</t>
  </si>
  <si>
    <t>J876</t>
  </si>
  <si>
    <t>J877</t>
  </si>
  <si>
    <t>J878</t>
  </si>
  <si>
    <t>J879</t>
  </si>
  <si>
    <t>J880</t>
  </si>
  <si>
    <t>J881</t>
  </si>
  <si>
    <t>J882</t>
  </si>
  <si>
    <t>J883</t>
  </si>
  <si>
    <t>J884</t>
  </si>
  <si>
    <t>J885</t>
  </si>
  <si>
    <t>J886</t>
  </si>
  <si>
    <t>J887</t>
  </si>
  <si>
    <t>J888</t>
  </si>
  <si>
    <t>J889</t>
  </si>
  <si>
    <t>J890</t>
  </si>
  <si>
    <t>J891</t>
  </si>
  <si>
    <t>J892</t>
  </si>
  <si>
    <t>J893</t>
  </si>
  <si>
    <t>J894</t>
  </si>
  <si>
    <t>J895</t>
  </si>
  <si>
    <t>J896</t>
  </si>
  <si>
    <t>J897</t>
  </si>
  <si>
    <t>J898</t>
  </si>
  <si>
    <t>J899</t>
  </si>
  <si>
    <t>J900</t>
  </si>
  <si>
    <t>J901</t>
  </si>
  <si>
    <t>J902</t>
  </si>
  <si>
    <t>J903</t>
  </si>
  <si>
    <t>J904</t>
  </si>
  <si>
    <t>J905</t>
  </si>
  <si>
    <t>J906</t>
  </si>
  <si>
    <t>J907</t>
  </si>
  <si>
    <t>J908</t>
  </si>
  <si>
    <t>J909</t>
  </si>
  <si>
    <t>J910</t>
  </si>
  <si>
    <t>J911</t>
  </si>
  <si>
    <t>J912</t>
  </si>
  <si>
    <t>J913</t>
  </si>
  <si>
    <t>J914</t>
  </si>
  <si>
    <t>J915</t>
  </si>
  <si>
    <t>J916</t>
  </si>
  <si>
    <t>J917</t>
  </si>
  <si>
    <t>J918</t>
  </si>
  <si>
    <t>J919</t>
  </si>
  <si>
    <t>J920</t>
  </si>
  <si>
    <t>J921</t>
  </si>
  <si>
    <t>J922</t>
  </si>
  <si>
    <t>J923</t>
  </si>
  <si>
    <t>J924</t>
  </si>
  <si>
    <t>J925</t>
  </si>
  <si>
    <t>J926</t>
  </si>
  <si>
    <t>J927</t>
  </si>
  <si>
    <t>J928</t>
  </si>
  <si>
    <t>J929</t>
  </si>
  <si>
    <t>J930</t>
  </si>
  <si>
    <t>J931</t>
  </si>
  <si>
    <t>J932</t>
  </si>
  <si>
    <t>J933</t>
  </si>
  <si>
    <t>J934</t>
  </si>
  <si>
    <t>J935</t>
  </si>
  <si>
    <t>J936</t>
  </si>
  <si>
    <t>J937</t>
  </si>
  <si>
    <t>J938</t>
  </si>
  <si>
    <t>J939</t>
  </si>
  <si>
    <t>J940</t>
  </si>
  <si>
    <t>J941</t>
  </si>
  <si>
    <t>J942</t>
  </si>
  <si>
    <t>J943</t>
  </si>
  <si>
    <t>J944</t>
  </si>
  <si>
    <t>J945</t>
  </si>
  <si>
    <t>J946</t>
  </si>
  <si>
    <t>J947</t>
  </si>
  <si>
    <t>J948</t>
  </si>
  <si>
    <t>J949</t>
  </si>
  <si>
    <t>J950</t>
  </si>
  <si>
    <t>J951</t>
  </si>
  <si>
    <t>J952</t>
  </si>
  <si>
    <t>J953</t>
  </si>
  <si>
    <t>J954</t>
  </si>
  <si>
    <t>J955</t>
  </si>
  <si>
    <t>J956</t>
  </si>
  <si>
    <t>J957</t>
  </si>
  <si>
    <t>J958</t>
  </si>
  <si>
    <t>J959</t>
  </si>
  <si>
    <t>J960</t>
  </si>
  <si>
    <t>J961</t>
  </si>
  <si>
    <t>J962</t>
  </si>
  <si>
    <t>J963</t>
  </si>
  <si>
    <t>J964</t>
  </si>
  <si>
    <t>J965</t>
  </si>
  <si>
    <t>J966</t>
  </si>
  <si>
    <t>J967</t>
  </si>
  <si>
    <t>J968</t>
  </si>
  <si>
    <t>J969</t>
  </si>
  <si>
    <t>J970</t>
  </si>
  <si>
    <t>J971</t>
  </si>
  <si>
    <t>J972</t>
  </si>
  <si>
    <t>J973</t>
  </si>
  <si>
    <t>J974</t>
  </si>
  <si>
    <t>J975</t>
  </si>
  <si>
    <t>J976</t>
  </si>
  <si>
    <t>J977</t>
  </si>
  <si>
    <t>J978</t>
  </si>
  <si>
    <t>J979</t>
  </si>
  <si>
    <t>J980</t>
  </si>
  <si>
    <t>J981</t>
  </si>
  <si>
    <t>J982</t>
  </si>
  <si>
    <t>J983</t>
  </si>
  <si>
    <t>J984</t>
  </si>
  <si>
    <t>J985</t>
  </si>
  <si>
    <t>J986</t>
  </si>
  <si>
    <t>J987</t>
  </si>
  <si>
    <t>J988</t>
  </si>
  <si>
    <t>J989</t>
  </si>
  <si>
    <t>J990</t>
  </si>
  <si>
    <t>J991</t>
  </si>
  <si>
    <t>J992</t>
  </si>
  <si>
    <t>J993</t>
  </si>
  <si>
    <t>J994</t>
  </si>
  <si>
    <t>J995</t>
  </si>
  <si>
    <t>J996</t>
  </si>
  <si>
    <t>J997</t>
  </si>
  <si>
    <t>J998</t>
  </si>
  <si>
    <t>J999</t>
  </si>
  <si>
    <t>J1000</t>
  </si>
  <si>
    <t>J1001</t>
  </si>
  <si>
    <t>J1002</t>
  </si>
  <si>
    <t>J1003</t>
  </si>
  <si>
    <t>J1004</t>
  </si>
  <si>
    <t>J1005</t>
  </si>
  <si>
    <t>J1006</t>
  </si>
  <si>
    <t>J1007</t>
  </si>
  <si>
    <t>J1008</t>
  </si>
  <si>
    <t>J1009</t>
  </si>
  <si>
    <t>J1010</t>
  </si>
  <si>
    <t>J1011</t>
  </si>
  <si>
    <t>J1012</t>
  </si>
  <si>
    <t>J1013</t>
  </si>
  <si>
    <t>J1014</t>
  </si>
  <si>
    <t>J1015</t>
  </si>
  <si>
    <t>J1016</t>
  </si>
  <si>
    <t>J1017</t>
  </si>
  <si>
    <t>J1018</t>
  </si>
  <si>
    <t>J1019</t>
  </si>
  <si>
    <t>J1020</t>
  </si>
  <si>
    <t>J1021</t>
  </si>
  <si>
    <t>J1022</t>
  </si>
  <si>
    <t>J1023</t>
  </si>
  <si>
    <t>J1024</t>
  </si>
  <si>
    <t>J1025</t>
  </si>
  <si>
    <t>J1026</t>
  </si>
  <si>
    <t>J1027</t>
  </si>
  <si>
    <t>J1028</t>
  </si>
  <si>
    <t>J1029</t>
  </si>
  <si>
    <t>J1030</t>
  </si>
  <si>
    <t>J1031</t>
  </si>
  <si>
    <t>J1032</t>
  </si>
  <si>
    <t>J1033</t>
  </si>
  <si>
    <t>J1034</t>
  </si>
  <si>
    <t>J1035</t>
  </si>
  <si>
    <t>J1036</t>
  </si>
  <si>
    <t>J1037</t>
  </si>
  <si>
    <t>J1038</t>
  </si>
  <si>
    <t>J1039</t>
  </si>
  <si>
    <t>J1040</t>
  </si>
  <si>
    <t>J1041</t>
  </si>
  <si>
    <t>J1042</t>
  </si>
  <si>
    <t>J1043</t>
  </si>
  <si>
    <t>J1044</t>
  </si>
  <si>
    <t>J1045</t>
  </si>
  <si>
    <t>J1046</t>
  </si>
  <si>
    <t>J1047</t>
  </si>
  <si>
    <t>J1048</t>
  </si>
  <si>
    <t>J1049</t>
  </si>
  <si>
    <t>J1050</t>
  </si>
  <si>
    <t>J1051</t>
  </si>
  <si>
    <t>J1052</t>
  </si>
  <si>
    <t>J1053</t>
  </si>
  <si>
    <t>J1054</t>
  </si>
  <si>
    <t>J1055</t>
  </si>
  <si>
    <t>J1056</t>
  </si>
  <si>
    <t>J1057</t>
  </si>
  <si>
    <t>J1058</t>
  </si>
  <si>
    <t>J1059</t>
  </si>
  <si>
    <t>J1060</t>
  </si>
  <si>
    <t>J1061</t>
  </si>
  <si>
    <t>J1062</t>
  </si>
  <si>
    <t>J1063</t>
  </si>
  <si>
    <t>J1064</t>
  </si>
  <si>
    <t>J1065</t>
  </si>
  <si>
    <t>J1066</t>
  </si>
  <si>
    <t>J1067</t>
  </si>
  <si>
    <t>J1068</t>
  </si>
  <si>
    <t>J1069</t>
  </si>
  <si>
    <t>J1070</t>
  </si>
  <si>
    <t>J1071</t>
  </si>
  <si>
    <t>J1072</t>
  </si>
  <si>
    <t>J1073</t>
  </si>
  <si>
    <t>J1074</t>
  </si>
  <si>
    <t>J1075</t>
  </si>
  <si>
    <t>J1076</t>
  </si>
  <si>
    <t>J1077</t>
  </si>
  <si>
    <t>J1078</t>
  </si>
  <si>
    <t>J1079</t>
  </si>
  <si>
    <t>J1080</t>
  </si>
  <si>
    <t>J1081</t>
  </si>
  <si>
    <t>J1082</t>
  </si>
  <si>
    <t>J1083</t>
  </si>
  <si>
    <t>J1084</t>
  </si>
  <si>
    <t>J1085</t>
  </si>
  <si>
    <t>J1086</t>
  </si>
  <si>
    <t>J1087</t>
  </si>
  <si>
    <t>J1088</t>
  </si>
  <si>
    <t>J1089</t>
  </si>
  <si>
    <t>J1090</t>
  </si>
  <si>
    <t>J1091</t>
  </si>
  <si>
    <t>J1092</t>
  </si>
  <si>
    <t>J1093</t>
  </si>
  <si>
    <t>J1094</t>
  </si>
  <si>
    <t>J1095</t>
  </si>
  <si>
    <t>J1096</t>
  </si>
  <si>
    <t>J1097</t>
  </si>
  <si>
    <t>J1098</t>
  </si>
  <si>
    <t>J1099</t>
  </si>
  <si>
    <t>J1100</t>
  </si>
  <si>
    <t>J1101</t>
  </si>
  <si>
    <t>J1102</t>
  </si>
  <si>
    <t>J1103</t>
  </si>
  <si>
    <t>J1104</t>
  </si>
  <si>
    <t>J1105</t>
  </si>
  <si>
    <t>J1106</t>
  </si>
  <si>
    <t>J1107</t>
  </si>
  <si>
    <t>J1108</t>
  </si>
  <si>
    <t>J1109</t>
  </si>
  <si>
    <t>J1110</t>
  </si>
  <si>
    <t>J1111</t>
  </si>
  <si>
    <t>J1112</t>
  </si>
  <si>
    <t>J1113</t>
  </si>
  <si>
    <t>J1114</t>
  </si>
  <si>
    <t>J1115</t>
  </si>
  <si>
    <t>J1116</t>
  </si>
  <si>
    <t>J1117</t>
  </si>
  <si>
    <t>J1118</t>
  </si>
  <si>
    <t>J1119</t>
  </si>
  <si>
    <t>J1120</t>
  </si>
  <si>
    <t>J1121</t>
  </si>
  <si>
    <t>J1122</t>
  </si>
  <si>
    <t>J1123</t>
  </si>
  <si>
    <t>J1124</t>
  </si>
  <si>
    <t>J1125</t>
  </si>
  <si>
    <t>J1126</t>
  </si>
  <si>
    <t>J1127</t>
  </si>
  <si>
    <t>J1128</t>
  </si>
  <si>
    <t>J1129</t>
  </si>
  <si>
    <t>J1130</t>
  </si>
  <si>
    <t>J1131</t>
  </si>
  <si>
    <t>J1132</t>
  </si>
  <si>
    <t>J1133</t>
  </si>
  <si>
    <t>J1134</t>
  </si>
  <si>
    <t>J1135</t>
  </si>
  <si>
    <t>J1136</t>
  </si>
  <si>
    <t>J1137</t>
  </si>
  <si>
    <t>J1138</t>
  </si>
  <si>
    <t>J1139</t>
  </si>
  <si>
    <t>J1140</t>
  </si>
  <si>
    <t>J1141</t>
  </si>
  <si>
    <t>J1142</t>
  </si>
  <si>
    <t>J1143</t>
  </si>
  <si>
    <t>J1144</t>
  </si>
  <si>
    <t>J1145</t>
  </si>
  <si>
    <t>J1146</t>
  </si>
  <si>
    <t>J1147</t>
  </si>
  <si>
    <t>J1148</t>
  </si>
  <si>
    <t>J1149</t>
  </si>
  <si>
    <t>J1150</t>
  </si>
  <si>
    <t>J1151</t>
  </si>
  <si>
    <t>J1152</t>
  </si>
  <si>
    <t>J1153</t>
  </si>
  <si>
    <t>J1154</t>
  </si>
  <si>
    <t>J1155</t>
  </si>
  <si>
    <t>J1156</t>
  </si>
  <si>
    <t>J1157</t>
  </si>
  <si>
    <t>J1158</t>
  </si>
  <si>
    <t>J1159</t>
  </si>
  <si>
    <t>J1160</t>
  </si>
  <si>
    <t>J1161</t>
  </si>
  <si>
    <t>J1162</t>
  </si>
  <si>
    <t>J1163</t>
  </si>
  <si>
    <t>J1164</t>
  </si>
  <si>
    <t>J1165</t>
  </si>
  <si>
    <t>J1166</t>
  </si>
  <si>
    <t>J1167</t>
  </si>
  <si>
    <t>J1168</t>
  </si>
  <si>
    <t>J1169</t>
  </si>
  <si>
    <t>J1170</t>
  </si>
  <si>
    <t>J1171</t>
  </si>
  <si>
    <t>J1172</t>
  </si>
  <si>
    <t>J1173</t>
  </si>
  <si>
    <t>J1174</t>
  </si>
  <si>
    <t>J1175</t>
  </si>
  <si>
    <t>J1176</t>
  </si>
  <si>
    <t>J1177</t>
  </si>
  <si>
    <t>J1178</t>
  </si>
  <si>
    <t>J1179</t>
  </si>
  <si>
    <t>J1180</t>
  </si>
  <si>
    <t>J1181</t>
  </si>
  <si>
    <t>J1182</t>
  </si>
  <si>
    <t>J1183</t>
  </si>
  <si>
    <t>J1184</t>
  </si>
  <si>
    <t>J1185</t>
  </si>
  <si>
    <t>J1186</t>
  </si>
  <si>
    <t>J1187</t>
  </si>
  <si>
    <t>J1188</t>
  </si>
  <si>
    <t>J1189</t>
  </si>
  <si>
    <t>J1190</t>
  </si>
  <si>
    <t>J1191</t>
  </si>
  <si>
    <t>J1192</t>
  </si>
  <si>
    <t>J1193</t>
  </si>
  <si>
    <t>J1194</t>
  </si>
  <si>
    <t>J1195</t>
  </si>
  <si>
    <t>J1196</t>
  </si>
  <si>
    <t>J1197</t>
  </si>
  <si>
    <t>J1198</t>
  </si>
  <si>
    <t>J1199</t>
  </si>
  <si>
    <t>J1200</t>
  </si>
  <si>
    <t>J1201</t>
  </si>
  <si>
    <t>J1202</t>
  </si>
  <si>
    <t>J1203</t>
  </si>
  <si>
    <t>J1204</t>
  </si>
  <si>
    <t>J1205</t>
  </si>
  <si>
    <t>J1206</t>
  </si>
  <si>
    <t>J1207</t>
  </si>
  <si>
    <t>J1208</t>
  </si>
  <si>
    <t>J1209</t>
  </si>
  <si>
    <t>J1210</t>
  </si>
  <si>
    <t>J1211</t>
  </si>
  <si>
    <t>J1212</t>
  </si>
  <si>
    <t>J1213</t>
  </si>
  <si>
    <t>J1214</t>
  </si>
  <si>
    <t>J1215</t>
  </si>
  <si>
    <t>J1216</t>
  </si>
  <si>
    <t>J1217</t>
  </si>
  <si>
    <t>J1218</t>
  </si>
  <si>
    <t>J1219</t>
  </si>
  <si>
    <t>J1220</t>
  </si>
  <si>
    <t>J1221</t>
  </si>
  <si>
    <t>J1222</t>
  </si>
  <si>
    <t>J1223</t>
  </si>
  <si>
    <t>J1224</t>
  </si>
  <si>
    <t>J1225</t>
  </si>
  <si>
    <t>J1226</t>
  </si>
  <si>
    <t>J1227</t>
  </si>
  <si>
    <t>J1228</t>
  </si>
  <si>
    <t>J1229</t>
  </si>
  <si>
    <t>J1230</t>
  </si>
  <si>
    <t>J1231</t>
  </si>
  <si>
    <t>J1232</t>
  </si>
  <si>
    <t>J1233</t>
  </si>
  <si>
    <t>J1234</t>
  </si>
  <si>
    <t>J1235</t>
  </si>
  <si>
    <t>J1236</t>
  </si>
  <si>
    <t>J1237</t>
  </si>
  <si>
    <t>J1238</t>
  </si>
  <si>
    <t>J1239</t>
  </si>
  <si>
    <t>J1240</t>
  </si>
  <si>
    <t>J1241</t>
  </si>
  <si>
    <t>J1242</t>
  </si>
  <si>
    <t>J1243</t>
  </si>
  <si>
    <t>J1244</t>
  </si>
  <si>
    <t>J1245</t>
  </si>
  <si>
    <t>J1246</t>
  </si>
  <si>
    <t>J1247</t>
  </si>
  <si>
    <t>J1248</t>
  </si>
  <si>
    <t>J1249</t>
  </si>
  <si>
    <t>J1250</t>
  </si>
  <si>
    <t>J1251</t>
  </si>
  <si>
    <t>J1252</t>
  </si>
  <si>
    <t>J1253</t>
  </si>
  <si>
    <t>J1254</t>
  </si>
  <si>
    <t>J1255</t>
  </si>
  <si>
    <t>J1256</t>
  </si>
  <si>
    <t>J1257</t>
  </si>
  <si>
    <t>J1258</t>
  </si>
  <si>
    <t>J1259</t>
  </si>
  <si>
    <t>J1260</t>
  </si>
  <si>
    <t>J1261</t>
  </si>
  <si>
    <t>J1262</t>
  </si>
  <si>
    <t>J1263</t>
  </si>
  <si>
    <t>J1264</t>
  </si>
  <si>
    <t>J1265</t>
  </si>
  <si>
    <t>J1266</t>
  </si>
  <si>
    <t>J1267</t>
  </si>
  <si>
    <t>J1268</t>
  </si>
  <si>
    <t>J1269</t>
  </si>
  <si>
    <t>J1270</t>
  </si>
  <si>
    <t>J1271</t>
  </si>
  <si>
    <t>J1272</t>
  </si>
  <si>
    <t>J1273</t>
  </si>
  <si>
    <t>J1274</t>
  </si>
  <si>
    <t>J1275</t>
  </si>
  <si>
    <t>J1276</t>
  </si>
  <si>
    <t>J1277</t>
  </si>
  <si>
    <t>J1278</t>
  </si>
  <si>
    <t>J1279</t>
  </si>
  <si>
    <t>J1280</t>
  </si>
  <si>
    <t>J1281</t>
  </si>
  <si>
    <t>J1282</t>
  </si>
  <si>
    <t>J1283</t>
  </si>
  <si>
    <t>J1284</t>
  </si>
  <si>
    <t>J1285</t>
  </si>
  <si>
    <t>J1286</t>
  </si>
  <si>
    <t>J1287</t>
  </si>
  <si>
    <t>J1288</t>
  </si>
  <si>
    <t>J1289</t>
  </si>
  <si>
    <t>J1290</t>
  </si>
  <si>
    <t>J1291</t>
  </si>
  <si>
    <t>J1292</t>
  </si>
  <si>
    <t>J1293</t>
  </si>
  <si>
    <t>J1294</t>
  </si>
  <si>
    <t>J1295</t>
  </si>
  <si>
    <t>J1296</t>
  </si>
  <si>
    <t>J1297</t>
  </si>
  <si>
    <t>J1298</t>
  </si>
  <si>
    <t>J1299</t>
  </si>
  <si>
    <t>J1300</t>
  </si>
  <si>
    <t>J1301</t>
  </si>
  <si>
    <t>J1302</t>
  </si>
  <si>
    <t>J1303</t>
  </si>
  <si>
    <t>J1304</t>
  </si>
  <si>
    <t>J1305</t>
  </si>
  <si>
    <t>J1306</t>
  </si>
  <si>
    <t>J1307</t>
  </si>
  <si>
    <t>J1308</t>
  </si>
  <si>
    <t>J1309</t>
  </si>
  <si>
    <t>J1310</t>
  </si>
  <si>
    <t>J1311</t>
  </si>
  <si>
    <t>J1312</t>
  </si>
  <si>
    <t>J1313</t>
  </si>
  <si>
    <t>J1314</t>
  </si>
  <si>
    <t>J1315</t>
  </si>
  <si>
    <t>J1316</t>
  </si>
  <si>
    <t>J1317</t>
  </si>
  <si>
    <t>J1318</t>
  </si>
  <si>
    <t>J1319</t>
  </si>
  <si>
    <t>J1320</t>
  </si>
  <si>
    <t>J1321</t>
  </si>
  <si>
    <t>J1322</t>
  </si>
  <si>
    <t>J1323</t>
  </si>
  <si>
    <t>J1324</t>
  </si>
  <si>
    <t>J1325</t>
  </si>
  <si>
    <t>J1326</t>
  </si>
  <si>
    <t>J1327</t>
  </si>
  <si>
    <t>J1328</t>
  </si>
  <si>
    <t>J1329</t>
  </si>
  <si>
    <t>J1330</t>
  </si>
  <si>
    <t>J1331</t>
  </si>
  <si>
    <t>J1332</t>
  </si>
  <si>
    <t>J1333</t>
  </si>
  <si>
    <t>J1334</t>
  </si>
  <si>
    <t>J1335</t>
  </si>
  <si>
    <t>J1336</t>
  </si>
  <si>
    <t>J1337</t>
  </si>
  <si>
    <t>J1338</t>
  </si>
  <si>
    <t>J1339</t>
  </si>
  <si>
    <t>J1340</t>
  </si>
  <si>
    <t>J1341</t>
  </si>
  <si>
    <t>J1342</t>
  </si>
  <si>
    <t>J1343</t>
  </si>
  <si>
    <t>J1344</t>
  </si>
  <si>
    <t>J1345</t>
  </si>
  <si>
    <t>J1346</t>
  </si>
  <si>
    <t>J1347</t>
  </si>
  <si>
    <t>J1348</t>
  </si>
  <si>
    <t>J1349</t>
  </si>
  <si>
    <t>J1350</t>
  </si>
  <si>
    <t>J1351</t>
  </si>
  <si>
    <t>J1352</t>
  </si>
  <si>
    <t>J1353</t>
  </si>
  <si>
    <t>J1354</t>
  </si>
  <si>
    <t>J1355</t>
  </si>
  <si>
    <t>J1356</t>
  </si>
  <si>
    <t>J1357</t>
  </si>
  <si>
    <t>J1358</t>
  </si>
  <si>
    <t>J1359</t>
  </si>
  <si>
    <t>J1360</t>
  </si>
  <si>
    <t>J1361</t>
  </si>
  <si>
    <t>J1362</t>
  </si>
  <si>
    <t>J1363</t>
  </si>
  <si>
    <t>J1364</t>
  </si>
  <si>
    <t>J1365</t>
  </si>
  <si>
    <t>J1366</t>
  </si>
  <si>
    <t>J1367</t>
  </si>
  <si>
    <t>J1368</t>
  </si>
  <si>
    <t>J1369</t>
  </si>
  <si>
    <t>J1370</t>
  </si>
  <si>
    <t>J1371</t>
  </si>
  <si>
    <t>J1372</t>
  </si>
  <si>
    <t>J1373</t>
  </si>
  <si>
    <t>J1374</t>
  </si>
  <si>
    <t>J1375</t>
  </si>
  <si>
    <t>J1376</t>
  </si>
  <si>
    <t>J1377</t>
  </si>
  <si>
    <t>J1378</t>
  </si>
  <si>
    <t>J1379</t>
  </si>
  <si>
    <t>J1380</t>
  </si>
  <si>
    <t>J1381</t>
  </si>
  <si>
    <t>J1382</t>
  </si>
  <si>
    <t>J1383</t>
  </si>
  <si>
    <t>J1384</t>
  </si>
  <si>
    <t>J1385</t>
  </si>
  <si>
    <t>J1386</t>
  </si>
  <si>
    <t>J1387</t>
  </si>
  <si>
    <t>J1388</t>
  </si>
  <si>
    <t>J1389</t>
  </si>
  <si>
    <t>J1390</t>
  </si>
  <si>
    <t>J1391</t>
  </si>
  <si>
    <t>J1392</t>
  </si>
  <si>
    <t>J1393</t>
  </si>
  <si>
    <t>J1394</t>
  </si>
  <si>
    <t>J1395</t>
  </si>
  <si>
    <t>J1396</t>
  </si>
  <si>
    <t>J1397</t>
  </si>
  <si>
    <t>J1398</t>
  </si>
  <si>
    <t>J1399</t>
  </si>
  <si>
    <t>J1400</t>
  </si>
  <si>
    <t>J1401</t>
  </si>
  <si>
    <t>J1402</t>
  </si>
  <si>
    <t>J1403</t>
  </si>
  <si>
    <t>J1404</t>
  </si>
  <si>
    <t>J1405</t>
  </si>
  <si>
    <t>J1406</t>
  </si>
  <si>
    <t>J1407</t>
  </si>
  <si>
    <t>J1408</t>
  </si>
  <si>
    <t>J1409</t>
  </si>
  <si>
    <t>J1410</t>
  </si>
  <si>
    <t>J1411</t>
  </si>
  <si>
    <t>J1412</t>
  </si>
  <si>
    <t>J1413</t>
  </si>
  <si>
    <t>J1414</t>
  </si>
  <si>
    <t>J1415</t>
  </si>
  <si>
    <t>J1416</t>
  </si>
  <si>
    <t>J1417</t>
  </si>
  <si>
    <t>J1418</t>
  </si>
  <si>
    <t>J1419</t>
  </si>
  <si>
    <t>J1420</t>
  </si>
  <si>
    <t>J1421</t>
  </si>
  <si>
    <t>J1422</t>
  </si>
  <si>
    <t>J1423</t>
  </si>
  <si>
    <t>J1424</t>
  </si>
  <si>
    <t>J1425</t>
  </si>
  <si>
    <t>J1426</t>
  </si>
  <si>
    <t>J1427</t>
  </si>
  <si>
    <t>J1428</t>
  </si>
  <si>
    <t>J1429</t>
  </si>
  <si>
    <t>J1430</t>
  </si>
  <si>
    <t>J1431</t>
  </si>
  <si>
    <t>J1432</t>
  </si>
  <si>
    <t>J1433</t>
  </si>
  <si>
    <t>J1434</t>
  </si>
  <si>
    <t>J1435</t>
  </si>
  <si>
    <t>J1436</t>
  </si>
  <si>
    <t>J1437</t>
  </si>
  <si>
    <t>J1438</t>
  </si>
  <si>
    <t>J1439</t>
  </si>
  <si>
    <t>J1440</t>
  </si>
  <si>
    <t>J1441</t>
  </si>
  <si>
    <t>J1442</t>
  </si>
  <si>
    <t>J1443</t>
  </si>
  <si>
    <t>J1444</t>
  </si>
  <si>
    <t>J1445</t>
  </si>
  <si>
    <t>J1446</t>
  </si>
  <si>
    <t>J1447</t>
  </si>
  <si>
    <t>J1448</t>
  </si>
  <si>
    <t>J1449</t>
  </si>
  <si>
    <t>J1450</t>
  </si>
  <si>
    <t>J1451</t>
  </si>
  <si>
    <t>J1452</t>
  </si>
  <si>
    <t>J1453</t>
  </si>
  <si>
    <t>J1454</t>
  </si>
  <si>
    <t>J1455</t>
  </si>
  <si>
    <t>J1456</t>
  </si>
  <si>
    <t>J1457</t>
  </si>
  <si>
    <t>J1458</t>
  </si>
  <si>
    <t>J1459</t>
  </si>
  <si>
    <t>J1460</t>
  </si>
  <si>
    <t>J1461</t>
  </si>
  <si>
    <t>J1462</t>
  </si>
  <si>
    <t>J1463</t>
  </si>
  <si>
    <t>J1464</t>
  </si>
  <si>
    <t>J1465</t>
  </si>
  <si>
    <t>J1466</t>
  </si>
  <si>
    <t>J1467</t>
  </si>
  <si>
    <t>J1468</t>
  </si>
  <si>
    <t>J1469</t>
  </si>
  <si>
    <t>J1470</t>
  </si>
  <si>
    <t>J1471</t>
  </si>
  <si>
    <t>J1472</t>
  </si>
  <si>
    <t>J1473</t>
  </si>
  <si>
    <t>J1474</t>
  </si>
  <si>
    <t>J1475</t>
  </si>
  <si>
    <t>J1476</t>
  </si>
  <si>
    <t>J1477</t>
  </si>
  <si>
    <t>J1478</t>
  </si>
  <si>
    <t>J1479</t>
  </si>
  <si>
    <t>J1480</t>
  </si>
  <si>
    <t>J1481</t>
  </si>
  <si>
    <t>J1482</t>
  </si>
  <si>
    <t>J1483</t>
  </si>
  <si>
    <t>J1484</t>
  </si>
  <si>
    <t>J1485</t>
  </si>
  <si>
    <t>J1486</t>
  </si>
  <si>
    <t>J1487</t>
  </si>
  <si>
    <t>J1488</t>
  </si>
  <si>
    <t>J1489</t>
  </si>
  <si>
    <t>J1490</t>
  </si>
  <si>
    <t>J1491</t>
  </si>
  <si>
    <t>J1492</t>
  </si>
  <si>
    <t>J1493</t>
  </si>
  <si>
    <t>J1494</t>
  </si>
  <si>
    <t>J1495</t>
  </si>
  <si>
    <t>J1496</t>
  </si>
  <si>
    <t>J1497</t>
  </si>
  <si>
    <t>J1498</t>
  </si>
  <si>
    <t>J1499</t>
  </si>
  <si>
    <t>J1500</t>
  </si>
  <si>
    <t>J1501</t>
  </si>
  <si>
    <t>J1502</t>
  </si>
  <si>
    <t>J1503</t>
  </si>
  <si>
    <t>J1504</t>
  </si>
  <si>
    <t>J1505</t>
  </si>
  <si>
    <t>J1506</t>
  </si>
  <si>
    <t>J1507</t>
  </si>
  <si>
    <t>J1508</t>
  </si>
  <si>
    <t>J1509</t>
  </si>
  <si>
    <t>J1510</t>
  </si>
  <si>
    <t>J1511</t>
  </si>
  <si>
    <t>J1512</t>
  </si>
  <si>
    <t>J1513</t>
  </si>
  <si>
    <t>J1514</t>
  </si>
  <si>
    <t>J1515</t>
  </si>
  <si>
    <t>J1516</t>
  </si>
  <si>
    <t>J1517</t>
  </si>
  <si>
    <t>J1518</t>
  </si>
  <si>
    <t>J1519</t>
  </si>
  <si>
    <t>J1520</t>
  </si>
  <si>
    <t>J1521</t>
  </si>
  <si>
    <t>J1522</t>
  </si>
  <si>
    <t>J1523</t>
  </si>
  <si>
    <t>J1524</t>
  </si>
  <si>
    <t>J1525</t>
  </si>
  <si>
    <t>J1526</t>
  </si>
  <si>
    <t>J1527</t>
  </si>
  <si>
    <t>J1528</t>
  </si>
  <si>
    <t>J1529</t>
  </si>
  <si>
    <t>J1530</t>
  </si>
  <si>
    <t>J1531</t>
  </si>
  <si>
    <t>J1532</t>
  </si>
  <si>
    <t>J1533</t>
  </si>
  <si>
    <t>J1534</t>
  </si>
  <si>
    <t>J1535</t>
  </si>
  <si>
    <t>J1536</t>
  </si>
  <si>
    <t>J1537</t>
  </si>
  <si>
    <t>J1538</t>
  </si>
  <si>
    <t>J1539</t>
  </si>
  <si>
    <t>J1540</t>
  </si>
  <si>
    <t>J1541</t>
  </si>
  <si>
    <t>J1542</t>
  </si>
  <si>
    <t>J1543</t>
  </si>
  <si>
    <t>J1544</t>
  </si>
  <si>
    <t>J1545</t>
  </si>
  <si>
    <t>J1546</t>
  </si>
  <si>
    <t>J1547</t>
  </si>
  <si>
    <t>J1548</t>
  </si>
  <si>
    <t>J1549</t>
  </si>
  <si>
    <t>J1550</t>
  </si>
  <si>
    <t>J1551</t>
  </si>
  <si>
    <t>J1552</t>
  </si>
  <si>
    <t>J1553</t>
  </si>
  <si>
    <t>J1554</t>
  </si>
  <si>
    <t>J1555</t>
  </si>
  <si>
    <t>J1556</t>
  </si>
  <si>
    <t>J1557</t>
  </si>
  <si>
    <t>J1558</t>
  </si>
  <si>
    <t>J1559</t>
  </si>
  <si>
    <t>J1560</t>
  </si>
  <si>
    <t>J1561</t>
  </si>
  <si>
    <t>J1562</t>
  </si>
  <si>
    <t>J1563</t>
  </si>
  <si>
    <t>J1564</t>
  </si>
  <si>
    <t>J1565</t>
  </si>
  <si>
    <t>J1566</t>
  </si>
  <si>
    <t>J1567</t>
  </si>
  <si>
    <t>J1568</t>
  </si>
  <si>
    <t>J1569</t>
  </si>
  <si>
    <t>J1570</t>
  </si>
  <si>
    <t>J1571</t>
  </si>
  <si>
    <t>J1572</t>
  </si>
  <si>
    <t>J1573</t>
  </si>
  <si>
    <t>J1574</t>
  </si>
  <si>
    <t>J1575</t>
  </si>
  <si>
    <t>J1576</t>
  </si>
  <si>
    <t>J1577</t>
  </si>
  <si>
    <t>J1578</t>
  </si>
  <si>
    <t>J1579</t>
  </si>
  <si>
    <t>J1580</t>
  </si>
  <si>
    <t>J1581</t>
  </si>
  <si>
    <t>J1582</t>
  </si>
  <si>
    <t>J1583</t>
  </si>
  <si>
    <t>J1584</t>
  </si>
  <si>
    <t>J1585</t>
  </si>
  <si>
    <t>J1586</t>
  </si>
  <si>
    <t>J1587</t>
  </si>
  <si>
    <t>J1588</t>
  </si>
  <si>
    <t>J1589</t>
  </si>
  <si>
    <t>J1590</t>
  </si>
  <si>
    <t>J1591</t>
  </si>
  <si>
    <t>J1592</t>
  </si>
  <si>
    <t>J1593</t>
  </si>
  <si>
    <t>J1594</t>
  </si>
  <si>
    <t>J1595</t>
  </si>
  <si>
    <t>J1596</t>
  </si>
  <si>
    <t>J1597</t>
  </si>
  <si>
    <t>J1598</t>
  </si>
  <si>
    <t>J1599</t>
  </si>
  <si>
    <t>J1600</t>
  </si>
  <si>
    <t>J1601</t>
  </si>
  <si>
    <t>J1602</t>
  </si>
  <si>
    <t>J1603</t>
  </si>
  <si>
    <t>J1604</t>
  </si>
  <si>
    <t>J1605</t>
  </si>
  <si>
    <t>J1606</t>
  </si>
  <si>
    <t>J1607</t>
  </si>
  <si>
    <t>J1608</t>
  </si>
  <si>
    <t>J1609</t>
  </si>
  <si>
    <t>J1610</t>
  </si>
  <si>
    <t>J1611</t>
  </si>
  <si>
    <t>J1612</t>
  </si>
  <si>
    <t>J1613</t>
  </si>
  <si>
    <t>J1614</t>
  </si>
  <si>
    <t>J1615</t>
  </si>
  <si>
    <t>J1616</t>
  </si>
  <si>
    <t>J1617</t>
  </si>
  <si>
    <t>J1618</t>
  </si>
  <si>
    <t>J1619</t>
  </si>
  <si>
    <t>J1620</t>
  </si>
  <si>
    <t>J1621</t>
  </si>
  <si>
    <t>J1622</t>
  </si>
  <si>
    <t>J1623</t>
  </si>
  <si>
    <t>J1624</t>
  </si>
  <si>
    <t>J1625</t>
  </si>
  <si>
    <t>J1626</t>
  </si>
  <si>
    <t>J1627</t>
  </si>
  <si>
    <t>J1628</t>
  </si>
  <si>
    <t>J1629</t>
  </si>
  <si>
    <t>J1630</t>
  </si>
  <si>
    <t>J1631</t>
  </si>
  <si>
    <t>J1632</t>
  </si>
  <si>
    <t>J1633</t>
  </si>
  <si>
    <t>J1634</t>
  </si>
  <si>
    <t>J1635</t>
  </si>
  <si>
    <t>J1636</t>
  </si>
  <si>
    <t>J1637</t>
  </si>
  <si>
    <t>J1638</t>
  </si>
  <si>
    <t>J1639</t>
  </si>
  <si>
    <t>J1640</t>
  </si>
  <si>
    <t>J1641</t>
  </si>
  <si>
    <t>J1642</t>
  </si>
  <si>
    <t>J1643</t>
  </si>
  <si>
    <t>J1644</t>
  </si>
  <si>
    <t>J1645</t>
  </si>
  <si>
    <t>J1646</t>
  </si>
  <si>
    <t>J1647</t>
  </si>
  <si>
    <t>J1648</t>
  </si>
  <si>
    <t>J1649</t>
  </si>
  <si>
    <t>J1650</t>
  </si>
  <si>
    <t>J1651</t>
  </si>
  <si>
    <t>J1652</t>
  </si>
  <si>
    <t>J1653</t>
  </si>
  <si>
    <t>J1654</t>
  </si>
  <si>
    <t>J1655</t>
  </si>
  <si>
    <t>J1656</t>
  </si>
  <si>
    <t>J1657</t>
  </si>
  <si>
    <t>J1658</t>
  </si>
  <si>
    <t>J1659</t>
  </si>
  <si>
    <t>J1660</t>
  </si>
  <si>
    <t>J1661</t>
  </si>
  <si>
    <t>J1662</t>
  </si>
  <si>
    <t>J1663</t>
  </si>
  <si>
    <t>J1664</t>
  </si>
  <si>
    <t>J1665</t>
  </si>
  <si>
    <t>J1666</t>
  </si>
  <si>
    <t>J1667</t>
  </si>
  <si>
    <t>J1668</t>
  </si>
  <si>
    <t>J1669</t>
  </si>
  <si>
    <t>J1670</t>
  </si>
  <si>
    <t>J1671</t>
  </si>
  <si>
    <t>J1672</t>
  </si>
  <si>
    <t>J1673</t>
  </si>
  <si>
    <t>J1674</t>
  </si>
  <si>
    <t>J1675</t>
  </si>
  <si>
    <t>J1676</t>
  </si>
  <si>
    <t>J1677</t>
  </si>
  <si>
    <t>J1678</t>
  </si>
  <si>
    <t>J1679</t>
  </si>
  <si>
    <t>J1680</t>
  </si>
  <si>
    <t>J1681</t>
  </si>
  <si>
    <t>J1682</t>
  </si>
  <si>
    <t>J1683</t>
  </si>
  <si>
    <t>J1684</t>
  </si>
  <si>
    <t>J1685</t>
  </si>
  <si>
    <t>J1686</t>
  </si>
  <si>
    <t>J1687</t>
  </si>
  <si>
    <t>J1688</t>
  </si>
  <si>
    <t>J1689</t>
  </si>
  <si>
    <t>J1690</t>
  </si>
  <si>
    <t>J1691</t>
  </si>
  <si>
    <t>J1692</t>
  </si>
  <si>
    <t>J1693</t>
  </si>
  <si>
    <t>J1694</t>
  </si>
  <si>
    <t>J1695</t>
  </si>
  <si>
    <t>J1696</t>
  </si>
  <si>
    <t>J1697</t>
  </si>
  <si>
    <t>J1698</t>
  </si>
  <si>
    <t>J1699</t>
  </si>
  <si>
    <t>J1700</t>
  </si>
  <si>
    <t>J1701</t>
  </si>
  <si>
    <t>J1702</t>
  </si>
  <si>
    <t>J1703</t>
  </si>
  <si>
    <t>J1704</t>
  </si>
  <si>
    <t>J1705</t>
  </si>
  <si>
    <t>J1706</t>
  </si>
  <si>
    <t>J1707</t>
  </si>
  <si>
    <t>J1708</t>
  </si>
  <si>
    <t>J1709</t>
  </si>
  <si>
    <t>J1710</t>
  </si>
  <si>
    <t>J1711</t>
  </si>
  <si>
    <t>J1712</t>
  </si>
  <si>
    <t>J1713</t>
  </si>
  <si>
    <t>J1714</t>
  </si>
  <si>
    <t>J1715</t>
  </si>
  <si>
    <t>J1716</t>
  </si>
  <si>
    <t>J1717</t>
  </si>
  <si>
    <t>J1718</t>
  </si>
  <si>
    <t>J1719</t>
  </si>
  <si>
    <t>J1720</t>
  </si>
  <si>
    <t>J1721</t>
  </si>
  <si>
    <t>J1722</t>
  </si>
  <si>
    <t>J1723</t>
  </si>
  <si>
    <t>J1724</t>
  </si>
  <si>
    <t>J1725</t>
  </si>
  <si>
    <t>J1726</t>
  </si>
  <si>
    <t>J1727</t>
  </si>
  <si>
    <t>J1728</t>
  </si>
  <si>
    <t>J1729</t>
  </si>
  <si>
    <t>J1730</t>
  </si>
  <si>
    <t>J1731</t>
  </si>
  <si>
    <t>J1732</t>
  </si>
  <si>
    <t>J1733</t>
  </si>
  <si>
    <t>J1734</t>
  </si>
  <si>
    <t>J1735</t>
  </si>
  <si>
    <t>J1736</t>
  </si>
  <si>
    <t>J1737</t>
  </si>
  <si>
    <t>J1738</t>
  </si>
  <si>
    <t>J1739</t>
  </si>
  <si>
    <t>J1740</t>
  </si>
  <si>
    <t>J1741</t>
  </si>
  <si>
    <t>J1742</t>
  </si>
  <si>
    <t>J1743</t>
  </si>
  <si>
    <t>J1744</t>
  </si>
  <si>
    <t>J1745</t>
  </si>
  <si>
    <t>J1746</t>
  </si>
  <si>
    <t>J1747</t>
  </si>
  <si>
    <t>J1748</t>
  </si>
  <si>
    <t>J1749</t>
  </si>
  <si>
    <t>J1750</t>
  </si>
  <si>
    <t>J1751</t>
  </si>
  <si>
    <t>J1752</t>
  </si>
  <si>
    <t>J1753</t>
  </si>
  <si>
    <t>J1754</t>
  </si>
  <si>
    <t>J1755</t>
  </si>
  <si>
    <t>J1756</t>
  </si>
  <si>
    <t>J1757</t>
  </si>
  <si>
    <t>J1758</t>
  </si>
  <si>
    <t>J1759</t>
  </si>
  <si>
    <t>J1760</t>
  </si>
  <si>
    <t>J1761</t>
  </si>
  <si>
    <t>J1762</t>
  </si>
  <si>
    <t>J1763</t>
  </si>
  <si>
    <t>J1764</t>
  </si>
  <si>
    <t>chbUstawienia</t>
  </si>
  <si>
    <t>StronaTytulowa</t>
  </si>
  <si>
    <t>FitToPagesWide</t>
  </si>
  <si>
    <t>FitToPagesTall</t>
  </si>
  <si>
    <t>BlackAndWhite</t>
  </si>
  <si>
    <t>DifferentFirstPageHeaderFooter</t>
  </si>
  <si>
    <t>Zoom</t>
  </si>
  <si>
    <t>A:B</t>
  </si>
  <si>
    <t>ColumnWidth</t>
  </si>
  <si>
    <t>C:C</t>
  </si>
  <si>
    <t>D:D</t>
  </si>
  <si>
    <t>1</t>
  </si>
  <si>
    <t>RowHeight</t>
  </si>
  <si>
    <t>2</t>
  </si>
  <si>
    <t>3</t>
  </si>
  <si>
    <t>4</t>
  </si>
  <si>
    <t>&amp;"Times New Roman.Normalny"&amp;10&amp;P</t>
  </si>
  <si>
    <t>CenterFooter</t>
  </si>
  <si>
    <t>C:D</t>
  </si>
  <si>
    <t>E:E</t>
  </si>
  <si>
    <t>5</t>
  </si>
  <si>
    <t>6</t>
  </si>
  <si>
    <t>7:13</t>
  </si>
  <si>
    <t>1:3</t>
  </si>
  <si>
    <t>7:9</t>
  </si>
  <si>
    <t>10</t>
  </si>
  <si>
    <t>11</t>
  </si>
  <si>
    <t>12</t>
  </si>
  <si>
    <t>13</t>
  </si>
  <si>
    <t>14</t>
  </si>
  <si>
    <t>15</t>
  </si>
  <si>
    <t>16</t>
  </si>
  <si>
    <t>17</t>
  </si>
  <si>
    <t>18</t>
  </si>
  <si>
    <t>19:50</t>
  </si>
  <si>
    <t>A:A</t>
  </si>
  <si>
    <t>B:B</t>
  </si>
  <si>
    <t>F:F</t>
  </si>
  <si>
    <t>G:G</t>
  </si>
  <si>
    <t>H:H</t>
  </si>
  <si>
    <t>I:I</t>
  </si>
  <si>
    <t>J:J</t>
  </si>
  <si>
    <t>introduction</t>
  </si>
  <si>
    <t>K:K</t>
  </si>
  <si>
    <t>L:L</t>
  </si>
  <si>
    <t>D:I</t>
  </si>
  <si>
    <t>RzisKalkA_KwotaA</t>
  </si>
  <si>
    <t>RzisKalkA_KwotaB</t>
  </si>
  <si>
    <t>RzisKalkA_KwotaC</t>
  </si>
  <si>
    <t>RzisKalkB_KwotaA</t>
  </si>
  <si>
    <t>RzisKalkB_KwotaB</t>
  </si>
  <si>
    <t>RzisKalkB_KwotaC</t>
  </si>
  <si>
    <t>RzisKalkC_KwotaA</t>
  </si>
  <si>
    <t>RzisKalkC_KwotaB</t>
  </si>
  <si>
    <t>RzisKalkC_KwotaC</t>
  </si>
  <si>
    <t>RzisKalkF_KwotaA</t>
  </si>
  <si>
    <t>RzisKalkF_KwotaB</t>
  </si>
  <si>
    <t>RzisKalkF_KwotaC</t>
  </si>
  <si>
    <t>RzisKalkG_KwotaA</t>
  </si>
  <si>
    <t>RzisKalkG_KwotaB</t>
  </si>
  <si>
    <t>RzisKalkG_KwotaC</t>
  </si>
  <si>
    <t>RzisKalkH_KwotaA</t>
  </si>
  <si>
    <t>RzisKalkH_KwotaB</t>
  </si>
  <si>
    <t>RzisKalkH_KwotaC</t>
  </si>
  <si>
    <t>RzisKalkI_KwotaA</t>
  </si>
  <si>
    <t>RzisKalkI_KwotaB</t>
  </si>
  <si>
    <t>RzisKalkI_KwotaC</t>
  </si>
  <si>
    <t>RzisKalkJ_KwotaA</t>
  </si>
  <si>
    <t>RzisKalkJ_KwotaB</t>
  </si>
  <si>
    <t>RzisKalkJ_KwotaC</t>
  </si>
  <si>
    <t>RzisKalkK_KwotaA</t>
  </si>
  <si>
    <t>RzisKalkK_KwotaB</t>
  </si>
  <si>
    <t>RzisKalkK_KwotaC</t>
  </si>
  <si>
    <t>RzisKalkL_KwotaA</t>
  </si>
  <si>
    <t>RzisKalkL_KwotaB</t>
  </si>
  <si>
    <t>RzisKalkL_KwotaC</t>
  </si>
  <si>
    <t>RzisKalkO_KwotaA</t>
  </si>
  <si>
    <t>RzisKalkO_KwotaB</t>
  </si>
  <si>
    <t>RzisKalkO_KwotaC</t>
  </si>
  <si>
    <t>A1:C</t>
  </si>
  <si>
    <t>PrintArea</t>
  </si>
  <si>
    <t>A1:E</t>
  </si>
  <si>
    <t>A2:J</t>
  </si>
  <si>
    <t>A2:L</t>
  </si>
  <si>
    <t>A2:I</t>
  </si>
  <si>
    <t>chbSumowanie</t>
  </si>
  <si>
    <t>Narzędzie do generowania e-Sprawozdania finansowego w formie xml wersja:</t>
  </si>
  <si>
    <t>2.21</t>
  </si>
  <si>
    <t>Check lista</t>
  </si>
  <si>
    <t>Wskaźniki</t>
  </si>
  <si>
    <t>Aktywa = Pasywa</t>
  </si>
  <si>
    <t>Marża operacyjna</t>
  </si>
  <si>
    <t>Aktywa = Pasywa (poprzedni okres)</t>
  </si>
  <si>
    <t>Marża zysku brutto</t>
  </si>
  <si>
    <t>Wynik bilansowy = Wynik z RZiS</t>
  </si>
  <si>
    <t>Rentowność aktywów</t>
  </si>
  <si>
    <t>Wynik bilansowy = Wynik z RZiS (poprzedni okres)</t>
  </si>
  <si>
    <t>Rentowność kapitału własnego</t>
  </si>
  <si>
    <t>Zestawienie zmian w kapitale własnym</t>
  </si>
  <si>
    <t>Zestawienie zmian w kapitale własnym (poprzedni okres)</t>
  </si>
  <si>
    <t>Podział zysku</t>
  </si>
  <si>
    <t>Lista zmian w najnowszej wersji:</t>
  </si>
  <si>
    <t>1.</t>
  </si>
  <si>
    <t>Wstawienie przycisku tworzącego Backup</t>
  </si>
  <si>
    <t>dobrze</t>
  </si>
  <si>
    <t>2.</t>
  </si>
  <si>
    <t>Dodanie nowej funkcjonalności do przycisku Przywrć ustawienia fabryczne</t>
  </si>
  <si>
    <t>3.</t>
  </si>
  <si>
    <t>Poprawki kosmetyczne w arkuszach</t>
  </si>
  <si>
    <t>4.</t>
  </si>
  <si>
    <t>Poprawa formatowania nagłówków we Wstępie i w Notach</t>
  </si>
  <si>
    <t>5.</t>
  </si>
  <si>
    <t>Przeniesienie noty Zarząd ze Wstępu do Not</t>
  </si>
  <si>
    <t>6.</t>
  </si>
  <si>
    <t>Dodanie nowych not</t>
  </si>
  <si>
    <t>7.</t>
  </si>
  <si>
    <t>Zmiana skryptów w arkuszu Salda</t>
  </si>
  <si>
    <t>8.</t>
  </si>
  <si>
    <t>Dodanie wskaźników do analizy</t>
  </si>
  <si>
    <t>9.</t>
  </si>
  <si>
    <t>Dodanie instrukcji obsługi do pliku</t>
  </si>
  <si>
    <t>Numer izby handlowej</t>
  </si>
  <si>
    <t>Kod pocztowy</t>
  </si>
  <si>
    <t>Miasto</t>
  </si>
  <si>
    <t>Kod kraju</t>
  </si>
  <si>
    <t>Nazwa jednostki:</t>
  </si>
  <si>
    <t>Testowa 185 Sp. z o.o.</t>
  </si>
  <si>
    <t>7282741164</t>
  </si>
  <si>
    <t>0000000000</t>
  </si>
  <si>
    <t>Dostawcza 12</t>
  </si>
  <si>
    <t>93-231</t>
  </si>
  <si>
    <t>Łódź</t>
  </si>
  <si>
    <t>łódzkie</t>
  </si>
  <si>
    <t>PL</t>
  </si>
  <si>
    <t>Numer bazy w Exact</t>
  </si>
  <si>
    <t>008</t>
  </si>
  <si>
    <t>Numer serwera</t>
  </si>
  <si>
    <t>Początek roku finansowego:</t>
  </si>
  <si>
    <t>01.01.2020</t>
  </si>
  <si>
    <t>Koniec roku finansowego:</t>
  </si>
  <si>
    <t>31.12.2020</t>
  </si>
  <si>
    <t>Początek poprzedniego roku finansowego:</t>
  </si>
  <si>
    <t>01.01.2019</t>
  </si>
  <si>
    <t>Koniec poprzedniego roku finansowego:</t>
  </si>
  <si>
    <t>31.12.2019</t>
  </si>
  <si>
    <t>Data sporządzenia</t>
  </si>
  <si>
    <t>31.03.2021</t>
  </si>
  <si>
    <t>Czas trwania działalnosci jednostki (jesli ograniczony)</t>
  </si>
  <si>
    <t>Od dnia</t>
  </si>
  <si>
    <t>Do</t>
  </si>
  <si>
    <t>Założenie kontynuacji działalnosci</t>
  </si>
  <si>
    <t>Wskazanie, czy nie istnieją okoliczności wskazujące na zagrożenie kontynuowania przez nią działalności</t>
  </si>
  <si>
    <t>Okolicznosci zagrożenia</t>
  </si>
  <si>
    <t>Czy sprawozdanie zawiera dane łączne</t>
  </si>
  <si>
    <t>Czy nastąpiło połączenie spółek</t>
  </si>
  <si>
    <t>Czy sporządzono po połączeniu</t>
  </si>
  <si>
    <t>Zastosowana metoda rozliczenia</t>
  </si>
  <si>
    <t>Dane teleadresowe siedziby w Polsce</t>
  </si>
  <si>
    <t>Opis po angielsku (jeśli inny niż polski)</t>
  </si>
  <si>
    <t>Województwo</t>
  </si>
  <si>
    <t>M.St. Warszawa</t>
  </si>
  <si>
    <t>za granicą (opcjonalne)</t>
  </si>
  <si>
    <t>Miejscowosć</t>
  </si>
  <si>
    <t>Towarowa</t>
  </si>
  <si>
    <t>Nr Domu</t>
  </si>
  <si>
    <t>Kod Pocztowy</t>
  </si>
  <si>
    <t>REGON</t>
  </si>
  <si>
    <t>Kod PKD</t>
  </si>
  <si>
    <t>Stopa podatku dochodowego od osób prawnych w bieżącym roku</t>
  </si>
  <si>
    <t>Wariant not:</t>
  </si>
  <si>
    <t>Stopa podatku dochodowego od osób prawnych w ubiegłym roku</t>
  </si>
  <si>
    <t>Stopy użyte do obliczania podatku odroczonego w bieżącym roku (na przyszły rok)</t>
  </si>
  <si>
    <t>Stopy użyte do obliczania podatku odroczonego w ubiegłym roku (na bieżący rok)</t>
  </si>
  <si>
    <t>Ogólny</t>
  </si>
  <si>
    <t>Real Estate</t>
  </si>
  <si>
    <t>Shelfy Sp. zoo</t>
  </si>
  <si>
    <t>Shelfy SA</t>
  </si>
  <si>
    <t>Shelfy SKA</t>
  </si>
  <si>
    <t>Shelfy Komandytowa</t>
  </si>
  <si>
    <t>Prezes zarządu</t>
  </si>
  <si>
    <t>Chairman of the Board of Directors</t>
  </si>
  <si>
    <t>test</t>
  </si>
  <si>
    <t>Kwoty w:</t>
  </si>
  <si>
    <t>Członek zarządu</t>
  </si>
  <si>
    <t>Member of the Board of Directors</t>
  </si>
  <si>
    <t>test1</t>
  </si>
  <si>
    <t>tst2</t>
  </si>
  <si>
    <t>Wersja językowa</t>
  </si>
  <si>
    <t>Dane przekształcone</t>
  </si>
  <si>
    <t>Data podpisania aktu notarialnego (utworzenie Spółki)</t>
  </si>
  <si>
    <t>01.01.1900</t>
  </si>
  <si>
    <t>Nota Podatkowa</t>
  </si>
  <si>
    <t>Miejscowość Sądu Rejestrowego</t>
  </si>
  <si>
    <t>Wydział Gospodarczy KRS</t>
  </si>
  <si>
    <t>Sprawozdanie z przepływu środków pieniężnych</t>
  </si>
  <si>
    <t>Podmiot odpowiedzialny za prowadzenie ksiąg rachunkowych</t>
  </si>
  <si>
    <t>Entity responsible for keeping accounting books</t>
  </si>
  <si>
    <t>Czy jest to pierwszy rok obrotowy spółki</t>
  </si>
  <si>
    <t>OBOWIĄZKOWE DLA JEDNOSTEK:</t>
  </si>
  <si>
    <t>Wariant rachunku zysków i strat</t>
  </si>
  <si>
    <t>które w poprzedzającym roku obrotowym, za który sporządzono sprawozdania finansowe, spełniły co najmniej dwa z następujących warunków:</t>
  </si>
  <si>
    <t>a) srednioroczne zatrudnienie w przeliczeniu na pełne etaty wyniosło co najmniej 50 osób,</t>
  </si>
  <si>
    <t>b) suma aktywów bilansu na koniec roku obrotowego stanowiła równowartosć w walucie polskiej co najmniej 2.500.000 euro,</t>
  </si>
  <si>
    <t>Shelfy</t>
  </si>
  <si>
    <t>c) przychody netto ze sprzedaży towarów i produktów oraz operacji finansowych za rok obrotowy stanowiły równowartosć w walucie polskiej co najmniej 5.000.000 euro.</t>
  </si>
  <si>
    <t>Spis tresci not</t>
  </si>
  <si>
    <t>Czy w spółce występuje dana pozycja?</t>
  </si>
  <si>
    <t>Noty:</t>
  </si>
  <si>
    <t>jeśli pozycja występuje nota wymagana</t>
  </si>
  <si>
    <t>informacja wymagana UOR</t>
  </si>
  <si>
    <t>Jeśli nota nie występuje będzie wtedy opis w nocie "Środki trwałe - wymagane ujawnienia"</t>
  </si>
  <si>
    <t>pozycja niewymagana przez UoR</t>
  </si>
  <si>
    <t>pozycja wymagana w przypadku podatników opodatkowanych ryczałtem od dochodów spółek kapitałowych</t>
  </si>
  <si>
    <t>Nota nie występuje jeśli są odpowiednie opisy w nocie "Rzeczowe aktywa trwałe"</t>
  </si>
  <si>
    <t>Jeżeli nie było połączenia to tylko informacja we wstępie. Jeżeli połączenie było, to info we wstępie, że było oraz nota z danymi finansowymi.</t>
  </si>
  <si>
    <t>SPRAWOZDANIE FINANSOWE</t>
  </si>
  <si>
    <t>FINANCIAL STATEMENTS</t>
  </si>
  <si>
    <t>SPIS TREŚCI</t>
  </si>
  <si>
    <t>TABLE OF CONTENTS</t>
  </si>
  <si>
    <t>Oświadczenie Zarządu</t>
  </si>
  <si>
    <t>Statement of the Board of Directors</t>
  </si>
  <si>
    <t>Zgodnie z przepisami Ustawy z dnia 29 września 1994 r. o rachunkowości (Dz. U. z 2021 r., poz. 217 z późniejszymi zmianami), Zarząd jest zobowiązany zapewnić sporządzenie rocznego sprawozdania finansowego, dającego rzetelny i jasny obraz sytuacji majątkowej i finansowej Spółki na koniec roku obrotowego oraz wyniku finansowego za ten rok. Przy sporządzaniu sprawozdania finansowego przyjęte zostały odpowiednie do działalności jednostki zasady rachunkowości, które stosowane były w sposób ciągły. Przy wycenie aktywów i pasywów oraz ustalaniu wyniku finansowego przyjęto, że w dającej się przewidzieć przyszłości Spółka będzie kontynuować działalność w niezmniejszonym istotnie zakresie, bez postawienia jej w stan likwidacji lub upadłości.</t>
  </si>
  <si>
    <t>In accordance with  the Accounting Act of 29 September 1994 (Revised Text, Journal of Laws from  2021,  pos. 217 with subsequent amendments), the Board of Directors is obliged to present the financial statements, which truly and fairly present the financial position at year end and the financial result for the reporting period. For the preparation of the financial statements, accounting principles suitable for the Company's operation were adopted and have consistently been applied by the Company. The valuation of assets and liabilities and the financial result calculation were performed under the assumption that the Company will continue to operate as a going concern for the foreseeable future without limiting its operations and without opening a liquidation or bankruptcy process.</t>
  </si>
  <si>
    <t xml:space="preserve">Załączone sprawozdanie finansowe zostało sporządzone zgodnie z Ustawą o rachunkowości i składa się z: </t>
  </si>
  <si>
    <t>The presented financial statements were prepared in accordance with the Accounting Act and consist of:</t>
  </si>
  <si>
    <t>1) wprowadzenia do sprawozdania finansowego;</t>
  </si>
  <si>
    <t>1) Introduction to financial statements;</t>
  </si>
  <si>
    <t>o</t>
  </si>
  <si>
    <t>Wprowadzenie do sprawozdania finansowego</t>
  </si>
  <si>
    <t>Dane identyfikujące Spółkę</t>
  </si>
  <si>
    <t>Nazwa Spółki</t>
  </si>
  <si>
    <t>Siedziba i dane rejestrowe Spółki</t>
  </si>
  <si>
    <t xml:space="preserve">Ulica: </t>
  </si>
  <si>
    <t xml:space="preserve">Nr domu: </t>
  </si>
  <si>
    <t xml:space="preserve">Nr lokalu: </t>
  </si>
  <si>
    <t>Miejscowość</t>
  </si>
  <si>
    <t>Poczta:</t>
  </si>
  <si>
    <t>Kod pocztowy:</t>
  </si>
  <si>
    <t>Kod kraju:</t>
  </si>
  <si>
    <t>Powiat:</t>
  </si>
  <si>
    <t>Gmina:</t>
  </si>
  <si>
    <t>Województwo:</t>
  </si>
  <si>
    <t xml:space="preserve">Identyfikator podatkowy NIP: </t>
  </si>
  <si>
    <t>REGON:</t>
  </si>
  <si>
    <t>Rejestracja w Krajowym Rejestrze Sądowym</t>
  </si>
  <si>
    <t>Podstawowy przedmiot i czas działalności Spółki</t>
  </si>
  <si>
    <t>Przedmiotem działalności Spółki zgodnie z umową Spółki jest między innymi:</t>
  </si>
  <si>
    <t>-</t>
  </si>
  <si>
    <t>Spółka została utworzona na czas nieokreślony [jeśli określony podać czas trwania].</t>
  </si>
  <si>
    <t>Okres objęty sprawozdaniem</t>
  </si>
  <si>
    <t>Założenie kontynuacji działalności gospodarczej</t>
  </si>
  <si>
    <t>Wariant 1</t>
  </si>
  <si>
    <t xml:space="preserve">Sprawozdanie finansowe zostało sporządzone przy założeniu kontynuowania działalności gospodarczej w dającej się przewidzieć przyszłości. </t>
  </si>
  <si>
    <t>Nie istnieją żadne okoliczności wskazujące na zagrożenie kontynuowania przez Spółkę działalności.</t>
  </si>
  <si>
    <t>Wariant 2</t>
  </si>
  <si>
    <t xml:space="preserve">W tej i tylko tej komórce opisać okoliczności, które mogą wskazywać na zagrożenie kontynuacji działalności oraz przedstawić opis niepewności oraz działań zmierzających do ich eliminacji. Dodać informację, czy sprawozdanie zawiera korekty związane z tymi zagrożeniami. 
Np. Bilans Spółki wykazuje stratę przewyższającą sumę kapitałów zapasowego i rezerwowych oraz połowę kapitału zakładowego. Udziałowcy Spółki nie podjęli jeszcze uchwały o kontynuowaniu przez Spółkę działalności. Zarząd Spółki nie widzi zagrożenia dla kontynuacji działalności mimo poniesionych strat. Spółka jest wciąż w fazie rozwoju i w kolejnych latach będzie osiągać zyski. Zdaniem Zarządu, oczekiwane zyski  pokryją obecne straty. </t>
  </si>
  <si>
    <t>Wariant 3</t>
  </si>
  <si>
    <t xml:space="preserve">Sprawozdanie finansowe zostało sporządzone przy założeniu,  że Spółka nie będzie kontynuowała działalności gospodarczej. </t>
  </si>
  <si>
    <t xml:space="preserve">W tej i tylko tej komórce opisać okoliczności, które mogą wskazywać na zagrożenie kontynuacji działalności oraz przedstawić opis niepewności oraz działań zmierzających do ich eliminacji. Dodać informację, czy sprawozdanie zawiera korekty związane z tymi zagrożeniami. 
Np. W dniu .................... podjęta została uchwała o likwidacji Spółki. W związku z tym sprawozdanie sporządzone jest według zasad określonych w art. 29. ustawy o rachunkowości. </t>
  </si>
  <si>
    <t>Wewnętrzne jednostki organizacyjne</t>
  </si>
  <si>
    <t>Niniejsze sprawozdanie łączne zawiera dane następujących wewnętrznych jednostek organizacyjnych sporządzających samodzielnie sprawozdania finansowe:</t>
  </si>
  <si>
    <t>Łączenie się Spółek</t>
  </si>
  <si>
    <t xml:space="preserve">Sprawozdanie finansowe zostało sporządzone po połączeniu Spółki oraz Spółki X w dniu  </t>
  </si>
  <si>
    <t>Połączenie zostało rozliczone w księgach Spółki / Spółki X metodą:</t>
  </si>
  <si>
    <t xml:space="preserve"> Lub</t>
  </si>
  <si>
    <t>W bieżącym okresie nie nastąpiło połączenie Spółek.</t>
  </si>
  <si>
    <t>Znaczące zasady rachunkowości</t>
  </si>
  <si>
    <t>Sprawozdanie finansowe sporządzono stosując poniżej opisane zasady rachunkowości:</t>
  </si>
  <si>
    <t>Omówienie przyjętych zasad (polityki) rachunkowości, w zakresie w jakim ustawa pozostawia jednostce prawo wyboru</t>
  </si>
  <si>
    <t>Podstawa sporządzenia sprawozdania finansowego</t>
  </si>
  <si>
    <t>Sprawozdanie finansowe sporządzone zostało w zgodzie z praktyką stosowaną przez jednostki działające w Polsce, w oparciu o zasady rachunkowości wynikające z przepisów ustawy z dnia 29 września 1994 r. o rachunkowości (Dz. U. z 2021 r., poz. 217 z późniejszymi zmianami).</t>
  </si>
  <si>
    <t>[Jeżeli nastąpiły zmiany stosowanych metod księgowości i wyceny należy przedstawić je wraz z podaniem ich przyczyn oraz wpływu na wynik finansowy. Dotyczy to także zmian sposobu sporządzania sprawozdania finansowego oraz wpływu wywołanych tym skutków finansowych. Opis zmian oraz ich wpływ na wynik podajemy raz - albo w tym miejscu, albo opisujemy w nocie objaśniającej, do której się tutaj odwołujemy]</t>
  </si>
  <si>
    <t>Metody wyceny aktywów i pasywów (także amortyzacji)</t>
  </si>
  <si>
    <t>Wartości niematerialne i prawne</t>
  </si>
  <si>
    <t xml:space="preserve">W pozycji tej zostały ujęte nabyte przez jednostkę, zaliczane do aktywów trwałych, prawa majątkowe nadające się do gospodarczego wykorzystania, o przewidywanym okresie ekonomicznej użyteczności dłuższym niż rok, przeznaczone do używania na potrzeby jednostki. Wartości niematerialne i prawne ujmuje się w księgach według cen ich nabycia pomniejszonych o umorzenie. </t>
  </si>
  <si>
    <t>Stawki amortyzacyjne ustalone zostały z uwzględnieniem okresu ekonomicznej użyteczności wartości niematerialnych i prawnych i odzwierciedlają faktyczny okres ich użytkowania. Wartości niematerialne amortyzuje się metodą liniową przy zastosowaniu następujących stawek:</t>
  </si>
  <si>
    <t>Koszty zakończonych prac rozwojowych</t>
  </si>
  <si>
    <t>......... %</t>
  </si>
  <si>
    <t>Koncesje, patenty, licencje i znaki towarowe</t>
  </si>
  <si>
    <t>Wartosć firmy</t>
  </si>
  <si>
    <t>Inne</t>
  </si>
  <si>
    <r>
      <t xml:space="preserve">Rozpoczęcie amortyzacji następuje </t>
    </r>
    <r>
      <rPr>
        <sz val="10"/>
        <color rgb="FFFF0000"/>
        <rFont val="Times New Roman"/>
        <family val="1"/>
        <charset val="238"/>
      </rPr>
      <t>w miesiącu następującym po miesiącu / w miesiącu</t>
    </r>
    <r>
      <rPr>
        <sz val="10"/>
        <rFont val="Times New Roman"/>
        <family val="1"/>
        <charset val="238"/>
      </rPr>
      <t>, w którym nastąpiło przyjęcie wartości niematerialnych i prawnych do używania.</t>
    </r>
  </si>
  <si>
    <t xml:space="preserve">Spółka kapitalizuje koszty zakończonych prac rozwojowych prowadzonych na własne potrzeby, poniesione przed podjęciem produkcji lub zastosowaniem technologii, jeżeli spełnione są łącznie następujące warunki: </t>
  </si>
  <si>
    <t xml:space="preserve">produkt lub technologia wytwarzania są scisle ustalone, a dotyczące ich koszty prac rozwojowych wiarygodnie okreslone, </t>
  </si>
  <si>
    <t xml:space="preserve">techniczna przydatnosć produktu lub technologii została stwierdzona i odpowiednio udokumentowana i na tej podstawie jednostka podjęła decyzję o wytwarzaniu tych produktów lub stosowaniu technologii, </t>
  </si>
  <si>
    <t xml:space="preserve">koszty prac rozwojowych zostaną pokryte, według przewidywań, przychodami ze sprzedaży tych produktów lub zastosowania technologii. </t>
  </si>
  <si>
    <t>Środki trwałe</t>
  </si>
  <si>
    <t xml:space="preserve">W pozycji tej ujęte zostały rzeczowe aktywa trwałe i zrównane z nimi, o przewidywanym okresie ekonomicznej użyteczności dłuższym niż rok, kompletne, zdatne do użytku i przeznaczone na potrzeby jednostki. </t>
  </si>
  <si>
    <r>
      <t xml:space="preserve">Wartość początkową środków trwałych ujmuje się w księgach według cen nabycia </t>
    </r>
    <r>
      <rPr>
        <sz val="10"/>
        <color rgb="FFFF0000"/>
        <rFont val="Times New Roman"/>
        <family val="1"/>
        <charset val="238"/>
      </rPr>
      <t>lub kosztów wytworzenia lub wartości przeszacowanej (po aktualizacji wyceny środków trwałych)</t>
    </r>
    <r>
      <rPr>
        <sz val="10"/>
        <rFont val="Times New Roman"/>
        <family val="1"/>
        <charset val="238"/>
      </rPr>
      <t>, pomniejszonych o odpisy amortyzacyjne (umorzeniowe), a także o odpisy z tytułu trwałej utraty wartości.</t>
    </r>
  </si>
  <si>
    <t>Cena nabycia i koszt wytworzenia środków trwałych obejmuje ogół ich kosztów poniesionych przez jednostkę za okres budowy, montażu, przystosowania i ulepszenia, do dnia bilansowego lub przyjęcia do używania, w tym również:</t>
  </si>
  <si>
    <t>niepodlegający odliczeniu podatek od towarów i usług oraz podatek akcyzowy,</t>
  </si>
  <si>
    <t>koszt obsługi zobowiązań zaciągniętych w celu ich finansowania i związane z nimi różnice kursowe, pomniejszony o przychody z tego tytułu.</t>
  </si>
  <si>
    <t>Wartość początkową stanowiącą cenę nabycia lub koszt wytworzenia środka trwałego powiększają koszty jego ulepszenia, polegającego na przebudowie, rozbudowie, modernizacji lub rekonstrukcji, powodującego, że wartość użytkowa tego środka po zakończeniu ulepszenia wzrosła.</t>
  </si>
  <si>
    <t>Wartość początkowa środków trwałych pomniejszona została o odpisy amortyzacyjne. Stawki amortyzacyjne ustalone zostały z uwzględnieniem okresu użyteczności środków trwałych i odzwierciedlają faktyczne zużycie środków trwałych. Środki trwałe amortyzowane są metodą liniową [lub inną - proszę podać stosowaną metodę]. Rozpoczęcie amortyzacji następuje w miesiącu następującym po miesiącu / w miesiącu, w którym nastąpiło przyjęcie wartości środków trwałych do używania.</t>
  </si>
  <si>
    <t>Przykładowe stawki amortyzacyjne są następujące:</t>
  </si>
  <si>
    <t xml:space="preserve">Budynki </t>
  </si>
  <si>
    <t>……%</t>
  </si>
  <si>
    <t>Obiekty inżynierii lądowej i wodnej</t>
  </si>
  <si>
    <t xml:space="preserve">……%    </t>
  </si>
  <si>
    <t>Urządzenia techniczne i maszyny</t>
  </si>
  <si>
    <t xml:space="preserve"> ……%</t>
  </si>
  <si>
    <t>Środki transportu</t>
  </si>
  <si>
    <t>Pozostałe środki trwałe</t>
  </si>
  <si>
    <t xml:space="preserve">Środki trwałe o wartości jednostkowej do 10.000,00 zł amortyzowane są jednorazowo. </t>
  </si>
  <si>
    <t>UWAGA: kwota zgodna z przyjętą polityką rachunkowosci</t>
  </si>
  <si>
    <t xml:space="preserve">W przypadku wystąpienia przyczyn powodujących trwałą utratę wartości środków trwałych stosowne odpisy aktualizujące pomniejszają wartość bilansową środków trwałych. 
Odpisy aktualizujące spowodowane trwałą utratą wartości obciążają pozostałe koszty operacyjne, a w odniesieniu do środków trwałych, których wycena została zaktualizowana, zmniejszają odniesione na kapitał z aktualizacji wyceny różnice spowodowane aktualizacją wyceny. Ewentualną nadwyżkę odpisu aktualizującego, nad różnicami z aktualizacji wyceny zalicza się do pozostałych kosztów operacyjnych.
</t>
  </si>
  <si>
    <t>Środki trwałe w budowie</t>
  </si>
  <si>
    <t xml:space="preserve">W pozycji tej ujęte zostały zaliczane do aktywów trwałych środki trwałe w okresie ich budowy, montażu lub ulepszenia już istniejącego środka trwałego. </t>
  </si>
  <si>
    <t>Środki trwałe w budowie ujmuje się w wysokości ogółu kosztów pozostających w bezpośrednim związku z ich nabyciem lub wytworzeniem, pomniejszonych o odpisy z tytułu trwałej utraty ich wartości.</t>
  </si>
  <si>
    <t>Zaliczki na środki trwałe w budowie ujęte zostały w wartości nominalnej, pomniejszonych o odpisy z tytułu trwałej utraty ich wartości.</t>
  </si>
  <si>
    <t>Inwestycje długoterminowe</t>
  </si>
  <si>
    <t xml:space="preserve">Inwestycje obejmują aktywa posiadane w celu osiągnięcia korzyści ekonomicznych wynikających z przyrostu wartości tych aktywów, uzyskania z nich przychodów w postaci odsetek, dywidend lub innych pożytków. </t>
  </si>
  <si>
    <t>Nieruchomości</t>
  </si>
  <si>
    <t>wariant  I (wycena wg ceny rynkowej/wartosci godziwej)</t>
  </si>
  <si>
    <t xml:space="preserve">Nieruchomości wycenia się według wartości rynkowej, bądź inaczej określonej wartości godziwej. </t>
  </si>
  <si>
    <t xml:space="preserve">Skutki przeszacowania inwestycji zaliczonych do aktywów trwałych, powodujące wzrost/spadek ich wartości do poziomu cen rynkowych, bądź inaczej określonej wartości godziwej, ujmowane są odpowiednio jako pozostałe przychody/koszty operacyjne. </t>
  </si>
  <si>
    <t>lub wariant II (wycena wg ceny nabycia)</t>
  </si>
  <si>
    <t>Wartość początkową nieruchomości ujmuje się w księgach według cen nabycia lub kosztów wytworzenia, pomniejszonych o odpisy amortyzacyjne (umorzeniowe), a także o odpisy z tytułu trwałej utraty wartości.</t>
  </si>
  <si>
    <t>Cena nabycia i koszt wytworzenia nieruchomości obejmuje ogół ich kosztów poniesionych przez jednostkę za okres budowy, montażu, przystosowania i ulepszenia, do dnia bilansowego lub przyjęcia do używania, w tym również:</t>
  </si>
  <si>
    <t>Wartość początkową stanowiącą cenę nabycia lub koszt wytworzenia nieruchomości powiększają koszty ich ulepszenia, polegającego na przebudowie, rozbudowie, modernizacji lub rekonstrukcji, powodującego, że wartość użytkowa tego aktywa po zakończeniu ulepszenia wzrosła.</t>
  </si>
  <si>
    <t>Wartość początkowa nieruchomości pomniejszona została o odpisy amortyzacyjne. Stawki amortyzacyjne ustalone zostały z uwzględnieniem okresu użyteczności i odzwierciedlają faktyczne zużycie nieruchomości. Nieruchomości amortyzowane są metodą liniową [lub inną - proszę podać stosowaną metodę], stawką ….%. Rozpoczęcie amortyzacji następuje w miesiącu następującym po miesiącu / w miesiącu, w którym nastąpiło przyjęcie nieruchomości do używania.</t>
  </si>
  <si>
    <t>W przypadku wystąpienia przyczyn powodujących trwałą utratę wartości nieruchomości stosowne odpisy aktualizujące pomniejszają ich wartość bilansową.
Odpisy aktualizujące spowodowane trwałą utratą wartości obciążają pozostałe koszty operacyjne.</t>
  </si>
  <si>
    <t xml:space="preserve">Akcje i udziały </t>
  </si>
  <si>
    <t>wariant I (wycena wg ceny nabycia)</t>
  </si>
  <si>
    <t>Akcje i udziały zaliczone do aktywów trwałych wycenia się według ceny nabycia. W przypadku trwałej utraty wartości, nie później niż na koniec okresu sprawozdawczego, wartość udziałów i akcji pomniejsza się o odpis wyrażający trwałą utratę wartości. Skutki obniżenia wartości inwestycji rozlicza się w rachunku zysków i strat.</t>
  </si>
  <si>
    <t>lub wariant  II (wycena wg ceny rynkowej/wartosci godziwej)</t>
  </si>
  <si>
    <t>Akcje i udziały oraz inne aktywa finansowe zaliczone do aktywów trwałych  wycenia się według wartości godziwej [albo skorygowanej ceny nabycia jeżeli dla danego składnika aktywów został określony termin wymagalności].</t>
  </si>
  <si>
    <t xml:space="preserve">Wartość w cenie nabycia podlega przeszacowaniu do wartości rynkowej. Skutki przeszacowania inwestycji zaliczonych do aktywów trwałych, powodujące wzrost ich wartości do poziomu cen rynkowych, zwiększają kapitał z aktualizacji wyceny. </t>
  </si>
  <si>
    <t>lub wariant III (wycena metodą praw własnosci)</t>
  </si>
  <si>
    <t>Akcje i udziały w jednostkach podporządkowanych zaliczone do aktywów trwałych  wycenia się metodą praw własności.</t>
  </si>
  <si>
    <t>Zapasy</t>
  </si>
  <si>
    <t>Zapasy wyceniane są według cen ich nabycia [zakupu] lub kosztów wytworzenia nie wyższych od ich cen sprzedaży netto na dzień bilansowy.</t>
  </si>
  <si>
    <t>Wartość zapasów ustala się w oparciu o:</t>
  </si>
  <si>
    <r>
      <t xml:space="preserve">Materiały - cenę nabycia [zakupu], przy czym rozchód wycenia się metodą </t>
    </r>
    <r>
      <rPr>
        <sz val="10"/>
        <color rgb="FFFF0000"/>
        <rFont val="Times New Roman CE"/>
        <charset val="238"/>
      </rPr>
      <t>[średniej ważonej; pierwsze weszło, pierwsze wyszło; ostatnie weszło, pierwsze wyszło]</t>
    </r>
    <r>
      <rPr>
        <sz val="10"/>
        <rFont val="Times New Roman CE"/>
        <charset val="238"/>
      </rPr>
      <t>.</t>
    </r>
  </si>
  <si>
    <r>
      <t xml:space="preserve">Towary -  cenę nabycia [zakupu], przy czym rozchód wycenia się metodą </t>
    </r>
    <r>
      <rPr>
        <sz val="10"/>
        <color rgb="FFFF0000"/>
        <rFont val="Times New Roman CE"/>
        <charset val="238"/>
      </rPr>
      <t>[średniej ważonej; pierwsze weszło, pierwsze wyszło; ostatnie weszło, pierwsze wyszło]</t>
    </r>
    <r>
      <rPr>
        <sz val="10"/>
        <rFont val="Times New Roman CE"/>
        <charset val="238"/>
      </rPr>
      <t>.</t>
    </r>
  </si>
  <si>
    <t xml:space="preserve">Wyroby gotowe -  koszty wytworzenia, które obejmują koszty pozostające w bezpośrednim związku z danym produktem oraz uzasadnioną część kosztów pośrednio związanych z wytworzeniem tego produktu. Do uzasadnionej, odpowiedniej do okresu wytwarzania produktu, części kosztów pośrednich zalicza się zmienne pośrednie koszty produkcji oraz tę część stałych, pośrednich kosztów produkcji, które odpowiadają poziomowi tych kosztów przy normalnym wykorzystaniu zdolności produkcyjnych. Za normalny poziom wykorzystania zdolności produkcyjnych uznaje się przeciętną, zgodną z oczekiwaniami w typowych warunkach, wielkość produkcji za daną liczbę okresów lub sezonów, przy uwzględnieniu planowych remontów. </t>
  </si>
  <si>
    <r>
      <t xml:space="preserve">Półprodukty i produkty w toku -  koszty wytworzenia </t>
    </r>
    <r>
      <rPr>
        <sz val="10"/>
        <color rgb="FFFF0000"/>
        <rFont val="Times New Roman CE"/>
        <charset val="238"/>
      </rPr>
      <t>[ koszty materiałów bezpośrednich]</t>
    </r>
    <r>
      <rPr>
        <sz val="10"/>
        <rFont val="Times New Roman CE"/>
        <charset val="238"/>
      </rPr>
      <t>.</t>
    </r>
  </si>
  <si>
    <t>Zapasy wykazywane są w bilansie w wartości netto tj. pomniejszone o wartość odpisów aktualizujących wynikających z ich wyceny według cen sprzedaży netto. Cena sprzedaży netto oparta jest na możliwej do uzyskania cenie sprzedaży pomniejszonej o koszty związane z przystosowaniem składnika majątku do sprzedaży i doprowadzenia jej do skutku. 
W bilansie wartość zapasów pomniejszana jest o odpisy aktualizujące zapasy zalegające i nieprzydatne. Odpisy aktualizujące wartość zapasów odnoszone są w pozostałe koszty operacyjne.</t>
  </si>
  <si>
    <t>Zaliczki na dostawy- ujmuje się w kwotach wymaganej zapłaty, z zachowaniem ostrożności.</t>
  </si>
  <si>
    <t>Rozrachunki krótkoterminowe</t>
  </si>
  <si>
    <t>Należności krótkoterminowe</t>
  </si>
  <si>
    <t xml:space="preserve">Należności wykazuje się w kwocie wymaganej zapłaty, z zachowaniem zasady ostrożnej wyceny i wykazuje się w wartości netto (po pomniejszeniu o odpisy aktualizujące). </t>
  </si>
  <si>
    <t>Wartość należności aktualizuje się uwzględniając stopień prawdopodobieństwa ich zapłaty poprzez dokonanie odpisu aktualizującego, zaliczanego odpowiednio do pozostałych kosztów operacyjnych lub do kosztów finansowych - zależnie od rodzaju należności, której odpis dotyczy.</t>
  </si>
  <si>
    <t>Odpisy aktualizacyjne dokonuje się w odniesieniu do:</t>
  </si>
  <si>
    <t>należności od dłużników postawionych w stan likwidacji lub w stan upadłości - do wysokości należności nieobjętej gwarancją lub innym zabezpieczeniem należności, zgłoszonej likwidatorowi lub sędziemu komisarzowi w postępowaniu upadłościowym,</t>
  </si>
  <si>
    <t>należności od dłużników w przypadku oddalenia wniosku o ogłoszenie upadłości, jeżeli majątek dłużnika nie wystarcza na zaspokojenie kosztów postępowania upadłościowego - w pełnej wysokości należności,</t>
  </si>
  <si>
    <t>należności kwestionowanych przez dłużników oraz z których zapłatą dłużnik zalega, a według oceny sytuacji majątkowej i finansowej dłużnika spłata należności w umownej kwocie nie jest prawdopodobna - do wysokości niepokrytej gwarancją lub innym zabezpieczeniem należności,</t>
  </si>
  <si>
    <t>należności stanowiących równowartość kwot podwyższających należności, w stosunku do których uprzednio dokonano odpisu aktualizującego - w wysokości tych kwot, do czasu ich otrzymania lub odpisania,</t>
  </si>
  <si>
    <t>należności przeterminowanych lub nieprzeterminowanych o znacznym stopniu prawdopodobieństwa nieściągalności, w przypadkach uzasadnionych rodzajem prowadzonej działalności lub strukturą odbiorców - w wysokości wiarygodnie oszacowanej kwoty odpisu, w tym także ogólnego, na nieściągalne należności.</t>
  </si>
  <si>
    <t>Opis dotyczący odpisów aktualizujących powinien być dopasowany do sytuacji spółki. Jeżeli spółka tworzy odpisy na podstawie struktury wiekowej, to informacja ze wstępu powinna się zgadzać z notą przedstawiającą wiekowanie należności.</t>
  </si>
  <si>
    <t>Zobowiązania krótkoterminowe</t>
  </si>
  <si>
    <t>Zobowiązania ujmuje się w księgach w kwocie wymagającej zapłaty.</t>
  </si>
  <si>
    <t>Na dzień bilansowy rozrachunki wyrażone w walutach obcych wycenia się po obowiązującym na ten dzień średnim kursie ustalonym dla danej waluty przez Narodowy Bank Polski.</t>
  </si>
  <si>
    <t>Zobowiązania finansowe</t>
  </si>
  <si>
    <t>Zobowiązania finansowe wyceniane są w kwocie wymagającej zapłaty [według skorygowanej ceny nabycia, a jeżeli jednostka przeznacza je do sprzedaży w okresie do 3 miesięcy, to według wartości rynkowej lub inaczej określonej wartości godziwej].</t>
  </si>
  <si>
    <t>Rezerwy na zobowiązania</t>
  </si>
  <si>
    <t xml:space="preserve">Rezerwy są to zobowiązania, których termin wymagalności lub kwota nie są pewne. Tworzy się je na pewne lub prawdopodobne przyszłe zobowiązania w ciężar pozostałych kosztów operacyjnych lub kosztów finansowych, zależnie od okoliczności, z którymi przyszłe zobowiązania się wiążą. </t>
  </si>
  <si>
    <t>Zobowiązania warunkowe - pozabilansowe</t>
  </si>
  <si>
    <t>Za zobowiązania warunkowe Spółka uznaje potencjalny przyszły obowiązek wykonania świadczeń, których powstanie jest uzależnione od zaistnienia określonych zdarzeń.</t>
  </si>
  <si>
    <t>Rozliczenia międzyokresowe czynne i bierne</t>
  </si>
  <si>
    <t>Rozliczenia międzyokresowe czynne obejmują rozliczenia:</t>
  </si>
  <si>
    <t>długoterminowe, które dotyczą przyszłych okresów sprawozdawczych i trwają dłużej, niż 12 miesięcy od dnia bilansowego,</t>
  </si>
  <si>
    <t xml:space="preserve">krótkoterminowe, które dotyczą przyszłych okresów sprawozdawczych i trwają nie dłużej, niż 12 miesięcy od dnia bilansowego. </t>
  </si>
  <si>
    <t xml:space="preserve">Odpisy czynnych rozliczeń międzyokresowych kosztów następują stosownie do upływu czasu lub wielkości świadczeń. </t>
  </si>
  <si>
    <t xml:space="preserve">Bierne rozliczenia międzyokresowe to rezerwy związane bezpośrednio z działalnością operacyjną, a więc z wytwarzaniem, sprzedażą, fazą posprzedażną, a także ogólnym zarządem. </t>
  </si>
  <si>
    <t>Czas i sposób rozliczeń jest uzasadniony charakterem rozliczanych kosztów, z zachowaniem zasady ostrożności.</t>
  </si>
  <si>
    <t>Rozliczenia międzyokresowe przychodów</t>
  </si>
  <si>
    <t>Rozliczenia międzyokresowe przychodów Spółki obejmują w szczególności:</t>
  </si>
  <si>
    <t>równowartość otrzymanych lub należnych od kontrahentów środków z tytułu świadczeń, których wykonanie nastąpi w następnych okresach sprawozdawczych,</t>
  </si>
  <si>
    <t>wartość przyjętych nieodpłatnie - w tym w drodze darowizny - środków trwałych, środków trwałych w budowie, wartości niematerialnych i prawnych, rozliczana równolegle do odpisów amortyzacyjnych lub umorzeniowych tych składników majątku.</t>
  </si>
  <si>
    <t>Inwestycje krótkoterminowe</t>
  </si>
  <si>
    <r>
      <t xml:space="preserve">Inwestycje krótkoterminowe wyceniane są według ceny rynkowej </t>
    </r>
    <r>
      <rPr>
        <sz val="10"/>
        <color rgb="FFFF0000"/>
        <rFont val="Times New Roman CE"/>
        <charset val="238"/>
      </rPr>
      <t>[według ceny nabycia lub ceny rynkowej, zależnie od tego, która z nich jest niższa albo skorygowanej ceny nabycia jeżeli dla danego składnika aktywów został określony termin wymagalności]</t>
    </r>
    <r>
      <rPr>
        <sz val="10"/>
        <rFont val="Times New Roman CE"/>
        <charset val="238"/>
      </rPr>
      <t>, a krótkoterminowe inwestycje, dla których nie istnieje aktywny rynek w inny sposób określonej wartości godziwej.</t>
    </r>
  </si>
  <si>
    <r>
      <t xml:space="preserve">Udzielone pożyczki krótkoterminowe wycenia się w kwocie wymaganej zapłaty, z zachowaniem ostrożnej wyceny  </t>
    </r>
    <r>
      <rPr>
        <sz val="10"/>
        <color rgb="FFFF0000"/>
        <rFont val="Times New Roman CE"/>
        <charset val="238"/>
      </rPr>
      <t>[według skorygowanej ceny nabycia, a jeżeli jednostka przeznacza je do sprzedaży w okresie do 3 miesięcy, to według wartości rynkowej lub inaczej określonej wartości godziwej]</t>
    </r>
    <r>
      <rPr>
        <sz val="10"/>
        <rFont val="Times New Roman CE"/>
        <charset val="238"/>
      </rPr>
      <t>.</t>
    </r>
  </si>
  <si>
    <t>Skutki wzrostu lub obniżenia wartości inwestycji krótkoterminowych zalicza się odpowiednio do przychodów lub kosztów finansowych.</t>
  </si>
  <si>
    <t>Środki pieniężne i inne aktywa pieniężne</t>
  </si>
  <si>
    <t>Krajowe środki pieniężne wykazuje się w wartości nominalnej.</t>
  </si>
  <si>
    <t>Środki pieniężne w walutach obcych wycenia się na dzień bilansowy po obowiązującym na ten dzień średnim kursie ustalonym dla danej waluty przez Narodowy Bank Polski.</t>
  </si>
  <si>
    <t>Podatek dochodowy</t>
  </si>
  <si>
    <t>Bieżące zobowiązanie z tytułu podatku dochodowego jest naliczane zgodnie z polskimi przepisami podatkowymi.</t>
  </si>
  <si>
    <t>Wykazywana w rachunku zysków i strat część odroczona stanowi różnicę pomiędzy stanem rezerw i aktywów z tytułu podatku odroczonego na koniec i na początek okresu sprawozdawczego.</t>
  </si>
  <si>
    <t>Rezerwy i aktywa z tytułu odroczonego podatku dochodowego, dotyczące operacji rozliczanych z kapitałem własnym, odnosi się na kapitał własny.</t>
  </si>
  <si>
    <t xml:space="preserve">Aktywa z tytułu odroczonego podatku dochodowego ustala się w związku z występowaniem ujemnych przejściowych różnic między wykazywaną w księgach rachunkowych wartością aktywów i pasywów a ich wartością podatkową oraz stratą podatkową możliwą do odliczenia.
Aktywa z tytułu podatku odroczonego ustala się w wysokości kwoty przewidzianej w przyszłości do odliczenia od podatku dochodowego. 
</t>
  </si>
  <si>
    <t>Rezerwę z tytułu odroczonego podatku dochodowego tworzy się w związku z występowaniem dodatnich różnic przejściowych między wykazywaną w księgach rachunkowych wartością aktywów i pasywów a ich wartością podatkową.</t>
  </si>
  <si>
    <t>Wysokość rezerwy i aktywów z tytułu odroczonego podatku dochodowego ustala się przy uwzględnieniu stawek podatku dochodowego obowiązujących w roku powstania obowiązku podatkowego.</t>
  </si>
  <si>
    <r>
      <t xml:space="preserve">Rezerwa i aktywa z tytułu odroczonego podatku dochodowego wykazywane są w bilansie oddzielnie. </t>
    </r>
    <r>
      <rPr>
        <sz val="10"/>
        <color rgb="FFFF0000"/>
        <rFont val="Times New Roman CE"/>
        <charset val="238"/>
      </rPr>
      <t>Rezerwy i aktywa podlegają kompensacie, jeżeli jednostka ma tytuł uprawniający ją do ich jednoczesnego uwzględniania przy obliczaniu kwoty.</t>
    </r>
  </si>
  <si>
    <t>Kapitał własny</t>
  </si>
  <si>
    <t>Na dzień bilansowy kapitał zakładowy wykazuje się w wysokości określonej w umowie Spółki i wpisanej w KRS.</t>
  </si>
  <si>
    <t>Kapitał zapasowy Spółki tworzony jest zgodnie z przepisami Kodeksu Spółek Handlowych.</t>
  </si>
  <si>
    <t>Kapitał z aktualizacji wyceny aktywów przeznaczony jest do ewidencji skutków wyceny aktywów jednostki tj. urzędowej wyceny środków trwałych oraz inwestycji zaliczonych do aktywów trwałych /bez możliwości przeznaczenia do podziału/
Pozostały kapitał rezerwowy tworzony jest i wykorzystywany w oparciu o postanowienia Umowy Spółki na imiennie określone cele.</t>
  </si>
  <si>
    <t>Instrumenty finansowe</t>
  </si>
  <si>
    <t>- w przypadku jednostek, które w poprzednim roku obrotowym przekroczyły co najmniej 2 z następujących 3 wielkości: 
1)25 500 000 zł - w przypadku sumy aktywów bilansu na koniec roku obrotowego,
2)51 000 000 zł - w przypadku przychodów netto ze sprzedaży towarów i produktów za rok obrotowy,
3)50 osób - w przypadku średniorocznego zatrudnienia w przeliczeniu na pełne etaty
lub jeśli Rozporządzenie o instrumentach jest stosowane fakultatywnie</t>
  </si>
  <si>
    <t>Wszystkie inwestycje będące instrumentami finansowymi w dniu ich nabycia są klasyfikowane do jednej z czterech kategorii: przeznaczone do obrotu, pożyczki udzielone i należności własne, utrzymywane do terminu wymagalności lub dostępne do sprzedaży.</t>
  </si>
  <si>
    <t>Do aktywów finansowych przeznaczonych do obrotu Spółka klasyfikuje aktywa finansowe, które zostały nabyte lub powstały w celu uzyskania korzyści w wyniku krótkoterminowych (w terminie do trzech miesięcy) wahań cen oraz aktywa finansowe, które niezależnie od powodu, dla którego zostały nabyte stanowią grupę aktywów, która wykorzystywana była ostatnio do realizacji korzyści w wyniku wahań cen. Instrumenty pochodne będące aktywami zawsze uznaje się za przeznaczone do obrotu, z wyjątkiem sytuacji, gdy stanowią instrument zabezpieczający.
Do aktywów finansowych utrzymywanych do upływu terminu zapadalności (wymagalności) Spółka zalicza aktywa finansowe o określonych lub możliwych do określenia płatnościach lub ustalonym terminie zapadalności, które zamierza i jest w stanie utrzymać w posiadaniu do upływu terminu zapadalności, z wyjątkiem udzielonych pożyczek i wierzytelności własnych.</t>
  </si>
  <si>
    <t>Wszelkie pożyczki i należności spełniające definicję instrumentów finansowych w świetle art. 3. ust 1. pkt. 23 Ustawy, powstałe na skutek wydania bezpośrednio drugiej stronie umowy środków pieniężnych, towarów lub usług, których Spółka nie przeznaczyła do sprzedaży w krótkim terminie, kwalifikuje się do kategorii pożyczek udzielonych i należności własnych. 
Do aktywów finansowych dostępnych do sprzedaży Spółka zalicza wszelkie aktywa finansowe nie będące: pożyczkami udzielonymi i należnościami własnymi, aktywami finansowymi utrzymywanymi do upływu terminu zapadalności oraz aktywami finansowymi przeznaczonymi do obrotu. Do aktywów dostępnych do sprzedaży zalicza się w szczególności udziały w innych podmiotach nie będących podmiotami podporządkowanymi, które Spółka nie przeznaczyła do sprzedaży w krótkim terminie.</t>
  </si>
  <si>
    <t>Zobowiązania finansowe klasyfikowane są do jednej z dwóch kategorii: instrumenty pochodne, których wartość godziwa jest mniejsza od zera oraz zobowiązanie do dostarczenia pożyczonych instrumentów finansowych w przypadku sprzedaży krótkiej zaliczane są do zobowiązań finansowych przeznaczonych do obrotu, wszelkie inne zobowiązania finansowe klasyfikowane są do pozostałych zobowiązań finansowych.</t>
  </si>
  <si>
    <t>Na dzień zawarcia kontraktu aktywa finansowe wycenia się w cenie nabycia, to jest w wartości godziwej poniesionych wydatków lub przekazanych innych aktywów, a zobowiązania finansowe w wartości godziwej uzyskanej kwoty lub wartości uzyskanych składników majątkowych.</t>
  </si>
  <si>
    <t>Według zamortyzowanego kosztu z uwzględnieniem efektywnej stopy procentowej Spółka wycenia aktywa utrzymywane do terminu zapadalności, pożyczki udzielone i należności własne oraz pozostałe zobowiązania finansowe, których Spółka nie zakwalifikowała jako przeznaczone do obrotu.
W przypadku pozostałych zobowiązań finansowych, dla których nie są znane harmonogramy przyszłych przepływów pieniężnych i w związku z tym nie można skalkulować efektywnej stopy procentowej, Spółka wyceniła je według kwoty wymagającej zapłaty. 
Według wartości godziwej Spółka wycenia aktywa i zobowiązania finansowe przeznaczone do obrotu oraz aktywa finansowe dostępne do sprzedaży.</t>
  </si>
  <si>
    <t>Zmiany wartości godziwej instrumentów finansowych przeznaczonych do obrotu, nie będących częścią powiązań zabezpieczających ujmuje się jako przychody lub koszty finansowe w rachunku zysków i strat w momencie ich wystąpienia. W przypadku aktywów finansowych dostępnych do sprzedaży, zmiany wartości godziwej tych instrumentów Spółka zalicza do rachunku zysków i strat jako przychody (koszty) finansowe lub ujmuje w wydzielonej pozycji kapitałów własnych, do momentu usunięcia aktywa z bilansu w wyniku sprzedaży, wygaśnięcia praw z aktywa, realizacji itp. lub rozpoznania trwałej utraty jego wartości, w którym to momencie skumulowany zysk/stratę uprzednio ujęte w kapitale z aktualizacji wyceny zalicza się do rachunku zysków i strat danego okresu.
Składnik aktywów finansowych zostaje usunięty z bilansu tylko wtedy, gdy Spółka utraci kontrolę nad nim w wyniku sprzedaży, wygaśnięcia lub realizacji aktywa. Zobowiązanie finansowe zostaje usunięte z bilansu tylko wtedy, gdy zobowiązanie to wygaśnie w wyniku wypełnienia zobowiązania, jego wygaśnięcia lub anulowania.</t>
  </si>
  <si>
    <t>Instrumenty pochodne nie stanowiące instrumentów zabezpieczających</t>
  </si>
  <si>
    <t>Spółka wykorzystuje instrumenty pochodne celem zabezpieczenia przed ryzykiem zmian kursów walutowych, stóp procentowych (podać inne). Instrumenty pochodne, które nie są uznawane jako instrumenty zabezpieczające, są klasyfikowane do aktywów finansowych lub zobowiązań finansowych przeznaczonych do obrotu.</t>
  </si>
  <si>
    <t>Instrumenty pochodne początkowo ujmowane są według ceny nabycia. Nie później niż na dzień bilansowy instrumenty pochodne wyceniane są w wartości godziwej. W przypadku gdy nie są one uznawane jako instrumenty zabezpieczające powstałe różnice w wycenie odnosi się do rachunku zysków i strat.</t>
  </si>
  <si>
    <t>lub jeśli spółka nie posiada instrumentów poza ….</t>
  </si>
  <si>
    <t>W bieżącym roku Spółka nie posiadała innych instrumentów poza …. (pożyczką udzieloną z grupy/ przez podmiot dominujacy).</t>
  </si>
  <si>
    <t>lub jeśli spółka nie posiada instrumentów</t>
  </si>
  <si>
    <t>W bieżącym roku Spółka nie posiadała instrumentów finansowych.</t>
  </si>
  <si>
    <t>Ujęcie zabezpieczających instrumentów finansowych</t>
  </si>
  <si>
    <t>Spółka nie wdrożyła rachunkowości zabezpieczeń.</t>
  </si>
  <si>
    <t>lub:</t>
  </si>
  <si>
    <t>Zabezpieczenie przepływów pieniężnych</t>
  </si>
  <si>
    <t xml:space="preserve">W przypadku, gdy instrument pochodny stanowi zabezpieczenie przed ryzykiem zmienności przepływów pieniężnych związanych z ujętymi w księgach aktywami lub zobowiązaniem, nie ujętym uprawdopodobnionym przyszłym zobowiązaniem albo wysoce prawdopodobną prognozowaną transakcją, w pełni efektywną część zysku lub straty na instrumencie zabezpieczającym, którą uznano za efektywne zabezpieczenie odnosi się bezpośrednio na kapitał (fundusz) z aktualizacji wyceny. </t>
  </si>
  <si>
    <t>W przypadku, gdy uprawdopodobnione przyszłe zobowiązanie lub zabezpieczona przyszła transakcja prowadzą do powstania składnika aktywów lub zobowiązania, wówczas w chwili ujęcia składnika aktywów lub zobowiązania zyski i straty z przeszacowania instrumentu zabezpieczającego, ujęte uprzednio w kapitale (funduszu) z aktualizacji wyceny odpisuje się i odpowiednio dolicza do ceny nabycia lub inaczej określonej wartości początkowej składnika aktywów lub zobowiązania.
W przypadku zabezpieczenia przepływów środków pieniężnych kwoty, które zostały ujęte bezpośrednio w kapitale (funduszu) z aktualizacji wyceny, powinny zostać uwzględnione w zysku lub stracie netto w tym samym okresie, w którym zabezpieczane uprawdopodobnione przyszłe zobowiązanie lub zabezpieczana prognozowana transakcja wpływają na zysk lub stratę netto.</t>
  </si>
  <si>
    <t>Część zysku lub straty z przeszacowania instrumentu zabezpieczającego nie stanowiąca efektywnego zabezpieczenia jest niezwłocznie wykazywana w rachunku zysków i strat.</t>
  </si>
  <si>
    <t xml:space="preserve">W przypadku wygaśnięcia instrumentu zabezpieczającego lub zabezpieczenia łączny zysk lub strata na instrumencie zabezpieczającym, początkowo wykazywane bezpośrednio w kapitale z aktualizacji wyceny, jest nadal oddzielnie wykazywany w kapitale (funduszu) z aktualizacji wyceny do czasu ujęcia w sprawozdaniach finansowych powziętego zobowiązania lub prognozowanej transakcji. </t>
  </si>
  <si>
    <t>W przypadku, gdy w ocenie Spółki planowana transakcja lub uprawdopodobnione przyszłe zobowiązania nie będą wykonane, skumulowane zyski lub straty z wyceny instrumentu zabezpieczającego, które były wykazywane bezpośrednio w kapitale (funduszu) z aktualizacji wyceny, zalicza się odpowiednio do przychodów lub kosztów finansowych danego okresu sprawozdawczego.</t>
  </si>
  <si>
    <t>Zabezpieczenie wartości godziwej</t>
  </si>
  <si>
    <t>W przypadku zabezpieczenia wartości godziwej, zyski lub straty z wyceny instrumentu zabezpieczającego w wartości godziwej ujmuje się w księgach rachunkowych bieżąco, jako przychody lub koszty okresu sprawozdawczego.</t>
  </si>
  <si>
    <t xml:space="preserve"> Różnice kursowe - kursy walut obcych przyjęte do wyceny bilansowej</t>
  </si>
  <si>
    <t>Do wyceny pozycji bilansu wyrażonych w walutach obcych przyjęto następujące średnie kursy NBP:</t>
  </si>
  <si>
    <t>1 EUR</t>
  </si>
  <si>
    <t>1 USD</t>
  </si>
  <si>
    <t>1 GBP</t>
  </si>
  <si>
    <t>Do wyceny transakcji ujętych w rachunku zysków i strat zastosowano średni kurs Narodowego Banku Polskiego ogłoszony dla danej waluty z dnia poprzedzającego dzień transakcji.</t>
  </si>
  <si>
    <t>Ustalenia wyniku finansowego</t>
  </si>
  <si>
    <t>Przychody, koszty, wynik finansowy</t>
  </si>
  <si>
    <t>Przychody i koszty są rozpoznawane według zasady memoriałowej, tj. w okresach których dotyczą, niezależnie od daty otrzymania lub dokonania płatności.</t>
  </si>
  <si>
    <t>Przychody i zyski</t>
  </si>
  <si>
    <t>Za przychody i zyski Spółka uznaje uprawdopodobnione powstanie w okresie sprawozdawczym korzyści ekonomicznych, o wiarygodnie określonej wartości, w formie zwiększenia wartości aktywów, albo zmniejszenia wartości zobowiązań, które doprowadzą do wzrostu kapitału własnego w sposób inny, niż wniesienie wkładów przez udziałowców lub właścicieli.</t>
  </si>
  <si>
    <t>Koszty i straty</t>
  </si>
  <si>
    <t xml:space="preserve">Przez koszty i straty jednostka rozumie uprawdopodobnione zmniejszenia w okresie sprawozdawczym korzyści ekonomicznych, o wiarygodnie określonej wartości, w formie zmniejszenia wartości aktywów, albo zwiększenia wartości zobowiązań i rezerw, które doprowadzą do zmniejszenia kapitału własnego w sposób inny, niż wycofanie środków przez udziałowców lub właścicieli. </t>
  </si>
  <si>
    <t>Wynik finansowy</t>
  </si>
  <si>
    <t>Na wynik finansowy netto składają się:</t>
  </si>
  <si>
    <t xml:space="preserve">wynik działalności operacyjnej, w tym z tytułu pozostałych przychodów i kosztów operacyjnych (pośrednio związanych z działalnością operacyjną jednostki), </t>
  </si>
  <si>
    <t xml:space="preserve">wynik operacji finansowych, </t>
  </si>
  <si>
    <t xml:space="preserve">obowiązkowe obciążenia wyniku finansowego z tytułu podatku dochodowego, którego podatnikiem jest jednostka, i płatności z nim zrównanych, na podstawie odrębnych przepisów. </t>
  </si>
  <si>
    <t xml:space="preserve">Podatek dochodowy </t>
  </si>
  <si>
    <r>
      <t xml:space="preserve">Podatek  dochodowy wykazany w rachunku zysków i strat obejmuje część bieżącą </t>
    </r>
    <r>
      <rPr>
        <sz val="10"/>
        <color rgb="FFFF0000"/>
        <rFont val="Times New Roman CE"/>
        <charset val="238"/>
      </rPr>
      <t>i część odroczoną</t>
    </r>
    <r>
      <rPr>
        <sz val="10"/>
        <color indexed="8"/>
        <rFont val="Times New Roman CE"/>
        <charset val="238"/>
      </rPr>
      <t>.</t>
    </r>
  </si>
  <si>
    <t xml:space="preserve">Różnice kursowe </t>
  </si>
  <si>
    <t>Różnice kursowe wynikające z wyceny na dzień bilansowy aktywów i pasywów wyrażonych w walutach obcych z wyjątkiem inwestycji długoterminowych oraz powstałe w związku z zapłatą należności i zobowiązań w walutach obcych, jak również przy sprzedaży walut, zalicza się odpowiednio do przychodów lub kosztów finansowych, a w uzasadnionych przypadkach - do kosztu wytworzenia produktów lub ceny nabycia towarów, a także ceny nabycia lub kosztu wytworzenia nieruchomości inwestycyjnych, środków trwałych, środków trwałych w budowie lub wartości niematerialnych i prawnych.</t>
  </si>
  <si>
    <t>Różnice kursowe powstałe w związku z wyceną na dzień bilansowy inwestycji długoterminowych wyrażonych w walutach obcych, rozlicza się następująco:</t>
  </si>
  <si>
    <t>dodatnie różnice kursowe zwiększają kapitał z aktualizacji wyceny,</t>
  </si>
  <si>
    <t>ujemne różnice kursowe zmniejszają kapitał z aktualizacji wyceny do wysokości kwoty, o którą podwyższono z tego tytułu kapitał z aktualizacji wyceny. W pozostałych przypadkach ujemne różnice kursowe zalicza się do kosztów finansowych. Wzrost wartości danej inwestycji wynikający z dodatnich różnic kursowych od aktywów, których wartość została pomniejszona o ujemne różnice kursowe zaliczone do kosztów finansowych, ujmuje się do wysokości tych kosztów jako przychody finansowe.</t>
  </si>
  <si>
    <t>Ustalenia sposobu sporządzania sprawozdania finansowego</t>
  </si>
  <si>
    <t>Przychody i koszty</t>
  </si>
  <si>
    <t>Spółka sporządza rachunek zysków i strat w wariancie porównawczym.</t>
  </si>
  <si>
    <t>Rachunek przepływów pieniężnych</t>
  </si>
  <si>
    <t xml:space="preserve">Rachunek przepływów pieniężnych sporządzono metodą pośrednią. </t>
  </si>
  <si>
    <t>lub</t>
  </si>
  <si>
    <t>Spółka nie sporządza rachunku przepływów pieniężnych.</t>
  </si>
  <si>
    <t>Informacja uszczegóławiająca, wynikająca z potrzeb lub specyfiki jednostki</t>
  </si>
  <si>
    <t>P_8</t>
  </si>
  <si>
    <t>Pozycja uszczegóławiająca "P_8" służy do dodania dodatkowych informacji, których nie można zaklasyfikować, do żadnego z powyższych punktów.</t>
  </si>
  <si>
    <t>Nazwa pozycji</t>
  </si>
  <si>
    <t xml:space="preserve">Opis pozycji </t>
  </si>
  <si>
    <t>(Nie może przekroczyć 3,5 tys.znaków)</t>
  </si>
  <si>
    <t>Introduction to the financial statements</t>
  </si>
  <si>
    <t>General information on the Company</t>
  </si>
  <si>
    <t>Company name</t>
  </si>
  <si>
    <t>Registered office and address of the Company</t>
  </si>
  <si>
    <t>Street:</t>
  </si>
  <si>
    <t>Building number:</t>
  </si>
  <si>
    <t>Flat number:</t>
  </si>
  <si>
    <t>Locality:</t>
  </si>
  <si>
    <t>Post office:</t>
  </si>
  <si>
    <t>Postal code</t>
  </si>
  <si>
    <t>Country code:</t>
  </si>
  <si>
    <t>District:</t>
  </si>
  <si>
    <t>Commune:</t>
  </si>
  <si>
    <t>Province:</t>
  </si>
  <si>
    <t xml:space="preserve">Tax Identification Number NIP: </t>
  </si>
  <si>
    <t>Statistical identification number REGON:</t>
  </si>
  <si>
    <t>Commercial registration</t>
  </si>
  <si>
    <t>Scope of activities and time horizon of business activities of the Company</t>
  </si>
  <si>
    <t>The Company's Deed lists its business activities as follows:</t>
  </si>
  <si>
    <r>
      <t xml:space="preserve">The Company was established for an indefinite period. </t>
    </r>
    <r>
      <rPr>
        <sz val="10"/>
        <color indexed="10"/>
        <rFont val="Times New Roman"/>
        <family val="1"/>
        <charset val="238"/>
      </rPr>
      <t>(if definite - please specify)</t>
    </r>
  </si>
  <si>
    <t>Period covered by the financial statements</t>
  </si>
  <si>
    <t>Going concern assumption</t>
  </si>
  <si>
    <t>The financial statements were prepared under the assumption that the Company will continue to operate as a going concern for the foreseeable future.</t>
  </si>
  <si>
    <t>There is no evidence indicating that the Company will not be able to continue as a going concern.</t>
  </si>
  <si>
    <t>or:</t>
  </si>
  <si>
    <t>W tej i tylko tej komórce opisać okoliczności, które mogą wskazywać na zagrożenie kontynuacji działalności oraz przedstawić opis niepewności oraz działań zmierzających do ich eliminacji. Dodać informację, czy sprawozdanie zawiera korekty związane z tymi zagrożeniami. 
Np. The closing balance of the Company reflects a loss exceeding the total of supplementary and reserve capital and half of the share capital. The shareholders have not yet adopted a resolution on the continuation of the Company's activities, however, the Board does not foresee any threats to the continuation of the Company's activities as it is partly still in the investment phase and its income will be attained in later periods. In the Boards opinion, the anticipated profits will cover the current loss.</t>
  </si>
  <si>
    <t xml:space="preserve">The financial statements were prepared under the assumption that the Company will not continue to operate as a going concern for the foreseeable future.
</t>
  </si>
  <si>
    <t xml:space="preserve">W tej i tylko tej komórce opisać okoliczności, które mogą wskazywać na zagrożenie kontynuacji działalności oraz przedstawić opis niepewności oraz działań zmierzających do ich eliminacji. Dodać informację, czy sprawozdanie zawiera korekty związane z tymi zagrożeniami. 
Np. On ....... a resolution was adopted for the liquidation of the Company and as a result of this, the financial statements were prepared according to the regulations described in art. 29 of the Accounting Act.    </t>
  </si>
  <si>
    <t xml:space="preserve">Internal organisation units </t>
  </si>
  <si>
    <t>Business combinations</t>
  </si>
  <si>
    <t xml:space="preserve">The financial statements were prepared after the merger of the Company with Company X which took place on  </t>
  </si>
  <si>
    <t>In current period no merger of the Companies took place.</t>
  </si>
  <si>
    <t>Significant accounting policies</t>
  </si>
  <si>
    <t xml:space="preserve">The significant accounting policies which have been adopted in the preparation of these financial statements are as follows: </t>
  </si>
  <si>
    <t>Description of the adopted accounting policies in the scope in which accounting regulations allow the entity the right to choice</t>
  </si>
  <si>
    <t>Basis of preparation</t>
  </si>
  <si>
    <t xml:space="preserve">The financial statements have been prepared in accordance with the practice followed by enterprises in Poland, based on accounting standards promulgated in the Polish Accounting Act dated 29 September 1994 (Revised Te(Revised Text, Journal of Laws from  2021,  pos. 217 with subsequent amendments)quent amendments). </t>
  </si>
  <si>
    <t>[If the Company made any changes to the applied accounting polices and the valuation methods, the reason for those changes and impact on the results should be provided. This includes changes in the method of preparation of the financial statements and the effect of these changes on the financial position and results of the Company. Description of changes and their impact should be included once - either here, or in note, which we mention here ]</t>
  </si>
  <si>
    <t>Methods of valuation of assets and liabilities (including depreciation)</t>
  </si>
  <si>
    <t>Intangible assets</t>
  </si>
  <si>
    <t xml:space="preserve">This category includes property rights purchased by the Company and suitable for business use, with expected useful life exceeding one year, dedicated to the Company’s purposes. Intangible assets were measured at purchase cost less amortisation.
</t>
  </si>
  <si>
    <t>Amortisation rates were determined based on the economic useful life of intangible assets and reflect their actual useful life. Intangible assets are amortised by the straight line method using the following rates:</t>
  </si>
  <si>
    <t>Development costs</t>
  </si>
  <si>
    <t>Licences, patents and trademarks</t>
  </si>
  <si>
    <t>Goodwill</t>
  </si>
  <si>
    <t>Other</t>
  </si>
  <si>
    <r>
      <t>Amortisation is calculated starting from</t>
    </r>
    <r>
      <rPr>
        <sz val="10"/>
        <color indexed="10"/>
        <rFont val="Times New Roman"/>
        <family val="1"/>
        <charset val="238"/>
      </rPr>
      <t xml:space="preserve"> the month following the month/ the month, </t>
    </r>
    <r>
      <rPr>
        <sz val="10"/>
        <rFont val="Times New Roman"/>
        <family val="1"/>
        <charset val="238"/>
      </rPr>
      <t>in which the intangible assets were put into use.</t>
    </r>
  </si>
  <si>
    <t xml:space="preserve">The Company capitalises the cost of completed R&amp;D work conducted for own purposes, incurred before initiating production or applying a technology, provided that all of the following conditions are satisfied: 
</t>
  </si>
  <si>
    <t xml:space="preserve">the product or manufacturing technology are strictly specified and respective R&amp;D expenses reliably estimated, </t>
  </si>
  <si>
    <t xml:space="preserve">technological usefulness of the product or technology was verified and duly documented, and on this basis the Company made the decision to manufacture those products or to apply the technology, </t>
  </si>
  <si>
    <t xml:space="preserve">the R&amp;D expenses are expected to be covered with income from sold products or applied technology. </t>
  </si>
  <si>
    <t>Tangible assets</t>
  </si>
  <si>
    <t>This item includes tangible and equivalent assets with expected useful life exceeding one year, complete, fit for use and dedicated to the Company’s purposes.</t>
  </si>
  <si>
    <r>
      <t xml:space="preserve">Tangible fixed assets are stated at acquisition or construction cost </t>
    </r>
    <r>
      <rPr>
        <sz val="10"/>
        <color indexed="10"/>
        <rFont val="Times New Roman"/>
        <family val="1"/>
        <charset val="238"/>
      </rPr>
      <t xml:space="preserve">or at revalued amounts (after revaluation of tangible fixed assets) </t>
    </r>
    <r>
      <rPr>
        <sz val="10"/>
        <rFont val="Times New Roman"/>
        <family val="1"/>
        <charset val="238"/>
      </rPr>
      <t xml:space="preserve">less accumulated depreciation and impairment losses. </t>
    </r>
  </si>
  <si>
    <t>The acquisition or construction cost includes all costs incurred in the construction, assembly and installation process up to the earlier of the balance sheet date or the date when the asset is placed into service. The cost comprises also the following:</t>
  </si>
  <si>
    <t>non-deductible value added tax and excise tax,</t>
  </si>
  <si>
    <t>borrowing costs and related foreign exchange gains and losses, net of investment income.</t>
  </si>
  <si>
    <t xml:space="preserve">Subsequent expenditure on improvements such as re-construction, extension or modernisation is capitalised and increases the initially recognised cost of an asset. Subsequent expenditure is capitalised only if it increases the economic benefit embodied in the asset. </t>
  </si>
  <si>
    <r>
      <t xml:space="preserve">The gross value of tangible assets was reduced by depreciation write-offs. Depreciation rates were determined based on the useful life of tangible assets and reflect their actual wear and tear. Tangible fixed assets are depreciated using the straight-line method </t>
    </r>
    <r>
      <rPr>
        <sz val="10"/>
        <color indexed="10"/>
        <rFont val="Times New Roman CE"/>
        <charset val="238"/>
      </rPr>
      <t>[or other, please state the applied method].</t>
    </r>
    <r>
      <rPr>
        <sz val="10"/>
        <rFont val="Times New Roman CE"/>
        <family val="1"/>
        <charset val="238"/>
      </rPr>
      <t xml:space="preserve"> Depreciation is calculated starting from</t>
    </r>
    <r>
      <rPr>
        <sz val="10"/>
        <color indexed="10"/>
        <rFont val="Times New Roman CE"/>
        <charset val="238"/>
      </rPr>
      <t xml:space="preserve"> the month following the month/ the month, </t>
    </r>
    <r>
      <rPr>
        <sz val="10"/>
        <rFont val="Times New Roman CE"/>
        <family val="1"/>
        <charset val="238"/>
      </rPr>
      <t>in which the asset was brought into use.</t>
    </r>
  </si>
  <si>
    <t>The principle depreciation rates are as follows:</t>
  </si>
  <si>
    <t>Buildings</t>
  </si>
  <si>
    <t>Water and civil engineering constructions</t>
  </si>
  <si>
    <t>Machinery</t>
  </si>
  <si>
    <t>Vehicles</t>
  </si>
  <si>
    <t>Other tangible assets:</t>
  </si>
  <si>
    <t>Tangible assets with a unit value not exceeding PLN 10,000.00 are depreciated on a once-off basis.</t>
  </si>
  <si>
    <t>UWAGA: kwota zgodna z przyjętą polityką rachunkowości</t>
  </si>
  <si>
    <t>In cases of permanent impairment of tangible assets, the carrying value of tangible assets is reduced as appropriate. 
Impairment write-downs are charged to other operating expenses, and in respect of tangible assets subject to revaluation, reduce the revaluation differences charged to revaluation reserve. A potential surplus of impairment write-downs over revaluation differences is charged to other operating expenses.</t>
  </si>
  <si>
    <t>Tangible assets under construction</t>
  </si>
  <si>
    <t>Fixed assets under construction are stated at cost less impairment losses. Cost includes costs directly attributable to the acquisition or construction of an asset.</t>
  </si>
  <si>
    <t>Advances towards tangible assets under construction were carried at face value less impairment losses.</t>
  </si>
  <si>
    <t>Long-term investments</t>
  </si>
  <si>
    <t>Investments include assets owned to attain economic benefits arising from an increase in their value, from income generated in the form of interest or dividends, or other benefits.</t>
  </si>
  <si>
    <t>Investment property</t>
  </si>
  <si>
    <t>option I (valuation according to the market price / fair value)</t>
  </si>
  <si>
    <t>Investment properties are stated at their market price or fair values determined in another manner.</t>
  </si>
  <si>
    <t xml:space="preserve">The effects of the revaluation of investments classified as non-current, causing an increase/ decrease of their value to market value, or alternatively determined fair value, are recognised as other operating income/ other operating expenses. </t>
  </si>
  <si>
    <t>or option II (valuation according to the purchase price)</t>
  </si>
  <si>
    <t xml:space="preserve">Investment properties are stated at acquisition or construction cost less accumulated depreciation and impairment losses. </t>
  </si>
  <si>
    <t>The acquisition or construction cost includes all costs incurred in the construction, assembly and installation process up to the earlier of the balance sheet date or the date when the asset is placed in service. The cost comprises also the following:</t>
  </si>
  <si>
    <t>The gross value of investment properties was reduced by depreciation write-offs. Depreciation rates were determined based on the useful life of investment properties and reflect their actual wear and tear. Investment properties are amortised by the linear method [or other - describe], with a rate of ….%. Amortisation is calculated starting from the month following the month/ the month, in which the property investment was brought into use.</t>
  </si>
  <si>
    <t>In cases of  permanent impairment of investment properties, the carrying value of investment properties is reduced as appropriate. 
Impairment write-downs are charged to other operating expenses.</t>
  </si>
  <si>
    <t>Investments in equity securities</t>
  </si>
  <si>
    <t>option I (valuation according to the purchase price)</t>
  </si>
  <si>
    <t xml:space="preserve">Investments in equity securities classified as non-current assets are stated at purchase price. In cases of permanent impairment, the carrying value of equity securities is reduced by impairment write- downs. Revaluation differences are recognised in the profit and loss account. </t>
  </si>
  <si>
    <t>or option II (valuation according to the market price / fair value)</t>
  </si>
  <si>
    <t>Investments in equity securities and other financial assets classified as non-current assets are stated at fair value [or the adjusted acquisition price thereof  if the maturity date has been determined in respect of a given component asset].</t>
  </si>
  <si>
    <t xml:space="preserve">The cost is subject to revaluation to market value. The effects of the revaluation of investments classified as non-current assets to their market prices, are credited to the revaluation reserve in equity. </t>
  </si>
  <si>
    <t>or option III (the equity method)</t>
  </si>
  <si>
    <t xml:space="preserve">Investments in shares of subsidiaries classified as non-current assets are accounted for using the equity method. </t>
  </si>
  <si>
    <t>Inventory</t>
  </si>
  <si>
    <t>Inventory is measured at acquisition price [cost] or manufacturing cost not higher than the net realisable value as at the balance sheet date.</t>
  </si>
  <si>
    <t>Cost is determined as follows:</t>
  </si>
  <si>
    <r>
      <t xml:space="preserve">Raw materials - at acquisition price [cost], and the cost of material used is determined on the </t>
    </r>
    <r>
      <rPr>
        <sz val="10"/>
        <color indexed="10"/>
        <rFont val="Times New Roman"/>
        <family val="1"/>
        <charset val="238"/>
      </rPr>
      <t>[weighted average; first-in, first-out; last-in, first-out]</t>
    </r>
    <r>
      <rPr>
        <sz val="10"/>
        <rFont val="Times New Roman"/>
        <family val="1"/>
        <charset val="238"/>
      </rPr>
      <t xml:space="preserve"> basis.</t>
    </r>
  </si>
  <si>
    <r>
      <t xml:space="preserve">Merchandise - at acquisition price [cost], and the cost of disposal is determined on the </t>
    </r>
    <r>
      <rPr>
        <sz val="10"/>
        <color indexed="10"/>
        <rFont val="Times New Roman"/>
        <family val="1"/>
        <charset val="238"/>
      </rPr>
      <t xml:space="preserve">[weighted average; first-in, first-out; last-in, first-out] </t>
    </r>
    <r>
      <rPr>
        <sz val="10"/>
        <rFont val="Times New Roman"/>
        <family val="1"/>
        <charset val="238"/>
      </rPr>
      <t>basis.</t>
    </r>
  </si>
  <si>
    <t>Finished products - production costs, comprising costs directly relating to a particular product, as well as a reasonable part of indirect costs of manufacture. A reasonable part of indirect costs, appropriate to the manufacturing period, includes indirect variable production costs as well as fixed production overheads based on normal use of production capacities. Normal use of production capacities is the average production volume expected under typical circumstances for a specified number of periods or seasons, taking into account scheduled maintenance breaks.</t>
  </si>
  <si>
    <r>
      <t>Work in progress - at direct production cost [</t>
    </r>
    <r>
      <rPr>
        <sz val="10"/>
        <color indexed="10"/>
        <rFont val="Times New Roman CE"/>
        <charset val="238"/>
      </rPr>
      <t>direct materials cost].</t>
    </r>
  </si>
  <si>
    <t xml:space="preserve">Inventory is stated net of allowances necessary to value inventory at its net realisable value. Net realisable value is based on the possible sales price less expenses incurred to adapt the unit to sale and cost of sales. 
On the balance sheet date, the value of inventory is reduced by write-downs on obsolete inventory. They are charged to other operating expenses.                      </t>
  </si>
  <si>
    <t>Advances towards deliveries are carried at the amounts due, taking into consideration the prudence principle.</t>
  </si>
  <si>
    <t>Short-term receivables and payables</t>
  </si>
  <si>
    <t>Short-term receivables</t>
  </si>
  <si>
    <t>As at the balance sheet date, receivables are measured at the amount due, taking into consideration the prudence concept, and disclosed in the net value (reduced by write-downs).</t>
  </si>
  <si>
    <t xml:space="preserve">Debtors are adjusted by an allowance for doubtful receivables taking into consideration the likelihood of future collection. The allowance is charged either to operating expenses or to financial expenses dependent on the type of receivable to which it relates. </t>
  </si>
  <si>
    <t>Write - downs are recorded in connection with the following:</t>
  </si>
  <si>
    <t>amounts due from debtors which were put into receivership or declared bankrupt – up to the amount not guaranteed or secured in another manner, as reported to a receiver or judge-commissioner during bankruptcy proceedings;</t>
  </si>
  <si>
    <t>amounts due from debtors for which filing for bankruptcy was dismissed if the debtor’s assets are not sufficient to cover the cost of bankruptcy proceedings – in full;</t>
  </si>
  <si>
    <t>receivables disputed by debtors as well as overdue receivables, where a review of the debtor’s financial position indicates that the collection of a contractual amount due is unlikely – up to the amount not guaranteed or secured in another manner;</t>
  </si>
  <si>
    <t>receivables which represent equivalents of amounts added to receivables which were previously written down – at these amounts, until they are received or written-off;</t>
  </si>
  <si>
    <t>overdue receivables or non-overdue receivables which are very unlikely to be collected, in the cases justified by an entity’s type of business or client structure – at an amount of a reliably estimated write-down, including a general write-down, in respect of uncollectable receivables.</t>
  </si>
  <si>
    <t>[Write-downs description should reflect the Company's policy. If the Company records write-downs based on ageing analysis, then information from the  introducion should match note presenting aging analysis of receivables.]</t>
  </si>
  <si>
    <t>Short-term payables</t>
  </si>
  <si>
    <t xml:space="preserve">Creditors are stated at the amounts due. </t>
  </si>
  <si>
    <t xml:space="preserve">As at the balance sheet date, receivables and payables were measured using an average exchange rate determined by the National Bank of Poland. </t>
  </si>
  <si>
    <t xml:space="preserve">Financial liabilities  </t>
  </si>
  <si>
    <r>
      <t xml:space="preserve">Financial liabilities are stated at the amounts due. </t>
    </r>
    <r>
      <rPr>
        <sz val="10"/>
        <color indexed="10"/>
        <rFont val="Times New Roman CE"/>
        <charset val="238"/>
      </rPr>
      <t>[valuated according to the adjusted acquisition price, and if an entity intends to sell them within the period of up to 3 months, then according to the market value or the otherwise determined fair value]</t>
    </r>
    <r>
      <rPr>
        <sz val="10"/>
        <rFont val="Times New Roman CE"/>
        <charset val="238"/>
      </rPr>
      <t>.</t>
    </r>
  </si>
  <si>
    <t>Provision for liabilities</t>
  </si>
  <si>
    <t xml:space="preserve">Provisions are liabilities of uncertain due date or amount. They are created against certain or probable future liabilities and charged to other operating expenses or financial expenses, depending on the circumstances. </t>
  </si>
  <si>
    <t xml:space="preserve">Off-balance sheet contingent liabilities </t>
  </si>
  <si>
    <t>Contingent liabilities include potential future commitments to perform an obligation whose occurrence is conditional upon specific events taking place.</t>
  </si>
  <si>
    <t>Prepayments and accruals</t>
  </si>
  <si>
    <t>Prepayments include:</t>
  </si>
  <si>
    <t>long-term settlements pertaining to future reporting periods, with time to complete exceeding 12 months from the balance sheet date,</t>
  </si>
  <si>
    <t xml:space="preserve">short-term settlements pertaining to future reporting periods, with time to complete not exceeding 12 months from the balance sheet date. </t>
  </si>
  <si>
    <t xml:space="preserve">Prepayments are recognised based on elapsed time or benefits provided. </t>
  </si>
  <si>
    <t xml:space="preserve">Accruals include provisions which directly relate to the operating activity, namely production, sale, post- sale activities, and general administration. </t>
  </si>
  <si>
    <t>The timing and method of settlement, are justified by the nature of settled expenses, taking into consideration the prudence principle.</t>
  </si>
  <si>
    <t>Deferred income</t>
  </si>
  <si>
    <t>The Company’s deferred income includes in particular:</t>
  </si>
  <si>
    <t xml:space="preserve">
</t>
  </si>
  <si>
    <t>the equivalent of funds received or receivable from customers, arising from benefits to be provided in future reporting periods,</t>
  </si>
  <si>
    <t>the value of tangible assets, tangible assets under construction and intangible assets received free of charge as a donation, settled in parallel with (accumulated) depreciation (amortisation) write-offs on those assets.</t>
  </si>
  <si>
    <t>Short-term investments</t>
  </si>
  <si>
    <r>
      <t xml:space="preserve">Short-term investments  are stated at market price </t>
    </r>
    <r>
      <rPr>
        <sz val="10"/>
        <color indexed="10"/>
        <rFont val="Times New Roman CE"/>
        <charset val="238"/>
      </rPr>
      <t>[or at the lower of cost of acquisition and market price (value) or according to the adjusted acquisition price, if the maturity date has been determined in respect of a given component asset];</t>
    </r>
    <r>
      <rPr>
        <sz val="10"/>
        <rFont val="Times New Roman CE"/>
        <charset val="238"/>
      </rPr>
      <t xml:space="preserve"> and in the case of short-term investments having no active market, according to the otherwise determined fair value.</t>
    </r>
  </si>
  <si>
    <r>
      <t xml:space="preserve">Short-term loans originated by the Company are stated at the amount due, taking into consideration the prudence concept </t>
    </r>
    <r>
      <rPr>
        <sz val="10"/>
        <color indexed="10"/>
        <rFont val="Times New Roman CE"/>
        <charset val="238"/>
      </rPr>
      <t>[valuated according to the adjusted acquisition price, and if an entity intends to sell them within the period of up to 3 months, then according to the market value or the otherwise determined fair value].</t>
    </r>
  </si>
  <si>
    <t xml:space="preserve">Any gains or losses relating to changes in values of short-term investments are recognised as financial income or costs, respectively. </t>
  </si>
  <si>
    <t>Cash and cash equivalents</t>
  </si>
  <si>
    <t xml:space="preserve">Cash in domestic currency is recognised at nominal value. </t>
  </si>
  <si>
    <t>As at the balance sheet date, cash denominated in foreign currencies is translated into Polish zloty at the average exchange rate determined by the National Bank of Poland.</t>
  </si>
  <si>
    <t>Taxation</t>
  </si>
  <si>
    <t>Current tax liabilities are calculated based on Polish tax regulations.</t>
  </si>
  <si>
    <t xml:space="preserve">Deferred tax presented in the profit and loss account comprises the difference between deferred tax liabilities and deferred tax assets as at the beginning and the end of the financial period. </t>
  </si>
  <si>
    <t xml:space="preserve">Deferred tax assets and liabilities relating to equity transactions are charged or credited to equity. </t>
  </si>
  <si>
    <t>A deferred tax asset is recognised for all deductible temporary differences arising from differences between the tax base and the carrying amount of particular assets and liabilities and tax losses. 
A deferred tax asset is recognised to the extent that it is probable that taxable profits will be available against which the deductible temporary differences can be utilised.</t>
  </si>
  <si>
    <t xml:space="preserve">A deferred tax liability is recognised for all taxable temporary differences arising from differences between the tax base and the carrying amount of particular assets and liabilities. </t>
  </si>
  <si>
    <t xml:space="preserve">Deferred tax liabilities and assets are determined based on the  tax rate binding for the year in which the related timing differences are expected to reverse. </t>
  </si>
  <si>
    <r>
      <t xml:space="preserve">Deferred tax liabilities and assets are presented separately in the balance sheet. </t>
    </r>
    <r>
      <rPr>
        <sz val="10"/>
        <color indexed="10"/>
        <rFont val="Times New Roman CE"/>
        <charset val="238"/>
      </rPr>
      <t>Deferred tax liabilities and assets can be offset if under the prevailing tax law the Company has the right to offset related timing differences in the calculation of taxable profits.</t>
    </r>
  </si>
  <si>
    <t xml:space="preserve">Equity </t>
  </si>
  <si>
    <t>As at the balance sheet date, equity is carried at the amount defined in the Articles of Association and registered in the National Court Register.</t>
  </si>
  <si>
    <r>
      <t>The Company’s supplementary capital is created in accordance with the Commercial Companies Code.</t>
    </r>
    <r>
      <rPr>
        <sz val="12"/>
        <color indexed="10"/>
        <rFont val="Times New Roman CE"/>
        <charset val="238"/>
      </rPr>
      <t/>
    </r>
  </si>
  <si>
    <t>The revaluation reserve is used to record the changes in the valuation of assets, i.e. official valuation of fixed assets and investments classified as fixed assets /non-distributable/.
Other reserves are created and used in line with the Company’s by-laws, for specifically identified purposes.</t>
  </si>
  <si>
    <t>Financial instruments</t>
  </si>
  <si>
    <t>All investments in financial instruments are classified on the day of purchase to one of four categories: held for trading, loans and receivables, held to maturity or available for sale.</t>
  </si>
  <si>
    <t>Financial assets held for trading include financial assets acquired or originated to obtain benefits from short-term (up to three months) fluctuations in prices and financial assets which, for whatever reason purchased, constitute a group of assets which was recently used to generate benefits arising from fluctuations in prices. Derivatives classified as assets are always treated as held for trading, unless they are designed as hedging instruments.
Financial assets held to maturity include financial assets with determined or determinable due date or amount the Company intends and is able to hold to maturity, with the exception of originated loans and own receivables.</t>
  </si>
  <si>
    <t>All loans and receivables meeting the definition of financial instruments in light with art. 3 item 1 point 23 of the Act, originated by direct issuance to the other party of the agreement of cash, goods, or other services which the Company does not intend to sell in the short term, are classified to originated loans and own receivables. 
Financial assets available for sale include all financial assets other than: originated loans and other receivables, financial assets held to maturity and financial assets held for trading. Assets available for sale include in particular interests in other uncontrolled entities the Company does not intend to sell in the short term.</t>
  </si>
  <si>
    <t>Financial liabilities are classified into one of two categories: derivatives with fair value lower than zero and commitments to deliver borrowed financial instruments in the case of a short sale are classified as financial liabilities held for trading; all remaining financial liabilities are classified as other financial liabilities.</t>
  </si>
  <si>
    <t>On the date of entering into the contract, financial assets are measured at purchase cost, i.e. fair value of incurred expenses or other transferred assets, and financial liabilities are measured at fair value of obtained amount or value of obtained assets.</t>
  </si>
  <si>
    <t>Assets held to maturity, originated loans and own receivables and other financial liabilities not classified as held for trading are measured at amortised cost using the effective interest rate.
Other financial liabilities, for which schedule of future cash flows are not determined and in addition it is not possible to calculate the effective interest rate, are measured at the amount due.
Financial assets and liabilities held for trading and available for sale are measured at fair value.</t>
  </si>
  <si>
    <t>Changes in fair value of financial instruments held for trading and not part of a hedging relationship are recorded as financial income or expenses in the profit and loss account. Changes in fair value of financial assets available for sale are recognised in the profit and loss account as financial income/expenses or separately recognised under equity until the moment of recognition following sale, expiry of asset rights, realisation, etc. or the moment of recognition of permanent impairment; at this moment the accumulated profit/loss previously recorded in the revaluation reserve is recognised in the profit and loss account for the reporting period.
A financial asset can only be derecognised if the Company has lost control as a result of sale, expiry or realisation of this asset. A financial liability can only be derecognised upon expiry following fulfilment, termination or cancellation.</t>
  </si>
  <si>
    <t xml:space="preserve">Recognition of derivatives other than hedging instruments </t>
  </si>
  <si>
    <t xml:space="preserve">The Company uses derivative financial instruments to hedge its exposure to foreign exchange and interest rate risk (add other). Derivative financial instruments which are not designated as hedging instruments are classified as financial assets or financial liabilities held for trading. </t>
  </si>
  <si>
    <t>Derivatives are initially recognised at cost. No later than as at the balance sheet date, derivative instruments are measured at fair value. If they are not recognized as hedging instruments, the resulting differences in valuation relate to the profit and loss account.</t>
  </si>
  <si>
    <t>or if the Company does not have financial instrument except for ….</t>
  </si>
  <si>
    <t>In the current year, the Company does not have any other financial instruments except for ….. (intercompany loan / loan granted from the mother company).</t>
  </si>
  <si>
    <t>or if the Company does not have financial instrument</t>
  </si>
  <si>
    <t>In the current year, the Company does not have any financial instruments.</t>
  </si>
  <si>
    <t xml:space="preserve">Recognition of hedging derivatives </t>
  </si>
  <si>
    <t>The Company does not apply hedge accounting.</t>
  </si>
  <si>
    <t>Cash flow hedges</t>
  </si>
  <si>
    <t xml:space="preserve">When a derivative is designated as a hedge against the variability in cash flows of recognised assets or liabilities, a firm commitment or a highly probable forecasted transaction, the effective part of any profit or loss on the hedging instrument is recorded in the revaluation reserve. </t>
  </si>
  <si>
    <t>When the firm commitment or forecasted hedged transaction results in the recognition of an asset or liability, then at the time the asset or liability is recognised, the cumulative profit or loss arising that was previously recorded in the revaluation reserve is removed from the revaluation reserve and recorded as part of the initial acquisition cost or other carrying amount of the asset or liability.
In the case of a cash flow hedge, the amounts that were recognized directly in the revaluation capital (fund) should be included in the net profit or loss in the same period in which the secured firm commitment or the hedged forecast transaction affects the net profit or loss.</t>
  </si>
  <si>
    <t xml:space="preserve">The portion of any gain or loss on the hedged transaction that is determined ineffective is recognised in the profit and loss account immediately. </t>
  </si>
  <si>
    <t>When a cash flow hedge instrument expires, total income or loss from the instrument recorded in the revaluation reserve is recognised there separately until recognition of the forecast transaction or liabilities incurred.</t>
  </si>
  <si>
    <t xml:space="preserve">When the Company considers that the forecasted transaction or the firm commitment is not expected to occur, the cumulative profit or loss recorded in the revaluation reserve is immediately recognised as a financial revenue or expense. </t>
  </si>
  <si>
    <t>Fair value hedge</t>
  </si>
  <si>
    <t xml:space="preserve">In the case of a fair value hedge, any gain or loss on the hedging instrument is recognised in the profit and loss account for the period. </t>
  </si>
  <si>
    <t>Foreign exchange differences - foreign exchange rates used for asset and liability measurement</t>
  </si>
  <si>
    <t>The following exchange rates (the average currency exchange rates of the National Bank of Poland)  were used for the valuation of monetary items denominated in foreign currencies at the respective year end:</t>
  </si>
  <si>
    <t xml:space="preserve">Business transactions denominated in foreign currencies are recognised on the date they are entered into at the exchange rate published for the given currency as at the date preceding the transaction. </t>
  </si>
  <si>
    <t xml:space="preserve">Financial results calculation </t>
  </si>
  <si>
    <t>Income, expenses, financial result</t>
  </si>
  <si>
    <t>Revenue and expenses are recognised on the accrual basis in the period to which they relate, regardless of the period in which related payments are made or received.</t>
  </si>
  <si>
    <t>Income and profit</t>
  </si>
  <si>
    <t>The Company recognises income activity where the economic benefits are certain of occurring in the reporting period, of reliably estimated value, in the form of an increase in the value of assets or decrease in the value of liabilities resulting in an increase in equity other than contributions made by shareholders or owners.</t>
  </si>
  <si>
    <t>Expenses and costs</t>
  </si>
  <si>
    <t xml:space="preserve">The Company classifies to expenses the reductions in economic benefits certain of occurring during the reporting period, of reliably estimated value, in the form of a decrease in the value of assets or increase in the value of liabilities and provisions resulting in a decrease in equity other than withdrawals made by shareholders or owners. </t>
  </si>
  <si>
    <t>Financial result</t>
  </si>
  <si>
    <t>The net financial result includes:</t>
  </si>
  <si>
    <t xml:space="preserve">operating result, including the result on other operating income and expenses (related indirectly with the Company’s operations), </t>
  </si>
  <si>
    <t xml:space="preserve">result on financial transactions, </t>
  </si>
  <si>
    <t xml:space="preserve">statutory appropriations of the financial result including income tax the Company is a payer of and similar payments required under separate regulations. </t>
  </si>
  <si>
    <r>
      <t xml:space="preserve">Corporate income tax, as presented in the profit and loss account, comprises current </t>
    </r>
    <r>
      <rPr>
        <sz val="10"/>
        <color indexed="10"/>
        <rFont val="Times New Roman CE"/>
        <charset val="238"/>
      </rPr>
      <t>and deferred</t>
    </r>
    <r>
      <rPr>
        <sz val="10"/>
        <rFont val="Times New Roman CE"/>
        <charset val="238"/>
      </rPr>
      <t xml:space="preserve"> income tax. </t>
    </r>
  </si>
  <si>
    <t>Foreign exchange differences</t>
  </si>
  <si>
    <t>Foreign exchange differences resulting from remeasurement and settlement of monetary assets and liabilities denominated in foreign currencies, excluding long-term investments, and from the sale of foreign currencies are recorded as financial revenue or expenses. Certain eligible foreign exchange differences are capitalised to finished goods and merchandise inventory, tangible fixed assets, construction in progress or intangible fixed assets.</t>
  </si>
  <si>
    <t xml:space="preserve">Currency differences occurring during revaluation at the end of financial year of long-term investments stated in foreign currencies are recorded as: </t>
  </si>
  <si>
    <t>foreign exchange gains increasing the revaluation reserve,</t>
  </si>
  <si>
    <t>foreign exchange losses decreasing the revaluation reserve to the amount of the previous increase. In other cases, the foreign exchange losses are recognised as financial costs. The increase in the value of a given investment resulting from foreign exchange gains relating to assets whose value was previously decreased by foreign exchange losses, included in financial costs, are accounted for as financial revenue up to the amount of such costs.</t>
  </si>
  <si>
    <t>Determining the methods of preparation of the financial statements</t>
  </si>
  <si>
    <t>Income, expenses</t>
  </si>
  <si>
    <t>The Company prepares its profit and loss account by type of expenditure.</t>
  </si>
  <si>
    <t>Statement of cash flows</t>
  </si>
  <si>
    <t>The cash flows statement was prepared using the indirect method.</t>
  </si>
  <si>
    <t>or</t>
  </si>
  <si>
    <t xml:space="preserve">The Company does not prepare the statement of cash flows. </t>
  </si>
  <si>
    <t>Detailed information resulting from specificity of entity</t>
  </si>
  <si>
    <t xml:space="preserve">
The item "P_8" is used to add additional information that can not be classified to any of the above points.</t>
  </si>
  <si>
    <t>Item name</t>
  </si>
  <si>
    <t>Description</t>
  </si>
  <si>
    <t>(No more then 3500 marks)</t>
  </si>
  <si>
    <t xml:space="preserve">Balance Sheet </t>
  </si>
  <si>
    <t>AKTYWA</t>
  </si>
  <si>
    <t>ASSETS</t>
  </si>
  <si>
    <t>Nota</t>
  </si>
  <si>
    <t>Note</t>
  </si>
  <si>
    <t>Aktywa trwałe</t>
  </si>
  <si>
    <t>Non current assets</t>
  </si>
  <si>
    <t>BZ_Aktywa_A</t>
  </si>
  <si>
    <t>BO_Aktywa_A</t>
  </si>
  <si>
    <t>Intangible fixed assets</t>
  </si>
  <si>
    <t>BZ_Aktywa_A_1</t>
  </si>
  <si>
    <t>BO_Aktywa_A_1</t>
  </si>
  <si>
    <t>BZ_Aktywa_A_1_1</t>
  </si>
  <si>
    <t>BO_Aktywa_A_1_1</t>
  </si>
  <si>
    <t>A010101</t>
  </si>
  <si>
    <t>Wartość firmy</t>
  </si>
  <si>
    <t>BZ_Aktywa_A_1_2</t>
  </si>
  <si>
    <t>BO_Aktywa_A_1_2</t>
  </si>
  <si>
    <t>A010102</t>
  </si>
  <si>
    <t>Inne wartości niematerialne i prawne</t>
  </si>
  <si>
    <t>Other intangible fixed assets</t>
  </si>
  <si>
    <t>BZ_Aktywa_A_1_3</t>
  </si>
  <si>
    <t>BO_Aktywa_A_1_3</t>
  </si>
  <si>
    <t>A010103</t>
  </si>
  <si>
    <t>Zaliczki na wartości niematerialne i prawne</t>
  </si>
  <si>
    <t>Advance payments for intangible fixed assets</t>
  </si>
  <si>
    <t>BZ_Aktywa_A_1_4</t>
  </si>
  <si>
    <t>BO_Aktywa_A_1_4</t>
  </si>
  <si>
    <t>A010104</t>
  </si>
  <si>
    <t>Rzeczowe aktywa trwałe</t>
  </si>
  <si>
    <t>Tangible fixed assets</t>
  </si>
  <si>
    <t>BZ_Aktywa_A_2</t>
  </si>
  <si>
    <t>BO_Aktywa_A_2</t>
  </si>
  <si>
    <t>Fixed assets</t>
  </si>
  <si>
    <t>BZ_Aktywa_A_2_1</t>
  </si>
  <si>
    <t>BO_Aktywa_A_2_1</t>
  </si>
  <si>
    <t>grunty (w tym prawo wieczystego użytkowania gruntu)</t>
  </si>
  <si>
    <t>land (including perpetual usufruct)</t>
  </si>
  <si>
    <t>BZ_Aktywa_A_2_1_A</t>
  </si>
  <si>
    <t>BO_Aktywa_A_2_1_A</t>
  </si>
  <si>
    <t>A0102011</t>
  </si>
  <si>
    <t>budynki, lokale, prawa do lokali i obiekty inżynierii lądowej i wodnej</t>
  </si>
  <si>
    <t>buildings, premises, rights to premises and civil and water engineering objects</t>
  </si>
  <si>
    <t>BZ_Aktywa_A_2_1_B</t>
  </si>
  <si>
    <t>BO_Aktywa_A_2_1_B</t>
  </si>
  <si>
    <t>A0102012</t>
  </si>
  <si>
    <t>urządzenia techniczne i maszyny</t>
  </si>
  <si>
    <t>machinery</t>
  </si>
  <si>
    <t>BZ_Aktywa_A_2_1_C</t>
  </si>
  <si>
    <t>BO_Aktywa_A_2_1_C</t>
  </si>
  <si>
    <t>A0102013</t>
  </si>
  <si>
    <t>środki transportu</t>
  </si>
  <si>
    <t>vehicles</t>
  </si>
  <si>
    <t>BZ_Aktywa_A_2_1_D</t>
  </si>
  <si>
    <t>BO_Aktywa_A_2_1_D</t>
  </si>
  <si>
    <t>A0102014</t>
  </si>
  <si>
    <t>inne środki trwałe</t>
  </si>
  <si>
    <t>other tangible fixed assets</t>
  </si>
  <si>
    <t>BZ_Aktywa_A_2_1_E</t>
  </si>
  <si>
    <t>BO_Aktywa_A_2_1_E</t>
  </si>
  <si>
    <t>A0102015</t>
  </si>
  <si>
    <t>Fixed assets under construction</t>
  </si>
  <si>
    <t>BZ_Aktywa_A_2_2</t>
  </si>
  <si>
    <t>BO_Aktywa_A_2_2</t>
  </si>
  <si>
    <t>A010202</t>
  </si>
  <si>
    <t>Zaliczki na środki trwałe w budowie</t>
  </si>
  <si>
    <t>Prepayments for tangible fixed assets</t>
  </si>
  <si>
    <t>BZ_Aktywa_A_2_3</t>
  </si>
  <si>
    <t>BO_Aktywa_A_2_3</t>
  </si>
  <si>
    <t>A010203</t>
  </si>
  <si>
    <t>Należności długoterminowe</t>
  </si>
  <si>
    <t>Long-term receivables</t>
  </si>
  <si>
    <t>BZ_Aktywa_A_3</t>
  </si>
  <si>
    <t>BO_Aktywa_A_3</t>
  </si>
  <si>
    <t>Od jednostek powiązanych</t>
  </si>
  <si>
    <t>From related parties</t>
  </si>
  <si>
    <t>BZ_Aktywa_A_3_1</t>
  </si>
  <si>
    <t>BO_Aktywa_A_3_1</t>
  </si>
  <si>
    <t>A010301</t>
  </si>
  <si>
    <t>Od pozostałych jednostek, w których jednostka posiada zaangażowanie w kapitale</t>
  </si>
  <si>
    <t>From other parties, in which the entity has a share in equity</t>
  </si>
  <si>
    <t>BZ_Aktywa_A_3_2</t>
  </si>
  <si>
    <t>BO_Aktywa_A_3_2</t>
  </si>
  <si>
    <t>Od pozostałych jednostek</t>
  </si>
  <si>
    <t>From other parties</t>
  </si>
  <si>
    <t>BZ_Aktywa_A_3_3</t>
  </si>
  <si>
    <t>BO_Aktywa_A_3_3</t>
  </si>
  <si>
    <t>A010302</t>
  </si>
  <si>
    <t>BZ_Aktywa_A_4</t>
  </si>
  <si>
    <t>BO_Aktywa_A_4</t>
  </si>
  <si>
    <t>BZ_Aktywa_A_4_1</t>
  </si>
  <si>
    <t>BO_Aktywa_A_4_1</t>
  </si>
  <si>
    <t>A010401</t>
  </si>
  <si>
    <t>BZ_Aktywa_A_4_2</t>
  </si>
  <si>
    <t>BO_Aktywa_A_4_2</t>
  </si>
  <si>
    <t>A010402</t>
  </si>
  <si>
    <t>Długoterminowe aktywa finansowe</t>
  </si>
  <si>
    <t>Long-term financial assets</t>
  </si>
  <si>
    <t>BZ_Aktywa_A_4_3</t>
  </si>
  <si>
    <t>BO_Aktywa_A_4_3</t>
  </si>
  <si>
    <t>w jednostkach powiązanych</t>
  </si>
  <si>
    <t>in related parties</t>
  </si>
  <si>
    <t>BZ_Aktywa_A_4_3_A</t>
  </si>
  <si>
    <t>BO_Aktywa_A_4_3_A</t>
  </si>
  <si>
    <t>- udziały lub akcje</t>
  </si>
  <si>
    <t>- shares</t>
  </si>
  <si>
    <t>BZ_Aktywa_A_4_3_A_1</t>
  </si>
  <si>
    <t>BO_Aktywa_A_4_3_A_1</t>
  </si>
  <si>
    <t>A01040311</t>
  </si>
  <si>
    <t>- inne papiery wartościowe</t>
  </si>
  <si>
    <t>- other securities</t>
  </si>
  <si>
    <t>BZ_Aktywa_A_4_3_A_2</t>
  </si>
  <si>
    <t>BO_Aktywa_A_4_3_A_2</t>
  </si>
  <si>
    <t>A01040312</t>
  </si>
  <si>
    <t>- udzielone pożyczki</t>
  </si>
  <si>
    <t>- loans originated by the Company</t>
  </si>
  <si>
    <t>BZ_Aktywa_A_4_3_A_3</t>
  </si>
  <si>
    <t>BO_Aktywa_A_4_3_A_3</t>
  </si>
  <si>
    <t>A01040313</t>
  </si>
  <si>
    <t>- inne długoterminowe aktywa finansowe</t>
  </si>
  <si>
    <t>- other financial assets</t>
  </si>
  <si>
    <t>BZ_Aktywa_A_4_3_A_4</t>
  </si>
  <si>
    <t>BO_Aktywa_A_4_3_A_4</t>
  </si>
  <si>
    <t>A01040314</t>
  </si>
  <si>
    <t>w pozostałych jednostkach, w których jednostka posiada zaangażowanie w kapitale</t>
  </si>
  <si>
    <t>in other parties, in which the entity has a share in equity</t>
  </si>
  <si>
    <t>BZ_Aktywa_A_4_3_B</t>
  </si>
  <si>
    <t>BO_Aktywa_A_4_3_B</t>
  </si>
  <si>
    <t>BZ_Aktywa_A_4_3_B_1</t>
  </si>
  <si>
    <t>BO_Aktywa_A_4_3_B_1</t>
  </si>
  <si>
    <t>BZ_Aktywa_A_4_3_B_2</t>
  </si>
  <si>
    <t>BO_Aktywa_A_4_3_B_2</t>
  </si>
  <si>
    <t>BZ_Aktywa_A_4_3_B_3</t>
  </si>
  <si>
    <t>BO_Aktywa_A_4_3_B_3</t>
  </si>
  <si>
    <t>BZ_Aktywa_A_4_3_B_4</t>
  </si>
  <si>
    <t>BO_Aktywa_A_4_3_B_4</t>
  </si>
  <si>
    <t>w pozostałych jednostkach</t>
  </si>
  <si>
    <t>in other parties</t>
  </si>
  <si>
    <t>BZ_Aktywa_A_4_3_C</t>
  </si>
  <si>
    <t>BO_Aktywa_A_4_3_C</t>
  </si>
  <si>
    <t>BZ_Aktywa_A_4_3_C_1</t>
  </si>
  <si>
    <t>BO_Aktywa_A_4_3_C_1</t>
  </si>
  <si>
    <t>A01040321</t>
  </si>
  <si>
    <t>BZ_Aktywa_A_4_3_C_2</t>
  </si>
  <si>
    <t>BO_Aktywa_A_4_3_C_2</t>
  </si>
  <si>
    <t>A01040322</t>
  </si>
  <si>
    <t>BZ_Aktywa_A_4_3_C_3</t>
  </si>
  <si>
    <t>BO_Aktywa_A_4_3_C_3</t>
  </si>
  <si>
    <t>A01040323</t>
  </si>
  <si>
    <t>BZ_Aktywa_A_4_3_C_4</t>
  </si>
  <si>
    <t>BO_Aktywa_A_4_3_C_4</t>
  </si>
  <si>
    <t>A01040324</t>
  </si>
  <si>
    <t>Inne inwestycje długoterminowe</t>
  </si>
  <si>
    <t>Other long-term investments</t>
  </si>
  <si>
    <t>BZ_Aktywa_A_4_4</t>
  </si>
  <si>
    <t>BO_Aktywa_A_4_4</t>
  </si>
  <si>
    <t>Długoterminowe rozliczenia międzyokresowe</t>
  </si>
  <si>
    <t>Long-term prepayments and deferred expenses</t>
  </si>
  <si>
    <t>BZ_Aktywa_A_5</t>
  </si>
  <si>
    <t>BO_Aktywa_A_5</t>
  </si>
  <si>
    <t>Aktywa z tytułu odroczonego podatku dochodowego</t>
  </si>
  <si>
    <t>Deferred tax asset</t>
  </si>
  <si>
    <t>BZ_Aktywa_A_5_1</t>
  </si>
  <si>
    <t>BO_Aktywa_A_5_1</t>
  </si>
  <si>
    <t>A010501</t>
  </si>
  <si>
    <t>Inne rozliczenia międzyokresowe</t>
  </si>
  <si>
    <t>Other prepayments and deferred expenses</t>
  </si>
  <si>
    <t>BZ_Aktywa_A_5_2</t>
  </si>
  <si>
    <t>BO_Aktywa_A_5_2</t>
  </si>
  <si>
    <t>A010502</t>
  </si>
  <si>
    <t>Aktywa obrotowe</t>
  </si>
  <si>
    <t>Current assets</t>
  </si>
  <si>
    <t>BZ_Aktywa_B</t>
  </si>
  <si>
    <t>BO_Aktywa_B</t>
  </si>
  <si>
    <t>BZ_Aktywa_B_1</t>
  </si>
  <si>
    <t>BO_Aktywa_B_1</t>
  </si>
  <si>
    <t>Materiały</t>
  </si>
  <si>
    <t>Raw materials</t>
  </si>
  <si>
    <t>BZ_Aktywa_B_1_1</t>
  </si>
  <si>
    <t>BO_Aktywa_B_1_1</t>
  </si>
  <si>
    <t>A021101</t>
  </si>
  <si>
    <t>Półprodukty i produkty w toku</t>
  </si>
  <si>
    <t>Semi-finished goods and work in progress</t>
  </si>
  <si>
    <t>BZ_Aktywa_B_1_2</t>
  </si>
  <si>
    <t>BO_Aktywa_B_1_2</t>
  </si>
  <si>
    <t>A021102</t>
  </si>
  <si>
    <t>Produkty gotowe</t>
  </si>
  <si>
    <t>Finished products</t>
  </si>
  <si>
    <t>BZ_Aktywa_B_1_3</t>
  </si>
  <si>
    <t>BO_Aktywa_B_1_3</t>
  </si>
  <si>
    <t>A021103</t>
  </si>
  <si>
    <t>Towary</t>
  </si>
  <si>
    <t>Merchandise</t>
  </si>
  <si>
    <t>BZ_Aktywa_B_1_4</t>
  </si>
  <si>
    <t>BO_Aktywa_B_1_4</t>
  </si>
  <si>
    <t>A021104</t>
  </si>
  <si>
    <t>Zaliczki na dostawy i usługi</t>
  </si>
  <si>
    <t>Advance payments for supplies and services</t>
  </si>
  <si>
    <t>BZ_Aktywa_B_1_5</t>
  </si>
  <si>
    <t>BO_Aktywa_B_1_5</t>
  </si>
  <si>
    <t>A021105</t>
  </si>
  <si>
    <t>BZ_Aktywa_B_2</t>
  </si>
  <si>
    <t>BO_Aktywa_B_2</t>
  </si>
  <si>
    <t>Należności od jednostek powiązanych</t>
  </si>
  <si>
    <t>Receivables from related parties</t>
  </si>
  <si>
    <t>BZ_Aktywa_B_2_1</t>
  </si>
  <si>
    <t>BO_Aktywa_B_2_1</t>
  </si>
  <si>
    <t>z tytułu dostaw i usług, o okresie spłaty:</t>
  </si>
  <si>
    <t>trade debtors, maturing:</t>
  </si>
  <si>
    <t>BZ_Aktywa_B_2_1_A</t>
  </si>
  <si>
    <t>BO_Aktywa_B_2_1_A</t>
  </si>
  <si>
    <t>- do 12 miesięcy</t>
  </si>
  <si>
    <t>- within 12 months</t>
  </si>
  <si>
    <t>BZ_Aktywa_B_2_1_A_1</t>
  </si>
  <si>
    <t>BO_Aktywa_B_2_1_A_1</t>
  </si>
  <si>
    <t>A02120111</t>
  </si>
  <si>
    <t>- powyżej 12 miesięcy</t>
  </si>
  <si>
    <t>- more than 12 months</t>
  </si>
  <si>
    <t>BZ_Aktywa_B_2_1_A_2</t>
  </si>
  <si>
    <t>BO_Aktywa_B_2_1_A_2</t>
  </si>
  <si>
    <t>A02120112</t>
  </si>
  <si>
    <t>inne</t>
  </si>
  <si>
    <t>other</t>
  </si>
  <si>
    <t>BZ_Aktywa_B_2_1_B</t>
  </si>
  <si>
    <t>BO_Aktywa_B_2_1_B</t>
  </si>
  <si>
    <t>A0212012</t>
  </si>
  <si>
    <t>Należności od pozostałych jednostek, w których jednostka posiada zaangażowanie w kapitale</t>
  </si>
  <si>
    <t>Receivables from other parties, in which the entity has a share in equity</t>
  </si>
  <si>
    <t>BZ_Aktywa_B_2_2</t>
  </si>
  <si>
    <t>BO_Aktywa_B_2_2</t>
  </si>
  <si>
    <t>BZ_Aktywa_B_2_2_A</t>
  </si>
  <si>
    <t>BO_Aktywa_B_2_2_A</t>
  </si>
  <si>
    <t>BZ_Aktywa_B_2_2_A_1</t>
  </si>
  <si>
    <t>BO_Aktywa_B_2_2_A_1</t>
  </si>
  <si>
    <t>BZ_Aktywa_B_2_2_A_2</t>
  </si>
  <si>
    <t>BO_Aktywa_B_2_2_A_2</t>
  </si>
  <si>
    <t>BZ_Aktywa_B_2_2_B</t>
  </si>
  <si>
    <t>BO_Aktywa_B_2_2_B</t>
  </si>
  <si>
    <t>Należności od pozostałych jednostek</t>
  </si>
  <si>
    <t>Receivables from other parties</t>
  </si>
  <si>
    <t>BZ_Aktywa_B_2_3</t>
  </si>
  <si>
    <t>BO_Aktywa_B_2_3</t>
  </si>
  <si>
    <t>BZ_Aktywa_B_2_3_A</t>
  </si>
  <si>
    <t>BO_Aktywa_B_2_3_A</t>
  </si>
  <si>
    <t>BZ_Aktywa_B_2_3_A_1</t>
  </si>
  <si>
    <t>BO_Aktywa_B_2_3_A_1</t>
  </si>
  <si>
    <t>A02120211</t>
  </si>
  <si>
    <t>BZ_Aktywa_B_2_3_A_2</t>
  </si>
  <si>
    <t>BO_Aktywa_B_2_3_A_2</t>
  </si>
  <si>
    <t>A02120212</t>
  </si>
  <si>
    <t>z tytułu podatków, dotacji, ceł, ubezpieczeń społecznych i zdrowotnych oraz innych tytułów publicznoprawnych</t>
  </si>
  <si>
    <t xml:space="preserve">taxation, subsidy, custom duties, social security debtors and other public charges </t>
  </si>
  <si>
    <t>BZ_Aktywa_B_2_3_B</t>
  </si>
  <si>
    <t>BO_Aktywa_B_2_3_B</t>
  </si>
  <si>
    <t>A0212022</t>
  </si>
  <si>
    <t>BZ_Aktywa_B_2_3_C</t>
  </si>
  <si>
    <t>BO_Aktywa_B_2_3_C</t>
  </si>
  <si>
    <t>A0212023</t>
  </si>
  <si>
    <t>dochodzone na drodze sądowej</t>
  </si>
  <si>
    <t>debtors subject to legal proceedings</t>
  </si>
  <si>
    <t>BZ_Aktywa_B_2_3_D</t>
  </si>
  <si>
    <t>BO_Aktywa_B_2_3_D</t>
  </si>
  <si>
    <t>A0212024</t>
  </si>
  <si>
    <t>BZ_Aktywa_B_3</t>
  </si>
  <si>
    <t>BO_Aktywa_B_3</t>
  </si>
  <si>
    <t>Krótkoterminowe aktywa finansowe</t>
  </si>
  <si>
    <t>Short-term financial assets</t>
  </si>
  <si>
    <t>BZ_Aktywa_B_3_1</t>
  </si>
  <si>
    <t>BO_Aktywa_B_3_1</t>
  </si>
  <si>
    <t>BZ_Aktywa_B_3_1_A</t>
  </si>
  <si>
    <t>BO_Aktywa_B_3_1_A</t>
  </si>
  <si>
    <t>BZ_Aktywa_B_3_1_A_1</t>
  </si>
  <si>
    <t>BO_Aktywa_B_3_1_A_1</t>
  </si>
  <si>
    <t>A02130111</t>
  </si>
  <si>
    <t>BZ_Aktywa_B_3_1_A_2</t>
  </si>
  <si>
    <t>BO_Aktywa_B_3_1_A_2</t>
  </si>
  <si>
    <t>A02130112</t>
  </si>
  <si>
    <t>BZ_Aktywa_B_3_1_A_3</t>
  </si>
  <si>
    <t>BO_Aktywa_B_3_1_A_3</t>
  </si>
  <si>
    <t>A02130113</t>
  </si>
  <si>
    <t>- inne krótkoterminowe aktywa finansowe</t>
  </si>
  <si>
    <t>BZ_Aktywa_B_3_1_A_4</t>
  </si>
  <si>
    <t>BO_Aktywa_B_3_1_A_4</t>
  </si>
  <si>
    <t>A02130114</t>
  </si>
  <si>
    <t>BZ_Aktywa_B_3_1_B</t>
  </si>
  <si>
    <t>BO_Aktywa_B_3_1_B</t>
  </si>
  <si>
    <t>BZ_Aktywa_B_3_1_B_1</t>
  </si>
  <si>
    <t>BO_Aktywa_B_3_1_B_1</t>
  </si>
  <si>
    <t>A02130121</t>
  </si>
  <si>
    <t>BZ_Aktywa_B_3_1_B_2</t>
  </si>
  <si>
    <t>BO_Aktywa_B_3_1_B_2</t>
  </si>
  <si>
    <t>A02130122</t>
  </si>
  <si>
    <t>BZ_Aktywa_B_3_1_B_3</t>
  </si>
  <si>
    <t>BO_Aktywa_B_3_1_B_3</t>
  </si>
  <si>
    <t>A02130123</t>
  </si>
  <si>
    <t>BZ_Aktywa_B_3_1_B_4</t>
  </si>
  <si>
    <t>BO_Aktywa_B_3_1_B_4</t>
  </si>
  <si>
    <t>A02130124</t>
  </si>
  <si>
    <t>środki pieniężne i inne aktywa pieniężne</t>
  </si>
  <si>
    <t>cash and cash equivalents</t>
  </si>
  <si>
    <t>BZ_Aktywa_B_3_1_C</t>
  </si>
  <si>
    <t>BO_Aktywa_B_3_1_C</t>
  </si>
  <si>
    <t>- środki pieniężne w kasie i na rachunkach</t>
  </si>
  <si>
    <t>- cash on hand and in banks</t>
  </si>
  <si>
    <t>BZ_Aktywa_B_3_1_C_1</t>
  </si>
  <si>
    <t>BO_Aktywa_B_3_1_C_1</t>
  </si>
  <si>
    <t>A02130131</t>
  </si>
  <si>
    <t>- inne środki pieniężne</t>
  </si>
  <si>
    <t>- other cash</t>
  </si>
  <si>
    <t>BZ_Aktywa_B_3_1_C_2</t>
  </si>
  <si>
    <t>BO_Aktywa_B_3_1_C_2</t>
  </si>
  <si>
    <t>A02130132</t>
  </si>
  <si>
    <t>- inne aktywa pieniężne</t>
  </si>
  <si>
    <t>- other cash equivalents</t>
  </si>
  <si>
    <t>BZ_Aktywa_B_3_1_C_3</t>
  </si>
  <si>
    <t>BO_Aktywa_B_3_1_C_3</t>
  </si>
  <si>
    <t>A02130133</t>
  </si>
  <si>
    <t>Inne inwestycje krótkoterminowe</t>
  </si>
  <si>
    <t>Other short-term investments</t>
  </si>
  <si>
    <t>BZ_Aktywa_B_3_2</t>
  </si>
  <si>
    <t>BO_Aktywa_B_3_2</t>
  </si>
  <si>
    <t>A0213023</t>
  </si>
  <si>
    <t>Krótkoterminowe rozliczenia międzyokresowe</t>
  </si>
  <si>
    <t>Short-term prepayments and deferred expenses</t>
  </si>
  <si>
    <t>BZ_Aktywa_B_4</t>
  </si>
  <si>
    <t>BO_Aktywa_B_4</t>
  </si>
  <si>
    <t>A02140</t>
  </si>
  <si>
    <t>Należne wpłaty na kapitał (fundusz) podstawowy</t>
  </si>
  <si>
    <t>Outstanding share capital contributions</t>
  </si>
  <si>
    <t>BZ_Aktywa_C</t>
  </si>
  <si>
    <t>BO_Aktywa_C</t>
  </si>
  <si>
    <t>Udziały (akcje) własne</t>
  </si>
  <si>
    <t>Own shares</t>
  </si>
  <si>
    <t>BZ_Aktywa_D</t>
  </si>
  <si>
    <t>BO_Aktywa_D</t>
  </si>
  <si>
    <t>AKTYWA RAZEM</t>
  </si>
  <si>
    <t>TOTAL ASSETS</t>
  </si>
  <si>
    <t>BZ_Aktywa</t>
  </si>
  <si>
    <t>BO_Aktywa</t>
  </si>
  <si>
    <t>control to liabilities</t>
  </si>
  <si>
    <t xml:space="preserve">PASYWA  </t>
  </si>
  <si>
    <t xml:space="preserve">EQUITY AND LIABILITIES  </t>
  </si>
  <si>
    <t>Kapitał (fundusz) własny</t>
  </si>
  <si>
    <t>Equity</t>
  </si>
  <si>
    <t>BZ_Pasywa_A</t>
  </si>
  <si>
    <t>BO_Pasywa_A</t>
  </si>
  <si>
    <t>Kapitał (fundusz) podstawowy</t>
  </si>
  <si>
    <t>Share capital</t>
  </si>
  <si>
    <t>BZ_Pasywa_A_1</t>
  </si>
  <si>
    <t>BO_Pasywa_A_1</t>
  </si>
  <si>
    <t>P03210</t>
  </si>
  <si>
    <t>Kapitał (fundusz) zapasowy, w tym:</t>
  </si>
  <si>
    <t>Supplementary capital, including:</t>
  </si>
  <si>
    <t>BZ_Pasywa_A_2</t>
  </si>
  <si>
    <t>BO_Pasywa_A_2</t>
  </si>
  <si>
    <t>- nadwyżka wartości sprzedaży (wartości emisyjnej) nad wartością nominalną udziałów (akcji)</t>
  </si>
  <si>
    <t>- surplus of sales value (issue value) over nominal value of shares</t>
  </si>
  <si>
    <t>BZ_Pasywa_A_2_1</t>
  </si>
  <si>
    <t>BO_Pasywa_A_2_1</t>
  </si>
  <si>
    <t>P03241</t>
  </si>
  <si>
    <t>Kapitał (fundusz) z aktualizacji wyceny, w tym:</t>
  </si>
  <si>
    <r>
      <t xml:space="preserve">Revaluation reserve, </t>
    </r>
    <r>
      <rPr>
        <sz val="10"/>
        <rFont val="Times New Roman"/>
        <family val="1"/>
        <charset val="238"/>
      </rPr>
      <t>including:</t>
    </r>
  </si>
  <si>
    <t>BZ_Pasywa_A_3</t>
  </si>
  <si>
    <t>BO_Pasywa_A_3</t>
  </si>
  <si>
    <t>- z tytułu aktualizacji wartości godziwej</t>
  </si>
  <si>
    <t>- due to revaluation of fair value</t>
  </si>
  <si>
    <t>BZ_Pasywa_A_3_1</t>
  </si>
  <si>
    <t>BO_Pasywa_A_3_1</t>
  </si>
  <si>
    <t>P03250</t>
  </si>
  <si>
    <t>Pozostałe kapitały (fundusze) rezerwowe, w tym:</t>
  </si>
  <si>
    <r>
      <t xml:space="preserve">Other capital reserves, </t>
    </r>
    <r>
      <rPr>
        <sz val="10"/>
        <rFont val="Times New Roman"/>
        <family val="1"/>
        <charset val="238"/>
      </rPr>
      <t>including:</t>
    </r>
  </si>
  <si>
    <t>BZ_Pasywa_A_4</t>
  </si>
  <si>
    <t>BO_Pasywa_A_4</t>
  </si>
  <si>
    <t>- tworzone zgodnie z umową (statutem) spółki</t>
  </si>
  <si>
    <t>- created in accordance with articles of association</t>
  </si>
  <si>
    <t>BZ_Pasywa_A_4_1</t>
  </si>
  <si>
    <t>BO_Pasywa_A_4_1</t>
  </si>
  <si>
    <t>P03260</t>
  </si>
  <si>
    <t>- na udziały (akcje) własne</t>
  </si>
  <si>
    <t>- for own shares</t>
  </si>
  <si>
    <t>BZ_Pasywa_A_4_2</t>
  </si>
  <si>
    <t>BO_Pasywa_A_4_2</t>
  </si>
  <si>
    <t>Zysk (strata) z lat ubiegłych</t>
  </si>
  <si>
    <t>Accumulated profit (loss) from previous years</t>
  </si>
  <si>
    <t>BZ_Pasywa_A_5</t>
  </si>
  <si>
    <t>BO_Pasywa_A_5</t>
  </si>
  <si>
    <t>P03270</t>
  </si>
  <si>
    <t>Zysk (strata) netto</t>
  </si>
  <si>
    <t>Net profit (loss)</t>
  </si>
  <si>
    <t>BZ_Pasywa_A_6</t>
  </si>
  <si>
    <t>BO_Pasywa_A_6</t>
  </si>
  <si>
    <t>P03280</t>
  </si>
  <si>
    <t>Odpisy z zysku netto w ciągu roku obrotowego  (wielkość ujemna)</t>
  </si>
  <si>
    <t>Appropriation of the net profit during the financial year (negative value)</t>
  </si>
  <si>
    <t>BZ_Pasywa_A_7</t>
  </si>
  <si>
    <t>BO_Pasywa_A_7</t>
  </si>
  <si>
    <t>Zobowiązania i rezerwy na zobowiązania</t>
  </si>
  <si>
    <t>Liabilities and provisions for liabilities</t>
  </si>
  <si>
    <t>BZ_Pasywa_B</t>
  </si>
  <si>
    <t>BO_Pasywa_B</t>
  </si>
  <si>
    <t>Provisions for liabilities</t>
  </si>
  <si>
    <t>BZ_Pasywa_B_1</t>
  </si>
  <si>
    <t>BO_Pasywa_B_1</t>
  </si>
  <si>
    <t>Rezerwa z tytułu odroczonego podatku dochodowego</t>
  </si>
  <si>
    <t>Deferred tax liability</t>
  </si>
  <si>
    <t>BZ_Pasywa_B_1_1</t>
  </si>
  <si>
    <t>BO_Pasywa_B_1_1</t>
  </si>
  <si>
    <t>P043101</t>
  </si>
  <si>
    <t>Rezerwa na swiadczenia emerytalne i podobne</t>
  </si>
  <si>
    <t>Retirement provision and similar</t>
  </si>
  <si>
    <t>BZ_Pasywa_B_1_2</t>
  </si>
  <si>
    <t>BO_Pasywa_B_1_2</t>
  </si>
  <si>
    <t>- długoterminowa</t>
  </si>
  <si>
    <t>- long-term</t>
  </si>
  <si>
    <t>BZ_Pasywa_B_1_2_1</t>
  </si>
  <si>
    <t>BO_Pasywa_B_1_2_1</t>
  </si>
  <si>
    <t>- krótkoterminowa</t>
  </si>
  <si>
    <t>- short-term</t>
  </si>
  <si>
    <t>BZ_Pasywa_B_1_2_2</t>
  </si>
  <si>
    <t>BO_Pasywa_B_1_2_2</t>
  </si>
  <si>
    <t>Pozostałe rezerwy</t>
  </si>
  <si>
    <t>Other provisions</t>
  </si>
  <si>
    <t>BZ_Pasywa_B_1_3</t>
  </si>
  <si>
    <t>BO_Pasywa_B_1_3</t>
  </si>
  <si>
    <t>- długoterminowe</t>
  </si>
  <si>
    <t>BZ_Pasywa_B_1_3_1</t>
  </si>
  <si>
    <t>BO_Pasywa_B_1_3_1</t>
  </si>
  <si>
    <t>P04310201</t>
  </si>
  <si>
    <t>- krótkoterminowe</t>
  </si>
  <si>
    <t>BZ_Pasywa_B_1_3_2</t>
  </si>
  <si>
    <t>BO_Pasywa_B_1_3_2</t>
  </si>
  <si>
    <t>P04310202</t>
  </si>
  <si>
    <t>Zobowiązania długoterminowe</t>
  </si>
  <si>
    <t>Long-term liabilities</t>
  </si>
  <si>
    <t>BZ_Pasywa_B_2</t>
  </si>
  <si>
    <t>BO_Pasywa_B_2</t>
  </si>
  <si>
    <t>Wobec jednostek powiązanych</t>
  </si>
  <si>
    <t>Related party liabilities</t>
  </si>
  <si>
    <t>BZ_Pasywa_B_2_1</t>
  </si>
  <si>
    <t>BO_Pasywa_B_2_1</t>
  </si>
  <si>
    <t>P043201</t>
  </si>
  <si>
    <t>Wobec pozostałych jednostek, w których jednostka posiada zaangażowanie w kapitale</t>
  </si>
  <si>
    <t>Liabilities due to other parties,  in which the entity has a share in equity</t>
  </si>
  <si>
    <t>BZ_Pasywa_B_2_2</t>
  </si>
  <si>
    <t>BO_Pasywa_B_2_2</t>
  </si>
  <si>
    <t>P043302</t>
  </si>
  <si>
    <t>Wobec pozostałych jednostek</t>
  </si>
  <si>
    <t>Liabilities due to other parties</t>
  </si>
  <si>
    <t>BZ_Pasywa_B_2_3</t>
  </si>
  <si>
    <t>BO_Pasywa_B_2_3</t>
  </si>
  <si>
    <t>kredyty i pożyczki</t>
  </si>
  <si>
    <t>credits and loans</t>
  </si>
  <si>
    <t>BZ_Pasywa_B_2_3_A</t>
  </si>
  <si>
    <t>BO_Pasywa_B_2_3_A</t>
  </si>
  <si>
    <t>P0432021</t>
  </si>
  <si>
    <t>z tytułu emisji dłużnych papierów wartościowych</t>
  </si>
  <si>
    <t>debt securities</t>
  </si>
  <si>
    <t>BZ_Pasywa_B_2_3_B</t>
  </si>
  <si>
    <t>BO_Pasywa_B_2_3_B</t>
  </si>
  <si>
    <t>P0432022</t>
  </si>
  <si>
    <t>inne zobowiązania finansowe</t>
  </si>
  <si>
    <t>other financial liabilities</t>
  </si>
  <si>
    <t>BZ_Pasywa_B_2_3_C</t>
  </si>
  <si>
    <t>BO_Pasywa_B_2_3_C</t>
  </si>
  <si>
    <t>P0432023</t>
  </si>
  <si>
    <t>zobowiązania wekslowe</t>
  </si>
  <si>
    <t>bills of exchange</t>
  </si>
  <si>
    <t>BZ_Pasywa_B_2_3_D</t>
  </si>
  <si>
    <t>BO_Pasywa_B_2_3_D</t>
  </si>
  <si>
    <t xml:space="preserve">other </t>
  </si>
  <si>
    <t>BZ_Pasywa_B_2_3_E</t>
  </si>
  <si>
    <t>BO_Pasywa_B_2_3_E</t>
  </si>
  <si>
    <t>P0432024</t>
  </si>
  <si>
    <t>Short-term liabilities</t>
  </si>
  <si>
    <t>BZ_Pasywa_B_3</t>
  </si>
  <si>
    <t>BO_Pasywa_B_3</t>
  </si>
  <si>
    <t>Zobowiązania wobec jednostek powiązanych</t>
  </si>
  <si>
    <t>BZ_Pasywa_B_3_1</t>
  </si>
  <si>
    <t>BO_Pasywa_B_3_1</t>
  </si>
  <si>
    <t>z tytułu dostaw i usług, o okresie wymagalności:</t>
  </si>
  <si>
    <t>trade creditors, maturing:</t>
  </si>
  <si>
    <t>BZ_Pasywa_B_3_1_A</t>
  </si>
  <si>
    <t>BO_Pasywa_B_3_1_A</t>
  </si>
  <si>
    <t>- up to 12 months</t>
  </si>
  <si>
    <t>BZ_Pasywa_B_3_1_A_1</t>
  </si>
  <si>
    <t>BO_Pasywa_B_3_1_A_1</t>
  </si>
  <si>
    <t>P04330111</t>
  </si>
  <si>
    <t>- above 12 months</t>
  </si>
  <si>
    <t>BZ_Pasywa_B_3_1_A_2</t>
  </si>
  <si>
    <t>BO_Pasywa_B_3_1_A_2</t>
  </si>
  <si>
    <t>P04330112</t>
  </si>
  <si>
    <t>BZ_Pasywa_B_3_1_B</t>
  </si>
  <si>
    <t>BO_Pasywa_B_3_1_B</t>
  </si>
  <si>
    <t>P0433012</t>
  </si>
  <si>
    <t>Zobowiązania wobec pozostałych jednostek, w których jednostka posiada zaangażowanie w kapitale</t>
  </si>
  <si>
    <t>BZ_Pasywa_B_3_2</t>
  </si>
  <si>
    <t>BO_Pasywa_B_3_2</t>
  </si>
  <si>
    <t>BZ_Pasywa_B_3_2_A</t>
  </si>
  <si>
    <t>BO_Pasywa_B_3_2_A</t>
  </si>
  <si>
    <t>BZ_Pasywa_B_3_2_A_1</t>
  </si>
  <si>
    <t>BO_Pasywa_B_3_2_A_1</t>
  </si>
  <si>
    <t>BZ_Pasywa_B_3_2_A_2</t>
  </si>
  <si>
    <t>BO_Pasywa_B_3_2_A_2</t>
  </si>
  <si>
    <t>BZ_Pasywa_B_3_2_B</t>
  </si>
  <si>
    <t>BO_Pasywa_B_3_2_B</t>
  </si>
  <si>
    <t>Zobowiązania wobec pozostałych jednostek</t>
  </si>
  <si>
    <t>BZ_Pasywa_B_3_3</t>
  </si>
  <si>
    <t>BO_Pasywa_B_3_3</t>
  </si>
  <si>
    <t>BZ_Pasywa_B_3_3_A</t>
  </si>
  <si>
    <t>BO_Pasywa_B_3_3_A</t>
  </si>
  <si>
    <t>P0433021</t>
  </si>
  <si>
    <t>BZ_Pasywa_B_3_3_B</t>
  </si>
  <si>
    <t>BO_Pasywa_B_3_3_B</t>
  </si>
  <si>
    <t>P0433022</t>
  </si>
  <si>
    <t>BZ_Pasywa_B_3_3_C</t>
  </si>
  <si>
    <t>BO_Pasywa_B_3_3_C</t>
  </si>
  <si>
    <t>P0433023</t>
  </si>
  <si>
    <t>BZ_Pasywa_B_3_3_D</t>
  </si>
  <si>
    <t>BO_Pasywa_B_3_3_D</t>
  </si>
  <si>
    <t>BZ_Pasywa_B_3_3_D_1</t>
  </si>
  <si>
    <t>BO_Pasywa_B_3_3_D_1</t>
  </si>
  <si>
    <t>P04330241</t>
  </si>
  <si>
    <t>BZ_Pasywa_B_3_3_D_2</t>
  </si>
  <si>
    <t>BO_Pasywa_B_3_3_D_2</t>
  </si>
  <si>
    <t>P04330242</t>
  </si>
  <si>
    <t>zaliczki otrzymane na dostawy i usługi</t>
  </si>
  <si>
    <t>advance payments received</t>
  </si>
  <si>
    <t>BZ_Pasywa_B_3_3_E</t>
  </si>
  <si>
    <t>BO_Pasywa_B_3_3_E</t>
  </si>
  <si>
    <t>P0433025</t>
  </si>
  <si>
    <t>bills of exchange payable</t>
  </si>
  <si>
    <t>BZ_Pasywa_B_3_3_F</t>
  </si>
  <si>
    <t>BO_Pasywa_B_3_3_F</t>
  </si>
  <si>
    <t>P0433026</t>
  </si>
  <si>
    <t>z tytułu podatków, ceł, ubezpieczeń społecznych i zdrowotnych oraz innych tytułów publicznoprawnych</t>
  </si>
  <si>
    <r>
      <t xml:space="preserve">taxation, custom duties, social security creditors </t>
    </r>
    <r>
      <rPr>
        <sz val="10"/>
        <rFont val="Times New Roman"/>
        <family val="1"/>
        <charset val="238"/>
      </rPr>
      <t>and other public charges</t>
    </r>
  </si>
  <si>
    <t>BZ_Pasywa_B_3_3_G</t>
  </si>
  <si>
    <t>BO_Pasywa_B_3_3_G</t>
  </si>
  <si>
    <t>P0433027</t>
  </si>
  <si>
    <t>z tytułu wynagrodzeń</t>
  </si>
  <si>
    <t>payroll creditors</t>
  </si>
  <si>
    <t>BZ_Pasywa_B_3_3_H</t>
  </si>
  <si>
    <t>BO_Pasywa_B_3_3_H</t>
  </si>
  <si>
    <t>P0433028</t>
  </si>
  <si>
    <t>BZ_Pasywa_B_3_3_I</t>
  </si>
  <si>
    <t>BO_Pasywa_B_3_3_I</t>
  </si>
  <si>
    <t>P0433029</t>
  </si>
  <si>
    <t>Fundusze specjalne</t>
  </si>
  <si>
    <t>Special funds</t>
  </si>
  <si>
    <t>BZ_Pasywa_B_3_4</t>
  </si>
  <si>
    <t>BO_Pasywa_B_3_4</t>
  </si>
  <si>
    <t>P043303</t>
  </si>
  <si>
    <t>Rozliczenia międzyokresowe</t>
  </si>
  <si>
    <t>Accruals and deferred revenue</t>
  </si>
  <si>
    <t>BZ_Pasywa_B_4</t>
  </si>
  <si>
    <t>BO_Pasywa_B_4</t>
  </si>
  <si>
    <t>Ujemna wartość firmy</t>
  </si>
  <si>
    <t>Negative goodwill</t>
  </si>
  <si>
    <t>BZ_Pasywa_B_4_1</t>
  </si>
  <si>
    <t>BO_Pasywa_B_4_1</t>
  </si>
  <si>
    <t>P043401</t>
  </si>
  <si>
    <t>Other accruals and deferred revenue</t>
  </si>
  <si>
    <t>BZ_Pasywa_B_4_2</t>
  </si>
  <si>
    <t>BO_Pasywa_B_4_2</t>
  </si>
  <si>
    <t>BZ_Pasywa_B_4_2_1</t>
  </si>
  <si>
    <t>BO_Pasywa_B_4_2_1</t>
  </si>
  <si>
    <t>P0434021</t>
  </si>
  <si>
    <t>BZ_Pasywa_B_4_2_2</t>
  </si>
  <si>
    <t>BO_Pasywa_B_4_2_2</t>
  </si>
  <si>
    <t>P0434022</t>
  </si>
  <si>
    <t>PASYWA RAZEM</t>
  </si>
  <si>
    <t>TOTAL EQUITY AND LIABILITIES</t>
  </si>
  <si>
    <t>BZ_Pasywa</t>
  </si>
  <si>
    <t>BO_Pasywa</t>
  </si>
  <si>
    <t>Rachunek zysków i strat</t>
  </si>
  <si>
    <t>Income Statement</t>
  </si>
  <si>
    <t>Przychody netto ze sprzedaży i zrównane z nimi, w tym:</t>
  </si>
  <si>
    <t>Net sale revenue and net sale revenue equivalents, including:</t>
  </si>
  <si>
    <t>BZ_RZiSPOR_A</t>
  </si>
  <si>
    <t>BO_RZiSPOR_A</t>
  </si>
  <si>
    <t>-od jednostek powiązanych</t>
  </si>
  <si>
    <t>- from related parties</t>
  </si>
  <si>
    <t>BZ_RZiSPOR_A_J</t>
  </si>
  <si>
    <t>BO_RZiSPOR_A_J</t>
  </si>
  <si>
    <t>Przychody netto ze sprzedaży produktów</t>
  </si>
  <si>
    <t>Net revenue from sale of finished products</t>
  </si>
  <si>
    <t>BZ_RZiSPOR_A_1</t>
  </si>
  <si>
    <t>BO_RZiSPOR_A_1</t>
  </si>
  <si>
    <t>RC1512</t>
  </si>
  <si>
    <t>Zmiana stanu produktów</t>
  </si>
  <si>
    <t>Change in inventory position</t>
  </si>
  <si>
    <t>BZ_RZiSPOR_A_2</t>
  </si>
  <si>
    <t>BO_RZiSPOR_A_2</t>
  </si>
  <si>
    <t>Koszt wytworzenia produktów na własne potrzeby jednostki</t>
  </si>
  <si>
    <t>Cost of products produced for own needs</t>
  </si>
  <si>
    <t>BZ_RZiSPOR_A_3</t>
  </si>
  <si>
    <t>BO_RZiSPOR_A_3</t>
  </si>
  <si>
    <t>Przychody netto ze sprzedaży towarów i materiałów</t>
  </si>
  <si>
    <t>Net revenue from sale of merchandise and raw materials</t>
  </si>
  <si>
    <t>BZ_RZiSPOR_A_4</t>
  </si>
  <si>
    <t>BO_RZiSPOR_A_4</t>
  </si>
  <si>
    <t>RC1515</t>
  </si>
  <si>
    <t>Koszty działalności operacyjnej</t>
  </si>
  <si>
    <t>Operating expenses</t>
  </si>
  <si>
    <t>BZ_RZiSPOR_B</t>
  </si>
  <si>
    <t>BO_RZiSPOR_B</t>
  </si>
  <si>
    <t>Amortyzacja</t>
  </si>
  <si>
    <t>Depreciation</t>
  </si>
  <si>
    <t>BZ_RZiSPOR_B_1</t>
  </si>
  <si>
    <t>BO_RZiSPOR_B_1</t>
  </si>
  <si>
    <t>RC3411</t>
  </si>
  <si>
    <t>Zużycie materiałów i energii</t>
  </si>
  <si>
    <t>Materials and energy</t>
  </si>
  <si>
    <t>BZ_RZiSPOR_B_2</t>
  </si>
  <si>
    <t>BO_RZiSPOR_B_2</t>
  </si>
  <si>
    <t>RC3412</t>
  </si>
  <si>
    <t>Usługi obce</t>
  </si>
  <si>
    <t>External services</t>
  </si>
  <si>
    <t>BZ_RZiSPOR_B_3</t>
  </si>
  <si>
    <t>BO_RZiSPOR_B_3</t>
  </si>
  <si>
    <t>RC3413</t>
  </si>
  <si>
    <t>Podatki i opłaty, w tym:</t>
  </si>
  <si>
    <t>Taxes and charges, including:</t>
  </si>
  <si>
    <t>BZ_RZiSPOR_B_4</t>
  </si>
  <si>
    <t>BO_RZiSPOR_B_4</t>
  </si>
  <si>
    <t>RC3414</t>
  </si>
  <si>
    <t>- podatek akcyzowy</t>
  </si>
  <si>
    <t>- excise tax</t>
  </si>
  <si>
    <t>BZ_RZiSPOR_B_4_1</t>
  </si>
  <si>
    <t>BO_RZiSPOR_B_4_1</t>
  </si>
  <si>
    <t>RC34141</t>
  </si>
  <si>
    <t>Wynagrodzenia</t>
  </si>
  <si>
    <t>Payroll</t>
  </si>
  <si>
    <t>BZ_RZiSPOR_B_5</t>
  </si>
  <si>
    <t>BO_RZiSPOR_B_5</t>
  </si>
  <si>
    <t>RC3415</t>
  </si>
  <si>
    <t>Ubezpieczenia społeczne i inne świadczenia, w tym:</t>
  </si>
  <si>
    <r>
      <t>Social security and other benefits,</t>
    </r>
    <r>
      <rPr>
        <sz val="10"/>
        <rFont val="Times New Roman"/>
        <family val="1"/>
        <charset val="238"/>
      </rPr>
      <t xml:space="preserve"> including:</t>
    </r>
  </si>
  <si>
    <t>BZ_RZiSPOR_B_6</t>
  </si>
  <si>
    <t>BO_RZiSPOR_B_6</t>
  </si>
  <si>
    <t>RC3416</t>
  </si>
  <si>
    <t>- emerytalne</t>
  </si>
  <si>
    <t>- retirement</t>
  </si>
  <si>
    <t>BZ_RZiSPOR_B_6_1</t>
  </si>
  <si>
    <t>BO_RZiSPOR_B_6_1</t>
  </si>
  <si>
    <t>Pozostałe koszty rodzajowe</t>
  </si>
  <si>
    <t>Other expenditures by kind</t>
  </si>
  <si>
    <t>BZ_RZiSPOR_B_7</t>
  </si>
  <si>
    <t>BO_RZiSPOR_B_7</t>
  </si>
  <si>
    <t>RC3417</t>
  </si>
  <si>
    <t>Wartość sprzedanych towarów i materiałów</t>
  </si>
  <si>
    <t xml:space="preserve">Cost of merchandise and raw materials sold </t>
  </si>
  <si>
    <t>BZ_RZiSPOR_B_8</t>
  </si>
  <si>
    <t>BO_RZiSPOR_B_8</t>
  </si>
  <si>
    <t>RC3418</t>
  </si>
  <si>
    <t>Zysk (Strata) ze sprzedaży</t>
  </si>
  <si>
    <t>Gross profit (loss)</t>
  </si>
  <si>
    <t>BZ_RZiSPOR_C</t>
  </si>
  <si>
    <t>BO_RZiSPOR_C</t>
  </si>
  <si>
    <t>Pozostałe przychody operacyjne</t>
  </si>
  <si>
    <t>Other operating revenue</t>
  </si>
  <si>
    <t>BZ_RZiSPOR_D</t>
  </si>
  <si>
    <t>BO_RZiSPOR_D</t>
  </si>
  <si>
    <t>Zysk z tytułu rozchodu niefinansowych aktywów trwałych</t>
  </si>
  <si>
    <t>Profit on disposal of non-financial fixed assets</t>
  </si>
  <si>
    <t>BZ_RZiSPOR_D_1</t>
  </si>
  <si>
    <t>BO_RZiSPOR_D_1</t>
  </si>
  <si>
    <t>RF1521</t>
  </si>
  <si>
    <t>Dotacje</t>
  </si>
  <si>
    <t>Donations</t>
  </si>
  <si>
    <t>BZ_RZiSPOR_D_2</t>
  </si>
  <si>
    <t>BO_RZiSPOR_D_2</t>
  </si>
  <si>
    <t>RF1522</t>
  </si>
  <si>
    <t>Aktualizacja wartości aktywów niefinansowych</t>
  </si>
  <si>
    <t>Revaluation of non-financial assets</t>
  </si>
  <si>
    <t>BZ_RZiSPOR_D_3</t>
  </si>
  <si>
    <t>BO_RZiSPOR_D_3</t>
  </si>
  <si>
    <t>Inne przychody operacyjne</t>
  </si>
  <si>
    <t>BZ_RZiSPOR_D_4</t>
  </si>
  <si>
    <t>BO_RZiSPOR_D_4</t>
  </si>
  <si>
    <t>RF1523</t>
  </si>
  <si>
    <t>Pozostałe koszty operacyjne</t>
  </si>
  <si>
    <t>Other operating expenses</t>
  </si>
  <si>
    <t>BZ_RZiSPOR_E</t>
  </si>
  <si>
    <t>BO_RZiSPOR_E</t>
  </si>
  <si>
    <t>Strata z tytułu rozchodu niefinansowych aktywów trwałych</t>
  </si>
  <si>
    <t>Loss on disposal of non-financial fixed assets</t>
  </si>
  <si>
    <t>BZ_RZiSPOR_E_1</t>
  </si>
  <si>
    <t>BO_RZiSPOR_E_1</t>
  </si>
  <si>
    <t>RF3421</t>
  </si>
  <si>
    <t>BZ_RZiSPOR_E_2</t>
  </si>
  <si>
    <t>BO_RZiSPOR_E_2</t>
  </si>
  <si>
    <t>RF3422</t>
  </si>
  <si>
    <t>Inne koszty operacyjne</t>
  </si>
  <si>
    <t>Other operating costs</t>
  </si>
  <si>
    <t>BZ_RZiSPOR_E_3</t>
  </si>
  <si>
    <t>BO_RZiSPOR_E_3</t>
  </si>
  <si>
    <t>RF3423</t>
  </si>
  <si>
    <t>Zysk (Strata) z działalności operacyjnej</t>
  </si>
  <si>
    <t>Operating profit (loss)</t>
  </si>
  <si>
    <t>BZ_RZiSPOR_F</t>
  </si>
  <si>
    <t>BO_RZiSPOR_F</t>
  </si>
  <si>
    <t>Przychody finansowe</t>
  </si>
  <si>
    <t>Financial revenue</t>
  </si>
  <si>
    <t>BZ_RZiSPOR_G</t>
  </si>
  <si>
    <t>BO_RZiSPOR_G</t>
  </si>
  <si>
    <t>Dywidendy i udziały w zyskach, w tym:</t>
  </si>
  <si>
    <t>Dividends received and share in profits, including:</t>
  </si>
  <si>
    <t>BZ_RZiSPOR_G_1</t>
  </si>
  <si>
    <t>BO_RZiSPOR_G_1</t>
  </si>
  <si>
    <t>RI1531</t>
  </si>
  <si>
    <t>od jednostek powiązanych, w tym:</t>
  </si>
  <si>
    <t xml:space="preserve"> from related parties, including:</t>
  </si>
  <si>
    <t>BZ_RZiSPOR_G_1_A</t>
  </si>
  <si>
    <t>BO_RZiSPOR_G_1_A</t>
  </si>
  <si>
    <t>RI15311</t>
  </si>
  <si>
    <t>- w których jednostka posiada zaangażowanie w kapitale</t>
  </si>
  <si>
    <t>- in which the entity has a share in equity</t>
  </si>
  <si>
    <t>BZ_RZiSPOR_G_1_A_1</t>
  </si>
  <si>
    <t>BO_RZiSPOR_G_1_A_1</t>
  </si>
  <si>
    <t>od jednostek pozostałych, w tym:</t>
  </si>
  <si>
    <t>from other parties, including:</t>
  </si>
  <si>
    <t>BZ_RZiSPOR_G_1_B</t>
  </si>
  <si>
    <t>BO_RZiSPOR_G_1_B</t>
  </si>
  <si>
    <t>BZ_RZiSPOR_G_1_B_1</t>
  </si>
  <si>
    <t>BO_RZiSPOR_G_1_B_1</t>
  </si>
  <si>
    <t>Odsetki, w tym:</t>
  </si>
  <si>
    <t>Interest, including:</t>
  </si>
  <si>
    <t>BZ_RZiSPOR_G_2</t>
  </si>
  <si>
    <t>BO_RZiSPOR_G_2</t>
  </si>
  <si>
    <t>RI1532</t>
  </si>
  <si>
    <t>- od jednostek powiązanych</t>
  </si>
  <si>
    <t>BZ_RZiSPOR_G_2_J</t>
  </si>
  <si>
    <t>BO_RZiSPOR_G_2_J</t>
  </si>
  <si>
    <t>RI15321</t>
  </si>
  <si>
    <t>Zysk z tytułu rozchodu aktywów finansowych, w tym:</t>
  </si>
  <si>
    <t>Profit on disposal of financial assets, including:</t>
  </si>
  <si>
    <t>BZ_RZiSPOR_G_3</t>
  </si>
  <si>
    <t>BO_RZiSPOR_G_3</t>
  </si>
  <si>
    <t>RI1533</t>
  </si>
  <si>
    <t>- w jednostkach powiązanych</t>
  </si>
  <si>
    <t>BZ_RZiSPOR_G_3_J</t>
  </si>
  <si>
    <t>BO_RZiSPOR_G_3_J</t>
  </si>
  <si>
    <t>Aktualizacja wartości aktywów finansowych</t>
  </si>
  <si>
    <t>Revaluation of investments</t>
  </si>
  <si>
    <t>BZ_RZiSPOR_G_4</t>
  </si>
  <si>
    <t>BO_RZiSPOR_G_4</t>
  </si>
  <si>
    <t>RI1534</t>
  </si>
  <si>
    <t>BZ_RZiSPOR_G_5</t>
  </si>
  <si>
    <t>BO_RZiSPOR_G_5</t>
  </si>
  <si>
    <t>RI1535</t>
  </si>
  <si>
    <t>Koszty finansowe</t>
  </si>
  <si>
    <t>Financial expenses</t>
  </si>
  <si>
    <t>BZ_RZiSPOR_H</t>
  </si>
  <si>
    <t>BO_RZiSPOR_H</t>
  </si>
  <si>
    <t>BZ_RZiSPOR_H_1</t>
  </si>
  <si>
    <t>BO_RZiSPOR_H_1</t>
  </si>
  <si>
    <t>RI3431</t>
  </si>
  <si>
    <t>- dla jednostek powiązanych</t>
  </si>
  <si>
    <t>BZ_RZiSPOR_H_1_J</t>
  </si>
  <si>
    <t>BO_RZiSPOR_H_1_J</t>
  </si>
  <si>
    <t>RI34311</t>
  </si>
  <si>
    <t>Strata z tytułu rozchodu aktywów finansowych, w tym:</t>
  </si>
  <si>
    <t>Loss on disposal of financial assets, including:</t>
  </si>
  <si>
    <t>BZ_RZiSPOR_H_2</t>
  </si>
  <si>
    <t>BO_RZiSPOR_H_2</t>
  </si>
  <si>
    <t>RI3432</t>
  </si>
  <si>
    <t>BZ_RZiSPOR_H_2_J</t>
  </si>
  <si>
    <t>BO_RZiSPOR_H_2_J</t>
  </si>
  <si>
    <t>BZ_RZiSPOR_H_3</t>
  </si>
  <si>
    <t>BO_RZiSPOR_H_3</t>
  </si>
  <si>
    <t>RI3433</t>
  </si>
  <si>
    <t>BZ_RZiSPOR_H_4</t>
  </si>
  <si>
    <t>BO_RZiSPOR_H_4</t>
  </si>
  <si>
    <t>RI3434</t>
  </si>
  <si>
    <t>Zysk (Strata) brutto</t>
  </si>
  <si>
    <t>Profit (loss) before taxation</t>
  </si>
  <si>
    <t>BZ_RZiSPOR_I</t>
  </si>
  <si>
    <t>BO_RZiSPOR_I</t>
  </si>
  <si>
    <t>Corporate income tax</t>
  </si>
  <si>
    <t>BZ_RZiSPOR_J</t>
  </si>
  <si>
    <t>BO_RZiSPOR_J</t>
  </si>
  <si>
    <t>RN1</t>
  </si>
  <si>
    <t>Pozostałe obowiązkowe zmniejszenia zysku (zwiększenia straty)</t>
  </si>
  <si>
    <t>Other obligatory charges decreasing the profit (increasing the loss)</t>
  </si>
  <si>
    <t>BZ_RZiSPOR_K</t>
  </si>
  <si>
    <t>BO_RZiSPOR_K</t>
  </si>
  <si>
    <t>Zysk (Strata) netto</t>
  </si>
  <si>
    <t>BZ_RZiSPOR_L</t>
  </si>
  <si>
    <t>BO_RZiSPOR_L</t>
  </si>
  <si>
    <t>x</t>
  </si>
  <si>
    <t>Przychody netto ze sprzedaży produktów, towarów i materiałów, w tym:</t>
  </si>
  <si>
    <t>Net revenues from sales of products, merchandise and raw materials, including:</t>
  </si>
  <si>
    <t>BZ_RZISKALK_A</t>
  </si>
  <si>
    <t>BO_RZISKALK_A</t>
  </si>
  <si>
    <t>BZ_RZISKALK_A_J</t>
  </si>
  <si>
    <t>BO_RZISKALK_A_J</t>
  </si>
  <si>
    <t>Net revenues from sales of products</t>
  </si>
  <si>
    <t>BZ_RZISKALK_A_1</t>
  </si>
  <si>
    <t>BO_RZISKALK_A_1</t>
  </si>
  <si>
    <t>Net revenues from sales of merchandise and materials</t>
  </si>
  <si>
    <t>BZ_RZISKALK_A_2</t>
  </si>
  <si>
    <t>BO_RZISKALK_A_2</t>
  </si>
  <si>
    <t>Koszty sprzedanych produktów, towarów i materiałów, w tym:</t>
  </si>
  <si>
    <t>Cost of products, merchandise and raw materials sold, including:</t>
  </si>
  <si>
    <t>BZ_RZISKALK_B</t>
  </si>
  <si>
    <t>BO_RZISKALK_B</t>
  </si>
  <si>
    <t>-jednostkom powiązanym</t>
  </si>
  <si>
    <t>- to related parties</t>
  </si>
  <si>
    <t>BZ_RZISKALK_B_J</t>
  </si>
  <si>
    <t>BO_RZISKALK_B_J</t>
  </si>
  <si>
    <t>Koszt wytworzenia sprzedanych produktów</t>
  </si>
  <si>
    <t>Manufacturing cost of products sold</t>
  </si>
  <si>
    <t>BZ_RZISKALK_B_1</t>
  </si>
  <si>
    <t>BO_RZISKALK_B_1</t>
  </si>
  <si>
    <t>BZ_RZISKALK_B_2</t>
  </si>
  <si>
    <t>BO_RZISKALK_B_2</t>
  </si>
  <si>
    <t xml:space="preserve">Zysk (strata) brutto ze sprzedaży </t>
  </si>
  <si>
    <t>BZ_RZISKALK_C</t>
  </si>
  <si>
    <t>BO_RZISKALK_C</t>
  </si>
  <si>
    <t>Koszty sprzedaży</t>
  </si>
  <si>
    <t>Selling costs</t>
  </si>
  <si>
    <t>BZ_RZISKALK_D</t>
  </si>
  <si>
    <t>BO_RZISKALK_D</t>
  </si>
  <si>
    <t>Koszty ogólnego zarządu</t>
  </si>
  <si>
    <t>General and administrative costs</t>
  </si>
  <si>
    <t>BZ_RZISKALK_E</t>
  </si>
  <si>
    <t>BO_RZISKALK_E</t>
  </si>
  <si>
    <t xml:space="preserve">Zysk (strata) ze sprzedaży </t>
  </si>
  <si>
    <t>Profit (loss) on sales</t>
  </si>
  <si>
    <t>BZ_RZISKALK_F</t>
  </si>
  <si>
    <t>BO_RZISKALK_F</t>
  </si>
  <si>
    <t>BZ_RZISKALK_G</t>
  </si>
  <si>
    <t>BO_RZISKALK_G</t>
  </si>
  <si>
    <t>BZ_RZISKALK_G_1</t>
  </si>
  <si>
    <t>BO_RZISKALK_G_1</t>
  </si>
  <si>
    <t>BZ_RZISKALK_G_2</t>
  </si>
  <si>
    <t>BO_RZISKALK_G_2</t>
  </si>
  <si>
    <t>BZ_RZISKALK_G_3</t>
  </si>
  <si>
    <t>BO_RZISKALK_G_3</t>
  </si>
  <si>
    <t>BZ_RZISKALK_G_4</t>
  </si>
  <si>
    <t>BO_RZISKALK_G_4</t>
  </si>
  <si>
    <t>BZ_RZISKALK_H</t>
  </si>
  <si>
    <t>BO_RZISKALK_H</t>
  </si>
  <si>
    <t>BZ_RZISKALK_H_1</t>
  </si>
  <si>
    <t>BO_RZISKALK_H_1</t>
  </si>
  <si>
    <t>BZ_RZISKALK_H_2</t>
  </si>
  <si>
    <t>BO_RZISKALK_H_2</t>
  </si>
  <si>
    <t>BZ_RZISKALK_H_3</t>
  </si>
  <si>
    <t>BO_RZISKALK_H_3</t>
  </si>
  <si>
    <t>Zysk (strata) z działalnosci operacyjnej</t>
  </si>
  <si>
    <t>BZ_RZISKALK_I</t>
  </si>
  <si>
    <t>BO_RZISKALK_I</t>
  </si>
  <si>
    <t>BZ_RZISKALK_J</t>
  </si>
  <si>
    <t>BO_RZISKALK_J</t>
  </si>
  <si>
    <t>Dividends received and share in profits including:</t>
  </si>
  <si>
    <t>BZ_RZISKALK_J_1</t>
  </si>
  <si>
    <t>BO_RZISKALK_J_1</t>
  </si>
  <si>
    <t>od jednostek powiązanych</t>
  </si>
  <si>
    <t>BZ_RZISKALK_J_1_A</t>
  </si>
  <si>
    <t>BO_RZISKALK_J_1_A</t>
  </si>
  <si>
    <t>BZ_RZISKALK_J_1_A_1</t>
  </si>
  <si>
    <t>BO_RZISKALK_J_1_A_1</t>
  </si>
  <si>
    <t>BZ_RZISKALK_J_1_B</t>
  </si>
  <si>
    <t>BO_RZISKALK_J_1_B</t>
  </si>
  <si>
    <t>BZ_RZISKALK_J_1_B_1</t>
  </si>
  <si>
    <t>BO_RZISKALK_J_1_B_1</t>
  </si>
  <si>
    <t>BZ_RZISKALK_J_2</t>
  </si>
  <si>
    <t>BO_RZISKALK_J_2</t>
  </si>
  <si>
    <t>BZ_RZISKALK_J_2_J</t>
  </si>
  <si>
    <t>BO_RZISKALK_J_2_J</t>
  </si>
  <si>
    <r>
      <t xml:space="preserve">Zysk </t>
    </r>
    <r>
      <rPr>
        <sz val="10"/>
        <color rgb="FF000000"/>
        <rFont val="Times New Roman"/>
        <family val="1"/>
        <charset val="238"/>
      </rPr>
      <t>z tytułu rozchodu aktywów finansowych, w tym:</t>
    </r>
  </si>
  <si>
    <r>
      <t xml:space="preserve">Profit on disposal of financial assets, </t>
    </r>
    <r>
      <rPr>
        <sz val="10"/>
        <color rgb="FF000000"/>
        <rFont val="Times New Roman"/>
        <family val="1"/>
        <charset val="238"/>
      </rPr>
      <t>including:</t>
    </r>
  </si>
  <si>
    <t>BZ_RZISKALK_J_3</t>
  </si>
  <si>
    <t>BO_RZISKALK_J_3</t>
  </si>
  <si>
    <t>BZ_RZISKALK_J_3_J</t>
  </si>
  <si>
    <t>BO_RZISKALK_J_3_J</t>
  </si>
  <si>
    <t>Revaluation of finanacial assets</t>
  </si>
  <si>
    <t>BZ_RZISKALK_J_4</t>
  </si>
  <si>
    <t>BO_RZISKALK_J_4</t>
  </si>
  <si>
    <t>BZ_RZISKALK_J_5</t>
  </si>
  <si>
    <t>BO_RZISKALK_J_5</t>
  </si>
  <si>
    <t>BZ_RZISKALK_K</t>
  </si>
  <si>
    <t>BO_RZISKALK_K</t>
  </si>
  <si>
    <t>BZ_RZISKALK_K_1</t>
  </si>
  <si>
    <t>BO_RZISKALK_K_1</t>
  </si>
  <si>
    <t>BZ_RZISKALK_K_1_J</t>
  </si>
  <si>
    <t>BO_RZISKALK_K_1_J</t>
  </si>
  <si>
    <r>
      <t xml:space="preserve">Strata </t>
    </r>
    <r>
      <rPr>
        <sz val="10"/>
        <color rgb="FF000000"/>
        <rFont val="Times New Roman"/>
        <family val="1"/>
        <charset val="238"/>
      </rPr>
      <t>z tytułu rozchodu aktywów finansowych, w tym:</t>
    </r>
  </si>
  <si>
    <r>
      <t xml:space="preserve">Loss on disposal of financial assets, </t>
    </r>
    <r>
      <rPr>
        <sz val="10"/>
        <color rgb="FF000000"/>
        <rFont val="Times New Roman"/>
        <family val="1"/>
        <charset val="238"/>
      </rPr>
      <t>including:</t>
    </r>
  </si>
  <si>
    <t>BZ_RZISKALK_K_2</t>
  </si>
  <si>
    <t>BO_RZISKALK_K_2</t>
  </si>
  <si>
    <t>BZ_RZISKALK_K_2_J</t>
  </si>
  <si>
    <t>BO_RZISKALK_K_2_J</t>
  </si>
  <si>
    <t>Revaluation of financial assets</t>
  </si>
  <si>
    <t>BZ_RZISKALK_K_3</t>
  </si>
  <si>
    <t>BO_RZISKALK_K_3</t>
  </si>
  <si>
    <t>BZ_RZISKALK_K_4</t>
  </si>
  <si>
    <t>BO_RZISKALK_K_4</t>
  </si>
  <si>
    <t>BZ_RZISKALK_L</t>
  </si>
  <si>
    <t>BO_RZISKALK_L</t>
  </si>
  <si>
    <t>BZ_RZISKALK_M</t>
  </si>
  <si>
    <t>BO_RZISKALK_M</t>
  </si>
  <si>
    <t>Other obligatory charges decreasing the profit/increasing the loss</t>
  </si>
  <si>
    <t>BZ_RZISKALK_N</t>
  </si>
  <si>
    <t>BO_RZISKALK_N</t>
  </si>
  <si>
    <t>BZ_RZISKALK_O</t>
  </si>
  <si>
    <t>BO_RZISKALK_O</t>
  </si>
  <si>
    <t xml:space="preserve">Zestawienie zmian w kapitale własnym </t>
  </si>
  <si>
    <t>Statement of changes in equity</t>
  </si>
  <si>
    <t>Kapitał (fundusz) własny na początek okresu (BO)</t>
  </si>
  <si>
    <t>Equity at the beginning of the period</t>
  </si>
  <si>
    <t>BZ_Kapital_1</t>
  </si>
  <si>
    <t>BO_Kapital_1</t>
  </si>
  <si>
    <t>-zmiany przyjętych zasad rachunkowości</t>
  </si>
  <si>
    <t>- effect of changes in accounting policy</t>
  </si>
  <si>
    <t>BZ_Kapital_1_1</t>
  </si>
  <si>
    <t>BO_Kapital_1_1</t>
  </si>
  <si>
    <t>-korekty błędów</t>
  </si>
  <si>
    <t>- correction of errors</t>
  </si>
  <si>
    <t>BZ_Kapital_1_2</t>
  </si>
  <si>
    <t>BO_Kapital_1_2</t>
  </si>
  <si>
    <t>Kapitał (fundusz) własny na początek okresu (BO), po korektach</t>
  </si>
  <si>
    <t>Revised equity at the beginning of the period</t>
  </si>
  <si>
    <t>BZ_Kapital_1A</t>
  </si>
  <si>
    <t>BO_Kapital_1A</t>
  </si>
  <si>
    <t>Kapitał (fundusz) podstawowy na początek okresu</t>
  </si>
  <si>
    <t>Share capital at the beginning of the period</t>
  </si>
  <si>
    <t>BZ_Kapital_1A_1</t>
  </si>
  <si>
    <t>BO_Kapital_1A_1</t>
  </si>
  <si>
    <t>Zmiany kapitału (funduszu) podstawowego</t>
  </si>
  <si>
    <t>Changes in share capital</t>
  </si>
  <si>
    <t>BZ_Kapital_1A_1_1</t>
  </si>
  <si>
    <t>BO_Kapital_1A_1_1</t>
  </si>
  <si>
    <t>zwiększenia (z tytułu)</t>
  </si>
  <si>
    <t>additions (relating to)</t>
  </si>
  <si>
    <t>BZ_Kapital_1A_1_1_A</t>
  </si>
  <si>
    <t>BO_Kapital_1A_1_1_A</t>
  </si>
  <si>
    <t>- wydania udziałów (emisji akcji)</t>
  </si>
  <si>
    <t>- share issue</t>
  </si>
  <si>
    <t>BZ_Kapital_1A_1_1_A_1</t>
  </si>
  <si>
    <t>BO_Kapital_1A_1_1_A_1</t>
  </si>
  <si>
    <t>zmniejszenia (z tytułu)</t>
  </si>
  <si>
    <t>disposals (relating to)</t>
  </si>
  <si>
    <t>BZ_Kapital_1A_1_1_B</t>
  </si>
  <si>
    <t>BO_Kapital_1A_1_1_B</t>
  </si>
  <si>
    <t>- umorzenia udziałów (akcji)</t>
  </si>
  <si>
    <t>- redemption of shares</t>
  </si>
  <si>
    <t>BZ_Kapital_1A_1_1_B_1</t>
  </si>
  <si>
    <t>BO_Kapital_1A_1_1_B_1</t>
  </si>
  <si>
    <t>Kapitał (fundusz) podstawowy na koniec okresu</t>
  </si>
  <si>
    <t>Share capital at the end of the period</t>
  </si>
  <si>
    <t>BZ_Kapital_1A_1_2</t>
  </si>
  <si>
    <t>BO_Kapital_1A_1_2</t>
  </si>
  <si>
    <t>Kapitał (fundusz) zapasowy na początek okresu</t>
  </si>
  <si>
    <t>Supplementary capital at the beginning of the period</t>
  </si>
  <si>
    <t>BZ_Kapital_1A_2</t>
  </si>
  <si>
    <t>BO_Kapital_1A_2</t>
  </si>
  <si>
    <t>Zmiany kapitału (funduszu) zapasowego</t>
  </si>
  <si>
    <t>Changes in supplementary capital</t>
  </si>
  <si>
    <t>BZ_Kapital_1A_2_1</t>
  </si>
  <si>
    <t>BO_Kapital_1A_2_1</t>
  </si>
  <si>
    <t>BZ_Kapital_1A_2_1_A</t>
  </si>
  <si>
    <t>BO_Kapital_1A_2_1_A</t>
  </si>
  <si>
    <t>- emisji akcji powyżej wartości nominalnej</t>
  </si>
  <si>
    <t>- shares issued above nominal value</t>
  </si>
  <si>
    <t>BZ_Kapital_1A_2_1_A_1</t>
  </si>
  <si>
    <t>BO_Kapital_1A_2_1_A_1</t>
  </si>
  <si>
    <t>- podziału zysku (ustawowo)</t>
  </si>
  <si>
    <t>- profit distribution (statutory)</t>
  </si>
  <si>
    <t>BZ_Kapital_1A_2_1_A_2</t>
  </si>
  <si>
    <t>BO_Kapital_1A_2_1_A_2</t>
  </si>
  <si>
    <t>- podziału zysku (ponad wymaganą ustawowo minimalną wartość)</t>
  </si>
  <si>
    <t>- profit distribution  (above the minimum statutory value)</t>
  </si>
  <si>
    <t>BZ_Kapital_1A_2_1_A_3</t>
  </si>
  <si>
    <t>BO_Kapital_1A_2_1_A_3</t>
  </si>
  <si>
    <t>BZ_Kapital_1A_2_1_B</t>
  </si>
  <si>
    <t>BO_Kapital_1A_2_1_B</t>
  </si>
  <si>
    <t>- pokrycia straty</t>
  </si>
  <si>
    <t>- loss coverage</t>
  </si>
  <si>
    <t>BZ_Kapital_1A_2_1_B_1</t>
  </si>
  <si>
    <t>BO_Kapital_1A_2_1_B_1</t>
  </si>
  <si>
    <t>Stan kapitału (funduszu) zapasowego na koniec okresu</t>
  </si>
  <si>
    <t>Supplementary capital at the end of the period</t>
  </si>
  <si>
    <t>BZ_Kapital_1A_2_2</t>
  </si>
  <si>
    <t>BO_Kapital_1A_2_2</t>
  </si>
  <si>
    <t>Kapitał (fundusz) z aktualizacji wyceny na początek okresu – zmiany przyjętych zasad (polityki) rachunkowości</t>
  </si>
  <si>
    <t>Revaluation reserve at the beginning of the period</t>
  </si>
  <si>
    <t>BZ_Kapital_1A_3</t>
  </si>
  <si>
    <t>BO_Kapital_1A_3</t>
  </si>
  <si>
    <t>Zmiany kapitału (funduszu) z aktualizacji wyceny</t>
  </si>
  <si>
    <t>Changes in revaluation reserve</t>
  </si>
  <si>
    <t>BZ_Kapital_1A_3_1</t>
  </si>
  <si>
    <t>BO_Kapital_1A_3_1</t>
  </si>
  <si>
    <t>zwiększenie (z tytułu)</t>
  </si>
  <si>
    <t>BZ_Kapital_1A_3_1_A</t>
  </si>
  <si>
    <t>BO_Kapital_1A_3_1_A</t>
  </si>
  <si>
    <t>zmniejszenie (z tytułu)</t>
  </si>
  <si>
    <t>BZ_Kapital_1A_3_1_B</t>
  </si>
  <si>
    <t>BO_Kapital_1A_3_1_B</t>
  </si>
  <si>
    <t>- zbycia środków trwałych</t>
  </si>
  <si>
    <t>- disposal of fixed assets</t>
  </si>
  <si>
    <t>BZ_Kapital_1A_3_1_B_1</t>
  </si>
  <si>
    <t>BO_Kapital_1A_3_1_B_1</t>
  </si>
  <si>
    <t>Kapitał (fundusz) z aktualizacji wyceny na koniec okresu</t>
  </si>
  <si>
    <t>Revaluation reserve at the end of the period</t>
  </si>
  <si>
    <t>BZ_Kapital_1A_3_2</t>
  </si>
  <si>
    <t>BO_Kapital_1A_3_2</t>
  </si>
  <si>
    <t>Pozostałe kapitały (fundusze) rezerwowe na początek okresu</t>
  </si>
  <si>
    <t>Other capital reserves at the beginning of the period</t>
  </si>
  <si>
    <t>BZ_Kapital_1A_4</t>
  </si>
  <si>
    <t>BO_Kapital_1A_4</t>
  </si>
  <si>
    <t>Zmiany pozostałych kapitałów (funduszy) rezerwowych</t>
  </si>
  <si>
    <t>Changes in other capital reserves</t>
  </si>
  <si>
    <t>BZ_Kapital_1A_4_1</t>
  </si>
  <si>
    <t>BO_Kapital_1A_4_1</t>
  </si>
  <si>
    <t>BZ_Kapital_1A_4_1_A</t>
  </si>
  <si>
    <t>BO_Kapital_1A_4_1_A</t>
  </si>
  <si>
    <t>BZ_Kapital_1A_4_1_B</t>
  </si>
  <si>
    <t>BO_Kapital_1A_4_1_B</t>
  </si>
  <si>
    <t>Pozostałe kapitały (fundusze) rezerwowe na koniec okresu</t>
  </si>
  <si>
    <t>Other capital reserves at the end of the period</t>
  </si>
  <si>
    <t>BZ_Kapital_1A_4_2</t>
  </si>
  <si>
    <t>BO_Kapital_1A_4_2</t>
  </si>
  <si>
    <t>Zysk (strata) z lat ubiegłych na początek okresu</t>
  </si>
  <si>
    <t>Accumulated profit (loss) from previous years at the beginning of the period</t>
  </si>
  <si>
    <t>BZ_Kapital_1A_5</t>
  </si>
  <si>
    <t>BO_Kapital_1A_5</t>
  </si>
  <si>
    <t>Zysk z lat ubiegłych na początek okresu</t>
  </si>
  <si>
    <t>Accumulated profit from previous years at the beginning of the period</t>
  </si>
  <si>
    <t>BZ_Kapital_1A_5_1</t>
  </si>
  <si>
    <t>BO_Kapital_1A_5_1</t>
  </si>
  <si>
    <t>- zmiana przyjętych zasad rachunkowości</t>
  </si>
  <si>
    <t>BZ_Kapital_1A_5_1_1</t>
  </si>
  <si>
    <t>BO_Kapital_1A_5_1_1</t>
  </si>
  <si>
    <t xml:space="preserve">- korekty błędów </t>
  </si>
  <si>
    <t>BZ_Kapital_1A_5_1_2</t>
  </si>
  <si>
    <t>BO_Kapital_1A_5_1_2</t>
  </si>
  <si>
    <t>Zysk z lat ubiegłych na początek okresu, po korektach</t>
  </si>
  <si>
    <t>Accumulated profit from previous years at the beginning of the period after adjustments</t>
  </si>
  <si>
    <t>BZ_Kapital_1A_5_2</t>
  </si>
  <si>
    <t>BO_Kapital_1A_5_2</t>
  </si>
  <si>
    <t>BZ_Kapital_1A_5_2_A</t>
  </si>
  <si>
    <t>BO_Kapital_1A_5_2_A</t>
  </si>
  <si>
    <t>- podział zysku z lat ubiegłych</t>
  </si>
  <si>
    <t>- profit distribution from previous years</t>
  </si>
  <si>
    <t>BZ_Kapital_1A_5_2_A_1</t>
  </si>
  <si>
    <t>BO_Kapital_1A_5_2_A_1</t>
  </si>
  <si>
    <t>BZ_Kapital_1A_5_2_B</t>
  </si>
  <si>
    <t>BO_Kapital_1A_5_2_B</t>
  </si>
  <si>
    <t>Zysk z lat ubiegłych na koniec okresu</t>
  </si>
  <si>
    <t>Accumulated profit from previous years at the end of the period</t>
  </si>
  <si>
    <t>BZ_Kapital_1A_5_3</t>
  </si>
  <si>
    <t>BO_Kapital_1A_5_3</t>
  </si>
  <si>
    <t>Strata z lat ubiegłych na początek okresu</t>
  </si>
  <si>
    <t>Accumulated loss from previous years at the beginning of the period</t>
  </si>
  <si>
    <t>BZ_Kapital_1A_5_4</t>
  </si>
  <si>
    <t>BO_Kapital_1A_5_4</t>
  </si>
  <si>
    <t>BZ_Kapital_1A_5_4_1</t>
  </si>
  <si>
    <t>BO_Kapital_1A_5_4_1</t>
  </si>
  <si>
    <t>BZ_Kapital_1A_5_4_2</t>
  </si>
  <si>
    <t>BO_Kapital_1A_5_4_2</t>
  </si>
  <si>
    <t>Strata z lat ubiegłych na początek okresu po korektach</t>
  </si>
  <si>
    <t>Accumulated loss from previous years at the beginning of the period after adjustments</t>
  </si>
  <si>
    <t>BZ_Kapital_1A_5_5</t>
  </si>
  <si>
    <t>BO_Kapital_1A_5_5</t>
  </si>
  <si>
    <t>BZ_Kapital_1A_5_5_A</t>
  </si>
  <si>
    <t>BO_Kapital_1A_5_5_A</t>
  </si>
  <si>
    <t>- przeniesienie straty z lat ubiegłych do pokrycia</t>
  </si>
  <si>
    <t>- accumulated losses from previous years</t>
  </si>
  <si>
    <t>BZ_Kapital_1A_5_5_A_1</t>
  </si>
  <si>
    <t>BO_Kapital_1A_5_5_A_1</t>
  </si>
  <si>
    <t>BZ_Kapital_1A_5_5_B</t>
  </si>
  <si>
    <t>BO_Kapital_1A_5_5_B</t>
  </si>
  <si>
    <t>Strata z lat ubiegłych na koniec okresu</t>
  </si>
  <si>
    <t>Accumulated loss from previous years at the end of the period</t>
  </si>
  <si>
    <t>BZ_Kapital_1A_5_6</t>
  </si>
  <si>
    <t>BO_Kapital_1A_5_6</t>
  </si>
  <si>
    <t>Zysk (strata) z lat ubiegłych na koniec okresu</t>
  </si>
  <si>
    <t>Accumulated profit (loss) from previous years at the end of the period</t>
  </si>
  <si>
    <t>BZ_Kapital_1A_5_7</t>
  </si>
  <si>
    <t>BO_Kapital_1A_5_7</t>
  </si>
  <si>
    <t>Wynik netto</t>
  </si>
  <si>
    <t>Net result for the financial year</t>
  </si>
  <si>
    <t>BZ_Kapital_1A_6</t>
  </si>
  <si>
    <t>BO_Kapital_1A_6</t>
  </si>
  <si>
    <t>zysk netto</t>
  </si>
  <si>
    <t>net profit</t>
  </si>
  <si>
    <t>BZ_Kapital_1A_6_A</t>
  </si>
  <si>
    <t>BO_Kapital_1A_6_A</t>
  </si>
  <si>
    <t>strata netto</t>
  </si>
  <si>
    <t>net loss</t>
  </si>
  <si>
    <t>BZ_Kapital_1A_6_B</t>
  </si>
  <si>
    <t>BO_Kapital_1A_6_B</t>
  </si>
  <si>
    <t>odpisy z zysku</t>
  </si>
  <si>
    <t>dividends</t>
  </si>
  <si>
    <t>BZ_Kapital_1A_6_C</t>
  </si>
  <si>
    <t>BO_Kapital_1A_6_C</t>
  </si>
  <si>
    <t>Kapitał (fundusz) własny na koniec okresu (BZ)</t>
  </si>
  <si>
    <t>Equity at the end of the period</t>
  </si>
  <si>
    <t>BZ_Kapital_2</t>
  </si>
  <si>
    <t>BO_Kapital_2</t>
  </si>
  <si>
    <t>Kapitał (fundusz) własny, po uwzględnieniu proponowanego podziału zysku (pokrycia straty)</t>
  </si>
  <si>
    <t>Equity after proposed profit distribution (coverage of loss)</t>
  </si>
  <si>
    <t>BZ_Kapital_3</t>
  </si>
  <si>
    <t>BO_Kapital_3</t>
  </si>
  <si>
    <t xml:space="preserve">Rachunek przepływów pieniężnych  </t>
  </si>
  <si>
    <t>Statement of Cash flows</t>
  </si>
  <si>
    <t>Przepływy środków pieniężnych z działalności operacyjnej</t>
  </si>
  <si>
    <t>Cash flow from operating activities</t>
  </si>
  <si>
    <t>BZ_P_A</t>
  </si>
  <si>
    <t>BO_P_A</t>
  </si>
  <si>
    <t>BZ_P_A_1</t>
  </si>
  <si>
    <t>BO_P_A_1</t>
  </si>
  <si>
    <t>Korekty razem:</t>
  </si>
  <si>
    <t>Total adjustments:</t>
  </si>
  <si>
    <t>BZ_P_A_2</t>
  </si>
  <si>
    <t>BO_P_A_2</t>
  </si>
  <si>
    <t>Depreciation and amortisation</t>
  </si>
  <si>
    <t>BZ_P_A_2_1</t>
  </si>
  <si>
    <t>BO_P_A_2_1</t>
  </si>
  <si>
    <t>Zyski (straty) z tytułu różnic kursowych</t>
  </si>
  <si>
    <t>Foreign exchange profit (loss)</t>
  </si>
  <si>
    <t>BZ_P_A_2_2</t>
  </si>
  <si>
    <t>BO_P_A_2_2</t>
  </si>
  <si>
    <t>Odsetki i udziały w zyskach (dywidendy)</t>
  </si>
  <si>
    <t>Interest and share in profits (dividend income)</t>
  </si>
  <si>
    <t>BZ_P_A_2_3</t>
  </si>
  <si>
    <t>BO_P_A_2_3</t>
  </si>
  <si>
    <t>Zysk (strata) z działalności inwestycyjnej</t>
  </si>
  <si>
    <t>Profit/loss on investing activity</t>
  </si>
  <si>
    <t>BZ_P_A_2_4</t>
  </si>
  <si>
    <t>BO_P_A_2_4</t>
  </si>
  <si>
    <t>Zmiana stanu rezerw</t>
  </si>
  <si>
    <t>Change in provisions</t>
  </si>
  <si>
    <t>BZ_P_A_2_5</t>
  </si>
  <si>
    <t>BO_P_A_2_5</t>
  </si>
  <si>
    <t>Zmiana stanu zapasów</t>
  </si>
  <si>
    <t>Change in inventory</t>
  </si>
  <si>
    <t>BZ_P_A_2_6</t>
  </si>
  <si>
    <t>BO_P_A_2_6</t>
  </si>
  <si>
    <t>Zmiana stanu należności</t>
  </si>
  <si>
    <t xml:space="preserve">Change in debtors </t>
  </si>
  <si>
    <t>BZ_P_A_2_7</t>
  </si>
  <si>
    <t>BO_P_A_2_7</t>
  </si>
  <si>
    <t>Zmiana stanu zobowiązań krótkoterminowych, z wyjątkiem pożyczek i kredytów</t>
  </si>
  <si>
    <t>Change in short-term creditors (except for loans and bank credits)</t>
  </si>
  <si>
    <t>BZ_P_A_2_8</t>
  </si>
  <si>
    <t>BO_P_A_2_8</t>
  </si>
  <si>
    <t>Zmiana stanu rozliczeń międzyokresowych</t>
  </si>
  <si>
    <t>Change in accruals and prepayments</t>
  </si>
  <si>
    <t>BZ_P_A_2_9</t>
  </si>
  <si>
    <t>BO_P_A_2_9</t>
  </si>
  <si>
    <t>Inne korekty</t>
  </si>
  <si>
    <t>Other adjustments</t>
  </si>
  <si>
    <t>BZ_P_A_2_10</t>
  </si>
  <si>
    <t>BO_P_A_2_10</t>
  </si>
  <si>
    <t>Przepływy pieniężne netto z działalności operacyjnej</t>
  </si>
  <si>
    <t>Net cash flow from operating activities</t>
  </si>
  <si>
    <t>BZ_P_A_3</t>
  </si>
  <si>
    <t>BO_P_A_3</t>
  </si>
  <si>
    <t>Przepływy środków pieniężnych z działalności inwestycyjnej</t>
  </si>
  <si>
    <t>Cash flow from investing activities</t>
  </si>
  <si>
    <t>BZ_P_B</t>
  </si>
  <si>
    <t>BO_P_B</t>
  </si>
  <si>
    <t>Wpływy</t>
  </si>
  <si>
    <t>Proceeds:</t>
  </si>
  <si>
    <t>BZ_P_B_1</t>
  </si>
  <si>
    <t>BO_P_B_1</t>
  </si>
  <si>
    <t>Zbycie wartości niematerialnych i prawnych oraz rzeczowych aktywów trwałych</t>
  </si>
  <si>
    <t>Disposal of tangible and intangible fixed assets</t>
  </si>
  <si>
    <t>BZ_P_B_1_1</t>
  </si>
  <si>
    <t>BO_P_B_1_1</t>
  </si>
  <si>
    <t>Zbycie inwestycji w nieruchomości oraz wartości niematerialne i prawne</t>
  </si>
  <si>
    <t>Disposal of investment property and intangible fixed assets</t>
  </si>
  <si>
    <t>BZ_P_B_1_2</t>
  </si>
  <si>
    <t>BO_P_B_1_2</t>
  </si>
  <si>
    <t>Z aktywów finansowych, w tym:</t>
  </si>
  <si>
    <t>From financial assets, including:</t>
  </si>
  <si>
    <t>BZ_P_B_1_3</t>
  </si>
  <si>
    <t>BO_P_B_1_3</t>
  </si>
  <si>
    <t>BZ_P_B_1_3_A</t>
  </si>
  <si>
    <t>BO_P_B_1_3_A</t>
  </si>
  <si>
    <t>BZ_P_B_1_3_B</t>
  </si>
  <si>
    <t>BO_P_B_1_3_B</t>
  </si>
  <si>
    <t>- zbycie aktywów finansowych</t>
  </si>
  <si>
    <t>- sale of financial assets</t>
  </si>
  <si>
    <t>BZ_P_B_1_3_B_1</t>
  </si>
  <si>
    <t>BO_P_B_1_3_B_1</t>
  </si>
  <si>
    <t>- dywidendy i udziały w zyskach</t>
  </si>
  <si>
    <t>- dividends and share in profits</t>
  </si>
  <si>
    <t>BZ_P_B_1_3_B_2</t>
  </si>
  <si>
    <t>BO_P_B_1_3_B_2</t>
  </si>
  <si>
    <t>- spłata udzielonych pożyczek długoterminowych</t>
  </si>
  <si>
    <t>- repayment of long-term loans</t>
  </si>
  <si>
    <t>BZ_P_B_1_3_B_3</t>
  </si>
  <si>
    <t>BO_P_B_1_3_B_3</t>
  </si>
  <si>
    <t>- odsetki</t>
  </si>
  <si>
    <t>- interest</t>
  </si>
  <si>
    <t>BZ_P_B_1_3_B_4</t>
  </si>
  <si>
    <t>BO_P_B_1_3_B_4</t>
  </si>
  <si>
    <t>- inne wpływy z aktywów finansowych</t>
  </si>
  <si>
    <t>- other proceeds from financial assets</t>
  </si>
  <si>
    <t>BZ_P_B_1_3_B_5</t>
  </si>
  <si>
    <t>BO_P_B_1_3_B_5</t>
  </si>
  <si>
    <t>Inne wpływy inwestycyjne</t>
  </si>
  <si>
    <t>Other proceeds from investments</t>
  </si>
  <si>
    <t>BZ_P_B_1_4</t>
  </si>
  <si>
    <t>BO_P_B_1_4</t>
  </si>
  <si>
    <t>Wydatki</t>
  </si>
  <si>
    <t>Disbursements:</t>
  </si>
  <si>
    <t>BZ_P_B_2</t>
  </si>
  <si>
    <t>BO_P_B_2</t>
  </si>
  <si>
    <t>Nabycie wartości niematerialnych i prawnych oraz rzeczowych aktywów trwałych</t>
  </si>
  <si>
    <t>Purchase of tangible and intangible fixed assets</t>
  </si>
  <si>
    <t>BZ_P_B_2_1</t>
  </si>
  <si>
    <t>BO_P_B_2_1</t>
  </si>
  <si>
    <t>Inwestycje w nieruchomości oraz wartości niematerialne i prawne</t>
  </si>
  <si>
    <t>Purchase of investment property and intangible fixed assets</t>
  </si>
  <si>
    <t>BZ_P_B_2_2</t>
  </si>
  <si>
    <t>BO_P_B_2_2</t>
  </si>
  <si>
    <t>Na aktywa finansowe, w tym:</t>
  </si>
  <si>
    <t>Purchase of financial assets, including:</t>
  </si>
  <si>
    <t>BZ_P_B_2_3</t>
  </si>
  <si>
    <t>BO_P_B_2_3</t>
  </si>
  <si>
    <t>BZ_P_B_2_3_A</t>
  </si>
  <si>
    <t>BO_P_B_2_3_A</t>
  </si>
  <si>
    <t>BZ_P_B_2_3_B</t>
  </si>
  <si>
    <t>BO_P_B_2_3_B</t>
  </si>
  <si>
    <t>- nabycie aktywów finansowych</t>
  </si>
  <si>
    <t>- purchase of financial assets</t>
  </si>
  <si>
    <t>BZ_P_B_2_3_B_1</t>
  </si>
  <si>
    <t>BO_P_B_2_3_B_1</t>
  </si>
  <si>
    <t>- udzielone pożyczki długoterminowe</t>
  </si>
  <si>
    <t>- long-term loans provided</t>
  </si>
  <si>
    <t>BZ_P_B_2_3_B_2</t>
  </si>
  <si>
    <t>BO_P_B_2_3_B_2</t>
  </si>
  <si>
    <t>Inne wydatki inwestycyjne</t>
  </si>
  <si>
    <t xml:space="preserve">Other investment disbursements </t>
  </si>
  <si>
    <t>BZ_P_B_2_4</t>
  </si>
  <si>
    <t>BO_P_B_2_4</t>
  </si>
  <si>
    <t>Przepływy pieniężne netto z działalności inwestycyjnej</t>
  </si>
  <si>
    <t>Net cash flow from investing activities</t>
  </si>
  <si>
    <t>BZ_P_B_3</t>
  </si>
  <si>
    <t>BO_P_B_3</t>
  </si>
  <si>
    <t>Przepływy środków pieniężnych z działalności finansowej</t>
  </si>
  <si>
    <t>Cash flow from financing activities</t>
  </si>
  <si>
    <t>BZ_P_C</t>
  </si>
  <si>
    <t>BO_P_C</t>
  </si>
  <si>
    <t>BZ_P_C_1</t>
  </si>
  <si>
    <t>BO_P_C_1</t>
  </si>
  <si>
    <t>Wpływy netto z wydania udziałów (emisji akcji) i innych instrumentów kapitałowych oraz dopłat do kapitału</t>
  </si>
  <si>
    <t>Proceeds from issuance of shares and other equity instruments and additional capital payments</t>
  </si>
  <si>
    <t>BZ_P_C_1_1</t>
  </si>
  <si>
    <t>BO_P_C_1_1</t>
  </si>
  <si>
    <t>Kredyty i pożyczki</t>
  </si>
  <si>
    <t>Credits and loans</t>
  </si>
  <si>
    <t>BZ_P_C_1_2</t>
  </si>
  <si>
    <t>BO_P_C_1_2</t>
  </si>
  <si>
    <t>Emisja dłużnych papierów wartościowych</t>
  </si>
  <si>
    <t xml:space="preserve">Issuance of bonds </t>
  </si>
  <si>
    <t>BZ_P_C_1_3</t>
  </si>
  <si>
    <t>BO_P_C_1_3</t>
  </si>
  <si>
    <t>Inne wpływy finansowe</t>
  </si>
  <si>
    <t xml:space="preserve">Other financial proceeds </t>
  </si>
  <si>
    <t>BZ_P_C_1_4</t>
  </si>
  <si>
    <t>BO_P_C_1_4</t>
  </si>
  <si>
    <t>BZ_P_C_2</t>
  </si>
  <si>
    <t>BO_P_C_2</t>
  </si>
  <si>
    <t>Nabycie udziałów (akcji) własnych</t>
  </si>
  <si>
    <t>Purchase of own shares</t>
  </si>
  <si>
    <t>BZ_P_C_2_1</t>
  </si>
  <si>
    <t>BO_P_C_2_1</t>
  </si>
  <si>
    <t>Dywidendy i inne wypłaty na rzecz właścicieli</t>
  </si>
  <si>
    <t>Dividends and other payments to shareholders</t>
  </si>
  <si>
    <t>BZ_P_C_2_2</t>
  </si>
  <si>
    <t>BO_P_C_2_2</t>
  </si>
  <si>
    <t>Inne, niż wypłaty na rzecz właścicieli, wydatki z tytułu podziału zysku</t>
  </si>
  <si>
    <t xml:space="preserve">Other payments relating to profit distribution, excluding payments to shareholders </t>
  </si>
  <si>
    <t>BZ_P_C_2_3</t>
  </si>
  <si>
    <t>BO_P_C_2_3</t>
  </si>
  <si>
    <t>Spłaty kredytów i pożyczek</t>
  </si>
  <si>
    <t>Repayment of bank credits and loans</t>
  </si>
  <si>
    <t>BZ_P_C_2_4</t>
  </si>
  <si>
    <t>BO_P_C_2_4</t>
  </si>
  <si>
    <t>Wykup dłużnych papierów wartościowych</t>
  </si>
  <si>
    <t>Redemption of bonds</t>
  </si>
  <si>
    <t>BZ_P_C_2_5</t>
  </si>
  <si>
    <t>BO_P_C_2_5</t>
  </si>
  <si>
    <t>Z tytułu innych zobowiązań finansowych</t>
  </si>
  <si>
    <t>Other financial obligations</t>
  </si>
  <si>
    <t>BZ_P_C_2_6</t>
  </si>
  <si>
    <t>BO_P_C_2_6</t>
  </si>
  <si>
    <t>Płatności zobowiązań z tytułu umów leasingu finansowego</t>
  </si>
  <si>
    <t>Payments relating to finance lease obligations</t>
  </si>
  <si>
    <t>BZ_P_C_2_7</t>
  </si>
  <si>
    <t>BO_P_C_2_7</t>
  </si>
  <si>
    <t>Odsetki</t>
  </si>
  <si>
    <t>Interest</t>
  </si>
  <si>
    <t>BZ_P_C_2_8</t>
  </si>
  <si>
    <t>BO_P_C_2_8</t>
  </si>
  <si>
    <t>Inne wydatki finansowe</t>
  </si>
  <si>
    <t>Other financial disbursements</t>
  </si>
  <si>
    <t>BZ_P_C_2_9</t>
  </si>
  <si>
    <t>BO_P_C_2_9</t>
  </si>
  <si>
    <t>Przepływy pieniężne netto z działalności finansowej</t>
  </si>
  <si>
    <t>Net cash flow from financing activities</t>
  </si>
  <si>
    <t>BZ_P_C_3</t>
  </si>
  <si>
    <t>BO_P_C_3</t>
  </si>
  <si>
    <t>Przepływy pieniężne netto razem</t>
  </si>
  <si>
    <t>Net cash flow</t>
  </si>
  <si>
    <t>BZ_P_D</t>
  </si>
  <si>
    <t>BO_P_D</t>
  </si>
  <si>
    <t>Bilansowa zmiana stanu środków pieniężnych, w tym:</t>
  </si>
  <si>
    <t>Balance sheet change in cash, including:</t>
  </si>
  <si>
    <t>BZ_P_E</t>
  </si>
  <si>
    <t>BO_P_E</t>
  </si>
  <si>
    <t>- zmiana stanu środków pieniężnych z tytułu różnic kursowych</t>
  </si>
  <si>
    <t>-  change in cash from foreign exchange differences</t>
  </si>
  <si>
    <t>BZ_P_E_1</t>
  </si>
  <si>
    <t>BO_P_E_1</t>
  </si>
  <si>
    <t>Środki pieniężne na początek okresu</t>
  </si>
  <si>
    <t>Cash at the beginning of the financial year</t>
  </si>
  <si>
    <t>BZ_P_F</t>
  </si>
  <si>
    <t>BO_P_F</t>
  </si>
  <si>
    <t>Środki pieniężne na koniec okresu, w tym:</t>
  </si>
  <si>
    <t>Cash at the end of the financial year, including:</t>
  </si>
  <si>
    <t>BZ_P_G</t>
  </si>
  <si>
    <t>BO_P_G</t>
  </si>
  <si>
    <t>- o ograniczonej możliwości dysponowania</t>
  </si>
  <si>
    <t>- restricted cash</t>
  </si>
  <si>
    <t>BZ_P_G_1</t>
  </si>
  <si>
    <t>BO_P_G_1</t>
  </si>
  <si>
    <t>control to balance sheet</t>
  </si>
  <si>
    <t>Dodatkowe informacje i objaśnienia</t>
  </si>
  <si>
    <t>Supplementary information and explanations</t>
  </si>
  <si>
    <t>Wyliczenie podatku dochodowego od osób prawnych</t>
  </si>
  <si>
    <t>Calculation of corporate income tax</t>
  </si>
  <si>
    <t>Z zysków kapitałowych</t>
  </si>
  <si>
    <t>Z innych źródeł przychodów</t>
  </si>
  <si>
    <t>Razem</t>
  </si>
  <si>
    <t>Art.</t>
  </si>
  <si>
    <t>Ust.</t>
  </si>
  <si>
    <t>Pkt.</t>
  </si>
  <si>
    <t>Lit.</t>
  </si>
  <si>
    <t>from capital gains</t>
  </si>
  <si>
    <t>from other source of revenue</t>
  </si>
  <si>
    <t>Total</t>
  </si>
  <si>
    <t>Par.</t>
  </si>
  <si>
    <t>Pnt.</t>
  </si>
  <si>
    <t>Ltr.</t>
  </si>
  <si>
    <t>I. Zysk/ (Strata) brutto</t>
  </si>
  <si>
    <t>I. Profit/(loss) before tax</t>
  </si>
  <si>
    <t>BZ_P_ID_1_RB_KwotaB</t>
  </si>
  <si>
    <t>BZ_P_ID_1_RB_KwotaC</t>
  </si>
  <si>
    <t>BZ_P_ID_1_RB_KwotaA</t>
  </si>
  <si>
    <t>BO_P_ID_1_RB_KwotaB</t>
  </si>
  <si>
    <t>BO_P_ID_1_RB_KwotaC</t>
  </si>
  <si>
    <t>BO_P_ID_1_RB_KwotaA</t>
  </si>
  <si>
    <t>II. Przychody zwolnione z opodatkowania (trwałe różnice pomiędzy zyskiem/stratą dla celów rachunkowych a dochodem/stratą dla celów podatkowych), w tym:</t>
  </si>
  <si>
    <t>II. Revenue exempted from tax (permanent difference between profit/loss for accounting purpose and taxable profit/loss for tax purpose), including:</t>
  </si>
  <si>
    <t>BZ_P_ID_2_RB_KwotaB</t>
  </si>
  <si>
    <t>BZ_P_ID_2_RB_KwotaC</t>
  </si>
  <si>
    <t>BZ_P_ID_2_RB_KwotaA</t>
  </si>
  <si>
    <t>BO_P_ID_2_RB_KwotaB</t>
  </si>
  <si>
    <t>BO_P_ID_2_RB_KwotaC</t>
  </si>
  <si>
    <t>BO_P_ID_2_RB_KwotaA</t>
  </si>
  <si>
    <t>III. Przychody niepodlegające opodatkowaniu w roku bieżącym, w tym:</t>
  </si>
  <si>
    <t xml:space="preserve">III. Revenue not classified as taxable income in the current year, including: </t>
  </si>
  <si>
    <t>BZ_P_ID_3_RB_KwotaB</t>
  </si>
  <si>
    <t>BZ_P_ID_3_RB_KwotaC</t>
  </si>
  <si>
    <t>BZ_P_ID_3_RB_KwotaA</t>
  </si>
  <si>
    <t>BO_P_ID_3_RB_KwotaB</t>
  </si>
  <si>
    <t>BO_P_ID_3_RB_KwotaC</t>
  </si>
  <si>
    <t>BO_P_ID_3_RB_KwotaA</t>
  </si>
  <si>
    <t>IV. Przychody podlegające opodatkowaniu w roku bieżącym, ujęte w księgach rachunkowych lat ubiegłych, w tym:</t>
  </si>
  <si>
    <t xml:space="preserve">IV. Revenue classified as taxable income in the current year included in the accouting books in previous years, including: </t>
  </si>
  <si>
    <t>BZ_P_ID_4_RB_KwotaB</t>
  </si>
  <si>
    <t>BZ_P_ID_4_RB_KwotaC</t>
  </si>
  <si>
    <t>BZ_P_ID_4_RB_KwotaA</t>
  </si>
  <si>
    <t>BO_P_ID_4_RB_KwotaB</t>
  </si>
  <si>
    <t>BO_P_ID_4_RB_KwotaC</t>
  </si>
  <si>
    <t>BO_P_ID_4_RB_KwotaA</t>
  </si>
  <si>
    <t>V. Koszty niestanowiące kosztów uzyskania przychodów (trwałe różnice pomiędzy zyskiem/stratą dla celów rachunkowych a dochodem/stratą dla celów podatkowych), w tym:</t>
  </si>
  <si>
    <t>V. Costs not classified as tax-deductible expenses (permanent difference between profit/loss for accounting purpose and taxable profit/loss for tax purpose), including:</t>
  </si>
  <si>
    <t>BZ_P_ID_5_RB_KwotaB</t>
  </si>
  <si>
    <t>BZ_P_ID_5_RB_KwotaC</t>
  </si>
  <si>
    <t>BZ_P_ID_5_RB_KwotaA</t>
  </si>
  <si>
    <t>BO_P_ID_5_RB_KwotaB</t>
  </si>
  <si>
    <t>BO_P_ID_5_RB_KwotaC</t>
  </si>
  <si>
    <t>BO_P_ID_5_RB_KwotaA</t>
  </si>
  <si>
    <t>VI. Koszty nieuznawane za koszty uzyskania przychodów w bieżącym roku, w tym:</t>
  </si>
  <si>
    <t>VI. Costs classified as non tax deductible expenses in the current year, including:</t>
  </si>
  <si>
    <t>BZ_P_ID_6_RB_KwotaB</t>
  </si>
  <si>
    <t>BZ_P_ID_6_RB_KwotaC</t>
  </si>
  <si>
    <t>BZ_P_ID_6_RB_KwotaA</t>
  </si>
  <si>
    <t>BO_P_ID_6_RB_KwotaB</t>
  </si>
  <si>
    <t>BO_P_ID_6_RB_KwotaC</t>
  </si>
  <si>
    <t>BO_P_ID_6_RB_KwotaA</t>
  </si>
  <si>
    <t>VII. Koszty uznawane za koszty uzyskania przychodów w roku bieżącym ujęte w księgach lat ubiegłych, w tym:</t>
  </si>
  <si>
    <t xml:space="preserve">VII. Costs classified as tax deductible expenses in the current year included in accounting books in the previous years, including: </t>
  </si>
  <si>
    <t>BZ_P_ID_7_RB_KwotaB</t>
  </si>
  <si>
    <t>BZ_P_ID_7_RB_KwotaC</t>
  </si>
  <si>
    <t>BZ_P_ID_7_RB_KwotaA</t>
  </si>
  <si>
    <t>BO_P_ID_7_RB_KwotaB</t>
  </si>
  <si>
    <t>BO_P_ID_7_RB_KwotaC</t>
  </si>
  <si>
    <t>BO_P_ID_7_RB_KwotaA</t>
  </si>
  <si>
    <t>VIII. Strata z lat ubiegłych, w tym:</t>
  </si>
  <si>
    <t xml:space="preserve">VIII. Losses from prior years, including: </t>
  </si>
  <si>
    <t>BZ_P_ID_8_RB_KwotaB</t>
  </si>
  <si>
    <t>BZ_P_ID_8_RB_KwotaC</t>
  </si>
  <si>
    <t>BZ_P_ID_8_RB_KwotaA</t>
  </si>
  <si>
    <t>BO_P_ID_8_RB_KwotaB</t>
  </si>
  <si>
    <t>BO_P_ID_8_RB_KwotaC</t>
  </si>
  <si>
    <t>BO_P_ID_8_RB_KwotaA</t>
  </si>
  <si>
    <t>IX. Inne zmiany podstawy opodatkowania, w tym:</t>
  </si>
  <si>
    <t xml:space="preserve">IX. Other changes in taxable base, including: </t>
  </si>
  <si>
    <t>BZ_P_ID_9_RB_KwotaB</t>
  </si>
  <si>
    <t>BZ_P_ID_9_RB_KwotaC</t>
  </si>
  <si>
    <t>BZ_P_ID_9_RB_KwotaA</t>
  </si>
  <si>
    <t>BO_P_ID_9_RB_KwotaB</t>
  </si>
  <si>
    <t>BO_P_ID_9_RB_KwotaC</t>
  </si>
  <si>
    <t>BO_P_ID_9_RB_KwotaA</t>
  </si>
  <si>
    <t>Dochód do opodatkowania</t>
  </si>
  <si>
    <t>Taxable profit / Tax loss</t>
  </si>
  <si>
    <t>Darowizny</t>
  </si>
  <si>
    <t>BZ_P_ID_10_RB_KwotaB</t>
  </si>
  <si>
    <t>BZ_P_ID_10_RB_KwotaC</t>
  </si>
  <si>
    <t>BZ_P_ID_10_RB_KwotaA</t>
  </si>
  <si>
    <t>BO_P_ID_10_RB_KwotaB</t>
  </si>
  <si>
    <t>BO_P_ID_10_RB_KwotaC</t>
  </si>
  <si>
    <t>BO_P_ID_10_RB_KwotaA</t>
  </si>
  <si>
    <t>BZ_P_ID_11_RB_KwotaB</t>
  </si>
  <si>
    <t>BZ_P_ID_11_RB_KwotaC</t>
  </si>
  <si>
    <t>BZ_P_ID_11_RB_KwotaA</t>
  </si>
  <si>
    <t>BO_P_ID_11_RB_KwotaB</t>
  </si>
  <si>
    <t>BO_P_ID_11_RB_KwotaC</t>
  </si>
  <si>
    <t>BO_P_ID_11_RB_KwotaA</t>
  </si>
  <si>
    <t>Powrot do spisu tresci</t>
  </si>
  <si>
    <t>Zmiana stanu wartości niematerialnych i prawnych</t>
  </si>
  <si>
    <t>Wartość brutto</t>
  </si>
  <si>
    <t>BO_Aktywa_A_1_1_WartoscBrutto</t>
  </si>
  <si>
    <t>BO_Aktywa_A_1_2_WartoscBrutto</t>
  </si>
  <si>
    <t>BO_Aktywa_A_1_3_WartoscBrutto</t>
  </si>
  <si>
    <t>BO_Aktywa_A_1_4_WartoscBrutto</t>
  </si>
  <si>
    <t>BO_Aktywa_A_1_WartoscBrutto</t>
  </si>
  <si>
    <t xml:space="preserve">Zwiększenia </t>
  </si>
  <si>
    <t>zakup</t>
  </si>
  <si>
    <t>używane na podstawie umów najmu, dzierżawy, leasingu finansowego</t>
  </si>
  <si>
    <t>darowizna</t>
  </si>
  <si>
    <t>aport</t>
  </si>
  <si>
    <t xml:space="preserve">Zmniejszenia </t>
  </si>
  <si>
    <t>sprzedaż</t>
  </si>
  <si>
    <t>likwidacja</t>
  </si>
  <si>
    <t>Przemieszczenie wewnętrzne</t>
  </si>
  <si>
    <t>BZ_Aktywa_A_1_1_WartoscBrutto</t>
  </si>
  <si>
    <t>BZ_Aktywa_A_1_2_WartoscBrutto</t>
  </si>
  <si>
    <t>BZ_Aktywa_A_1_3_WartoscBrutto</t>
  </si>
  <si>
    <t>BZ_Aktywa_A_1_4_WartoscBrutto</t>
  </si>
  <si>
    <t>BZ_Aktywa_A_1_WartoscBrutto</t>
  </si>
  <si>
    <t>Umorzenie</t>
  </si>
  <si>
    <t>BO_Aktywa_A_1_1_Umorzenie</t>
  </si>
  <si>
    <t>BO_Aktywa_A_1_2_Umorzenie</t>
  </si>
  <si>
    <t>BO_Aktywa_A_1_3_Umorzenie</t>
  </si>
  <si>
    <t>BO_Aktywa_A_1_4_Umorzenie</t>
  </si>
  <si>
    <t>BO_Aktywa_A_1_Umorzenie</t>
  </si>
  <si>
    <t>Zwiększenia</t>
  </si>
  <si>
    <t>amortyzacja za okres</t>
  </si>
  <si>
    <t>Zmniejszenia</t>
  </si>
  <si>
    <t>BZ_Aktywa_A_1_1_Umorzenie</t>
  </si>
  <si>
    <t>BZ_Aktywa_A_1_2_Umorzenie</t>
  </si>
  <si>
    <t>BZ_Aktywa_A_1_3_Umorzenie</t>
  </si>
  <si>
    <t>BZ_Aktywa_A_1_4_Umorzenie</t>
  </si>
  <si>
    <t>BZ_Aktywa_A_1_Umorzenie</t>
  </si>
  <si>
    <t>Odpisy aktualizujące</t>
  </si>
  <si>
    <t>BO_Aktywa_A_1_1_Odpisy</t>
  </si>
  <si>
    <t>BO_Aktywa_A_1_2_Odpisy</t>
  </si>
  <si>
    <t>BO_Aktywa_A_1_3_Odpisy</t>
  </si>
  <si>
    <t>BO_Aktywa_A_1_4_Odpisy</t>
  </si>
  <si>
    <t>BO_Aktywa_A_1_Odpisy</t>
  </si>
  <si>
    <t>rozwiązanie odpisu</t>
  </si>
  <si>
    <t>wykorzystanie odpisu</t>
  </si>
  <si>
    <t>BZ_Aktywa_A_1_1_Odpisy</t>
  </si>
  <si>
    <t>BZ_Aktywa_A_1_2_Odpisy</t>
  </si>
  <si>
    <t>BZ_Aktywa_A_1_3_Odpisy</t>
  </si>
  <si>
    <t>BZ_Aktywa_A_1_4_Odpisy</t>
  </si>
  <si>
    <t>BZ_Aktywa_A_1_Odpisy</t>
  </si>
  <si>
    <t>Wartość netto</t>
  </si>
  <si>
    <t>Koszty zakończonych prac rozwojowych w bieżącym okresie wyniosły</t>
  </si>
  <si>
    <t xml:space="preserve">Spółka poniosła koszty zakończonych prac rozwojowych w latach poprzednich w wysokości </t>
  </si>
  <si>
    <t>Dokonuje ich odpisywania w okresie</t>
  </si>
  <si>
    <t>Należy opisać transakcję zakupu lub połączenia oraz powstałą wartość firmy i okres jej odpisu.</t>
  </si>
  <si>
    <t>Koszty prac badawczych i rozwojowych</t>
  </si>
  <si>
    <t xml:space="preserve">Koszty związane z pracami badawczymi i pracami rozwojowymi, które nie zostały zakwalifikowane zgodnie z art. 33 ust. 2 Ustawy o Rachunkowości do wartości niematerialnych i prawnych </t>
  </si>
  <si>
    <t>BZ_Koszty_Badan</t>
  </si>
  <si>
    <t>BO_Koszty_Badan</t>
  </si>
  <si>
    <t>Należy podać informacje o w/w kosztach.</t>
  </si>
  <si>
    <t>Zmiana stanu środków trwałych</t>
  </si>
  <si>
    <t>Grunty (w tym prawo użytkowania wieczystego gruntów)</t>
  </si>
  <si>
    <t>Budynki, lokale, prawa do lokali i obiekty inżynierii lądowej i wodnej</t>
  </si>
  <si>
    <t>Inne środki trwałe</t>
  </si>
  <si>
    <t>BO_Aktywa_A_2_1_A_WartoscBrutto</t>
  </si>
  <si>
    <t>BO_Aktywa_A_2_1_B_WartoscBrutto</t>
  </si>
  <si>
    <t>BO_Aktywa_A_2_1_C_WartoscBrutto</t>
  </si>
  <si>
    <t>BO_Aktywa_A_2_1_D_WartoscBrutto</t>
  </si>
  <si>
    <t>BO_Aktywa_A_2_1_E_WartoscBrutto</t>
  </si>
  <si>
    <t>BO_Aktywa_A_2_1_WartoscBrutto</t>
  </si>
  <si>
    <t>przyjęcie ze środków trwałych w budowie</t>
  </si>
  <si>
    <t>zakup środków trwałych</t>
  </si>
  <si>
    <t>darowizny otrzymane</t>
  </si>
  <si>
    <t>ujawnienia (np. inwentaryzacje)</t>
  </si>
  <si>
    <t>środki używane na podstawie umowy najmu, dzierżawy lub innej o podobnym charakterze (np.. leasing finansowy)</t>
  </si>
  <si>
    <t>pozostałe</t>
  </si>
  <si>
    <t>darowizny przekazane</t>
  </si>
  <si>
    <t>BZ_Aktywa_A_2_1_A_WartoscBrutto</t>
  </si>
  <si>
    <t>BZ_Aktywa_A_2_1_B_WartoscBrutto</t>
  </si>
  <si>
    <t>BZ_Aktywa_A_2_1_C_WartoscBrutto</t>
  </si>
  <si>
    <t>BZ_Aktywa_A_2_1_D_WartoscBrutto</t>
  </si>
  <si>
    <t>BZ_Aktywa_A_2_1_E_WartoscBrutto</t>
  </si>
  <si>
    <t>BZ_Aktywa_A_2_1_WartoscBrutto</t>
  </si>
  <si>
    <t>BO_Aktywa_A_2_1_A_Umorzenie</t>
  </si>
  <si>
    <t>BO_Aktywa_A_2_1_B_Umorzenie</t>
  </si>
  <si>
    <t>BO_Aktywa_A_2_1_C_Umorzenie</t>
  </si>
  <si>
    <t>BO_Aktywa_A_2_1_D_Umorzenie</t>
  </si>
  <si>
    <t>BO_Aktywa_A_2_1_E_Umorzenie</t>
  </si>
  <si>
    <t>BO_Aktywa_A_2_1_Umorzenie</t>
  </si>
  <si>
    <t>BZ_Aktywa_A_2_1_A_Umorzenie</t>
  </si>
  <si>
    <t>BZ_Aktywa_A_2_1_B_Umorzenie</t>
  </si>
  <si>
    <t>BZ_Aktywa_A_2_1_C_Umorzenie</t>
  </si>
  <si>
    <t>BZ_Aktywa_A_2_1_D_Umorzenie</t>
  </si>
  <si>
    <t>BZ_Aktywa_A_2_1_E_Umorzenie</t>
  </si>
  <si>
    <t>BZ_Aktywa_A_2_1_Umorzenie</t>
  </si>
  <si>
    <t>BO_Aktywa_A_2_1_A_Odpisy</t>
  </si>
  <si>
    <t>BO_Aktywa_A_2_1_B_Odpisy</t>
  </si>
  <si>
    <t>BO_Aktywa_A_2_1_C_Odpisy</t>
  </si>
  <si>
    <t>BO_Aktywa_A_2_1_D_Odpisy</t>
  </si>
  <si>
    <t>BO_Aktywa_A_2_1_E_Odpisy</t>
  </si>
  <si>
    <t>BO_Aktywa_A_2_1_Odpisy</t>
  </si>
  <si>
    <t>BZ_Aktywa_A_2_1_A_Odpisy</t>
  </si>
  <si>
    <t>BZ_Aktywa_A_2_1_B_Odpisy</t>
  </si>
  <si>
    <t>BZ_Aktywa_A_2_1_C_Odpisy</t>
  </si>
  <si>
    <t>BZ_Aktywa_A_2_1_D_Odpisy</t>
  </si>
  <si>
    <t>BZ_Aktywa_A_2_1_E_Odpisy</t>
  </si>
  <si>
    <t>BZ_Aktywa_A_2_1_Odpisy</t>
  </si>
  <si>
    <t>Grunty użytkowane wieczyście</t>
  </si>
  <si>
    <t>Tytuł</t>
  </si>
  <si>
    <t>BZ_Aktywa_A_2_1_A_GruntyPoz1</t>
  </si>
  <si>
    <t>BO_Aktywa_A_2_1_A_GruntyPoz1</t>
  </si>
  <si>
    <t>BZ_Aktywa_A_2_1_A_GruntyPoz2</t>
  </si>
  <si>
    <t>BO_Aktywa_A_2_1_A_GruntyPoz2</t>
  </si>
  <si>
    <t>BZ_Aktywa_A_2_1_A_GruntyPoz3</t>
  </si>
  <si>
    <t>BO_Aktywa_A_2_1_A_GruntyPoz3</t>
  </si>
  <si>
    <t>Spółka posiada grunty w użytkowaniu wieczystym, których wartość ustalona administracyjnie w celu ustalenia opłaty za użytkowanie wieczyste wynosi:</t>
  </si>
  <si>
    <t>BZ_Aktywa_A_2_1_A_Grunty2</t>
  </si>
  <si>
    <t>BO_Aktywa_A_2_1_A_Grunty2</t>
  </si>
  <si>
    <t>Spółka nie posiada gruntów użytkowanych wieczyście.</t>
  </si>
  <si>
    <t>Środki trwałe nieamortyzowane</t>
  </si>
  <si>
    <t xml:space="preserve">Wartość nieamortyzowanych przez Spółkę środków trwałych używanych  na podstawie umów najmu, dzierżawy i innych umów, w tym z tytułu umów leasingu </t>
  </si>
  <si>
    <t>BZ_Aktywa_A_2_1_E_Nieamortyzowane</t>
  </si>
  <si>
    <t>BO_Aktywa_A_2_1_E_Nieamortyzowane</t>
  </si>
  <si>
    <t>Wartość początkowa tych środków wynika z zawartych umów najmu, dzierżawy, leasingu itp. [jeśli inna metoda wyceny, proszę podać]"</t>
  </si>
  <si>
    <t xml:space="preserve">Spółka nie posiada nieamortyzowanych środków trwałych, używanych na podstawie umów najmu, dzierżawy  lub umów o podobnym charakterze. </t>
  </si>
  <si>
    <t>Środki trwałe na własne potrzeby</t>
  </si>
  <si>
    <t xml:space="preserve">Koszt wytworzenia środków trwałych na własne potrzeby </t>
  </si>
  <si>
    <t>BZ_Aktywa_A_2_1_E_Wlasnepotrzeby</t>
  </si>
  <si>
    <t>BO_Aktywa_A_2_1_E_Wlasnepotrzeby</t>
  </si>
  <si>
    <t>Spółka nie wytwarzała środków trwałych na własne potrzeby.</t>
  </si>
  <si>
    <t>n/a</t>
  </si>
  <si>
    <t>Przyczyny odpisów aktualizujących środki trwałe</t>
  </si>
  <si>
    <t>&lt;wyjaśnić przyczyny dokonania przez Spółkę odpisów aktualizujących środki trwałe&gt;</t>
  </si>
  <si>
    <t>BO_Aktywa_A_2_2_WartoscBrutto</t>
  </si>
  <si>
    <t>poniesione nakłady inwestycyjne</t>
  </si>
  <si>
    <t>aktywowane różnice kursowe</t>
  </si>
  <si>
    <t>aktywowane odsetki od zobowiązań</t>
  </si>
  <si>
    <t>przekazanie na środki trwałe</t>
  </si>
  <si>
    <t>oddanie do użytkowania nieruchomości</t>
  </si>
  <si>
    <t>sprzedaż środków trwałych w budowie</t>
  </si>
  <si>
    <t>spisanie zadań inwestycyjnych zaniechanych</t>
  </si>
  <si>
    <t>BZ_Aktywa_A_2_2_WartoscBrutto</t>
  </si>
  <si>
    <t>BO_Aktywa_A_2_2_Odpisy</t>
  </si>
  <si>
    <t>BZ_Aktywa_A_2_2_Odpisy</t>
  </si>
  <si>
    <t>Struktura należności długoterminowych</t>
  </si>
  <si>
    <t>Odpisy aktualizujące wartość należności</t>
  </si>
  <si>
    <t>Odpisy aktualizujące wartość należności długoterminowych</t>
  </si>
  <si>
    <t>Odpisy aktualizujące wartość należności od jednostek powiązanych</t>
  </si>
  <si>
    <t>Odpisy aktualizujące wartość należności od pozostałych jednostek, w których jednostka posiada zaangażowanie w kapitale</t>
  </si>
  <si>
    <t>Odpisy aktualizujące wartość należności od pozostałych jednostek</t>
  </si>
  <si>
    <t>Wykorzystanie</t>
  </si>
  <si>
    <t>Rozwiązanie</t>
  </si>
  <si>
    <t>Jeśli  jedno aktywo ( typu pożyczka) jest prezentowane zarówno w części długo i krótkoterminowej należy zaprezentować w poniższym układzie:</t>
  </si>
  <si>
    <t>Należności z tytułu ……….</t>
  </si>
  <si>
    <t>Wartość należności ogółem (część długo i krótkoterminowa)</t>
  </si>
  <si>
    <t>w tym ujęte jako krótkoterminowe należności</t>
  </si>
  <si>
    <t>Zmiana stanu inwestycji długoterminowych</t>
  </si>
  <si>
    <t>- w przypadku wyceny wg wartości rynkowej:</t>
  </si>
  <si>
    <t>Nierucho- mości</t>
  </si>
  <si>
    <t>Długo- terminowe aktywa finansowe</t>
  </si>
  <si>
    <t>BO_Aktywa_A_4_1_WartoscRynkowa</t>
  </si>
  <si>
    <t>BO_Aktywa_A_4_2_WartoscRynkowa</t>
  </si>
  <si>
    <t>BO_Aktywa_A_4_3_WartoscRynkowa</t>
  </si>
  <si>
    <t>BO_Aktywa_A_4_4_WartoscRynkowa</t>
  </si>
  <si>
    <t>BO_Aktywa_A_4_WartoscRynkowa</t>
  </si>
  <si>
    <t>zakup/udzielenie pożyczki</t>
  </si>
  <si>
    <t>odwrócenie trwałej utraty wartości</t>
  </si>
  <si>
    <t>przeszacowanie do wartości godziwej</t>
  </si>
  <si>
    <t>sprzedaż/ spłata pożyczki</t>
  </si>
  <si>
    <t>trwała utrata wartości</t>
  </si>
  <si>
    <t>przekwalifikowanie</t>
  </si>
  <si>
    <t>BZ_Aktywa_A_4_1_WartoscRynkowa</t>
  </si>
  <si>
    <t>BZ_Aktywa_A_4_2_WartoscRynkowa</t>
  </si>
  <si>
    <t>BZ_Aktywa_A_4_3_WartoscRynkowa</t>
  </si>
  <si>
    <t>BZ_Aktywa_A_4_4_WartoscRynkowa</t>
  </si>
  <si>
    <t>BZ_Aktywa_A_4_WartoscRynkowa</t>
  </si>
  <si>
    <t>- w przypadku wyceny wg wartości historycznej:</t>
  </si>
  <si>
    <t>BO_Aktywa_A_4_1_WartoscBrutto</t>
  </si>
  <si>
    <t>BO_Aktywa_A_4_2_WartoscBrutto</t>
  </si>
  <si>
    <t>BO_Aktywa_A_4_3_WartoscBrutto</t>
  </si>
  <si>
    <t>BO_Aktywa_A_4_4_WartoscBrutto</t>
  </si>
  <si>
    <t>BO_Aktywa_A_4_WartoscBrutto</t>
  </si>
  <si>
    <t>BZ_Aktywa_A_4_1_WartoscBrutto</t>
  </si>
  <si>
    <t>BZ_Aktywa_A_4_2_WartoscBrutto</t>
  </si>
  <si>
    <t>BZ_Aktywa_A_4_3_WartoscBrutto</t>
  </si>
  <si>
    <t>BZ_Aktywa_A_4_4_WartoscBrutto</t>
  </si>
  <si>
    <t>BZ_Aktywa_A_4_WartoscBrutto</t>
  </si>
  <si>
    <t>BO_Aktywa_A_4_1_Umorzenie</t>
  </si>
  <si>
    <t>BO_Aktywa_A_4_2_Umorzenie</t>
  </si>
  <si>
    <t>BO_Aktywa_A_4_3_Umorzenie</t>
  </si>
  <si>
    <t>BO_Aktywa_A_4_4_Umorzenie</t>
  </si>
  <si>
    <t>BO_Aktywa_A_4_Umorzenie</t>
  </si>
  <si>
    <t>BZ_Aktywa_A_4_1_Umorzenie</t>
  </si>
  <si>
    <t>BZ_Aktywa_A_4_2_Umorzenie</t>
  </si>
  <si>
    <t>BZ_Aktywa_A_4_3_Umorzenie</t>
  </si>
  <si>
    <t>BZ_Aktywa_A_4_4_Umorzenie</t>
  </si>
  <si>
    <t>BZ_Aktywa_A_4_Umorzenie</t>
  </si>
  <si>
    <t>BO_Aktywa_A_4_1_Odpisy</t>
  </si>
  <si>
    <t>BO_Aktywa_A_4_2_Odpisy</t>
  </si>
  <si>
    <t>BO_Aktywa_A_4_3_Odpisy</t>
  </si>
  <si>
    <t>BO_Aktywa_A_4_4_Odpisy</t>
  </si>
  <si>
    <t>BO_Aktywa_A_4_Odpisy</t>
  </si>
  <si>
    <t>BZ_Aktywa_A_4_1_Odpisy</t>
  </si>
  <si>
    <t>BZ_Aktywa_A_4_2_Odpisy</t>
  </si>
  <si>
    <t>BZ_Aktywa_A_4_3_Odpisy</t>
  </si>
  <si>
    <t>BZ_Aktywa_A_4_4_Odpisy</t>
  </si>
  <si>
    <t>BZ_Aktywa_A_4_Odpisy</t>
  </si>
  <si>
    <t>Papiery wartościowe oraz prawa</t>
  </si>
  <si>
    <t>Liczba</t>
  </si>
  <si>
    <t>Przyznane prawa</t>
  </si>
  <si>
    <t>Świadectwa udziałowe</t>
  </si>
  <si>
    <t>BZ_Aktywa_A_4_3_LiczbaSwiadectwa</t>
  </si>
  <si>
    <t>BZ_Aktywa_A_4_3_WartoscSwiadectwa</t>
  </si>
  <si>
    <t>BZ_Aktywa_A_4_3_PrawaSwiadectwa</t>
  </si>
  <si>
    <t>Zamienne dłużne papiery wartościowe</t>
  </si>
  <si>
    <t>BZ_Aktywa_A_4_3_LiczbaZamiennePap</t>
  </si>
  <si>
    <t>BZ_Aktywa_A_4_3_WartoscZamiennePap</t>
  </si>
  <si>
    <t>BZ_Aktywa_A_4_3_PrawaZamiennePap</t>
  </si>
  <si>
    <t>Warranty</t>
  </si>
  <si>
    <t>BZ_Aktywa_A_4_3_LiczbaWarranty</t>
  </si>
  <si>
    <t>BZ_Aktywa_A_4_3_WartoscWarranty</t>
  </si>
  <si>
    <t>BZ_Aktywa_A_4_3_PrawaWarranty</t>
  </si>
  <si>
    <t>Opcje</t>
  </si>
  <si>
    <t>BZ_Aktywa_A_4_3_LiczbaOpcje</t>
  </si>
  <si>
    <t>BZ_Aktywa_A_4_3_WartoscOpcje</t>
  </si>
  <si>
    <t>BZ_Aktywa_A_4_3_PrawaOpcje</t>
  </si>
  <si>
    <t>BZ_Aktywa_A_4_3_LiczbaInne</t>
  </si>
  <si>
    <t>BZ_Aktywa_A_4_3_WartoscInne</t>
  </si>
  <si>
    <t>BZ_Aktywa_A_4_3_PrawaInne</t>
  </si>
  <si>
    <t>BO_Aktywa_A_4_3_LiczbaSwiadectwa</t>
  </si>
  <si>
    <t>BO_Aktywa_A_4_3_WartoscSwiadectwa</t>
  </si>
  <si>
    <t>BO_Aktywa_A_4_3_PrawaSwiadectwa</t>
  </si>
  <si>
    <t>BO_Aktywa_A_4_3_LiczbaZamiennePap</t>
  </si>
  <si>
    <t>BO_Aktywa_A_4_3_WartoscZamiennePap</t>
  </si>
  <si>
    <t>BO_Aktywa_A_4_3_PrawaZamiennePap</t>
  </si>
  <si>
    <t>BO_Aktywa_A_4_3_LiczbaWarranty</t>
  </si>
  <si>
    <t>BO_Aktywa_A_4_3_WartoscWarranty</t>
  </si>
  <si>
    <t>BO_Aktywa_A_4_3_PrawaWarranty</t>
  </si>
  <si>
    <t>BO_Aktywa_A_4_3_LiczbaOpcje</t>
  </si>
  <si>
    <t>BO_Aktywa_A_4_3_WartoscOpcje</t>
  </si>
  <si>
    <t>BO_Aktywa_A_4_3_PrawaOpcje</t>
  </si>
  <si>
    <t>BO_Aktywa_A_4_3_LiczbaInne</t>
  </si>
  <si>
    <t>BO_Aktywa_A_4_3_WartoscInne</t>
  </si>
  <si>
    <t>BO_Aktywa_A_4_3_PrawaInne</t>
  </si>
  <si>
    <t>Jeżeli wartość długoterminowych aktywów finansowych jest znacząca i wystąpiły istotne zmiany pozycji w roku obrotowym należy dodać tabelę ruchu z podziałem na grupy.</t>
  </si>
  <si>
    <t>Udziały i akcje w jednostkach zależnych</t>
  </si>
  <si>
    <t>Lp</t>
  </si>
  <si>
    <t>Nazwa i siedziba Jednostki</t>
  </si>
  <si>
    <t>Wartość wg cen nabycia udziałów/akcji</t>
  </si>
  <si>
    <t>Przeszacowanie</t>
  </si>
  <si>
    <t>Trwała utrata wartości</t>
  </si>
  <si>
    <t>% udziału w kapitale jednostki</t>
  </si>
  <si>
    <t>% głosów w organie stanowiącym Spółki</t>
  </si>
  <si>
    <t>Kwota kapitału własnego</t>
  </si>
  <si>
    <t>Zysk/strata netto Spółki za ostatni rok obrotowy</t>
  </si>
  <si>
    <t xml:space="preserve">Udziały i akcje w jednostkach współzależnych </t>
  </si>
  <si>
    <t>Udziały i akcje w jednostkach stowarzyszonych</t>
  </si>
  <si>
    <t xml:space="preserve">Udziały i akcje w pozostałych jednostkach </t>
  </si>
  <si>
    <t xml:space="preserve">Specyfikacja umów pożyczek udzielonych </t>
  </si>
  <si>
    <t>Nazwa pożyczkobiorcy</t>
  </si>
  <si>
    <t>Kwota umowna</t>
  </si>
  <si>
    <t>Część krótkoterminowa</t>
  </si>
  <si>
    <t>Część długoterminowa</t>
  </si>
  <si>
    <t>Warunki oprocentowania na dzień bilansowy</t>
  </si>
  <si>
    <t>Zabezpieczenie spłaty</t>
  </si>
  <si>
    <t>Czynne rozliczenia międzyokresowe</t>
  </si>
  <si>
    <t>Długoterminowe inne rozliczenia międzyokresowe</t>
  </si>
  <si>
    <t>BZ_Aktywa_A_5_2_Poz1</t>
  </si>
  <si>
    <t>BO_Aktywa_A_5_2_Poz1</t>
  </si>
  <si>
    <t>BZ_Aktywa_A_5_2_Poz2</t>
  </si>
  <si>
    <t>BO_Aktywa_A_5_2_Poz2</t>
  </si>
  <si>
    <t>BZ_Aktywa_A_5_2_Poz3</t>
  </si>
  <si>
    <t>BO_Aktywa_A_5_2_Poz3</t>
  </si>
  <si>
    <t>BZ_Aktywa_A_5_2_Poz4</t>
  </si>
  <si>
    <t>BO_Aktywa_A_5_2_Poz4</t>
  </si>
  <si>
    <t>BZ_Aktywa_A_5_2_Poz5</t>
  </si>
  <si>
    <t>BO_Aktywa_A_5_2_Poz5</t>
  </si>
  <si>
    <t>BZ_Aktywa_A_5_2_Poz6</t>
  </si>
  <si>
    <t>BO_Aktywa_A_5_2_Poz6</t>
  </si>
  <si>
    <t>BZ_Aktywa_A_5_2_Poz7</t>
  </si>
  <si>
    <t>BO_Aktywa_A_5_2_Poz7</t>
  </si>
  <si>
    <t>BZ_Aktywa_A_5_2_Poz8</t>
  </si>
  <si>
    <t>BO_Aktywa_A_5_2_Poz8</t>
  </si>
  <si>
    <t>BZ_Aktywa_A_5_2_Poz9</t>
  </si>
  <si>
    <t>BO_Aktywa_A_5_2_Poz9</t>
  </si>
  <si>
    <t>różnica między wartością otrzymanych finansowych aktywów a zobowiązaniem zapłaty za nie</t>
  </si>
  <si>
    <t>BZ_Aktywa_A_5_2_Poz10</t>
  </si>
  <si>
    <t>BO_Aktywa_A_5_2_Poz10</t>
  </si>
  <si>
    <t>BZ_Aktywa_B_4_Poz1</t>
  </si>
  <si>
    <t>BO_Aktywa_B_4_Poz1</t>
  </si>
  <si>
    <t>BZ_Aktywa_B_4_Poz2</t>
  </si>
  <si>
    <t>BO_Aktywa_B_4_Poz2</t>
  </si>
  <si>
    <t>BZ_Aktywa_B_4_Poz3</t>
  </si>
  <si>
    <t>BO_Aktywa_B_4_Poz3</t>
  </si>
  <si>
    <t>BZ_Aktywa_B_4_Poz4</t>
  </si>
  <si>
    <t>BO_Aktywa_B_4_Poz4</t>
  </si>
  <si>
    <t>BZ_Aktywa_B_4_Poz5</t>
  </si>
  <si>
    <t>BO_Aktywa_B_4_Poz5</t>
  </si>
  <si>
    <t>BZ_Aktywa_B_4_Poz6</t>
  </si>
  <si>
    <t>BO_Aktywa_B_4_Poz6</t>
  </si>
  <si>
    <t>BZ_Aktywa_B_4_Poz7</t>
  </si>
  <si>
    <t>BO_Aktywa_B_4_Poz7</t>
  </si>
  <si>
    <t>BZ_Aktywa_B_4_Poz8</t>
  </si>
  <si>
    <t>BO_Aktywa_B_4_Poz8</t>
  </si>
  <si>
    <t>BZ_Aktywa_B_4_Poz9</t>
  </si>
  <si>
    <t>BO_Aktywa_B_4_Poz9</t>
  </si>
  <si>
    <t>BZ_Aktywa_B_4_Poz10</t>
  </si>
  <si>
    <t>BO_Aktywa_B_4_Poz10</t>
  </si>
  <si>
    <t>Struktura wiekowa zapasów</t>
  </si>
  <si>
    <t>Jeżeli wartość zapasów jest istotną pozycją należy zaprezentować strukturę wiekową. Jeśli nie - pominąć.</t>
  </si>
  <si>
    <t>Odpisy aktualizujące  (wartość ujemna)</t>
  </si>
  <si>
    <t>Lub:</t>
  </si>
  <si>
    <t>Zapasy wykazane zostały w bilansie w wartości netto, czyli pomniejszone o odpisy aktualizujące</t>
  </si>
  <si>
    <t>BZ_Aktywa_B_1_Odpisy</t>
  </si>
  <si>
    <t>BO_Aktywa_B_1_Odpisy</t>
  </si>
  <si>
    <t xml:space="preserve">Zmiany w stanie odpisów aktualizujących zapasy </t>
  </si>
  <si>
    <t>Odpisy aktualizujące
materiały</t>
  </si>
  <si>
    <t>Odpisy aktualizujące
produkty gotowe</t>
  </si>
  <si>
    <t>Odpisy aktualizujące
towary</t>
  </si>
  <si>
    <t>Odpisy aktualizujące
półprodukty i produkty w toku</t>
  </si>
  <si>
    <t>Razem odpisy aktualizujące zapasy</t>
  </si>
  <si>
    <t xml:space="preserve">utworzenie odpisów </t>
  </si>
  <si>
    <t xml:space="preserve">rozwiązanie </t>
  </si>
  <si>
    <t xml:space="preserve">wykorzystanie </t>
  </si>
  <si>
    <t xml:space="preserve">Odsetki i różnice kursowe powiększające cenę nabycia towarów lub koszt wytworzenia produktów </t>
  </si>
  <si>
    <t>odsetki</t>
  </si>
  <si>
    <t>BZ_Aktywa_B_1_4_Odsetki</t>
  </si>
  <si>
    <t>BO_Aktywa_B_1_4_Odsetki</t>
  </si>
  <si>
    <t>różnice kursowe</t>
  </si>
  <si>
    <t>BZ_Aktywa_B_1_4_Roznice</t>
  </si>
  <si>
    <t>BO_Aktywa_B_1_4_Roznice</t>
  </si>
  <si>
    <t>Produkty</t>
  </si>
  <si>
    <t>BZ_Aktywa_B_1_3_Odsetki</t>
  </si>
  <si>
    <t>BO_Aktywa_B_1_3_Odsetki</t>
  </si>
  <si>
    <t>BZ_Aktywa_B_1_3_Roznice</t>
  </si>
  <si>
    <t>BO_Aktywa_B_1_3_Roznice</t>
  </si>
  <si>
    <t>W roku obrotowym nie wystąpiły odsetki oraz różnice kursowe powiększające cenę nabycia towarów lub koszt wytworzenia produktów.</t>
  </si>
  <si>
    <t>Specyfikacja należności krótkoterminowych</t>
  </si>
  <si>
    <t>wartość brutto</t>
  </si>
  <si>
    <t>odpisy aktualizujące</t>
  </si>
  <si>
    <t>wartość netto</t>
  </si>
  <si>
    <t>Należności od jednostek powiązanych, z tego:</t>
  </si>
  <si>
    <t>z tytułu dostaw i usług, w tym o okresie spłaty:</t>
  </si>
  <si>
    <t>BZ_Aktywa_B_2_1_A_1_Do12Mc</t>
  </si>
  <si>
    <t>BZ_Aktywa_B_2_1_A_1_Do12McOdpis</t>
  </si>
  <si>
    <t>BZ_Aktywa_B_2_1_A_2_Powyzej12Mc</t>
  </si>
  <si>
    <t>BZ_Aktywa_B_2_1_A_2_Powyzej12McOdpis</t>
  </si>
  <si>
    <t>BZ_Aktywa_B_2_1_B_Inne</t>
  </si>
  <si>
    <t>BZ_Aktywa_B_2_1_B_InneOdpis</t>
  </si>
  <si>
    <t>Należności od pozostałych jednostek, w których jednostka posiada zaangażowanie w kapitale, z tego:</t>
  </si>
  <si>
    <t>BZ_Aktywa_B_2_2_A_1_Do12Mc</t>
  </si>
  <si>
    <t>BZ_Aktywa_B_2_2_A_1_Do12McOdpis</t>
  </si>
  <si>
    <t>BZ_Aktywa_B_2_2_A_2_Powyzej12Mc</t>
  </si>
  <si>
    <t>BZ_Aktywa_B_2_2_A_2_Powyzej12McOdpis</t>
  </si>
  <si>
    <t>BZ_Aktywa_B_2_2_B_Inne</t>
  </si>
  <si>
    <t>BZ_Aktywa_B_2_2_B_InneOdpis</t>
  </si>
  <si>
    <t>Należności od pozostałych jednostek, z tego:</t>
  </si>
  <si>
    <t>BZ_Aktywa_B_2_3_A_1_Do12Mc</t>
  </si>
  <si>
    <t>BZ_Aktywa_B_2_3_A_1_Do12McOdpis</t>
  </si>
  <si>
    <t>BZ_Aktywa_B_2_3_A_1_Powyzej12Mc</t>
  </si>
  <si>
    <t>BZ_Aktywa_B_2_3_A_1_Powyzej12McOdpis</t>
  </si>
  <si>
    <t>BZ_Aktywa_B_2_3_B_Podatki</t>
  </si>
  <si>
    <t>BZ_Aktywa_B_2_3_B_PodatkiOdpis</t>
  </si>
  <si>
    <t>BZ_Aktywa_B_2_3_C_Inne</t>
  </si>
  <si>
    <t>BZ_Aktywa_B_2_3_C_InneOdpis</t>
  </si>
  <si>
    <t>BZ_Aktywa_B_2_3_D_Sad</t>
  </si>
  <si>
    <t>BZ_Aktywa_B_2_3_D_SadOdpis</t>
  </si>
  <si>
    <t>BO_Aktywa_B_2_1_A_1_Do12Mc</t>
  </si>
  <si>
    <t>BO_Aktywa_B_2_1_A_1_Do12McOdpis</t>
  </si>
  <si>
    <t>BO_Aktywa_B_2_1_A_2_Powyzej12Mc</t>
  </si>
  <si>
    <t>BO_Aktywa_B_2_1_A_2_Powyzej12McOdpis</t>
  </si>
  <si>
    <t>BO_Aktywa_B_2_1_B_Inne</t>
  </si>
  <si>
    <t>BO_Aktywa_B_2_1_B_InneOdpis</t>
  </si>
  <si>
    <t>BO_Aktywa_B_2_2_A_1_Do12Mc</t>
  </si>
  <si>
    <t>BO_Aktywa_B_2_2_A_1_Do12McOdpis</t>
  </si>
  <si>
    <t>BO_Aktywa_B_2_2_A_2_Powyzej12Mc</t>
  </si>
  <si>
    <t>BO_Aktywa_B_2_2_A_2_Powyzej12McOdpis</t>
  </si>
  <si>
    <t>BO_Aktywa_B_2_2_B_Inne</t>
  </si>
  <si>
    <t>BO_Aktywa_B_2_2_B_InneOdpis</t>
  </si>
  <si>
    <t>BO_Aktywa_B_2_3_A_1_Do12Mc</t>
  </si>
  <si>
    <t>BO_Aktywa_B_2_3_A_1_Do12McOdpis</t>
  </si>
  <si>
    <t>BO_Aktywa_B_2_3_A_1_Powyzej12Mc</t>
  </si>
  <si>
    <t>BO_Aktywa_B_2_3_A_1_Powyzej12McOdpis</t>
  </si>
  <si>
    <t>BO_Aktywa_B_2_3_B_Podatki</t>
  </si>
  <si>
    <t>BO_Aktywa_B_2_3_B_PodatkiOdpis</t>
  </si>
  <si>
    <t>BO_Aktywa_B_2_3_C_Inne</t>
  </si>
  <si>
    <t>BO_Aktywa_B_2_3_C_InneOdpis</t>
  </si>
  <si>
    <t>BO_Aktywa_B_2_3_D_Sad</t>
  </si>
  <si>
    <t>BO_Aktywa_B_2_3_D_SadOdpis</t>
  </si>
  <si>
    <t>Należności z tytułu dostaw i usług brutto według wieku</t>
  </si>
  <si>
    <t>Wiek w dniach</t>
  </si>
  <si>
    <t>Ogółem w wartości brutto</t>
  </si>
  <si>
    <t>Ogółem w wartości netto</t>
  </si>
  <si>
    <t>od jednostek powiązanych, z tego:</t>
  </si>
  <si>
    <t>bieżące</t>
  </si>
  <si>
    <t>przeterminowane, w tym:</t>
  </si>
  <si>
    <t>do 90 dni</t>
  </si>
  <si>
    <t>90-180 dni</t>
  </si>
  <si>
    <t>180-360 dni</t>
  </si>
  <si>
    <t>powyżej 360 dni</t>
  </si>
  <si>
    <t>od pozostałych jednostek, w których jednostka posiada zaangażowanie w kapitale, z tego:</t>
  </si>
  <si>
    <t>od pozostałych jednostek, z tego:</t>
  </si>
  <si>
    <t>Zmiany w stanie odpisów aktualizujących należności krótkoterminowe (wg tytułów należności)</t>
  </si>
  <si>
    <t>Odpisy aktualizujące
należności z tytułu
dostaw i usług</t>
  </si>
  <si>
    <t>w tym od jednostek powiązanych</t>
  </si>
  <si>
    <t>Odpisy aktualizujące należności pozostałe</t>
  </si>
  <si>
    <t>Razem odpisy aktualizujące należności krótkoterminowe</t>
  </si>
  <si>
    <t>BO_Aktywa_B_2_3_A_Odpis</t>
  </si>
  <si>
    <t>BO_Aktywa_B_2_1_A_Odpis</t>
  </si>
  <si>
    <t>BO_Aktywa_B_2_3_C_Odpis</t>
  </si>
  <si>
    <t>BO_Aktywa_B_2_1_B_Odpis</t>
  </si>
  <si>
    <t>- utworzenia odpisów aktualizujących w ciężar pozostałych kosztów operacyjnych</t>
  </si>
  <si>
    <t>- utworzenia odpisów aktualizujących w ciężar  kosztów finansowych</t>
  </si>
  <si>
    <t>- przesunięcia miedzy należnościami</t>
  </si>
  <si>
    <t>- rozwiązanie odpisów aktualizujących odniesionych w pozostałe przychody operacyjne</t>
  </si>
  <si>
    <t>- rozwiązanie odpisów aktualizujących odniesione w przychody finansowe</t>
  </si>
  <si>
    <t>- wykorzystanie odpisów (spisanie należności z odpisem)</t>
  </si>
  <si>
    <t>BZ_Aktywa_B_2_3_A_Odpis</t>
  </si>
  <si>
    <t>BZ_Aktywa_B_2_1_A_Odpis</t>
  </si>
  <si>
    <t>BZ_Aktywa_B_2_3_C_Odpis</t>
  </si>
  <si>
    <t>BZ_Aktywa_B_2_1_B_Odpis</t>
  </si>
  <si>
    <t>Środki pieniężne</t>
  </si>
  <si>
    <t>Środki pieniężne w kasie</t>
  </si>
  <si>
    <t>BZ_Aktywa_B_3_1_C_1_Kasa</t>
  </si>
  <si>
    <t>BO_Aktywa_B_3_1_C_1_Kasa</t>
  </si>
  <si>
    <t>Środki pieniężne na rachunkach, w tym:</t>
  </si>
  <si>
    <t>BZ_Aktywa_B_3_1_C_1_Bank</t>
  </si>
  <si>
    <t>BO_Aktywa_B_3_1_C_1_Bank</t>
  </si>
  <si>
    <t xml:space="preserve">     środki pieniężne zgromadzone na rachunku VAT</t>
  </si>
  <si>
    <t>BZ_Aktywa_B_3_1_C_1_VAT</t>
  </si>
  <si>
    <t>BO_Aktywa_B_3_1_C_1_VAT</t>
  </si>
  <si>
    <r>
      <t>Struktura własności kapitału zakładowego</t>
    </r>
    <r>
      <rPr>
        <b/>
        <i/>
        <sz val="10"/>
        <color indexed="10"/>
        <rFont val="Times New Roman"/>
        <family val="1"/>
        <charset val="238"/>
      </rPr>
      <t xml:space="preserve"> </t>
    </r>
  </si>
  <si>
    <t>Udziałowiec</t>
  </si>
  <si>
    <t>Ilość udziałów</t>
  </si>
  <si>
    <t>Wartość udziałów</t>
  </si>
  <si>
    <t>Udział % w kapitale zakładowym</t>
  </si>
  <si>
    <t>Udział % w liczbie głosów</t>
  </si>
  <si>
    <t>Proszę podąć opis rodzaju uprzywilejowania dla poszczególnych serii udziałów/ akcji.</t>
  </si>
  <si>
    <r>
      <t xml:space="preserve">Jeżeli spółka nie prezentuje zestawienia zmian w kapitale, to w tym  miejscu musi podać zestawienie zmian dla kapitału zapasowego, rezerwowego </t>
    </r>
    <r>
      <rPr>
        <b/>
        <i/>
        <sz val="10"/>
        <color indexed="17"/>
        <rFont val="Times New Roman"/>
        <family val="1"/>
        <charset val="238"/>
      </rPr>
      <t>oraz kapitału z aktualizacji wyceny</t>
    </r>
    <r>
      <rPr>
        <b/>
        <i/>
        <sz val="10"/>
        <color indexed="10"/>
        <rFont val="Times New Roman"/>
        <family val="1"/>
        <charset val="238"/>
      </rPr>
      <t>- wzór jak w/w sprawozdaniu.</t>
    </r>
  </si>
  <si>
    <t>Proponowany tekst jest jedynie dla prostej spółki akcyjnej. W przypadku wystąpienia jeden z tekstów jest wymagany.</t>
  </si>
  <si>
    <t>Liczbę akcji obejmowanych przez akcjonariuszy w prostej spółce akcyjnej w zamian za wkłady niepieniężne, których przedmiotem jest prawo niezbywalne lub świadczenie pracy lub usług</t>
  </si>
  <si>
    <t>Akcjonariusze nie obejmowali akcji w prostej spółce akcyjnej w zamian za wkłady niepieniężne, których przedmiotem jest prawo niezbywalne lub świadczenie pracy lub usług w bieżącym roku.</t>
  </si>
  <si>
    <t>Propozycje co do sposobu podziału zysku lub pokrycia straty za rok obrotowy</t>
  </si>
  <si>
    <t>- wypłata dywidendy</t>
  </si>
  <si>
    <t>- pokrycie straty z lat ubiegłych</t>
  </si>
  <si>
    <t>- przeniesienie na kapitał zapasowy</t>
  </si>
  <si>
    <t>- przeniesienie na kapitał rezerwowy</t>
  </si>
  <si>
    <t>- pokrycie z zysków lat kolejnych</t>
  </si>
  <si>
    <t xml:space="preserve">Zmiana kapitałów własnych </t>
  </si>
  <si>
    <t>(dotyczy Spółek, które nie sporzadzają zestawienia zmian w kapitale własnym)</t>
  </si>
  <si>
    <t>Kapitał zapasowy</t>
  </si>
  <si>
    <t>Kapitał z aktualizacji wyceny</t>
  </si>
  <si>
    <t>Pozostałe kapitały rezerwowe</t>
  </si>
  <si>
    <t>Suma</t>
  </si>
  <si>
    <t>BO_Pasywa_A_2_Zmiana</t>
  </si>
  <si>
    <t>BO_Pasywa_A_3_Zmiana</t>
  </si>
  <si>
    <t>BO_Pasywa_A_4_Zmiana</t>
  </si>
  <si>
    <t>zwiększenia</t>
  </si>
  <si>
    <t>zmniejszenia</t>
  </si>
  <si>
    <t>BZ_Pasywa_A_2_Zmiana</t>
  </si>
  <si>
    <t>BZ_Pasywa_A_3_Zmiana</t>
  </si>
  <si>
    <t>BZ_Pasywa_A_4_Zmiana</t>
  </si>
  <si>
    <t>Należne wpłaty na kapitał podstawowy</t>
  </si>
  <si>
    <t>Proszę podać planowany termin wpłaty kapitału.</t>
  </si>
  <si>
    <t>Proszę podać ich charakter i cel.</t>
  </si>
  <si>
    <t>Rezerwy</t>
  </si>
  <si>
    <t>Zmiany w stanie rezerw na świadczenia emerytalne i podobne</t>
  </si>
  <si>
    <t>długo- terminowe</t>
  </si>
  <si>
    <t>krótko- terminowe</t>
  </si>
  <si>
    <t>BO_Pasywa_B_1_2_1_Emerytalne</t>
  </si>
  <si>
    <t>BO_Pasywa_B_1_2_2_Emerytalne</t>
  </si>
  <si>
    <t>BZ_Pasywa_B_1_2_1_Emerytalne</t>
  </si>
  <si>
    <t>BZ_Pasywa_B_1_2_2_Emerytalne</t>
  </si>
  <si>
    <t>Zmiany w stanie pozostałych rezerw długoterminowych</t>
  </si>
  <si>
    <t>[Tytuł Rezerwy A]</t>
  </si>
  <si>
    <t>[Tytuł Rezerwy B]</t>
  </si>
  <si>
    <t>[Pozostałe Rezerwy C]</t>
  </si>
  <si>
    <t>BO_Pasywa_B_1_3_1_PozostałeA</t>
  </si>
  <si>
    <t>BO_Pasywa_B_1_3_1_PozostałeB</t>
  </si>
  <si>
    <t>BO_Pasywa_B_1_3_1_PozostałeC</t>
  </si>
  <si>
    <t>BZ_Pasywa_B_1_3_1_PozostałeA</t>
  </si>
  <si>
    <t>BZ_Pasywa_B_1_3_1_PozostałeB</t>
  </si>
  <si>
    <t>BZ_Pasywa_B_1_3_1_PozostałeC</t>
  </si>
  <si>
    <t>Zmiany w stanie pozostałych rezerw krótkoterminowych</t>
  </si>
  <si>
    <t>[Tytuł Rezerwy C]</t>
  </si>
  <si>
    <t>BO_Pasywa_B_1_3_2_PozostałeA</t>
  </si>
  <si>
    <t>BO_Pasywa_B_1_3_2_PozostałeB</t>
  </si>
  <si>
    <t>BO_Pasywa_B_1_3_2_PozostałeC</t>
  </si>
  <si>
    <t>BZ_Pasywa_B_1_3_2_PozostałeA</t>
  </si>
  <si>
    <t>BZ_Pasywa_B_1_3_2_PozostałeB</t>
  </si>
  <si>
    <t>BZ_Pasywa_B_1_3_2_PozostałeC</t>
  </si>
  <si>
    <t>Jeśli pozycje istotne do  każdej grupy rezerw oraz biernych rozliczeń międzyokresowych kosztów proszę podać:</t>
  </si>
  <si>
    <t>- krótki opis charakteru zobowiązania oraz oczekiwanych terminów realizacji,</t>
  </si>
  <si>
    <t>- informacje o wszelkich istotnych niepewnościach co do kwoty i terminów wystąpienia tych wypływów,</t>
  </si>
  <si>
    <t>- główne założenia, jeżeli jest to zasadne, dotyczące przyszłych zdarzeń, które zostały uwzględnione przy szacowaniu rezerwy,</t>
  </si>
  <si>
    <t>- kwotę wszelkiego zakładanego zwrotu składnika aktywów.</t>
  </si>
  <si>
    <t>Jednostki powiązane</t>
  </si>
  <si>
    <t>Pozostałe jednostki, w których jednostka posiada zaangażowanie w kapitale</t>
  </si>
  <si>
    <t>Pozostałe jednostki</t>
  </si>
  <si>
    <t>część długoterminowa</t>
  </si>
  <si>
    <t>powyżej 1 roku do 3 lat</t>
  </si>
  <si>
    <t>powyżej 3 do 5 lat</t>
  </si>
  <si>
    <t>powyżej 5 lat</t>
  </si>
  <si>
    <t>część krótkoterminowa</t>
  </si>
  <si>
    <t>do 1 roku</t>
  </si>
  <si>
    <t>Struktura wiekowa zobowiązań długoterminowych wobec jednostek powiązanych</t>
  </si>
  <si>
    <t>Z tytułu emisji dłużnych papierów wartościo- wych</t>
  </si>
  <si>
    <t>Inne zobowiązania finansowe, w tym z tyt. leasingu finansowego</t>
  </si>
  <si>
    <t>Zobowiązania wekslowe</t>
  </si>
  <si>
    <t>Struktura wiekowa zobowiązań długoterminowych wobec pozostałych jednostek, w których jednostka posiada zaangażowanie w kapitale</t>
  </si>
  <si>
    <t>Struktura wiekowa zobowiązań długoterminowych wobec pozostałych jednostek</t>
  </si>
  <si>
    <t xml:space="preserve">Wykaz zobowiązań bilansowych </t>
  </si>
  <si>
    <t>Rodzaj kredytu/pożyczki</t>
  </si>
  <si>
    <t>Nazwa banku/pożyczkodawcy</t>
  </si>
  <si>
    <t>Warunki oprocentowania i zabezpieczenie spłaty na dzień bilansowy</t>
  </si>
  <si>
    <t xml:space="preserve">Ustanowione przez Spółkę zabezpieczenia na aktywach </t>
  </si>
  <si>
    <t>BZ_Pasywa_B_2_3_E_ST</t>
  </si>
  <si>
    <t>BO_Pasywa_B_2_3_E_ST</t>
  </si>
  <si>
    <t>hipoteka</t>
  </si>
  <si>
    <t>BZ_Pasywa_B_2_3_E_STHipoteka</t>
  </si>
  <si>
    <t>BO_Pasywa_B_2_3_E_STHipoteka</t>
  </si>
  <si>
    <t>zastaw</t>
  </si>
  <si>
    <t>BZ_Pasywa_B_2_3_E_STZastaw</t>
  </si>
  <si>
    <t>BO_Pasywa_B_2_3_E_STZastaw</t>
  </si>
  <si>
    <t>BZ_Pasywa_B_2_3_E_Zapas</t>
  </si>
  <si>
    <t>BO_Pasywa_B_2_3_E_Zapas</t>
  </si>
  <si>
    <t>BZ_Pasywa_B_2_3_E_ZapasZastaw</t>
  </si>
  <si>
    <t>BO_Pasywa_B_2_3_E_ZapasZastaw</t>
  </si>
  <si>
    <t>Należności</t>
  </si>
  <si>
    <t>BZ_Pasywa_B_2_3_E_Naleznosc</t>
  </si>
  <si>
    <t>BO_Pasywa_B_2_3_E_Naleznosc</t>
  </si>
  <si>
    <t>cesja</t>
  </si>
  <si>
    <t>BZ_Pasywa_B_2_3_E_NaleznoscCesja</t>
  </si>
  <si>
    <t>BO_Pasywa_B_2_3_E_NaleznoscCesja</t>
  </si>
  <si>
    <t>(należy wskazać charakter i formę tych zabezpieczeń)</t>
  </si>
  <si>
    <t>Spółka nie ustanowiła żadnych zabezpieczeń na aktywach.</t>
  </si>
  <si>
    <t xml:space="preserve">Zobowiązania z tytułu leasingu finansowego </t>
  </si>
  <si>
    <t>[do zastosowania w przypadku istotnych wartości tej pozycji]</t>
  </si>
  <si>
    <t>płatne w okresie:</t>
  </si>
  <si>
    <t>wartość nominalna minimalnych opłat leasingowych</t>
  </si>
  <si>
    <t>wartość bieżąca minimalnych opłat leasingowych</t>
  </si>
  <si>
    <t>BZ_Pasywa_B_3_3_I_Nominalna1Rok</t>
  </si>
  <si>
    <t>BO_Pasywa_B_3_3_I_Nominalna1Rok</t>
  </si>
  <si>
    <t>BZ_Pasywa_B_3_3_I_Biezaca1Rok</t>
  </si>
  <si>
    <t>BO_Pasywa_B_3_3_I_Biezaca1Rok</t>
  </si>
  <si>
    <t>od roku do 3 lat</t>
  </si>
  <si>
    <t>BZ_Pasywa_B_3_3_I_NominalnaDo3Lat</t>
  </si>
  <si>
    <t>BO_Pasywa_B_3_3_I_NominalnaDo3Lat</t>
  </si>
  <si>
    <t>BZ_Pasywa_B_3_3_I_BiezacaDo3Lat</t>
  </si>
  <si>
    <t>BO_Pasywa_B_3_3_I_BiezacaDo3Lat</t>
  </si>
  <si>
    <t>od 3 lat do 5 lat</t>
  </si>
  <si>
    <t>BZ_Pasywa_B_3_3_I_NominalnaDo5Lat</t>
  </si>
  <si>
    <t>BO_Pasywa_B_3_3_I_NominalnaDo5Lat</t>
  </si>
  <si>
    <t>BZ_Pasywa_B_3_3_I_BiezacaDo5Lat</t>
  </si>
  <si>
    <t>BO_Pasywa_B_3_3_I_BiezacaDo5Lat</t>
  </si>
  <si>
    <t>BZ_Pasywa_B_3_3_I_NominalnaPowyzej5Lat</t>
  </si>
  <si>
    <t>BO_Pasywa_B_3_3_I_NominalnaPowyzej5Lat</t>
  </si>
  <si>
    <t>BZ_Pasywa_B_3_3_I_BiezacaPowyzej5Lat</t>
  </si>
  <si>
    <t>BO_Pasywa_B_3_3_I_BiezacaPowyzej5Lat</t>
  </si>
  <si>
    <t>Przyszły koszt odsetkowy (wartość ujemna)</t>
  </si>
  <si>
    <t>nie dotyczy</t>
  </si>
  <si>
    <t>Razem wartość bieżąca minimalnych opłat leasingowych, 
z tego:</t>
  </si>
  <si>
    <t>zobowiązania krótkoterminowe</t>
  </si>
  <si>
    <t>BZ_Pasywa_B_3_3_I_ZobKrotko</t>
  </si>
  <si>
    <t>BO_Pasywa_B_3_3_I_ZobKrotko</t>
  </si>
  <si>
    <t>zobowiązania długoterminowe</t>
  </si>
  <si>
    <t>Składniki aktywów lub zobowiązań prezentowane w więcej niż jednej pozycji</t>
  </si>
  <si>
    <t>Następujące składniki aktywów prezentowane są w więcej niż jednej pozycji bilansu:</t>
  </si>
  <si>
    <t>Należności z tytułu [podać tytuł]</t>
  </si>
  <si>
    <t>- w części długoterminowej prezentowane w pozycji [podać pozycję]</t>
  </si>
  <si>
    <t>BZ_WielePozycjiNal_Poz1</t>
  </si>
  <si>
    <t>BO_WielePozycjiNal_Poz1</t>
  </si>
  <si>
    <t>- w części krótkoterminowej prezentowane w pozycji [podać pozycję]</t>
  </si>
  <si>
    <t>BZ_WielePozycjiNal_Poz2</t>
  </si>
  <si>
    <t>BO_WielePozycjiNal_Poz2</t>
  </si>
  <si>
    <t>Następujące składniki zobowiązań prezentowane są w więcej niż jednej pozycji bilansu:</t>
  </si>
  <si>
    <t>Zobowiązania z tytułu [podać tytuł]</t>
  </si>
  <si>
    <t>BZ_WielePozycjiZob_Poz1</t>
  </si>
  <si>
    <t>BO_WielePozycjiZob_Poz1</t>
  </si>
  <si>
    <t>BZ_WielePozycjiZob_Poz2</t>
  </si>
  <si>
    <t>BO_WielePozycjiZob_Poz2</t>
  </si>
  <si>
    <t xml:space="preserve">Bierne rozliczenia międzyokresowe </t>
  </si>
  <si>
    <t>Rozliczenia długoterminowe</t>
  </si>
  <si>
    <t>BZ_Pasywa_B_4_2_1_Poz1</t>
  </si>
  <si>
    <t>BO_Pasywa_B_4_2_1_Poz1</t>
  </si>
  <si>
    <t>BZ_Pasywa_B_4_2_1_Poz2</t>
  </si>
  <si>
    <t>BO_Pasywa_B_4_2_1_Poz2</t>
  </si>
  <si>
    <t>BZ_Pasywa_B_4_2_1_Poz3</t>
  </si>
  <si>
    <t>BO_Pasywa_B_4_2_1_Poz3</t>
  </si>
  <si>
    <t>BZ_Pasywa_B_4_2_1_Poz4</t>
  </si>
  <si>
    <t>BO_Pasywa_B_4_2_1_Poz4</t>
  </si>
  <si>
    <t>BZ_Pasywa_B_4_2_1_Poz5</t>
  </si>
  <si>
    <t>BO_Pasywa_B_4_2_1_Poz5</t>
  </si>
  <si>
    <t>Rozliczenia krótkoterminowe</t>
  </si>
  <si>
    <t>BZ_Pasywa_B_4_2_2_Poz1</t>
  </si>
  <si>
    <t>BO_Pasywa_B_4_2_2_Poz1</t>
  </si>
  <si>
    <t>BZ_Pasywa_B_4_2_2_Poz2</t>
  </si>
  <si>
    <t>BO_Pasywa_B_4_2_2_Poz2</t>
  </si>
  <si>
    <t>BZ_Pasywa_B_4_2_2_Poz3</t>
  </si>
  <si>
    <t>BO_Pasywa_B_4_2_2_Poz3</t>
  </si>
  <si>
    <t>BZ_Pasywa_B_4_2_2_Poz4</t>
  </si>
  <si>
    <t>BO_Pasywa_B_4_2_2_Poz4</t>
  </si>
  <si>
    <t>BZ_Pasywa_B_4_2_2_Poz5</t>
  </si>
  <si>
    <t>BO_Pasywa_B_4_2_2_Poz5</t>
  </si>
  <si>
    <t>Ujawnienia jak przy rezerwach.</t>
  </si>
  <si>
    <t>Wycena aktywów niebędących instrumentami finansowymi według wartości godziwej</t>
  </si>
  <si>
    <t>Przyjęte założenia do ustalenia wartości godziwej w przypadku gdy dane nie pochodzą z aktywnego rynku</t>
  </si>
  <si>
    <t>(należy uzupełnić istotne założenia w przypadku braku aktywnego rynku)</t>
  </si>
  <si>
    <t>Wartość godziwa aktywów niebędących instrumentami finansowymi wykazana w bilansie oraz skutki przeszacowania w okresie sprawozdawczym</t>
  </si>
  <si>
    <t xml:space="preserve">Kategoria aktywa </t>
  </si>
  <si>
    <t>Wartość godziwa</t>
  </si>
  <si>
    <t>Skutki przeszacowania w okresie sprawozdawczym</t>
  </si>
  <si>
    <t>Przychody/ (koszty) finansowe</t>
  </si>
  <si>
    <t>Zmiany w kapitale z aktualizacji wyceny z tytułu aktualizacji wartości godziwej</t>
  </si>
  <si>
    <t>Kapitał z aktualizacji wyceny z tytułu aktualizacji wartości godziwej na początek okresu</t>
  </si>
  <si>
    <t>BZ_Pasywa_A_3_1_BOKAW</t>
  </si>
  <si>
    <t>BO_Pasywa_A_3_1_BOKAW</t>
  </si>
  <si>
    <t>Zmiany kapitału z aktualizacji wyceny</t>
  </si>
  <si>
    <t>BZ_Pasywa_A_3_1_ZwiekszenieKAW</t>
  </si>
  <si>
    <t>BO_Pasywa_A_3_1_ZwiekszenieKAW</t>
  </si>
  <si>
    <t>BZ_Pasywa_A_3_1_ZwiekszenieKAWPoz1</t>
  </si>
  <si>
    <t>BO_Pasywa_A_3_1_ZwiekszenieKAWPoz1</t>
  </si>
  <si>
    <t>BZ_Pasywa_A_3_1_ZmniejszenieKAW</t>
  </si>
  <si>
    <t>BO_Pasywa_A_3_1_ZmniejszenieKAW</t>
  </si>
  <si>
    <t>BZ_Pasywa_A_3_1_ZmniejszenieKAWPoz1</t>
  </si>
  <si>
    <t>BO_Pasywa_A_3_1_ZmniejszenieKAWPoz1</t>
  </si>
  <si>
    <t>Kapitał z aktualizacji wyceny z tytułu aktualizacji wartości godziwej na koniec okresu</t>
  </si>
  <si>
    <t>BZ_Pasywa_A_3_1_BZKAW</t>
  </si>
  <si>
    <t>BO_Pasywa_A_3_1_BZKAW</t>
  </si>
  <si>
    <t>Instrumenty finansowe - aktywa</t>
  </si>
  <si>
    <t xml:space="preserve">Klasyfikacja aktywów do grup instrumentów finansowych </t>
  </si>
  <si>
    <t>Rodzaj instrumentu finansowego</t>
  </si>
  <si>
    <t>Aktywa przeznaczone do obrotu</t>
  </si>
  <si>
    <t>BZ_InstumentyFinAktywaDoObrotu_Poz1</t>
  </si>
  <si>
    <t>BO_InstumentyFinAktywaDoObrotu_Poz1</t>
  </si>
  <si>
    <t>BZ_InstumentyFinAktywaDoObrotu_Poz2</t>
  </si>
  <si>
    <t>BO_InstumentyFinAktywaDoObrotu_Poz2</t>
  </si>
  <si>
    <t>BZ_InstumentyFinAktywaDoObrotu_Poz3</t>
  </si>
  <si>
    <t>BO_InstumentyFinAktywaDoObrotu_Poz3</t>
  </si>
  <si>
    <t>Pożyczki udzielone i należności własne</t>
  </si>
  <si>
    <t>BZ_InstumentyFinPozUdzielone_Poz1</t>
  </si>
  <si>
    <t>BO_InstumentyFinPozUdzielone_Poz1</t>
  </si>
  <si>
    <t>BZ_InstumentyFinPozUdzielone_Poz2</t>
  </si>
  <si>
    <t>BO_InstumentyFinPozUdzielone_Poz2</t>
  </si>
  <si>
    <t>BZ_InstumentyFinPozUdzielone_Poz3</t>
  </si>
  <si>
    <t>BO_InstumentyFinPozUdzielone_Poz3</t>
  </si>
  <si>
    <t>Aktywa utrzymywane do terminu wymagalności</t>
  </si>
  <si>
    <t>BZ_InstumentyFinAktywaUtrzymane_Poz1</t>
  </si>
  <si>
    <t>BO_InstumentyFinAktywaUtrzymane_Poz1</t>
  </si>
  <si>
    <t>BZ_InstumentyFinAktywaUtrzymane_Poz2</t>
  </si>
  <si>
    <t>BO_InstumentyFinAktywaUtrzymane_Poz2</t>
  </si>
  <si>
    <t>BZ_InstumentyFinAktywaUtrzymane_Poz3</t>
  </si>
  <si>
    <t>BO_InstumentyFinAktywaUtrzymane_Poz3</t>
  </si>
  <si>
    <t>Aktywa dostępne do sprzedaży</t>
  </si>
  <si>
    <t>BZ_InstumentyFinAktywaDDS_Poz1</t>
  </si>
  <si>
    <t>BO_InstumentyFinAktywaDDS_Poz1</t>
  </si>
  <si>
    <t>BZ_InstumentyFinAktywaDDS_Poz2</t>
  </si>
  <si>
    <t>BO_InstumentyFinAktywaDDS_Poz2</t>
  </si>
  <si>
    <t>BZ_InstumentyFinAktywaDDS_Poz3</t>
  </si>
  <si>
    <t>BO_InstumentyFinAktywaDDS_Poz3</t>
  </si>
  <si>
    <t>Instrumenty zabezpieczające o wartości godziwej dodatniej</t>
  </si>
  <si>
    <t>BZ_InstumentyFinZabezpieczajace_Poz1</t>
  </si>
  <si>
    <t>BO_InstumentyFinZabezpieczajace_Poz1</t>
  </si>
  <si>
    <t>BZ_InstumentyFinZabezpieczajace_Poz2</t>
  </si>
  <si>
    <t>BO_InstumentyFinZabezpieczajace_Poz2</t>
  </si>
  <si>
    <t>BZ_InstumentyFinZabezpieczajace_Poz3</t>
  </si>
  <si>
    <t>BO_InstumentyFinZabezpieczajace_Poz3</t>
  </si>
  <si>
    <t>Wycena aktywów zaliczonych do instrumentów finansowych</t>
  </si>
  <si>
    <t xml:space="preserve">sposób wyceny </t>
  </si>
  <si>
    <t>wartość w cenie nabycia</t>
  </si>
  <si>
    <t>wartość według wyceny bilansowej</t>
  </si>
  <si>
    <t xml:space="preserve">różnica pomiędzy wartością w cenie nabycia a wyceną bilansową </t>
  </si>
  <si>
    <t>zmiana wyceny w trakcie roku obrotowego odniesiona na RZiS</t>
  </si>
  <si>
    <t>kwota odniesiona w bieżącym roku na kapitał z aktualizacji wyceny</t>
  </si>
  <si>
    <t>Zobowiązania finansowe według tytułów</t>
  </si>
  <si>
    <t xml:space="preserve">Rodzaj zobowiązania </t>
  </si>
  <si>
    <t>zobowiązania finansowe przeznaczone do obrotu</t>
  </si>
  <si>
    <t>BZ_ZobowiazaniaFinansoweDoObrotu_Poz1</t>
  </si>
  <si>
    <t>BO_ZobowiazaniaFinansoweDoObrotu_Poz1</t>
  </si>
  <si>
    <t>BZ_ZobowiazaniaFinansoweDoObrotu_Poz2</t>
  </si>
  <si>
    <t>BO_ZobowiazaniaFinansoweDoObrotu_Poz2</t>
  </si>
  <si>
    <t>BZ_ZobowiazaniaFinansoweDoObrotu_Poz3</t>
  </si>
  <si>
    <t>BO_ZobowiazaniaFinansoweDoObrotu_Poz3</t>
  </si>
  <si>
    <t>pozostałe zobowiązania finansowe</t>
  </si>
  <si>
    <t>BZ_ZobowiazaniaFinansowePozostałe_Poz1</t>
  </si>
  <si>
    <t>BO_ZobowiazaniaFinansowePozostałe_Poz2</t>
  </si>
  <si>
    <t>BZ_ZobowiazaniaFinansowePozostałe_Poz2</t>
  </si>
  <si>
    <t>BO_ZobowiazaniaFinansowePozostałe_Poz3</t>
  </si>
  <si>
    <t>instrumenty zabezpieczające o wartości godziwej ujemnej</t>
  </si>
  <si>
    <t>BZ_ZobowiazaniaFinansoweInstrumentyZabezpieczajace_Poz1</t>
  </si>
  <si>
    <t>BO_ZobowiazaniaFinansoweInstrumentyZabezpieczajace_Poz1</t>
  </si>
  <si>
    <t>BZ_ZobowiazaniaFinansoweInstrumentyZabezpieczajace_Poz2</t>
  </si>
  <si>
    <t>BO_ZobowiazaniaFinansoweInstrumentyZabezpieczajace_Poz2</t>
  </si>
  <si>
    <t>BZ_ZobowiazaniaFinansoweInstrumentyZabezpieczajace_Poz3</t>
  </si>
  <si>
    <t>BO_ZobowiazaniaFinansoweInstrumentyZabezpieczajace_Poz3</t>
  </si>
  <si>
    <t>Instrumenty finansowe zabezpieczające</t>
  </si>
  <si>
    <t>1. Cele i zasady zarządzania ryzykiem finansowym, w tym dotyczące zabezpieczenia podstawowych rodzajów planowanych transakcji oraz uprawdopodobnionych przyszłych zobowiązań (§ 41.1 Rozporządzenia).</t>
  </si>
  <si>
    <t>2. Zabezpieczenie wartości godziwej, przepływów pieniężnych lub udziałów w aktywach netto jednostek zagranicznych (§ 41.2 Rozporządzenia).</t>
  </si>
  <si>
    <t>Rodzaj zabezpieczenia</t>
  </si>
  <si>
    <t>Opis instrumentu zabezpieczającego</t>
  </si>
  <si>
    <t>Wartość godziwa instrumentu zabezpieczającego na dzień bilansowy</t>
  </si>
  <si>
    <t>Charakterystyka zabezpieczanego rodzaju ryzyka</t>
  </si>
  <si>
    <t>3. Zabezpieczenie planowanej transakcji lub uprawdopodobnionego przyszłego zobowiązania (§ 41.3 Rozporządzenia).</t>
  </si>
  <si>
    <t>Opis zabezpieczanej pozycji</t>
  </si>
  <si>
    <t>Przewidywany okres do jej zajścia</t>
  </si>
  <si>
    <t xml:space="preserve">Zyski lub straty odroczone </t>
  </si>
  <si>
    <t>Kwota</t>
  </si>
  <si>
    <t>Przewidywany termin uznania ich za przychody lub koszty</t>
  </si>
  <si>
    <t>4. Zyski lub straty z wyceny instrumentów zabezpieczających, zarówno będących pochodnymi instrumentami finansowymi jak i aktywami lub zobowiązaniami o innym charakterze, w przypadku zabezpieczania przepływów pieniężnych odniesione na kapitał (fundusz) z aktualizacji wyceny (§ 41.4 Rozporządzenia).</t>
  </si>
  <si>
    <t>Kwoty zysków i strat z wyceny instrumentu zabezpieczającego  odniesione na kapitał z aktualizacji wyceny</t>
  </si>
  <si>
    <t>Kwoty odpisane z kapitału (funduszu) z aktualizacji wyceny i zaliczone do przychodów lub kosztów finansowych okresu sprawozdawczego</t>
  </si>
  <si>
    <t>Kwoty odpisane z kapitału (funduszu) z aktualizacji wyceny i dodane do ceny nabycia lub inaczej ustalonej wartości początkowej składnika aktywów lub zobowiązań powstałych w wyniku realizacji zabezpieczonej transakcji</t>
  </si>
  <si>
    <t>Zwiększenia kapitału</t>
  </si>
  <si>
    <t>Zmniejszenia kapitału</t>
  </si>
  <si>
    <t>Struktura przychodów ze sprzedaży</t>
  </si>
  <si>
    <t>Struktura rzeczowa</t>
  </si>
  <si>
    <t>Przychody netto ze sprzedaży produktów (struktura rzeczowa - rodzaje działalności), w tym:</t>
  </si>
  <si>
    <t>BZ_RZISPorA_1_Poz1</t>
  </si>
  <si>
    <t>BO_RZISPorA_1_Poz1</t>
  </si>
  <si>
    <t>BZ_RZISPorA_1_Poz2</t>
  </si>
  <si>
    <t>BO_RZISPorA_1_Poz2</t>
  </si>
  <si>
    <t>Przychody netto ze sprzedaży towarów i materiałów (struktura rzeczowa - rodzaje działalności), w tym:</t>
  </si>
  <si>
    <t xml:space="preserve">towary </t>
  </si>
  <si>
    <t>BZ_RZISPorA_4_Towar</t>
  </si>
  <si>
    <t>BO_RZISPorA_4_Towar</t>
  </si>
  <si>
    <t>materiały</t>
  </si>
  <si>
    <t>BZ_RZISPorA_4_Material</t>
  </si>
  <si>
    <t>BO_RZISPorA_4_Material</t>
  </si>
  <si>
    <t>(w zakresie, w jakim rodzaje działalności istotnie różnią się od siebie z uwzględnieniem zasad organizacji sprzedaży produktów i świadczenia usług)</t>
  </si>
  <si>
    <t>Struktura terytorialna - rynki geograficzne</t>
  </si>
  <si>
    <t>Przychody ze sprzedaży produktów</t>
  </si>
  <si>
    <t>BZ_RZISPorA_1_GeograficznePoz1</t>
  </si>
  <si>
    <t>BO_RZISPorA_1_GeograficznePoz1</t>
  </si>
  <si>
    <t>BZ_RZISPorA_1_GeograficznePoz2</t>
  </si>
  <si>
    <t>BO_RZISPorA_1_GeograficznePoz2</t>
  </si>
  <si>
    <t>Przychody ze sprzedaży towarów i materiałów</t>
  </si>
  <si>
    <t>BZ_RZISPorA_4_GeograficzneTowar</t>
  </si>
  <si>
    <t>BO_RZISPorA_4_GeograficzneTowar</t>
  </si>
  <si>
    <t>BZ_RZISPorA_4_GeograficzneMaterial</t>
  </si>
  <si>
    <t>BO_RZISPorA_4_GeograficzneMaterial</t>
  </si>
  <si>
    <t>(w zakresie, w jakim rynki istotnie różnią się od siebie z uwzględnieniem zasad organizacji sprzedaży produktów i świadczenia usług)</t>
  </si>
  <si>
    <t>Dane o kosztach wytworzenia produktów na własne potrzeby oraz o kosztach rodzajowych</t>
  </si>
  <si>
    <t>Koszt wytworzenia produktów na własne potrzeby</t>
  </si>
  <si>
    <t>BZ_RzisKalkB_KwotaA_ProdWlasnePotrz</t>
  </si>
  <si>
    <t>BO_RzisKalkB_KwotaA_ProdWlasnePotrz</t>
  </si>
  <si>
    <t>Koszty rodzajowe:</t>
  </si>
  <si>
    <t>BZ_RzisKalkB_KwotaA_Rodzajowe</t>
  </si>
  <si>
    <t>BO_RzisKalkB_KwotaA_Rodzajowe</t>
  </si>
  <si>
    <t>amortyzacja</t>
  </si>
  <si>
    <t>BZ_RzisKalkB_KwotaA_Amortyzacja</t>
  </si>
  <si>
    <t>BO_RzisKalkB_KwotaA_Amortyzacja</t>
  </si>
  <si>
    <t>zużycie materiałów i energii</t>
  </si>
  <si>
    <t>BZ_RzisKalkB_KwotaA_MatIEnergia</t>
  </si>
  <si>
    <t>BO_RzisKalkB_KwotaA_MatIEnergia</t>
  </si>
  <si>
    <t>usługi obce</t>
  </si>
  <si>
    <t>BZ_RzisKalkB_KwotaA_UObce</t>
  </si>
  <si>
    <t>BO_RzisKalkB_KwotaA_UObce</t>
  </si>
  <si>
    <t>podatki i opłaty</t>
  </si>
  <si>
    <t>BZ_RzisKalkB_KwotaA_Podatki</t>
  </si>
  <si>
    <t>BO_RzisKalkB_KwotaA_Podatki</t>
  </si>
  <si>
    <t>wynagrodzenia</t>
  </si>
  <si>
    <t>BZ_RzisKalkB_KwotaA_Wynagrodzenia</t>
  </si>
  <si>
    <t>BO_RzisKalkB_KwotaA_Wynagrodzenia</t>
  </si>
  <si>
    <t>ubezpieczenia i inne świadczenia, w tym emerytalnych,</t>
  </si>
  <si>
    <t>BZ_RzisKalkB_KwotaA_PozostaleRodz</t>
  </si>
  <si>
    <t>BO_RzisKalkB_KwotaA_PozostaleRodz</t>
  </si>
  <si>
    <t>pozostałe koszty rodzajowe</t>
  </si>
  <si>
    <t>Spółka nie wytwarzała produktów na własne potrzeby.</t>
  </si>
  <si>
    <t>Wypełnić tylko jeśli pozycje istotne!</t>
  </si>
  <si>
    <t>Zysk z tytułu rozchodu niefinansowych aktywów trwałych:</t>
  </si>
  <si>
    <t>środków trwałych i środków trwałych w budowie</t>
  </si>
  <si>
    <t>BZ_RZISPorD_1_ST</t>
  </si>
  <si>
    <t>BO_RZISPorD_1_ST</t>
  </si>
  <si>
    <t>wartości niematerialnych i prawnych</t>
  </si>
  <si>
    <t>BZ_RZISPorD_1_WNIP</t>
  </si>
  <si>
    <t>BO_RZISPorD_1_WNIP</t>
  </si>
  <si>
    <t>inwestycji</t>
  </si>
  <si>
    <t>BZ_RZISPorD_1_Inwestycje</t>
  </si>
  <si>
    <t>BO_RZISPorD_1_Inwestycje</t>
  </si>
  <si>
    <t>BZ_RZISPorD_3_ST</t>
  </si>
  <si>
    <t>BO_RZISPorD_3_ST</t>
  </si>
  <si>
    <t>BZ_RZISPorD_3_WNIP</t>
  </si>
  <si>
    <t>BO_RZISPorD_3_WNIP</t>
  </si>
  <si>
    <t>inwestycji niefinansowych</t>
  </si>
  <si>
    <t>BZ_RZISPorD_3_Inwestycje</t>
  </si>
  <si>
    <t>BO_RZISPorD_3_Inwestycje</t>
  </si>
  <si>
    <t>należności</t>
  </si>
  <si>
    <t>BZ_RZISPorD_3_Naleznosci</t>
  </si>
  <si>
    <t>BO_RZISPorD_3_Naleznosci</t>
  </si>
  <si>
    <t>zapasów</t>
  </si>
  <si>
    <t>BZ_RZISPorD_3_Zapasow</t>
  </si>
  <si>
    <t>BO_RZISPorD_3_Zapasow</t>
  </si>
  <si>
    <t>innych aktywów</t>
  </si>
  <si>
    <t>BZ_RZISPorD_3_Innych</t>
  </si>
  <si>
    <t>BO_RZISPorD_3_Innych</t>
  </si>
  <si>
    <t>BZ_RZISPorD_2_Dotacje</t>
  </si>
  <si>
    <t>BO_RZISPorD_2_Dotacje</t>
  </si>
  <si>
    <t>Pozostałe, w tym:</t>
  </si>
  <si>
    <t>zdarzenia losowe *</t>
  </si>
  <si>
    <t>BZ_RZISPorD_4_Losowe</t>
  </si>
  <si>
    <t>BO_RZISPorD_4_Losowe</t>
  </si>
  <si>
    <t>rozwiązanie rezerw pozostałych</t>
  </si>
  <si>
    <t>BZ_RZISPorD_4_Rezerwy</t>
  </si>
  <si>
    <t>BO_RZISPorD_4_Rezerwy</t>
  </si>
  <si>
    <t>Strata z tytułu rozchodu niefinansowych aktywów trwałych:</t>
  </si>
  <si>
    <t>BZ_RZISPorE_1_ST</t>
  </si>
  <si>
    <t>BO_RZISPorE_1_ST</t>
  </si>
  <si>
    <t>BZ_RZISPorE_1_WNIP</t>
  </si>
  <si>
    <t>BO_RZISPorE_1_WNIP</t>
  </si>
  <si>
    <t>BZ_RZISPorE_1_Inwestycje</t>
  </si>
  <si>
    <t>BO_RZISPorE_1_Inwestycje</t>
  </si>
  <si>
    <t>BZ_RZISPorE_2_ST</t>
  </si>
  <si>
    <t>BO_RZISPorE_2_ST</t>
  </si>
  <si>
    <t>BZ_RZISPorE_2_WNIP</t>
  </si>
  <si>
    <t>BO_RZISPorE_2_WNIP</t>
  </si>
  <si>
    <t>BZ_RZISPorE_2_Inwestycje</t>
  </si>
  <si>
    <t>BO_RZISPorE_2_Inwestycje</t>
  </si>
  <si>
    <t>BZ_RZISPorE_2_Naleznosci</t>
  </si>
  <si>
    <t>BO_RZISPorE_2_Naleznosci</t>
  </si>
  <si>
    <t>BZ_RZISPorE_2_Zapasow</t>
  </si>
  <si>
    <t>BO_RZISPorE_2_Zapasow</t>
  </si>
  <si>
    <t>BZ_RZISPorE_2_Innych</t>
  </si>
  <si>
    <t>BO_RZISPorE_2_Innych</t>
  </si>
  <si>
    <t>BZ_RZISPorE_3_Losowe</t>
  </si>
  <si>
    <t>BO_RZISPorE_3_Losowe</t>
  </si>
  <si>
    <t>utworzenie rezerw pozostałych</t>
  </si>
  <si>
    <t>BZ_RZISPorE_3_Rezerwy</t>
  </si>
  <si>
    <t>BO_RZISPorE_3_Rezerwy</t>
  </si>
  <si>
    <t>darowizny</t>
  </si>
  <si>
    <t>BZ_RZISPorE_3_Dotacje</t>
  </si>
  <si>
    <t>BO_RZISPorE_3_Dotacje</t>
  </si>
  <si>
    <t xml:space="preserve">Przychody finansowe </t>
  </si>
  <si>
    <t>Przychody finansowe z tytułu odsetek</t>
  </si>
  <si>
    <t>Rodzaj aktywa</t>
  </si>
  <si>
    <t>Przychody z odsetek w danym roku obrotowym</t>
  </si>
  <si>
    <t>Odsetki naliczone i zrealizowane</t>
  </si>
  <si>
    <t>Odsetki naliczone lecz niezrealizowane
(według dat wymagalności)</t>
  </si>
  <si>
    <t>do 3 miesięcy</t>
  </si>
  <si>
    <t>od 3 do 12 miesięcy</t>
  </si>
  <si>
    <t>powyżej 12 miesięcy</t>
  </si>
  <si>
    <t>Dłużne instrumenty finansowe</t>
  </si>
  <si>
    <t>w tym odsetki od aktywów objętych odpisem aktualizującym</t>
  </si>
  <si>
    <t>Udzielone pożyczki</t>
  </si>
  <si>
    <t>Inne aktywa</t>
  </si>
  <si>
    <t>Aktualizacja wartości aktywów finansowych (zwiększenie wartości)</t>
  </si>
  <si>
    <t>udziały i akcje w jednostkach powiązanych</t>
  </si>
  <si>
    <t>BZ_RZISPorG_4_AktualizacjaAktFinPowiazane</t>
  </si>
  <si>
    <t>BO_RZISPorG_4_AktualizacjaAktFinPowiazane</t>
  </si>
  <si>
    <t>udziały i akcje w pozostałych jednostkach, w których jednostka posiada zaangażowanie w kapitale</t>
  </si>
  <si>
    <t>BZ_RZISPorG_4_AktualizacjaAktFinZaangazowanie</t>
  </si>
  <si>
    <t>BO_RZISPorG_4_AktualizacjaAktFinZaangazowanie</t>
  </si>
  <si>
    <t>udziały i akcje w jednostkach pozostałych</t>
  </si>
  <si>
    <t>BZ_RZISPorG_4_AktualizacjaAktFinPozostale</t>
  </si>
  <si>
    <t>BO_RZISPorG_4_AktualizacjaAktFinPozostale</t>
  </si>
  <si>
    <t>papiery wartościowe</t>
  </si>
  <si>
    <t>BZ_RZISPorG_4_AktualizacjaAktFinPapiery</t>
  </si>
  <si>
    <t>BO_RZISPorG_4_AktualizacjaAktFinPapiery</t>
  </si>
  <si>
    <t>udzielone pożyczki</t>
  </si>
  <si>
    <t>BZ_RZISPorG_4_AktualizacjaAktFinPozyczki</t>
  </si>
  <si>
    <t>BO_RZISPorG_4_AktualizacjaAktFinPozyczki</t>
  </si>
  <si>
    <t>inne aktywa finansowe</t>
  </si>
  <si>
    <t>BZ_RZISPorG_4_AktualizacjaAktFinInne</t>
  </si>
  <si>
    <t>BO_RZISPorG_4_AktualizacjaAktFinInne</t>
  </si>
  <si>
    <t>Rozwiązanie odpisów aktualizacyjnych aktywów finansowych</t>
  </si>
  <si>
    <t>inwestycje długoterminowe</t>
  </si>
  <si>
    <t>BZ_RZISPorG_4_RozwiazanieDlugoTermPowiazane</t>
  </si>
  <si>
    <t>BO_RZISPorG_4_RozwiazanieDlugoTermPowiazane</t>
  </si>
  <si>
    <t>BZ_RZISPorG_4_RozwiazanieDlugoTermZaangazowanie</t>
  </si>
  <si>
    <t>BO_RZISPorG_4_RozwiazanieDlugoTermZaangazowanie</t>
  </si>
  <si>
    <t>BZ_RZISPorG_4_RozwiazanieDlugoTermPozostale</t>
  </si>
  <si>
    <t>BO_RZISPorG_4_RozwiazanieDlugoTermPozostale</t>
  </si>
  <si>
    <t>BZ_RZISPorG_4_RozwiazanieDlugoTermPapiery</t>
  </si>
  <si>
    <t>BO_RZISPorG_4_RozwiazanieDlugoTermPapiery</t>
  </si>
  <si>
    <t>BZ_RZISPorG_4_RozwiazanieDlugoTermPozyczki</t>
  </si>
  <si>
    <t>BO_RZISPorG_4_RozwiazanieDlugoTermPozyczki</t>
  </si>
  <si>
    <t>BZ_RZISPorG_4_RozwiazanieDlugoTermInne</t>
  </si>
  <si>
    <t>BO_RZISPorG_4_RozwiazanieDlugoTermInne</t>
  </si>
  <si>
    <t>inwestycje krótkoterminowe</t>
  </si>
  <si>
    <t>BZ_RZISPorG_4_RozwiazanieKrotkoTermPowiazane</t>
  </si>
  <si>
    <t>BO_RZISPorG_4_RozwiazanieKrotkoTermPowiazane</t>
  </si>
  <si>
    <t>BZ_RZISPorG_4_RozwiazanieKrotkoTermPozostale</t>
  </si>
  <si>
    <t>BO_RZISPorG_4_RozwiazanieKrotkoTermPozostale</t>
  </si>
  <si>
    <t>BZ_RZISPorG_4_RozwiazanieKrotkoTermPapiery</t>
  </si>
  <si>
    <t>BO_RZISPorG_4_RozwiazanieKrotkoTermPapiery</t>
  </si>
  <si>
    <t>BZ_RZISPorG_4_RozwiazanieKrotkoTermPozyczki</t>
  </si>
  <si>
    <t>BO_RZISPorG_4_RozwiazanieKrotkoTermPozyczki</t>
  </si>
  <si>
    <t>BZ_RZISPorG_4_RozwiazanieKrotkoTermInne</t>
  </si>
  <si>
    <t>BO_RZISPorG_4_RozwiazanieKrotkoTermInne</t>
  </si>
  <si>
    <t>Razem aktualizacja wartości aktywów finansowych</t>
  </si>
  <si>
    <t>Inne przychody finansowe</t>
  </si>
  <si>
    <t>Rozwiązanie rezerw, z tytułu:</t>
  </si>
  <si>
    <t>BZ_RZISPorG_5_RozwiazaniePoz1</t>
  </si>
  <si>
    <t>BO_RZISPorG_5_RozwiazaniePoz1</t>
  </si>
  <si>
    <t>BZ_RZISPorG_5_RozwiazaniePoz2</t>
  </si>
  <si>
    <t>BO_RZISPorG_5_RozwiazaniePoz2</t>
  </si>
  <si>
    <t>BZ_RZISPorG_5_RozwiazaniePoz3</t>
  </si>
  <si>
    <t>BO_RZISPorG_5_RozwiazaniePoz3</t>
  </si>
  <si>
    <t>odwrócenie odpisów aktualizujących odsetki od należności</t>
  </si>
  <si>
    <t>BZ_RZISPorG_5_Odwrocenie</t>
  </si>
  <si>
    <t>BO_RZISPorG_5_Odwrocenie</t>
  </si>
  <si>
    <t xml:space="preserve">nadwyżka dodatnich różnic kursowych nad ujemnymi, w tym: </t>
  </si>
  <si>
    <t>dodatnie różnice kursowe zrealizowane z br.</t>
  </si>
  <si>
    <t>BZ_RZISPorG_5_DodatnieRKZrealizowane</t>
  </si>
  <si>
    <t>BO_RZISPorG_5_DodatnieRKZrealizowane</t>
  </si>
  <si>
    <t>ujemne różnice kursowe zrealizowane z br.</t>
  </si>
  <si>
    <t>BZ_RZISPorG_5_UjemneRKZrealizowane</t>
  </si>
  <si>
    <t>BO_RZISPorG_5_UjemneRKZrealizowane</t>
  </si>
  <si>
    <t xml:space="preserve">dodatnie różnice kursowe niezrealizowane z wyceny </t>
  </si>
  <si>
    <t>BZ_RZISPorG_5_DodatnieRKNiezrealizowane</t>
  </si>
  <si>
    <t>BO_RZISPorG_5_DodatnieRKNiezrealizowane</t>
  </si>
  <si>
    <t>ujemne różnice kursowe niezrealizowane z wyceny</t>
  </si>
  <si>
    <t>BZ_RZISPorG_5_UjemneRKNiezrealizowane</t>
  </si>
  <si>
    <t>BO_RZISPorG_5_UjemneRKNiezrealizowane</t>
  </si>
  <si>
    <t>Razem inne przychody finansowe</t>
  </si>
  <si>
    <t xml:space="preserve">Koszty finansowe </t>
  </si>
  <si>
    <t>Koszty finansowe z tytułu odsetek</t>
  </si>
  <si>
    <t>Rodzaj zobowiązania</t>
  </si>
  <si>
    <t>Koszty z tytułu odsetek w danym roku obrotowym</t>
  </si>
  <si>
    <t>Odsetki naliczone i zapłacone</t>
  </si>
  <si>
    <t>Zobowiązania przeznaczone do obrotu</t>
  </si>
  <si>
    <t>Pozostałe zobowiązania krótkoterminowe, w tym:</t>
  </si>
  <si>
    <t>dłużne papiery wartościowe</t>
  </si>
  <si>
    <t>zobowiązania finansowe inne</t>
  </si>
  <si>
    <t>zobowiązania z tytułu dostaw i usług</t>
  </si>
  <si>
    <t>inne zobowiązania krótkoterminowe</t>
  </si>
  <si>
    <t>Długoterminowe zobowiązania finansowe, w tym:</t>
  </si>
  <si>
    <t>Inne pasywa</t>
  </si>
  <si>
    <t>Odpisy aktualizujące wartość aktywów finansowych</t>
  </si>
  <si>
    <t>BZ_RZISPorH_3_RozwiazanieDlugoTermPowiazane</t>
  </si>
  <si>
    <t>BO_RZISPorH_3_RozwiazanieDlugoTermPowiazane</t>
  </si>
  <si>
    <t>BZ_RZISPorH_3_RozwiazanieDlugoTermZaangazowanie</t>
  </si>
  <si>
    <t>BO_RZISPorH_3_RozwiazanieDlugoTermZaangazowanie</t>
  </si>
  <si>
    <t>BZ_RZISPorH_3_RozwiazanieDlugoTermPozostale</t>
  </si>
  <si>
    <t>BO_RZISPorH_3_RozwiazanieDlugoTermPozostale</t>
  </si>
  <si>
    <t>BZ_RZISPorH_3_RozwiazanieDlugoTermPapiery</t>
  </si>
  <si>
    <t>BO_RZISPorH_3_RozwiazanieDlugoTermPapiery</t>
  </si>
  <si>
    <t>BZ_RZISPorH_3_RozwiazanieDlugoTermPozyczki</t>
  </si>
  <si>
    <t>BO_RZISPorH_3_RozwiazanieDlugoTermPozyczki</t>
  </si>
  <si>
    <t>BZ_RZISPorH_3_RozwiazanieDlugoTermInne</t>
  </si>
  <si>
    <t>BO_RZISPorH_3_RozwiazanieDlugoTermInne</t>
  </si>
  <si>
    <t>BZ_RZISPorH_3_RozwiazanieKrotkoTermPowiazane</t>
  </si>
  <si>
    <t>BO_RZISPorH_3_RozwiazanieKrotkoTermPowiazane</t>
  </si>
  <si>
    <t>BZ_RZISPorH_3_RozwiazanieKrotkoTermPozostale</t>
  </si>
  <si>
    <t>BO_RZISPorH_3_RozwiazanieKrotkoTermPozostale</t>
  </si>
  <si>
    <t>BZ_RZISPorH_3_RozwiazanieKrotkoTermPapiery</t>
  </si>
  <si>
    <t>BO_RZISPorH_3_RozwiazanieKrotkoTermPapiery</t>
  </si>
  <si>
    <t>BZ_RZISPorH_3_RozwiazanieKrotkoTermPozyczki</t>
  </si>
  <si>
    <t>BO_RZISPorH_3_RozwiazanieKrotkoTermPozyczki</t>
  </si>
  <si>
    <t>BZ_RZISPorH_3_RozwiazanieKrotkoTermInne</t>
  </si>
  <si>
    <t>BO_RZISPorH_3_RozwiazanieKrotkoTermInne</t>
  </si>
  <si>
    <t>Inne koszty finansowe</t>
  </si>
  <si>
    <t>Utworzenie rezerw, z tytułu:</t>
  </si>
  <si>
    <t>BZ_RZISPorH_4_RozwiazaniePoz1</t>
  </si>
  <si>
    <t>BO_RZISPorH_4_RozwiazaniePoz1</t>
  </si>
  <si>
    <t>BZ_RZISPorH_4_RozwiazaniePoz2</t>
  </si>
  <si>
    <t>BO_RZISPorH_4_RozwiazaniePoz2</t>
  </si>
  <si>
    <t>odpisy aktualizujące należności</t>
  </si>
  <si>
    <t>BZ_RZISPorH_4_Odpisy</t>
  </si>
  <si>
    <t>BO_RZISPorH_4_Odpisy</t>
  </si>
  <si>
    <t>nadwyżka ujemnych różnic kursowych nad dodatnimi, w tym:</t>
  </si>
  <si>
    <t>BZ_RZISPorH_4_DodatnieRKZrealizowane</t>
  </si>
  <si>
    <t>BO_RZISPorH_4_DodatnieRKZrealizowane</t>
  </si>
  <si>
    <t>BZ_RZISPorH_4_UjemneRKZrealizowane</t>
  </si>
  <si>
    <t>BO_RZISPorH_4_UjemneRKZrealizowane</t>
  </si>
  <si>
    <t>BZ_RZISPorH_4_DodatnieRKNiezrealizowane</t>
  </si>
  <si>
    <t>BO_RZISPorH_4_DodatnieRKNiezrealizowane</t>
  </si>
  <si>
    <t>BZ_RZISPorH_4_UjemneRKNiezrealizowane</t>
  </si>
  <si>
    <t>BO_RZISPorH_4_UjemneRKNiezrealizowane</t>
  </si>
  <si>
    <t>Razem inne koszty finansowe</t>
  </si>
  <si>
    <t>Przychody i koszty o nadzwyczajnej wartości lub które wystąpiły incydentalnie</t>
  </si>
  <si>
    <t>lub jeśli wystąpiły</t>
  </si>
  <si>
    <t xml:space="preserve">Pozycje o nadzwyczajnej wartości i incydentalne </t>
  </si>
  <si>
    <t>BZ_NadzWar_Poz1</t>
  </si>
  <si>
    <t>BO_NadzWar_Poz1</t>
  </si>
  <si>
    <t>BZ_NadzWar_Poz2</t>
  </si>
  <si>
    <t>BO_NadzWar_Poz2</t>
  </si>
  <si>
    <t>[Należy opisać i ujawnić wartość i pozycję przychodów i kosztów w której ujęto przychód i w rachunku zysków i strat]</t>
  </si>
  <si>
    <t>Struktura podatku dochodowego od osób prawnych</t>
  </si>
  <si>
    <t>Podatek dochodowy bieżący</t>
  </si>
  <si>
    <t>BZ_RZISPorJ_Biezacy</t>
  </si>
  <si>
    <t>BO_RZISPorJ_Biezacy</t>
  </si>
  <si>
    <t>Zmiana stanu odroczonego podatku dochodowego</t>
  </si>
  <si>
    <t>BZ_RZISPorJ_Odroczony</t>
  </si>
  <si>
    <t>BO_RZISPorJ_Odroczony</t>
  </si>
  <si>
    <t>Podatek dochodowy od przychodów z tytułu własności środka trwałego</t>
  </si>
  <si>
    <t>BZ_RZISPorJ_ST</t>
  </si>
  <si>
    <t>BO_RZISPorJ_ST</t>
  </si>
  <si>
    <t>BZ_RZISPorJ_Dochodowy</t>
  </si>
  <si>
    <t>BO_RZISPorJ_Dochodowy</t>
  </si>
  <si>
    <t>Dochody z tytułu ukrytych zysków</t>
  </si>
  <si>
    <t>Informację trzeba podać w przypadku podatników opodatkowanych ryczałtem od dochodów spółek kapitałowych.</t>
  </si>
  <si>
    <t>Dochód z tytułu ukrytych zysków</t>
  </si>
  <si>
    <t>Odroczony podatek dochodowy</t>
  </si>
  <si>
    <t>Ujemne różnice przejściowe - odniesione na wynik finansowy:</t>
  </si>
  <si>
    <t>rezerwy na niewykorzystane urlopy</t>
  </si>
  <si>
    <t>BZ_RZISPorJ_UjemneRezerwa</t>
  </si>
  <si>
    <t>BO_RZISPorJ_UjemneRezerwa</t>
  </si>
  <si>
    <t>odpis aktualizujący wątpliwe należności</t>
  </si>
  <si>
    <t>BZ_RZISPorJ_UjemneOdpis</t>
  </si>
  <si>
    <t>BO_RZISPorJ_UjemneOdpis</t>
  </si>
  <si>
    <t>amortyzacja powyżej wartości określanej przez przepisy podatkowe</t>
  </si>
  <si>
    <t>BZ_RZISPorJ_UjemneAmortyzacja</t>
  </si>
  <si>
    <t>BO_RZISPorJ_UjemneAmortyzacja</t>
  </si>
  <si>
    <t>naliczone odsetki od pożyczek i kredytów</t>
  </si>
  <si>
    <t>BZ_RZISPorJ_UjemneOdsetki</t>
  </si>
  <si>
    <t>BO_RZISPorJ_UjemneOdsetki</t>
  </si>
  <si>
    <t>niezrealizowane straty z tytułu różnic kursowych</t>
  </si>
  <si>
    <t>BZ_RZISPorJ_UjemneRK</t>
  </si>
  <si>
    <t>BO_RZISPorJ_UjemneRK</t>
  </si>
  <si>
    <t>BZ_RZISPorJ_UjemnePozostale</t>
  </si>
  <si>
    <t>BO_RZISPorJ_UjemnePozostale</t>
  </si>
  <si>
    <t>Ujemne różnice przejściowe - odniesione na kapitał:</t>
  </si>
  <si>
    <t>BZ_RZISPorJ_UjemneKapitalPoz1</t>
  </si>
  <si>
    <t>BO_RZISPorJ_UjemneKapitalPoz1</t>
  </si>
  <si>
    <t>BZ_RZISPorJ_UjemneKapitalPoz2</t>
  </si>
  <si>
    <t>BO_RZISPorJ_UjemneKapitalPoz2</t>
  </si>
  <si>
    <t>Suma ujemnych różnic przejściowych</t>
  </si>
  <si>
    <t>Straty podatkowe do rozliczenia w kolejnych okresach:</t>
  </si>
  <si>
    <t>BO_RZISPorJ_Strata4</t>
  </si>
  <si>
    <t>Rozliczona część straty podatkowej</t>
  </si>
  <si>
    <t>BO_RZISPorJ_StrataRozliczona4</t>
  </si>
  <si>
    <t>Strata podatkowa, która nie będzie rozliczona</t>
  </si>
  <si>
    <t>BZ_RZISPorJ_Strata4</t>
  </si>
  <si>
    <t>BO_RZISPorJ_Strata3</t>
  </si>
  <si>
    <t>BZ_RZISPorJ_StrataRozliczona4</t>
  </si>
  <si>
    <t>BO_RZISPorJ_StrataRozliczona3</t>
  </si>
  <si>
    <t>BZ_RZISPorJ_Strata3</t>
  </si>
  <si>
    <t>BO_RZISPorJ_Strata2</t>
  </si>
  <si>
    <t>BZ_RZISPorJ_StrataRozliczona3</t>
  </si>
  <si>
    <t>BO_RZISPorJ_StrataRozliczona2</t>
  </si>
  <si>
    <t>BZ_RZISPorJ_Strata2</t>
  </si>
  <si>
    <t>BO_RZISPorJ_Strata1</t>
  </si>
  <si>
    <t>BZ_RZISPorJ_StrataRozliczona2</t>
  </si>
  <si>
    <t>BO_RZISPorJ_StrataRozliczona1</t>
  </si>
  <si>
    <t>BZ_RZISPorJ_Strata1</t>
  </si>
  <si>
    <t>BO_RZISPorJ_Strata0</t>
  </si>
  <si>
    <t>BZ_RZISPorJ_StrataRozliczona1</t>
  </si>
  <si>
    <t>BO_RZISPorJ_StrataRozliczona0</t>
  </si>
  <si>
    <t>BZ_RZISPorJ_Strata0</t>
  </si>
  <si>
    <t>Suma strat podatkowych do rozliczenia w kolejnych okresach</t>
  </si>
  <si>
    <t>Podstawa utworzenia aktywa podatkowego:</t>
  </si>
  <si>
    <t>Odpis aktualizujący</t>
  </si>
  <si>
    <t>BZ_Aktywa_A_5_1_Odpis</t>
  </si>
  <si>
    <t>BO_Aktywa_A_5_1_Odpis</t>
  </si>
  <si>
    <t>Wartość netto aktywa z tytułu podatku odroczonego</t>
  </si>
  <si>
    <t>Dodatnie różnice przejściowe - odniesione na wynik finansowy:</t>
  </si>
  <si>
    <t>naliczone a nieotrzymane odsetki od należności</t>
  </si>
  <si>
    <t>BZ_RZISPorJ_DodatnieOdsetki</t>
  </si>
  <si>
    <t>BO_RZISPorJ_DodatnieOdsetki</t>
  </si>
  <si>
    <t>dodatnie różnice kursowe wynikające z wyceny</t>
  </si>
  <si>
    <t>BZ_RZISPorJ_DodatnieRK</t>
  </si>
  <si>
    <t>BO_RZISPorJ_DodatnieRK</t>
  </si>
  <si>
    <t>skutki przeszacowania do poziomu cen rynkowych inwestycji krótkoterminowych</t>
  </si>
  <si>
    <t>BZ_RZISPorJ_DodatniePrzeszacowanie</t>
  </si>
  <si>
    <t>BO_RZISPorJ_DodatniePrzeszacowanie</t>
  </si>
  <si>
    <t>Dodatnie różnice przejściowe - odniesione na kapitał:</t>
  </si>
  <si>
    <t>BZ_RZISPorJ_DodatnieKapitalPoz1</t>
  </si>
  <si>
    <t>BO_RZISPorJ_DodatnieKapitalPoz1</t>
  </si>
  <si>
    <t>BZ_RZISPorJ_DodatnieKapitalPoz2</t>
  </si>
  <si>
    <t>BO_RZISPorJ_DodatnieKapitalPoz2</t>
  </si>
  <si>
    <t>BZ_RZISPorJ_DodatnieKapitalPoz3</t>
  </si>
  <si>
    <t>BO_RZISPorJ_DodatnieKapitalPoz3</t>
  </si>
  <si>
    <t>Suma dodatnich różnic przejściowych</t>
  </si>
  <si>
    <t>Kwota odniesiona do rachunku wyników z tytułu kalkulacji podatku odroczonego wynosi :</t>
  </si>
  <si>
    <t>( wartość ujemna - zmniejszenie wyniku finansowego)</t>
  </si>
  <si>
    <r>
      <t xml:space="preserve">Wartość kompensaty rezerwy i aktywa na podatek odroczony z tytułu realizacji w tych samych okresach wynosi </t>
    </r>
    <r>
      <rPr>
        <sz val="10"/>
        <color rgb="FFFF0000"/>
        <rFont val="Times New Roman"/>
        <family val="1"/>
        <charset val="238"/>
      </rPr>
      <t>.......</t>
    </r>
    <r>
      <rPr>
        <sz val="10"/>
        <color indexed="8"/>
        <rFont val="Times New Roman"/>
        <family val="1"/>
        <charset val="238"/>
      </rPr>
      <t xml:space="preserve"> złotych.</t>
    </r>
  </si>
  <si>
    <t>Uzasadnienie przyczyny dokonania odpisów aktualizujących wartości aktywów z tytułu podatku odroczonego oraz jego wysokości.</t>
  </si>
  <si>
    <t>Regulacje podatkowe w Polsce</t>
  </si>
  <si>
    <t>W Polsce obowiązują liczne regulacje dotyczące podatku od towarów i usług, podatku dochodowego od osób prawnych i składek na ubezpieczenia społeczne. Przepisy podatkowe podlegają częstym zmianom, a wynikające z nich niejasności powodują konieczność dokonywania interpretacji prawa. Różnice w opiniach co do interpretacji przepisów zarówno wewnątrz organów podatkowych, jak i pomiędzy organami państwowymi i podatnikami, mogą powodować powstanie obszarów niepewności i sporów.</t>
  </si>
  <si>
    <t xml:space="preserve">Rozliczenia podatkowe oraz inne obszary działalności podlegające regulacjom na przykład kontroli celnej czy dewizowej mogą być przedmiotem kontroli odpowiednich władz, które uprawnione są do nakładania kar i sankcji wraz z odsetkami karnymi. W efekcie poziom ryzyka podatkowego w Polsce może być wyższy niż w krajach o bardziej rozwiniętym systemie podatkowym. Rozliczenia podatkowe mogą być przedmiotem kontroli przez okres pięciu lat od końca roku kalendarzowego, w którym upłynął termin płatności podatku. </t>
  </si>
  <si>
    <t>Nakłady na niefinansowe aktywa trwałe</t>
  </si>
  <si>
    <t>Nakłady na niefinansowe aktywa trwałe:</t>
  </si>
  <si>
    <t>poniesione w roku</t>
  </si>
  <si>
    <t>BZ_NakladyAT_Poniesione</t>
  </si>
  <si>
    <t>BO_NakladyAT_Poniesione</t>
  </si>
  <si>
    <t>planowane na rok następny</t>
  </si>
  <si>
    <t>BZ_NakladyAT_Planowane</t>
  </si>
  <si>
    <t>BO_NakladyAT_Planowane</t>
  </si>
  <si>
    <t>w tym na ochronę środowiska:</t>
  </si>
  <si>
    <t>BZ_NakladyAT_ŚrodowiskoPoniesione</t>
  </si>
  <si>
    <t>BO_NakladyAT_ŚrodowiskoPoniesione</t>
  </si>
  <si>
    <t>Środki trwałe - wymagane ujawnienia</t>
  </si>
  <si>
    <t>Spółka nie posiada nieamortyzowanych środków trwałych, używanych na podstawie umów najmu, dzierżawy  lub umów o podobnym charakterze.  Nie jest też stroną zobowiązania wobec budżetu  państwa lub jednostek samorządu terytorialnego z tytułu  uzyskania prawa własności  budynków i budowli.</t>
  </si>
  <si>
    <t>Spółka nie ponosiła i nie planuje ponosić w najbliższym roku nakładów na niefinansowe aktywa trwałe.</t>
  </si>
  <si>
    <t>Objaśnienia do rachunku przepływów pieniężnych</t>
  </si>
  <si>
    <t>Objaśnienie struktury środków pieniężnych przyjętych do rachunku przepływów pieniężnych, jeśli różni się ona od ich struktury przyjętej do bilansu.  W szczególności należy podać wartości przyjęte za ekwiwalenty środków pieniężnych.</t>
  </si>
  <si>
    <t>Środki pieniężne:</t>
  </si>
  <si>
    <t>Środki pieniężne w banku</t>
  </si>
  <si>
    <t>BZ_CFPosr_E_Bank</t>
  </si>
  <si>
    <t>BO_CFPosr_E_Bank</t>
  </si>
  <si>
    <t>BZ_CFPosr_E_Kasa</t>
  </si>
  <si>
    <t>BO_CFPosr_E_Kasa</t>
  </si>
  <si>
    <t>Lokaty bankowe</t>
  </si>
  <si>
    <t>BZ_CFPosr_E_Lokaty</t>
  </si>
  <si>
    <t>BO_CFPosr_E_Lokaty</t>
  </si>
  <si>
    <t>Inne środki pieniężne</t>
  </si>
  <si>
    <t>BZ_CFPosr_E_Inne</t>
  </si>
  <si>
    <t>BO_CFPosr_E_Inne</t>
  </si>
  <si>
    <t>Ekwiwalenty środków pieniężnych:</t>
  </si>
  <si>
    <t>BZ_CFPosr_E_EkwiwalentPoz1</t>
  </si>
  <si>
    <t>BO_CFPosr_E_EkwiwalentPoz1</t>
  </si>
  <si>
    <t>BZ_CFPosr_E_EkwiwalentPoz2</t>
  </si>
  <si>
    <t>BO_CFPosr_E_EkwiwalentPoz2</t>
  </si>
  <si>
    <t>BZ_CFPosr_E_EkwiwalentPoz3</t>
  </si>
  <si>
    <t>BO_CFPosr_E_EkwiwalentPoz3</t>
  </si>
  <si>
    <t>Wyjaśnienie przyczyn znaczących różnic pomiędzy zmianami stanu niektórych pozycji w bilansie oraz zmianami tych samych pozycji wykazanymi w rachunku przepływów pieniężnych.</t>
  </si>
  <si>
    <t>Zyski (straty) z tytułu różnic kursowych wykazane w rachunku przepływów pieniężnych wynikają z następujących pozycji:</t>
  </si>
  <si>
    <t>Różnice kursowe z wyceny środków pieniężnych</t>
  </si>
  <si>
    <t>BZ_CFPosr_A_2_2_Wycena</t>
  </si>
  <si>
    <t>BO_CFPosr_A_2_2_Wycena</t>
  </si>
  <si>
    <t>Zrealizowane różnice kursowe od kredytów i pożyczek</t>
  </si>
  <si>
    <t>BZ_CFPosr_A_2_2_Zrealizowane</t>
  </si>
  <si>
    <t>BO_CFPosr_A_2_2_Zrealizowane</t>
  </si>
  <si>
    <t>Niezrealizowane różnice kursowe od kredytów i pożyczek</t>
  </si>
  <si>
    <t>BZ_CFPosr_A_2_2_Niezrealizowane</t>
  </si>
  <si>
    <t>BO_CFPosr_A_2_2_Niezrealizowane</t>
  </si>
  <si>
    <t>Odsetki i udziały w zyskach (dywidendy) składają się z:</t>
  </si>
  <si>
    <t>Odsetki zapłacone od udzielonych pożyczek</t>
  </si>
  <si>
    <t>BZ_CFPosr_A_2_3_Udzielonepozyczki</t>
  </si>
  <si>
    <t>BO_CFPosr_A_2_3_Udzielonepozyczki</t>
  </si>
  <si>
    <t>Odsetki zapłacone od kredytów i pożyczek</t>
  </si>
  <si>
    <t>BZ_CFPosr_A_2_3_Udzielonekredyty</t>
  </si>
  <si>
    <t>BO_CFPosr_A_2_3_Udzielonekredyty</t>
  </si>
  <si>
    <t>Odsetki od dłużnych papierów wartościowych</t>
  </si>
  <si>
    <t>BZ_CFPosr_A_2_3_Papiery</t>
  </si>
  <si>
    <t>BO_CFPosr_A_2_3_Papiery</t>
  </si>
  <si>
    <t>Dywidendy otrzymane</t>
  </si>
  <si>
    <t>BZ_CFPosr_A_2_3_Dywidendy</t>
  </si>
  <si>
    <t>BO_CFPosr_A_2_3_Dywidendy</t>
  </si>
  <si>
    <t>Odsetki naliczone od kredytów i pożyczek</t>
  </si>
  <si>
    <t>BZ_CFPosr_A_2_3_Naliczonekredyt</t>
  </si>
  <si>
    <t>BO_CFPosr_A_2_3_Naliczonekredyt</t>
  </si>
  <si>
    <t>Odsetki naliczone od udzielonych pożyczek</t>
  </si>
  <si>
    <t>BZ_CFPosr_A_2_3_Naliczonepozyczka</t>
  </si>
  <si>
    <t>BO_CFPosr_A_2_3_Naliczonepozyczka</t>
  </si>
  <si>
    <t>Zysk (strata) z działalności inwestycyjnej wynika z:</t>
  </si>
  <si>
    <t>(Zysk)/Strata ze sprzedaży rzeczowych aktywów trwałych i wartości niematerialnych i prawnych</t>
  </si>
  <si>
    <t>BZ_CFPosr_A_2_4_SprzedazST</t>
  </si>
  <si>
    <t>BO_CFPosr_A_2_4_SprzedazST</t>
  </si>
  <si>
    <t>(Zysk)/Strata z likwidacji rzeczowych aktywów trwałych i wartości niematerialnych i prawnych</t>
  </si>
  <si>
    <t>BZ_CFPosr_A_2_4_LikwidacjaST</t>
  </si>
  <si>
    <t>BO_CFPosr_A_2_4_LikwidacjaST</t>
  </si>
  <si>
    <t>(Zysk)/Strata ze sprzedaży inwestycji</t>
  </si>
  <si>
    <t>BZ_CFPosr_A_2_4_Sprzedazinwestycji</t>
  </si>
  <si>
    <t>BO_CFPosr_A_2_4_Sprzedazinwestycji</t>
  </si>
  <si>
    <t>Aktualizacja wartości rzeczowych aktywów trwałych</t>
  </si>
  <si>
    <t>BZ_CFPosr_A_2_4_AktaulizacjaAT</t>
  </si>
  <si>
    <t>BO_CFPosr_A_2_4_AktualizacjaAT</t>
  </si>
  <si>
    <t xml:space="preserve">Aktualizacja wartości inwestycji </t>
  </si>
  <si>
    <t>BZ_CFPosr_A_2_4_Aktaulizacjainwestycji</t>
  </si>
  <si>
    <t>BO_CFPosr_A_2_4_Aktualizacjainwestycji</t>
  </si>
  <si>
    <t>Zmiana należności wynika z następujących pozycji:</t>
  </si>
  <si>
    <t>Zmiana stanu należności krótkoterminowych wynikająca z bilansu</t>
  </si>
  <si>
    <t>BZ_CFPosr_A_2_7_Naleznoscikrotko</t>
  </si>
  <si>
    <t>BO_CFPosr_A_2_7_Naleznoscikrotko</t>
  </si>
  <si>
    <t>Zmiana stanu należności długoterminowych wynikająca z bilansu</t>
  </si>
  <si>
    <t>BZ_CFPosr_A_2_7_Naleznoscidlugo</t>
  </si>
  <si>
    <t>BO_CFPosr_A_2_7_Naleznoscidlugo</t>
  </si>
  <si>
    <t>Zmiana stanu należności z tytułu dywidend</t>
  </si>
  <si>
    <t>BZ_CFPosr_A_2_7_Dywidendy</t>
  </si>
  <si>
    <t>BO_CFPosr_A_2_7_Dywidendy</t>
  </si>
  <si>
    <t>Zmiana stanu należności z tytułu zbycia rzeczowych aktywów trwałych</t>
  </si>
  <si>
    <t>BZ_CFPosr_A_2_7_ZbycieAT</t>
  </si>
  <si>
    <t>BO_CFPosr_A_2_7_ZbycieAT</t>
  </si>
  <si>
    <t>Zmiana stanu należności z tytułu zbycia inwestycji niefinansowych</t>
  </si>
  <si>
    <t>BZ_CFPosr_A_2_7_ZbycieInwestycjiNiefinansowych</t>
  </si>
  <si>
    <t>BO_CFPosr_A_2_7_ZbycieInwestycjiNiefinansowych</t>
  </si>
  <si>
    <t>Zmiana stanu należności z tytułu zbycia inwestycji finansowych</t>
  </si>
  <si>
    <t>BZ_CFPosr_A_2_7_ZbycieInwestycjiFinansowych</t>
  </si>
  <si>
    <t>BO_CFPosr_A_2_7_ZbycieInwestycjiFinansowych</t>
  </si>
  <si>
    <t>Zmiana stanu zobowiązań krótkoterminowych, z wyjątkiem pożyczek i kredytów, wynika z następujących pozycji:</t>
  </si>
  <si>
    <t>Zmiana stanu zobowiązań krótkoterminowych</t>
  </si>
  <si>
    <t>BZ_CFPosr_A_2_8_Zobowiazaniakrotko</t>
  </si>
  <si>
    <t>BO_CFPosr_A_2_8_Zobowiazaniakrotko</t>
  </si>
  <si>
    <t>Zmiana stanu kredytów i pożyczek</t>
  </si>
  <si>
    <t>BZ_CFPosr_A_2_8_Kredyty</t>
  </si>
  <si>
    <t>BO_CFPosr_A_2_8_Kredyty</t>
  </si>
  <si>
    <t>Zmiana stanu z tytułu emisji dłużnych papierów wartościowych</t>
  </si>
  <si>
    <t>BZ_CFPosr_A_2_8_PapieryWart</t>
  </si>
  <si>
    <t>BO_CFPosr_A_2_8_PapieryWart</t>
  </si>
  <si>
    <t>Zmiana stanu zobowiązań finansowych</t>
  </si>
  <si>
    <t>BZ_CFPosr_A_2_8_Zobowiazaniafin</t>
  </si>
  <si>
    <t>BO_CFPosr_A_2_8_ZobowiazaniaFin</t>
  </si>
  <si>
    <t>Zmiana zobowiązania z tyt. niewypłaconej dywidendy</t>
  </si>
  <si>
    <t>BZ_CFPosr_A_2_8_Dywidenda</t>
  </si>
  <si>
    <t>BO_CFPosr_A_2_8_Dywidenda</t>
  </si>
  <si>
    <t>Zmiana stanu zobowiązań z tytułu nabycia rzeczowych aktywów trwałych i inwestycji</t>
  </si>
  <si>
    <t>BZ_CFPosr_A_2_8_NabycieST</t>
  </si>
  <si>
    <t>BO_CFPosr_A_2_8_NabycieST</t>
  </si>
  <si>
    <t>Zmiana stanu zobowiązań z tytułu nabycia wartości niematerialnych i prawnych</t>
  </si>
  <si>
    <t>BZ_CFPosr_A_2_8_NabycieWNIP</t>
  </si>
  <si>
    <t>BO_CFPosr_A_2_8_NabycieWNIP</t>
  </si>
  <si>
    <t>Zmiana stanu zobowiązań z tytułu nabycia aktywów finansowych</t>
  </si>
  <si>
    <t>BZ_CFPosr_A_2_8_NabycieAF</t>
  </si>
  <si>
    <t>BO_CFPosr_A_2_8_NabycieAF</t>
  </si>
  <si>
    <t>Nabycie wartości niematerialnych i prawnych oraz rzeczowych aktywów trwałych wynika z następujących pozycji:</t>
  </si>
  <si>
    <t>Zwiększenia wartości niematerialnych i prawnych</t>
  </si>
  <si>
    <t>BZ_CFPosr_B_2_1_WNIP</t>
  </si>
  <si>
    <t>BO_CFPosr_B_2_1_WNIP</t>
  </si>
  <si>
    <t>BZ_CFPosr_B_2_1_ZobowiazanieWNIP</t>
  </si>
  <si>
    <t>BO_CFPosr_B_2_1_ZobowiazanieWNIP</t>
  </si>
  <si>
    <t>Zwiększenia środków trwałych</t>
  </si>
  <si>
    <t>BZ_CFPosr_B_2_1_ST</t>
  </si>
  <si>
    <t>BO_CFPosr_B_2_1_ST</t>
  </si>
  <si>
    <t>Zmiana stanu środków trwałych w budowie</t>
  </si>
  <si>
    <t>BZ_CFPosr_B_2_1_STBudowa</t>
  </si>
  <si>
    <t>BO_CFPosr_B_2_1_STBudowa</t>
  </si>
  <si>
    <t>Zmiana stanu zobowiązań z tytułu nabycia rzeczowych aktywów trwałych</t>
  </si>
  <si>
    <t>BZ_CFPosr_B_2_1_ZobowiazanieAT</t>
  </si>
  <si>
    <t>BO_CFPosr_B_2_1_ZobowiazanieAT</t>
  </si>
  <si>
    <t>Zmiana stanu zaliczek na środki trwałe w budowie</t>
  </si>
  <si>
    <t>BZ_CFPosr_B_2_1_Zaliczki</t>
  </si>
  <si>
    <t>BO_CFPosr_B_2_1_Zaliczki</t>
  </si>
  <si>
    <t>Na wartość pozycji "inne korekty" składają się:</t>
  </si>
  <si>
    <t>BZ_CFPosr_A_2_10_Poz1</t>
  </si>
  <si>
    <t>BO_CFPosr_A_2_10_Poz1</t>
  </si>
  <si>
    <t>BZ_CFPosr_A_2_10_Poz2</t>
  </si>
  <si>
    <t>BO_CFPosr_A_2_10_Poz2</t>
  </si>
  <si>
    <t>Informacja o wspólnych przedsięwzięciach, niepodlegających konsolidacji</t>
  </si>
  <si>
    <t>Proszę podać informacje o:</t>
  </si>
  <si>
    <t>a) nazwie, zakresie działalności wspólnego przedsięwzięcia,</t>
  </si>
  <si>
    <t>b) procentowym udziale,</t>
  </si>
  <si>
    <t>c) części wspólnie kontrolowanych rzeczowych składników aktywów trwałych oraz wartości niematerialnych i prawnych,</t>
  </si>
  <si>
    <t>d) zobowiązaniach zaciągniętych na potrzeby przedsięwzięcia lub zakupu używanych rzeczowych składników aktywów trwałych,</t>
  </si>
  <si>
    <t xml:space="preserve">    </t>
  </si>
  <si>
    <t>e) części zobowiązań wspólnie zaciągniętych,</t>
  </si>
  <si>
    <t>f) przychodach uzyskanych ze wspólnego przedsięwzięcia i kosztach z nimi związanych,</t>
  </si>
  <si>
    <t>g) zobowiązaniach warunkowych i inwestycyjnych dotyczących wspólnego  przedsięwzięcia</t>
  </si>
  <si>
    <t>W bieżącym roku Spółka nie uczestniczyła we wspólnych przedsięwzięciach.</t>
  </si>
  <si>
    <t>Informacje o przychodach i kosztach z tytułu błędów popełnionych w latach ubiegłych odnoszonych w roku obrotowym na kapitał (fundusz) własny.</t>
  </si>
  <si>
    <t>Proszę podać kwotę i rodzaj kosztów lub/i przychodów z tytułu błędów lat ubiegłych odniesionych w bieżącym roku na kapitał własny.</t>
  </si>
  <si>
    <t>Zdarzenia po dniu bilansowym nieujęte w sprawozdaniu finansowym</t>
  </si>
  <si>
    <t>(Proszę podać informacje dotyczące powyższych zdarzeń oraz ich wpływ na sytuację majątkową, finansową oraz wynik finansowy. Przykładowo: podpisane umowy kredytowe, poręczeń, istotne umowy o współpracy, zmiany umowy spółki, zmiany zarządu, etc.)</t>
  </si>
  <si>
    <t>Po dniu bilansowym nie wystąpiły znaczące zdarzenia wykraczające poza bieżącą działalność Spółki.</t>
  </si>
  <si>
    <t>Zdarzenia dotyczące lat ubiegłych ujęte w sprawozdaniu finansowym</t>
  </si>
  <si>
    <t>(Proszę podać informacje o przychodach i kosztach z tytułu błędów popełnionych w latach ubiegłych odnoszonych w roku obrotowym na kapitał własny z podaniem ich kwot i rodzaju)</t>
  </si>
  <si>
    <t xml:space="preserve">Umowy nieuwzględnione w bilansie </t>
  </si>
  <si>
    <t>(Należy podać informacje o charakterze i celu gospodarczym zawartych przez jednostkę umów nieuwzględnionych w bilansie w zakresie niezbędnym do oceny ich wpływu na sytuację majątkową, finansową i wynik finansowy jednostki)</t>
  </si>
  <si>
    <t>Spółka nie zawierała umów, które nie są ujęte w bilansie, a których wpływ na ocenę sytuacji majątkowej, finansowej i wynik finansowy jednostki byłby znaczący.</t>
  </si>
  <si>
    <t>Wynagrodzenie firmy audytorskiej wypłacone lub należne</t>
  </si>
  <si>
    <t>Wynagrodzenie z tytułu badania rocznego sprawozdania finansowego</t>
  </si>
  <si>
    <t>BZ_Audytor_Badanie</t>
  </si>
  <si>
    <t>BO_Audytor_Badanie</t>
  </si>
  <si>
    <t>Wynagrodzenie za inne usługi atestacyjne</t>
  </si>
  <si>
    <t>BZ_Audytor_Inne</t>
  </si>
  <si>
    <t>BO_Audytor_Inne</t>
  </si>
  <si>
    <t>Wynagrodzenie za usługi doradztwa podatkowego</t>
  </si>
  <si>
    <t>BZ_Audytor_Doradztwo</t>
  </si>
  <si>
    <t>BO_Audytor_Doradztwo</t>
  </si>
  <si>
    <t>Wynagrodzenie za pozostałe usługi</t>
  </si>
  <si>
    <t>BZ_Audytor_Pozostale</t>
  </si>
  <si>
    <t>BO_Audytor_Pozostale</t>
  </si>
  <si>
    <t xml:space="preserve">Sprawozdanie finansowe Spółki nie podlega badaniu oraz Spółka nie korzystała z innych usług biegłego rewidenta, w związku z tym nie wypłacała wynagrodzeń biegłemu rewidentowi. </t>
  </si>
  <si>
    <t>Zatrudnienie</t>
  </si>
  <si>
    <t xml:space="preserve">Przeciętny stan zatrudnienia w roku obrotowym </t>
  </si>
  <si>
    <t>Kobiety</t>
  </si>
  <si>
    <t>Mężczyźni</t>
  </si>
  <si>
    <t>Pracownicy na stanowiskach nierobotniczych</t>
  </si>
  <si>
    <t>Pracownicy na stanowiskach robotniczych</t>
  </si>
  <si>
    <t>Jeżeli jest to możliwe proszę podać podział na grupy zawodowe.</t>
  </si>
  <si>
    <t>Do dnia bilansowego Spółka nie zatrudniała pracowników.</t>
  </si>
  <si>
    <t>Wynagrodzenia oraz pożyczki i świadczenia o podobnym charakterze dla osób wchodzących w skład organów zarządzających, nadzorujących albo administrujących</t>
  </si>
  <si>
    <t>Spółka nie wypłacała wynagrodzeń ani nie udzielała pożyczek, kredytów i zaliczek członkom Zarządu. Spółka nie posiada Rady Nadzorczej.</t>
  </si>
  <si>
    <t>Wynagrodzenia, łącznie z wynagrodzeniem z zysku, wypłacone lub należne osobom wchodzącym w skład organu zarządzającego, nadzorującego i administrującego:</t>
  </si>
  <si>
    <t>Organ zarządzający</t>
  </si>
  <si>
    <t>BZ_Zarzad_Wynagrodzenia1</t>
  </si>
  <si>
    <t>BO_Zarzad_Wynagrodzenia1</t>
  </si>
  <si>
    <t>Organ nadzorujący</t>
  </si>
  <si>
    <t>BZ_Zarzad_Wynagrodzenia2</t>
  </si>
  <si>
    <t>BO_Zarzad_Wynagrodzenia2</t>
  </si>
  <si>
    <t>Organ administrujący</t>
  </si>
  <si>
    <t>BZ_Zarzad_Wynagrodzenia3</t>
  </si>
  <si>
    <t>BO_Zarzad_Wynagrodzenia3</t>
  </si>
  <si>
    <t>Zobowiązania z tytułu emerytur i świadczeń i podobnym charakterze dla byłych członków organu zarządzającego, nadzorującego i administrującego Spółki lub zobowiązania zaciągnięte w związku z tymi emeryturami:</t>
  </si>
  <si>
    <t>BZ_Zarzad_Emerytury1</t>
  </si>
  <si>
    <t>BO_Zarzad_Emerytury1</t>
  </si>
  <si>
    <t>BZ_Zarzad_Emerytury2</t>
  </si>
  <si>
    <t>BO_Zarzad_Emerytury2</t>
  </si>
  <si>
    <t>BZ_Zarzad_Emerytury3</t>
  </si>
  <si>
    <t>BO_Zarzad_Emerytury3</t>
  </si>
  <si>
    <t>Zaliczki, kredyty, pożyczki i świadczenia o podobnym charakterze udzielone osobom wchodzącym w organu zarządzającego, nadzorującego i administrującego Spółki:</t>
  </si>
  <si>
    <t>BZ_Zarzad_Pozyczki1</t>
  </si>
  <si>
    <t>BO_Zarzad_Pozyczki1</t>
  </si>
  <si>
    <t>BZ_Zarzad_Pozyczki2</t>
  </si>
  <si>
    <t>BO_Zarzad_Pozyczki2</t>
  </si>
  <si>
    <t>BZ_Zarzad_Pozyczki3</t>
  </si>
  <si>
    <t>BO_Zarzad_Pozyczki3</t>
  </si>
  <si>
    <t>Zobowiązania zaciągnięte w imieniu organu zarządzającego, nadzorującego i administrującego Spółki z tytułu gwarancji i poręczeń wszelkiego rodzaju:</t>
  </si>
  <si>
    <t>BZ_Zarzad_Zobowiazania1</t>
  </si>
  <si>
    <t>BO_Zarzad_Zobowiazania1</t>
  </si>
  <si>
    <t>BZ_Zarzad_Zobowiazania2</t>
  </si>
  <si>
    <t>BO_Zarzad_Zobowiazania2</t>
  </si>
  <si>
    <t>BZ_Zarzad_Zobowiazania3</t>
  </si>
  <si>
    <t>BO_Zarzad_Zobowiazania3</t>
  </si>
  <si>
    <t>Transakcje z jednostkami powiązanymi</t>
  </si>
  <si>
    <t>[Proszę opisać rodzaj transakcji ze spółkami powiązanymi wraz z podaniem kwot]</t>
  </si>
  <si>
    <t>Spółka</t>
  </si>
  <si>
    <t>przychody</t>
  </si>
  <si>
    <t>koszty</t>
  </si>
  <si>
    <t>zobowiązania</t>
  </si>
  <si>
    <t>Spółka nie była stroną transakcji z jednostkami powiązanymi.</t>
  </si>
  <si>
    <t>Transakcje z jednostkami powiązanymi zawarte na nierynkowych warunkach</t>
  </si>
  <si>
    <t>(Należy podać informacje o istotnych transakcjach (wraz z ich kwotami) zawartych przez jednostkę na innych warunkach niż rynkowe ze stronami powiązanymi, wraz z informacjami określającymi charakter związku ze stronami powiązanymi oraz innymi informacjami dotyczącymi transakcji niezbędnymi dla zrozumienia ich wpływu na sytuację majątkową, finansową i wynik finansowy jednostki.. Informacje dotyczące poszczególnych transakcji mogą być zgrupowane według ich rodzaju, z wyjątkiem przypadku, gdy informacje na temat poszczególnych transakcji są niezbędne dla zrozumienia ich wpływu na sytuację majątkową, finansową i wynik finansowy jednostki.  Przez podmioty powiązane rozumie się podmioty zdefiniowane w międzynarodowych standardach rachunkowości przyjętych zgodnie z rozporządzeniem WE nr 1606/2002 Parlamentu Europejskiego i Rady z dnia 19.07.2002 r. w sprawie stosowania międzynarodowych standardów rachunkowości.</t>
  </si>
  <si>
    <t>Spółka nie zawierała transakcji z jednostkami powiązanymi na warunkach innych niż rynkowe.</t>
  </si>
  <si>
    <t>Wycena jednostek stowarzyszonych i współzależnych</t>
  </si>
  <si>
    <t>Informacje o wpływie wyceny udziałów i akcji w jednostkach stowarzyszonych i współzależnych metodą praw własności, które w sprawozdaniu finansowym wyceniono w inny sposób (art. 55 ust. 7 ustawy o rachunkowości)</t>
  </si>
  <si>
    <t>Nazwa jednostki</t>
  </si>
  <si>
    <t>Wartość udziałów lub akcji w bilansie</t>
  </si>
  <si>
    <t>Wartość udziałów i akcji wycenionych metodą praw własności</t>
  </si>
  <si>
    <t xml:space="preserve">Wpływ na wynik za bieżący okres </t>
  </si>
  <si>
    <t xml:space="preserve">Łączny wpływ wyceny na kapitały własne </t>
  </si>
  <si>
    <t>Jednostki, których Spółka jest wspólnikiem ponoszącym nieograniczoną odpowiedzialność majątkową</t>
  </si>
  <si>
    <t>Siedziba Zarządu lub siedziba statutowa</t>
  </si>
  <si>
    <t>Forma prawna</t>
  </si>
  <si>
    <t xml:space="preserve">Spółka nie jest wspólnikiem ponoszącym nieograniczoną odpowiedzialność majątkową. </t>
  </si>
  <si>
    <t>Informacje o skonsolidowanym sprawozdaniu finansowym</t>
  </si>
  <si>
    <t>[jeżeli jednostka nie sporządza skonsolidowanego sprawozdania finansowego, korzystając ze zwolnienia lub wyłączeń, informacje o:</t>
  </si>
  <si>
    <t>a) podstawie prawnej wraz z danymi uzasadniającymi odstąpienie od konsolidacji,</t>
  </si>
  <si>
    <t>b) nazwie i siedzibie jednostki sporządzającej skonsolidowane sprawozdanie  finansowe na  wyższym szczeblu grupy kapitałowej oraz miejscu jego publikacji,</t>
  </si>
  <si>
    <t>c) nazwa i siedziba jednostki sporządzającej skonsolidowane sprawozdanie finansowe na najwyższym szczeblu grupy kapitałowej, w której skład wchodzi spółka jako jednostka zależna oraz miejscu, w którym sprawozdanie to jest dostępne,</t>
  </si>
  <si>
    <t>d) nazwa i siedziba jednostki sporządzającej skonsolidowane sprawozdanie finansowe na najniższym szczeblu grupy kapitałowej, w skład której wchodzi spółka jako jednostka zależna (podmiot sporządzający sprawozdanie bezpośrednio dominujący) oraz miejscu, w którym sprawozdanie to jest dostępne,</t>
  </si>
  <si>
    <t>e) podstawowych wskaźnikach ekonomiczno-finansowych, charakteryzujących działalność jednostek powiązanych w danym i ubiegłym roku obrotowym, takich jak:</t>
  </si>
  <si>
    <t>- wartość przychodów netto ze sprzedaży produktów, towarów i materiałów  oraz  przychodów finansowych,</t>
  </si>
  <si>
    <t>- wynik finansowy netto oraz wartość kapitału własnego, z podziałem na grupy,</t>
  </si>
  <si>
    <t>- wartość aktywów,</t>
  </si>
  <si>
    <t>- przeciętne roczne zatrudnienie.</t>
  </si>
  <si>
    <t>f) rodzaju stosowanych standardów rachunkowości (krajowych czy międzynarodowych) przez jednostki powiązane</t>
  </si>
  <si>
    <t>Nazwa i siedziba jednostki wyłączonej</t>
  </si>
  <si>
    <t>Podstawa prawna wyłączenia</t>
  </si>
  <si>
    <t>Dane uzasadniające odstąpienie od konsolidacji</t>
  </si>
  <si>
    <t>Wartość przychodów netto ze sprzedaży produktów, towarów i materiałów oraz przychodów finansowych</t>
  </si>
  <si>
    <t>Wartość aktywów</t>
  </si>
  <si>
    <t>Rok ubiegły</t>
  </si>
  <si>
    <t>Rok bieżący</t>
  </si>
  <si>
    <t>Przeciętne roczne zatrudnienie</t>
  </si>
  <si>
    <t>Kapitał podstawowy</t>
  </si>
  <si>
    <t>Wynik finansowy netto</t>
  </si>
  <si>
    <t>Spółka nie jest jednostką dominującą dla żadnej grupy kapitałowej,  w związku z tym nie sporządza sprawozdania skonsolidowanego.</t>
  </si>
  <si>
    <r>
      <t xml:space="preserve">Jednostka sporządzająca skonsolidowane sprawozdanie finansowe na najwyższym  szczeblu grupy kapitałowej: …………. </t>
    </r>
    <r>
      <rPr>
        <sz val="10"/>
        <color indexed="10"/>
        <rFont val="Times New Roman"/>
        <family val="1"/>
        <charset val="238"/>
      </rPr>
      <t>(nazwa i siedziba)</t>
    </r>
    <r>
      <rPr>
        <sz val="10"/>
        <color indexed="8"/>
        <rFont val="Times New Roman"/>
        <family val="1"/>
        <charset val="238"/>
      </rPr>
      <t xml:space="preserve">. Skonsolidowane sprawozdanie finansowe jest dostępne w ……. </t>
    </r>
    <r>
      <rPr>
        <sz val="10"/>
        <color indexed="10"/>
        <rFont val="Times New Roman"/>
        <family val="1"/>
        <charset val="238"/>
      </rPr>
      <t>(miejsce)</t>
    </r>
    <r>
      <rPr>
        <sz val="10"/>
        <color indexed="8"/>
        <rFont val="Times New Roman"/>
        <family val="1"/>
        <charset val="238"/>
      </rPr>
      <t>.</t>
    </r>
  </si>
  <si>
    <r>
      <t xml:space="preserve">Jednostka sporządzająca skonsolidowane sprawozdanie finansowe na najniższym  szczeblu grupy kapitałowej: ……………. </t>
    </r>
    <r>
      <rPr>
        <sz val="10"/>
        <color indexed="10"/>
        <rFont val="Times New Roman"/>
        <family val="1"/>
        <charset val="238"/>
      </rPr>
      <t>(nazwa i siedziba)</t>
    </r>
    <r>
      <rPr>
        <sz val="10"/>
        <color indexed="8"/>
        <rFont val="Times New Roman"/>
        <family val="1"/>
        <charset val="238"/>
      </rPr>
      <t xml:space="preserve">. Skonsolidowane sprawozdanie finansowe jest dostępne w ……. </t>
    </r>
    <r>
      <rPr>
        <sz val="10"/>
        <color indexed="10"/>
        <rFont val="Times New Roman"/>
        <family val="1"/>
        <charset val="238"/>
      </rPr>
      <t>(miejsce)</t>
    </r>
    <r>
      <rPr>
        <sz val="10"/>
        <color indexed="8"/>
        <rFont val="Times New Roman"/>
        <family val="1"/>
        <charset val="238"/>
      </rPr>
      <t>.</t>
    </r>
  </si>
  <si>
    <t>Zobowiązania warunkowe</t>
  </si>
  <si>
    <t>Zobowiązania warunkowe:</t>
  </si>
  <si>
    <t>wobec jednostek powiązanych</t>
  </si>
  <si>
    <t>gwarancji</t>
  </si>
  <si>
    <t>BZ_ZobWarunekowe_JednPowiazaneGwarancje</t>
  </si>
  <si>
    <t>BO_ZobWarunekowe_JednPowiazaneGwarancje</t>
  </si>
  <si>
    <t>poręczeń</t>
  </si>
  <si>
    <t>BZ_ZobWarunekowe_JednPowiazanePoreczenie</t>
  </si>
  <si>
    <t>BO_ZobWarunekowe_JednPowiazanePoreczenie</t>
  </si>
  <si>
    <t>weksli</t>
  </si>
  <si>
    <t>BZ_ZobWarunekowe_JednPowiazaneWeksel</t>
  </si>
  <si>
    <t>BO_ZobWarunekowe_JednPowiazaneWeksel</t>
  </si>
  <si>
    <t>zawartych, lecz nie wykonanych umów</t>
  </si>
  <si>
    <t>BZ_ZobWarunekowe_JednPowiazaneZawartaUmowa</t>
  </si>
  <si>
    <t>BO_ZobWarunekowe_JednPowiazaneZawartaUmowa</t>
  </si>
  <si>
    <t>zabezpieczeń umów leasingowych</t>
  </si>
  <si>
    <t>BZ_ZobWarunekowe_JednPowiazaneLeasing</t>
  </si>
  <si>
    <t>BO_ZobWarunekowe_JednPowiazaneLeasing</t>
  </si>
  <si>
    <t>BZ_ZobWarunekowe_JednPowiazaneInne</t>
  </si>
  <si>
    <t>BO_ZobWarunekowe_JednPowiazaneInne</t>
  </si>
  <si>
    <t>wobec jednostek stowarzyszonych</t>
  </si>
  <si>
    <t>BZ_ZobWarunekowe_JednStowarzyszoneGwarancje</t>
  </si>
  <si>
    <t>BO_ZobWarunekowe_JednStowarzyszoneGwarancje</t>
  </si>
  <si>
    <t>BZ_ZobWarunekowe_JednStowarzyszonePoreczenie</t>
  </si>
  <si>
    <t>BO_ZobWarunekowe_JednStowarzyszonePoreczenie</t>
  </si>
  <si>
    <t>BZ_ZobWarunekowe_JednStowarzyszoneWeksel</t>
  </si>
  <si>
    <t>BO_ZobWarunekowe_JednStowarzyszoneWeksel</t>
  </si>
  <si>
    <t>BZ_ZobWarunekowe_JednStowarzyszoneZawartaUmowa</t>
  </si>
  <si>
    <t>BO_ZobWarunekowe_JednStowarzyszoneZawartaUmowa</t>
  </si>
  <si>
    <t>BZ_ZobWarunekowe_JednStowarzyszoneLeasing</t>
  </si>
  <si>
    <t>BO_ZobWarunekowe_JednStowarzyszoneLeasing</t>
  </si>
  <si>
    <t>BZ_ZobWarunekowe_JednStowarzyszoneInne</t>
  </si>
  <si>
    <t>BO_ZobWarunekowe_JednStowarzyszoneInne</t>
  </si>
  <si>
    <t>wobec pozostałych jednostek</t>
  </si>
  <si>
    <t>BZ_ZobWarunekowe_JednPozostaleGwarancje</t>
  </si>
  <si>
    <t>BO_ZobWarunekowe_JednPozostaleGwarancje</t>
  </si>
  <si>
    <t>BZ_ZobWarunekowe_JednPozostalePoreczenie</t>
  </si>
  <si>
    <t>BO_ZobWarunekowe_JednPozostalePoreczenie</t>
  </si>
  <si>
    <t>BZ_ZobWarunekowe_JednPozostaleWeksel</t>
  </si>
  <si>
    <t>BO_ZobWarunekowe_JednPozostaleWeksel</t>
  </si>
  <si>
    <t>BZ_ZobWarunekowe_JednPozostaleZawartaUmowa</t>
  </si>
  <si>
    <t>BO_ZobWarunekowe_JednPozostaleZawartaUmowa</t>
  </si>
  <si>
    <t>BZ_ZobWarunekowe_JednPozostaleLeasing</t>
  </si>
  <si>
    <t>BO_ZobWarunekowe_JednPozostaleLeasing</t>
  </si>
  <si>
    <t>BZ_ZobWarunekowe_JednPozostaleInne</t>
  </si>
  <si>
    <t>BO_ZobWarunekowe_JednPozostaleInne</t>
  </si>
  <si>
    <t>Razem:</t>
  </si>
  <si>
    <t>Zobowiązania warunkowe na dzień bilansowy nie wystąpiły.</t>
  </si>
  <si>
    <t>Do każdego rodzaju zobowiązania warunkowego proszę podać:</t>
  </si>
  <si>
    <t>- krótki opis charakteru zobowiązania warunkowego (charakter i forma zobowiązań),</t>
  </si>
  <si>
    <t>- szacunkową kwotę jego skutków finansowych,</t>
  </si>
  <si>
    <t>- przesłanki świadczące o istnieniu niepewności co do kwoty lub terminu wpływu środków,</t>
  </si>
  <si>
    <t>- możliwości uzyskania zwrotów,</t>
  </si>
  <si>
    <t>- należy wskazać zobowiązania zabezpieczone na majątku jednostki,</t>
  </si>
  <si>
    <t>- odrębnie należy wykazać informacje dotyczące zobowiązań warunkowych w zakresie emerytur i podobnych świadczeń.</t>
  </si>
  <si>
    <t>Działalność zaniechana</t>
  </si>
  <si>
    <t>[Proszę podać informacje o przychodach, kosztach i wynikach działalności zaniechanej w roku obrotowym lub przewidzianej do zaniechania w roku następnym]</t>
  </si>
  <si>
    <t>Spółka nie zaniechała żadnej działalności w roku obrotowym, ani nie planuje zaniechać w kolejnym roku.</t>
  </si>
  <si>
    <t>Łączenie się spółek</t>
  </si>
  <si>
    <t>[W przypadku sprawozdania finansowego sporządzonego za okres, w ciągu którego nastąpiło połączenie:</t>
  </si>
  <si>
    <t>1)  jeżeli połączenie zostało rozliczone metodą nabycia:</t>
  </si>
  <si>
    <t>a) nazwę (firmę) i opis przedmiotu działalności spółki przejętej,</t>
  </si>
  <si>
    <t>b) liczbę, wartość nominalną i rodzaj udziałów (akcji) wyemitowanych w celu połączenia,</t>
  </si>
  <si>
    <t>c) cenę przejęcia, wartość aktywów netto według wartości godziwej spółki przejętej na dzień połączenia, wartość firmy lub ujemną wartość firmy i opis zasad jej amortyzacji;</t>
  </si>
  <si>
    <t>2)  jeżeli połączenie zostało rozliczone metodą łączenia udziałów:</t>
  </si>
  <si>
    <t xml:space="preserve">a)  nazwy (firmy) i opis przedmiotu działalności spółek, które w wyniku połączenia zostały wykreślone z rejestru, </t>
  </si>
  <si>
    <t>c) przychody i koszty, zyski i straty oraz zmiany w kapitałach własnych połączonych spółek za okres od początku roku obrotowego, w ciągu którego nastąpiło połączenie, do dnia połączenia;</t>
  </si>
  <si>
    <t>Zmiany zasad (polityki) rachunkowości w roku obrotowym</t>
  </si>
  <si>
    <t>Przedstawienie dokonanych w roku obrotowym zmian zasad (polityki) rachunkowości, w tym metod wyceny , jeżeli wywierają one istotny wpływ na sytuację majątkową, finansową i wynik finansowy  jednostki, ich przyczyny i spowodowaną zmianami kwotę wyniku oraz zmian w kapitale własnym oraz przedstawienie zmiany sposobu sporządzania sprawozdania finansowego wraz z podaniem jej przyczyny.</t>
  </si>
  <si>
    <t>Jeżeli były dokonywane zmiany zasad, lub wystąpiły inne przyczyny, które utrudniają porównywalność danych (np. połączenie spółek) należy przedstawić informacje liczbowe zapewniające porównywalność danych sprawozdania finansowego za rok poprzedzający ze sprawozdaniem za rok obrotowy.</t>
  </si>
  <si>
    <t>Wartość żywności przekazywanej organizacjom pozarządowym</t>
  </si>
  <si>
    <t>Należy podać wartość żywności przekazanej organizacjom pozarządowym, z przeznaczeniem na wykonywanie przez te organizacje zadań w zakresie określonym w art. 2 pkt 2 ustawy z dnia 19 lipca 2019 r. o przeciwdziałaniu marnowaniu żywności (Dz. U. poz. 1680), lub kwotę opłaty za marnowanie żywności, o której mowa w art. 5 tej ustawy.</t>
  </si>
  <si>
    <t>Spółka nie przekazywała żywności organizacjom pozarządowym.</t>
  </si>
  <si>
    <t>Pozostałe informacje</t>
  </si>
  <si>
    <t>W przypadku, gdy inne informacje niż wymienione powyżej mogłyby w istotny sposób wpłynąć na ocenę sytuacji majątkowej, finansowej oraz wynik finansowy Spółki, należy ujawnić te informacje.</t>
  </si>
  <si>
    <t>Zarząd spółki</t>
  </si>
  <si>
    <t>W skład Zarządu Spółki na dzień sporządzania sprawozdania finansowego wchodzili:</t>
  </si>
  <si>
    <t>W okresie objętym sprawozdaniem finansowym wystąpiły następujące zmiany w składzie Zarządu Spółki:</t>
  </si>
  <si>
    <t>W okresie objętym sprawozdaniem finansowym nie wystąpiły zmiany w Zarządzie Spółki.</t>
  </si>
  <si>
    <t>Osoby składające podpis elektroniczny na sprawozdaniu finansowym</t>
  </si>
  <si>
    <t>(All amounts are stated in PLN)</t>
  </si>
  <si>
    <t>Changes in intangible fixed assets</t>
  </si>
  <si>
    <t>Prepayments for intangible fixed assets</t>
  </si>
  <si>
    <t>Gross book value</t>
  </si>
  <si>
    <t>Additions</t>
  </si>
  <si>
    <t>purchase</t>
  </si>
  <si>
    <t>used based on finance lease and similar agreements</t>
  </si>
  <si>
    <t>subsidies</t>
  </si>
  <si>
    <t>contribution in kind</t>
  </si>
  <si>
    <t>Decreases</t>
  </si>
  <si>
    <t>sales</t>
  </si>
  <si>
    <t>disposal</t>
  </si>
  <si>
    <t>donation</t>
  </si>
  <si>
    <t>Reclassifications</t>
  </si>
  <si>
    <t>Accumulated depreciation</t>
  </si>
  <si>
    <t>amortisation for the period</t>
  </si>
  <si>
    <t>Impairment write-offs</t>
  </si>
  <si>
    <t>reversed</t>
  </si>
  <si>
    <t>utilised</t>
  </si>
  <si>
    <t>Net book value</t>
  </si>
  <si>
    <t xml:space="preserve">Development costs amounted in the current period to PLN </t>
  </si>
  <si>
    <t>The Company incurred development costs in prior period of PLN</t>
  </si>
  <si>
    <t>Depreciates them in the period</t>
  </si>
  <si>
    <t>Provide description of purchase transaction or merger and created goodwill with its depreciation period.</t>
  </si>
  <si>
    <t>Research and development costs</t>
  </si>
  <si>
    <t>Research and development costs, which were not classified according to art. 33 point 2 of the Accounting Act to intangible fixed assets</t>
  </si>
  <si>
    <t>Provide information about above costs..</t>
  </si>
  <si>
    <t>Change in fixed assets</t>
  </si>
  <si>
    <t>Land (including perpetual usufruct)</t>
  </si>
  <si>
    <t>Buildings, premises, rights to premises and civil and water engineering constructions</t>
  </si>
  <si>
    <t>Other tangible fixed assets</t>
  </si>
  <si>
    <t>transfer from assets under construction</t>
  </si>
  <si>
    <t>purchase of tangible fixed assets</t>
  </si>
  <si>
    <t>subsidies received</t>
  </si>
  <si>
    <t>disclosures (e.g. physical count)</t>
  </si>
  <si>
    <t>assets used based on finance lease, rental or similar agreement</t>
  </si>
  <si>
    <t>donations granted</t>
  </si>
  <si>
    <t>depreciation for the period</t>
  </si>
  <si>
    <t>Land under perpetual usufruct</t>
  </si>
  <si>
    <t>Item</t>
  </si>
  <si>
    <t>In addition to perpetual usufruct rights included in the balance sheet, the Company uses land held under perpetual usufruct. Payments for the land use are made on the basis of an administratively assigned value amounts:</t>
  </si>
  <si>
    <t>The Company does not use land held under perpetual usufruct.</t>
  </si>
  <si>
    <t>Non depreciated fixed assets</t>
  </si>
  <si>
    <t>The net value of  tangible assets not depreciated by the Company and used based on rental or similar agreements, including lease agreements</t>
  </si>
  <si>
    <t>This initial value has been assigned to the leased assets based on the respective rent or lease contracts. [if other method, please provide] "</t>
  </si>
  <si>
    <t>The Company does not have non depreciated fixed assets used based on operating leases or contracts of a similar nature.</t>
  </si>
  <si>
    <t>Fixed assets for internal use</t>
  </si>
  <si>
    <t>The Company has not produced fixed assets for internal use.</t>
  </si>
  <si>
    <t>Basis for impairment write-offs</t>
  </si>
  <si>
    <t>&lt;provide the reasons of impairment write offs&gt;</t>
  </si>
  <si>
    <t>Assets under construction</t>
  </si>
  <si>
    <t>incurred investment outlays</t>
  </si>
  <si>
    <t>capitalised exchange differences on liabilities</t>
  </si>
  <si>
    <t>capitalised  interest on liabilities</t>
  </si>
  <si>
    <t>reclassification to tangible fixed assets</t>
  </si>
  <si>
    <t>commissioning of real property</t>
  </si>
  <si>
    <t>sales of tangible assets under construction</t>
  </si>
  <si>
    <t>abandoned investments written-off</t>
  </si>
  <si>
    <t>used</t>
  </si>
  <si>
    <t>The structure of long-term receivables</t>
  </si>
  <si>
    <t>Gross value</t>
  </si>
  <si>
    <t>Allowance for long-term receivables</t>
  </si>
  <si>
    <t>Net value</t>
  </si>
  <si>
    <t>Allowance for long-term receivables from related parties</t>
  </si>
  <si>
    <t>Allowance for long-term receivables from other parties,  in which entity has a share in equity</t>
  </si>
  <si>
    <t>Allowance for long-term receivables from other parties</t>
  </si>
  <si>
    <t>Allowance created during the year</t>
  </si>
  <si>
    <t>Allowance used during the year</t>
  </si>
  <si>
    <t>Allowance released  during the year</t>
  </si>
  <si>
    <t>If one asset (like a loan) is presented both as long and short-term, please use below note:</t>
  </si>
  <si>
    <t>Receivables ……</t>
  </si>
  <si>
    <t>Total receivables value (long-term and short-term)</t>
  </si>
  <si>
    <t>Allowance for receivables</t>
  </si>
  <si>
    <t>including presented as short-term receivables</t>
  </si>
  <si>
    <t>Changes in long-term investment</t>
  </si>
  <si>
    <t xml:space="preserve">- fair value </t>
  </si>
  <si>
    <t xml:space="preserve">Long-term financial assets </t>
  </si>
  <si>
    <t>purchase/loan granting</t>
  </si>
  <si>
    <t>reversal of permanent impairment write-down</t>
  </si>
  <si>
    <t>fair value revaluation</t>
  </si>
  <si>
    <t>permanent impairment</t>
  </si>
  <si>
    <t>reclassification</t>
  </si>
  <si>
    <t>'- valued according to historical value:</t>
  </si>
  <si>
    <t>Invest- ment property</t>
  </si>
  <si>
    <t>sales/loan repayment</t>
  </si>
  <si>
    <t>Securities and rights</t>
  </si>
  <si>
    <t>Number</t>
  </si>
  <si>
    <t>Value</t>
  </si>
  <si>
    <t>Granted rights</t>
  </si>
  <si>
    <t>Share certificates</t>
  </si>
  <si>
    <t>Convertible debt securities</t>
  </si>
  <si>
    <t>Warrants</t>
  </si>
  <si>
    <t>Options</t>
  </si>
  <si>
    <t>If the value of Long - term FA is significant and there were important changes in the financial year, the table of movements should be added.</t>
  </si>
  <si>
    <t>Shares in subsidiaries</t>
  </si>
  <si>
    <t>No</t>
  </si>
  <si>
    <t>Name and address of Company</t>
  </si>
  <si>
    <t>Value at purchase price of shares</t>
  </si>
  <si>
    <t>Revaluation</t>
  </si>
  <si>
    <t>Permanent impairment</t>
  </si>
  <si>
    <t>% share in capital</t>
  </si>
  <si>
    <t>% votes in Company’s authorities</t>
  </si>
  <si>
    <t>Net profit/loss for previous financial year</t>
  </si>
  <si>
    <t>Shares in co-subsidiaries</t>
  </si>
  <si>
    <t>Shares in associated entities</t>
  </si>
  <si>
    <t>Shares in other entities</t>
  </si>
  <si>
    <t>Specification of agreements for loans granted</t>
  </si>
  <si>
    <t>Name of the borrower</t>
  </si>
  <si>
    <t>Contractual amount</t>
  </si>
  <si>
    <t>Short-term portion</t>
  </si>
  <si>
    <t>Long-term portion</t>
  </si>
  <si>
    <t>Interest rate as at balance sheet date</t>
  </si>
  <si>
    <t>Security of repayment</t>
  </si>
  <si>
    <t>Prepayments and deferred expenses</t>
  </si>
  <si>
    <t>Long-term other prepayments and deferred expenses</t>
  </si>
  <si>
    <t>difference between obtained financial assets and payment obligation</t>
  </si>
  <si>
    <t xml:space="preserve">Inventory </t>
  </si>
  <si>
    <t xml:space="preserve">Ageing analysis of inventory </t>
  </si>
  <si>
    <t>If value of stock is significant, aging of the position should be added, otherwise delete.</t>
  </si>
  <si>
    <t>Days in stock</t>
  </si>
  <si>
    <t>Materials</t>
  </si>
  <si>
    <t>Semi-finished products and work in progress</t>
  </si>
  <si>
    <t>Impairment write-downs (negative value)</t>
  </si>
  <si>
    <t>Carrying value</t>
  </si>
  <si>
    <t>Changes in write-downs on inventory</t>
  </si>
  <si>
    <t>Write-downs on materials</t>
  </si>
  <si>
    <t>Write-downs on finished products</t>
  </si>
  <si>
    <t>Write-downs on merchandise</t>
  </si>
  <si>
    <t>Write-downs on semi-finished products and work in progress</t>
  </si>
  <si>
    <t>Total write-downs on inventory</t>
  </si>
  <si>
    <t xml:space="preserve">Write- downs created </t>
  </si>
  <si>
    <t xml:space="preserve">Write- downs used </t>
  </si>
  <si>
    <t>Write- downs released during the year</t>
  </si>
  <si>
    <t>Interest and foreign exchange differences increasing merchandise acquisition price or finished product production costs</t>
  </si>
  <si>
    <t>interest</t>
  </si>
  <si>
    <t>foreign exchange differences</t>
  </si>
  <si>
    <t>In the current period there were no interest or foreign exchange differences increasing merchandise acquisition price or finished product production costs.</t>
  </si>
  <si>
    <t>Specification of short-term receivables</t>
  </si>
  <si>
    <t>gross value</t>
  </si>
  <si>
    <t>impairment write-downs</t>
  </si>
  <si>
    <t>net value</t>
  </si>
  <si>
    <t>Receivables from related parties, including:</t>
  </si>
  <si>
    <t>trade receivables, maturing:</t>
  </si>
  <si>
    <t>Receivables from other entities, in which the entity has a share in equity, including:</t>
  </si>
  <si>
    <t>Receivables from other entities, including:</t>
  </si>
  <si>
    <t>Ageing analysis of gross trade receivables</t>
  </si>
  <si>
    <t>Age in days:</t>
  </si>
  <si>
    <t>from related parties, including:</t>
  </si>
  <si>
    <t>current</t>
  </si>
  <si>
    <t>overdue, including:</t>
  </si>
  <si>
    <t>up to 90 days</t>
  </si>
  <si>
    <t>90-180 days</t>
  </si>
  <si>
    <t>180-360 days</t>
  </si>
  <si>
    <t>above 360 days</t>
  </si>
  <si>
    <t>from other parties, in which the entity has a share in equity, including:</t>
  </si>
  <si>
    <t>from other entities, including:</t>
  </si>
  <si>
    <t>Changes in impairment write-downs on short-term receivables (by title)</t>
  </si>
  <si>
    <t>Impairment write - downs on trade receivables</t>
  </si>
  <si>
    <t>including from related parties</t>
  </si>
  <si>
    <t>Impairment write - downs on other receivables</t>
  </si>
  <si>
    <t>Total impairment write - downs on short-term receivables</t>
  </si>
  <si>
    <t>- created impairment write - downs charged to other operating expenses</t>
  </si>
  <si>
    <t>- created impairment write - downs charged to financial expenses</t>
  </si>
  <si>
    <t>- reclassification between receivables</t>
  </si>
  <si>
    <t>- released impairment write - downs charged to other operating revenue</t>
  </si>
  <si>
    <t>- released impairment write - downs charged to financial revenue</t>
  </si>
  <si>
    <t>- Impairment write - downs utilised</t>
  </si>
  <si>
    <t>Cash on hand</t>
  </si>
  <si>
    <t>Cash at Bank, including:</t>
  </si>
  <si>
    <t>Cash on VAT bank account</t>
  </si>
  <si>
    <t xml:space="preserve">Ownership structure of share capital </t>
  </si>
  <si>
    <t>Shareholders</t>
  </si>
  <si>
    <t>Number of shares held</t>
  </si>
  <si>
    <t>Value of shares</t>
  </si>
  <si>
    <t>Percentage share in capital</t>
  </si>
  <si>
    <t>Percentage share in total number of votes</t>
  </si>
  <si>
    <t>Pls describe type of preferences for shares.</t>
  </si>
  <si>
    <t>If the Company is not presenting a statement of equity changes,then here it should present a note with changes of the supplementary, reserve capital and revaluation reserve - template in mentioned statement</t>
  </si>
  <si>
    <t>The proposed text is for a simple joint-stock company only. In case of occurrence, one of the texts is required.</t>
  </si>
  <si>
    <t>The number of shares taken up by shareholders in a simple joint-stock company in exchange for non-cash contributions, the subject of which is non-transferable right or the provision of work or services</t>
  </si>
  <si>
    <t>Shareholders haven't taken up shares in a simple joint-stock company in exchange for non-cash contributions, the subject of which is non-transferable right or the provision of work or services in current year.</t>
  </si>
  <si>
    <t xml:space="preserve">Proposed distribution of the financial result </t>
  </si>
  <si>
    <t>- dividend payout</t>
  </si>
  <si>
    <t>- transfer against losses from the previous years</t>
  </si>
  <si>
    <t>- transfer to supplementary capital</t>
  </si>
  <si>
    <t xml:space="preserve">- transfer to reserve capital </t>
  </si>
  <si>
    <t>- from profits generated in future periods</t>
  </si>
  <si>
    <t>Change of equity</t>
  </si>
  <si>
    <t>(applies to Companies which do not prepare the Statement of Changes in equity)</t>
  </si>
  <si>
    <t>Supplementary capital</t>
  </si>
  <si>
    <t>Revaluation reserve</t>
  </si>
  <si>
    <t>Other capital reserves</t>
  </si>
  <si>
    <t>increase</t>
  </si>
  <si>
    <t>decrease</t>
  </si>
  <si>
    <t>Provide planned deadline of share capital contribution payment.</t>
  </si>
  <si>
    <t>Please describe its nature and purpose.</t>
  </si>
  <si>
    <t>Provisions</t>
  </si>
  <si>
    <t>Changes in provision for retirement and similar benefits</t>
  </si>
  <si>
    <t>long-term</t>
  </si>
  <si>
    <t>short-term</t>
  </si>
  <si>
    <t xml:space="preserve">Provisions created </t>
  </si>
  <si>
    <t>Provisions applied</t>
  </si>
  <si>
    <t xml:space="preserve">Provisions reversed </t>
  </si>
  <si>
    <t>Changes in other long-term provisions</t>
  </si>
  <si>
    <t>[Title of provision A]</t>
  </si>
  <si>
    <t>[Title of provision B]</t>
  </si>
  <si>
    <t>[Other provisions]</t>
  </si>
  <si>
    <t>Changes in other short-term provisions</t>
  </si>
  <si>
    <t>For significant items please provide details for each group of provisions/ accruals including:</t>
  </si>
  <si>
    <t>- short description of liability nature and expected time of realizations</t>
  </si>
  <si>
    <t>- information about uncertainty concerning amounts and time of outflow of future economic benefits</t>
  </si>
  <si>
    <t>- main assumption regarding future events which were taken into consideration while estimating the provision</t>
  </si>
  <si>
    <t>- amount of assumed assets return</t>
  </si>
  <si>
    <t>Related parties</t>
  </si>
  <si>
    <t>Other parties, in which the entity has a share in equity</t>
  </si>
  <si>
    <t>Other parties</t>
  </si>
  <si>
    <t>long-term portion</t>
  </si>
  <si>
    <t>1 - 3 years</t>
  </si>
  <si>
    <t>3 - 5 years</t>
  </si>
  <si>
    <t>more than 5 years</t>
  </si>
  <si>
    <t>short-term portion</t>
  </si>
  <si>
    <t>up to 1 year</t>
  </si>
  <si>
    <t>Aged structure of long-term liabilities due to related parties</t>
  </si>
  <si>
    <t>Arising from issuance of debt securities</t>
  </si>
  <si>
    <t>Other financial liabilities, including financial lease liabilities</t>
  </si>
  <si>
    <t>Bills of exchange</t>
  </si>
  <si>
    <t>Aged structure of long-term liabilities due to other parties, in which the entity has a share in equity</t>
  </si>
  <si>
    <t>Aged structure of long-term liabilities due to other parties</t>
  </si>
  <si>
    <t xml:space="preserve">Specification of balance sheet liabilities </t>
  </si>
  <si>
    <t>Type of credit/loan</t>
  </si>
  <si>
    <t>Name of bank/creditor</t>
  </si>
  <si>
    <t>Interest rate and collateral as at balance sheet date</t>
  </si>
  <si>
    <t>Security on assets given by the Company</t>
  </si>
  <si>
    <t>mortgage</t>
  </si>
  <si>
    <t>collateral</t>
  </si>
  <si>
    <t>Receivables</t>
  </si>
  <si>
    <t>assignment</t>
  </si>
  <si>
    <t>(provide nature and form of above securities.)</t>
  </si>
  <si>
    <t>There were no securities on the Company's assets.</t>
  </si>
  <si>
    <r>
      <t>Liabilities arising from financial leases</t>
    </r>
    <r>
      <rPr>
        <b/>
        <sz val="10"/>
        <color indexed="10"/>
        <rFont val="Times New Roman"/>
        <family val="1"/>
        <charset val="238"/>
      </rPr>
      <t xml:space="preserve"> </t>
    </r>
  </si>
  <si>
    <t>[applicable in the case of material value of this item]</t>
  </si>
  <si>
    <t>Payable in the period:</t>
  </si>
  <si>
    <t>Face value of minimum lease payments</t>
  </si>
  <si>
    <t>Current value of minimum lease payments</t>
  </si>
  <si>
    <t>from 1 year to 3 years</t>
  </si>
  <si>
    <t>from 3 years to 5 years</t>
  </si>
  <si>
    <t>above 5 years</t>
  </si>
  <si>
    <t>Future interest costs (negative value)</t>
  </si>
  <si>
    <t>not applicable</t>
  </si>
  <si>
    <t>Total present value of minimum lease payments, including:</t>
  </si>
  <si>
    <t>short-term liabilities</t>
  </si>
  <si>
    <t>long-term liabilities</t>
  </si>
  <si>
    <t>Assets or liabilities items presented in more than one balance sheet position</t>
  </si>
  <si>
    <t>The following asset items are presented in more than one balance sheet position</t>
  </si>
  <si>
    <t>Receivables:</t>
  </si>
  <si>
    <t>- in the long-term portion presented as [fill in the position]</t>
  </si>
  <si>
    <t>- in the current portion presented as [fill in the position]</t>
  </si>
  <si>
    <t>The following liabilities items are presented in more than one balance sheet position</t>
  </si>
  <si>
    <t>Payables:</t>
  </si>
  <si>
    <t>Long-term interperiod settlements</t>
  </si>
  <si>
    <t>Short-term interperiod settlements</t>
  </si>
  <si>
    <t>Disclosures like accruals</t>
  </si>
  <si>
    <t>Valuation of assets, which are not financial instruments, according to fair value</t>
  </si>
  <si>
    <t>Assumptions used to determine fair value in case of data not obtained on active market</t>
  </si>
  <si>
    <t>Please provide relevant assumptions in case of lack of active market.</t>
  </si>
  <si>
    <t>Fair value of assets, which are not financial instruments, specified in the balance sheet and effects of revaluation in the reporting period</t>
  </si>
  <si>
    <t>Asset category</t>
  </si>
  <si>
    <t>Fair value</t>
  </si>
  <si>
    <t>Revaluation in the reporting period</t>
  </si>
  <si>
    <t>Financial revenues / (expenses)</t>
  </si>
  <si>
    <t>Changes in the revaluation reserve due to revaluation of fair value</t>
  </si>
  <si>
    <t>Revaluation reserve due to revaluation of fair value at the beginning of the period</t>
  </si>
  <si>
    <t>Changes in the revaluation reserve</t>
  </si>
  <si>
    <t xml:space="preserve">     additions (relating to)</t>
  </si>
  <si>
    <t xml:space="preserve">     disposals (relating to)</t>
  </si>
  <si>
    <t>Revaluation reserve due to revaluation of fair value at the end of the period</t>
  </si>
  <si>
    <t xml:space="preserve">Classification of assets to groups of financial instruments </t>
  </si>
  <si>
    <t>Type of financial instrument</t>
  </si>
  <si>
    <t>Assets held for trading</t>
  </si>
  <si>
    <t>Loans granted and receivables</t>
  </si>
  <si>
    <t>Assets held to maturity</t>
  </si>
  <si>
    <t>Assets available for sale</t>
  </si>
  <si>
    <t>Hedging instruments with positive fair value</t>
  </si>
  <si>
    <t>Measurement of assets classified as financial instruments</t>
  </si>
  <si>
    <t>Measurement method</t>
  </si>
  <si>
    <t>Value at purchase cost</t>
  </si>
  <si>
    <t>Value from balance sheet measurement</t>
  </si>
  <si>
    <t xml:space="preserve">Difference between value at purchase cost and carrying value </t>
  </si>
  <si>
    <t>Change in value during year charged to profit and loss account</t>
  </si>
  <si>
    <t>Amount charged in current year to revaluation reserve</t>
  </si>
  <si>
    <t>Financial liabilities by title</t>
  </si>
  <si>
    <t xml:space="preserve">Type of liability </t>
  </si>
  <si>
    <t>financial liabilities held for trading</t>
  </si>
  <si>
    <t>hedging instruments with negative fair value</t>
  </si>
  <si>
    <t>Financial hedging instruments</t>
  </si>
  <si>
    <t>1. Goals and principles of financial risk management, including hedging of basic types of planned transactions and expected future liabilities (§ 41.1 of the Ordinance).</t>
  </si>
  <si>
    <t>2. Hedging of fair value, cash flow or shares in net assets of foreign entities (§ 41.2 of the Ordinance).</t>
  </si>
  <si>
    <t>Type of hedging</t>
  </si>
  <si>
    <t>Description of hedging instrument</t>
  </si>
  <si>
    <t>Fair value of hedging instrument as at balance sheet date</t>
  </si>
  <si>
    <t>Type of hedged risk</t>
  </si>
  <si>
    <t>3. Hedging of planned transaction or expected future liability  (§ 41.3 of the Ordinance)</t>
  </si>
  <si>
    <t>Description of secured item</t>
  </si>
  <si>
    <t>Expected period to its occurrence</t>
  </si>
  <si>
    <t>Deferred profit or loss</t>
  </si>
  <si>
    <t>Amount</t>
  </si>
  <si>
    <t>Expected date of recognition as revenue or expenses</t>
  </si>
  <si>
    <t>4. Profit or loss on measurement of hedging instruments, both derivative financial instruments and assets or liabilities of another nature charged to the revaluation reserve if the cash flow is hedged (§ 41.4 of the Ordinance)</t>
  </si>
  <si>
    <t>Amounts of profit and losses on hedging instrument revaluation – charged to revaluation reserve</t>
  </si>
  <si>
    <t>Amounts written-off revaluation reserve and classified into financial revenue or expenses of reporting period</t>
  </si>
  <si>
    <t xml:space="preserve">Amounts written off revaluation reserve and added to acquisition cost or otherwise determined gross value of an asset or liability arising due to realisation of hedged transaction </t>
  </si>
  <si>
    <t>Capital increases</t>
  </si>
  <si>
    <t xml:space="preserve">Capital decreases </t>
  </si>
  <si>
    <t>Structure of revenue from sales</t>
  </si>
  <si>
    <t>Structure by type</t>
  </si>
  <si>
    <t>Net revenue from sales of products by type of activity, including:</t>
  </si>
  <si>
    <t>Net revenue from sales of goods and materials by type of activity, including:</t>
  </si>
  <si>
    <t>merchandise</t>
  </si>
  <si>
    <t>materials</t>
  </si>
  <si>
    <t>(to the extent in which activities are significantly different from each other, taking into account the principles of organisation of sale)</t>
  </si>
  <si>
    <t>Territorial structure - geographic markets</t>
  </si>
  <si>
    <t>Revenue from the sale of finished products</t>
  </si>
  <si>
    <t>Revenue from the sale of  merchandise and raw materials</t>
  </si>
  <si>
    <t>(to the extent in which markets are significantly different from each other, taking into account the principles of organisation of sale)</t>
  </si>
  <si>
    <t>Information on cost of products for internal use and on costs by type of expenditure</t>
  </si>
  <si>
    <t>Manufacturing cost of products for internal use</t>
  </si>
  <si>
    <t>Cost by type of expenditure:</t>
  </si>
  <si>
    <t>Taxes and charges</t>
  </si>
  <si>
    <t>Social security and other benefits, including retirement</t>
  </si>
  <si>
    <t>Company has not manufactured products for internal use.</t>
  </si>
  <si>
    <t>Only fill in if items are relevant!</t>
  </si>
  <si>
    <t>Profit on disposal of non-financial fixed assets:</t>
  </si>
  <si>
    <t>tangible fixed assets and tangible fixed assets under construction</t>
  </si>
  <si>
    <t>intangible assets</t>
  </si>
  <si>
    <t>investments</t>
  </si>
  <si>
    <t>Revaluation of non-financial assets:</t>
  </si>
  <si>
    <t>non-financial investments</t>
  </si>
  <si>
    <t>receivables</t>
  </si>
  <si>
    <t>inventory</t>
  </si>
  <si>
    <t>other assets</t>
  </si>
  <si>
    <t>Sundry, including:</t>
  </si>
  <si>
    <t>extraordinary revenues *</t>
  </si>
  <si>
    <t xml:space="preserve">release of other provisions </t>
  </si>
  <si>
    <t>Loss on disposal of non-financial fixed assets:</t>
  </si>
  <si>
    <t>extraordinary expenses*</t>
  </si>
  <si>
    <t xml:space="preserve">other provisions created </t>
  </si>
  <si>
    <t>donations</t>
  </si>
  <si>
    <t>Interest revenue</t>
  </si>
  <si>
    <t>Type of asset</t>
  </si>
  <si>
    <t>Interest revenue in the financial year</t>
  </si>
  <si>
    <t>Accrued and realised interest</t>
  </si>
  <si>
    <t>Accrued but unrealized interest
(according to due dates)</t>
  </si>
  <si>
    <t>to 3 months</t>
  </si>
  <si>
    <t>from 3 to 12 months</t>
  </si>
  <si>
    <t>above 12 months</t>
  </si>
  <si>
    <t>Debt financial instruments</t>
  </si>
  <si>
    <t>including interest on impaired assets</t>
  </si>
  <si>
    <t>Loans granted</t>
  </si>
  <si>
    <t>Cash</t>
  </si>
  <si>
    <t>Other assets</t>
  </si>
  <si>
    <t>Revaluation of investments (increase in value)</t>
  </si>
  <si>
    <t>shares in affiliated entities</t>
  </si>
  <si>
    <t>shares in other entities,</t>
  </si>
  <si>
    <t>shares in other entities, in which the entity has a share in equity</t>
  </si>
  <si>
    <t>securities</t>
  </si>
  <si>
    <t>loans granted</t>
  </si>
  <si>
    <t>other financial assets</t>
  </si>
  <si>
    <t>Release of impairement write - downs on investments</t>
  </si>
  <si>
    <t>shares in other entities</t>
  </si>
  <si>
    <t>Total revaluation of investments</t>
  </si>
  <si>
    <t>Other financial revenue</t>
  </si>
  <si>
    <t>Release of provisions, due to:</t>
  </si>
  <si>
    <t>Other, including:</t>
  </si>
  <si>
    <t>reversal of impairment write - downs on interest on receivables</t>
  </si>
  <si>
    <t>surplus of exchange gains over exchange losses, including:</t>
  </si>
  <si>
    <t>exchange gains realised in current year</t>
  </si>
  <si>
    <t xml:space="preserve">exchange losses realised in current year </t>
  </si>
  <si>
    <t xml:space="preserve">unrealised valuation exchange gains </t>
  </si>
  <si>
    <t>unrealised valuation exchange losses</t>
  </si>
  <si>
    <t>Total other financial revenue</t>
  </si>
  <si>
    <t xml:space="preserve">Interest expenses </t>
  </si>
  <si>
    <t>Type of liability</t>
  </si>
  <si>
    <t>Interest expenses in the financial year</t>
  </si>
  <si>
    <t>Interest accrued and paid</t>
  </si>
  <si>
    <t>Interest accrued but unpaid, maturing:</t>
  </si>
  <si>
    <t>Liabilities held for trading</t>
  </si>
  <si>
    <t>Other short-term liabilities, including:</t>
  </si>
  <si>
    <t>trade liabilities</t>
  </si>
  <si>
    <t>other short-term liabilities</t>
  </si>
  <si>
    <t>Long-term financial liabilities, including:</t>
  </si>
  <si>
    <t>Other liabilities and equity</t>
  </si>
  <si>
    <t>Impairement write - downs on investments</t>
  </si>
  <si>
    <t>Other financial expenses</t>
  </si>
  <si>
    <t>Provisions created, due to:</t>
  </si>
  <si>
    <t>impairment write - downs on receivables</t>
  </si>
  <si>
    <t>surplus of exchange losses over exchange gains, including:</t>
  </si>
  <si>
    <t>exchange losses realised in current year</t>
  </si>
  <si>
    <t>Total other financial expenses</t>
  </si>
  <si>
    <t>Revenue and costs that occurred incidentally or of extraordinary value</t>
  </si>
  <si>
    <t>Dodana</t>
  </si>
  <si>
    <t>or if occurred</t>
  </si>
  <si>
    <t>Items of extraordinary value or incidental</t>
  </si>
  <si>
    <t>[Describe and disclose the value and item of income and expenses in which the income is recognized and in the profit and loss account]</t>
  </si>
  <si>
    <t>Structure of corporate income tax</t>
  </si>
  <si>
    <t>Current tax</t>
  </si>
  <si>
    <t>Deferred tax change</t>
  </si>
  <si>
    <t>Minimum income tax on commercial real estate</t>
  </si>
  <si>
    <t>Income from hidden profits</t>
  </si>
  <si>
    <t>The information must be provided in the case of taxpayers taxed with a lump sum on the income of capital companies.</t>
  </si>
  <si>
    <t>Deferred tax</t>
  </si>
  <si>
    <t>Negative temporary differences - charged to financial result:</t>
  </si>
  <si>
    <t>holiday accrual</t>
  </si>
  <si>
    <t>allowance for doubtful receivables</t>
  </si>
  <si>
    <t>depreciation in excess of tax limits</t>
  </si>
  <si>
    <t>interest accrued on credits and loans</t>
  </si>
  <si>
    <t>unrealised losses from foreign exchange differences</t>
  </si>
  <si>
    <t>Negative temporary differences - charged to equity:</t>
  </si>
  <si>
    <t>Total negative temporary differences</t>
  </si>
  <si>
    <t>Tax losses from prior years:</t>
  </si>
  <si>
    <t>Portion of tax loss utilised</t>
  </si>
  <si>
    <t>Portion of tax loss which will not be utilised</t>
  </si>
  <si>
    <t>Total sum of tax losses to be utilised</t>
  </si>
  <si>
    <t>Total taxable temporary differences:</t>
  </si>
  <si>
    <t>Impairemnt write -down on assets</t>
  </si>
  <si>
    <t>Net deferred tax asset</t>
  </si>
  <si>
    <t>Positive temporary differences - charged to financial result:</t>
  </si>
  <si>
    <t>Accrued interest on accounts receivable</t>
  </si>
  <si>
    <t>Positive forex differences from revaluation</t>
  </si>
  <si>
    <t>Results of revaluation of short-term investment to market value</t>
  </si>
  <si>
    <t>Positive temporary differences - charged to equity:</t>
  </si>
  <si>
    <t>Total positive temporary differences</t>
  </si>
  <si>
    <t>The amount recognised in the P&amp;L  in respect of the calculation of deferred tax amounts to:</t>
  </si>
  <si>
    <t>(negative value  - decrease of net result)</t>
  </si>
  <si>
    <t xml:space="preserve">Deferred tax assets and liabilities in the amount of PLN ............  were offset as they are expected to reverse in the same future periods. </t>
  </si>
  <si>
    <t xml:space="preserve">Justification for impairment write-downs on deferred tax assets and its amount. </t>
  </si>
  <si>
    <t>Tax regulations in Poland</t>
  </si>
  <si>
    <t>In Poland there are numerous regulations regarding value added tax, corporate tax as well as social security premiums. Tax laws are regularly being updated and changed which may result in some discrepancies and differing interpretations within the tax authority offices and between government bodies and tax payers, which in turn may result in uncertainty and disputes.</t>
  </si>
  <si>
    <t>Tax settlements and other areas subject to statutory compliance, such as customs, or foreign currency controls, can result in audits by the relevant authorities who have the right to impose penalties together with statutory interest.  Consequently, the tax risk in Poland can be higher than in more developed tax jurisdictions. Tax settlements can be subject to audits for a period of up to five years from the end of the calendar year in which the tax payment elapsed.</t>
  </si>
  <si>
    <t>Outlays for non-financial fixed assets</t>
  </si>
  <si>
    <t>Expenditures on non-financial fixed assets:</t>
  </si>
  <si>
    <t>expenditures in current year</t>
  </si>
  <si>
    <t>expenditures planned for next year</t>
  </si>
  <si>
    <t>including expenditures on environment protection:</t>
  </si>
  <si>
    <t>Fixed assets - required disclosures</t>
  </si>
  <si>
    <t>The Company does not have non depreciated fixed assets used based on operating leases or contracts of a similar nature. The Company has no liabilities to the state or municipalities arising from the acquisition of ownership rights to buildings and constructions. It has not produced fixed assets for internal use.</t>
  </si>
  <si>
    <t>The Company has not invested and does not plan to invest in non - financial fixed assets in the nearest financial year.</t>
  </si>
  <si>
    <t>Explanations to the cash flow statement</t>
  </si>
  <si>
    <t>Explanation to the cash position adopted in the cash flow statement, if different from the classification adopted in the balance sheet.  This particularly includes specification of values adopted such as cash equivalents.</t>
  </si>
  <si>
    <t>Cash:</t>
  </si>
  <si>
    <t>Cash at Bank</t>
  </si>
  <si>
    <t>Bank deposits</t>
  </si>
  <si>
    <t>Other cash</t>
  </si>
  <si>
    <t>Cash equivalents :</t>
  </si>
  <si>
    <t>Explanation of reasons for significant differences between changes in items disclosed in the balance sheet and changes in the same items in the cash flow statement.</t>
  </si>
  <si>
    <t>Exchange gains (losses) disclosed in cash flow statement arise from the following items:</t>
  </si>
  <si>
    <t>Exchange differences on cash measurement</t>
  </si>
  <si>
    <t>Realised exchange differences on credits and loans</t>
  </si>
  <si>
    <t>Unrealised exchange differences on credits and loans</t>
  </si>
  <si>
    <t>Interest and profit sharing (dividend) include:</t>
  </si>
  <si>
    <t>Interest paid on granted loans</t>
  </si>
  <si>
    <t>Interest paid on loans and credits</t>
  </si>
  <si>
    <t xml:space="preserve">Interest on debt securities </t>
  </si>
  <si>
    <t>Dividends received</t>
  </si>
  <si>
    <t>Interest accrued on loans</t>
  </si>
  <si>
    <t>Interest accrued on granted loans</t>
  </si>
  <si>
    <t>Profit (loss) on investment activities arises from:</t>
  </si>
  <si>
    <t>(Profit)/loss on the disposal of  tangible and intangible fixed assets</t>
  </si>
  <si>
    <t>(Profit)/loss on the liquidation of  tangible and intangible fixed assets</t>
  </si>
  <si>
    <t>(Profit)/loss on the disposal of  investments</t>
  </si>
  <si>
    <t>Revaluation of tangible fixed assets</t>
  </si>
  <si>
    <t>Change in receivables due to the following items:</t>
  </si>
  <si>
    <t>Change in short-term receivables by the balance sheet</t>
  </si>
  <si>
    <t>Change in long-term receivables by the balance sheet</t>
  </si>
  <si>
    <t xml:space="preserve">Change in receivables due to dividends </t>
  </si>
  <si>
    <t>Change in receivables due to disposal of tangible fixed assets</t>
  </si>
  <si>
    <t>Change in receivables due to disposal of non-financial investments</t>
  </si>
  <si>
    <t>Change in receivables due to disposal of financial investments</t>
  </si>
  <si>
    <t>Change in short-term liabilities excluding credits and loans, arises from the following items:</t>
  </si>
  <si>
    <t xml:space="preserve">Change in the balance of short-term liabilities </t>
  </si>
  <si>
    <t>Change in loan and credit  balance</t>
  </si>
  <si>
    <t>Change in liabilities arising from issuance of debt securities</t>
  </si>
  <si>
    <t>Change in change in financial liabilities</t>
  </si>
  <si>
    <t>Change in liability due to unpaid dividends</t>
  </si>
  <si>
    <t>Change in liability balance due to acquisition of tangible fixed assets</t>
  </si>
  <si>
    <t>Change in liability balance due to acquisition of intangible fixed assets</t>
  </si>
  <si>
    <t>Change in liability balance due to acquisition of financial assets</t>
  </si>
  <si>
    <t>Purchase of intangible fixed assets and tangible fixed assets, arising from the following items:</t>
  </si>
  <si>
    <t>Increase in intangible fixed assets</t>
  </si>
  <si>
    <t xml:space="preserve">Change in liabilities from the purchase of intangible fixed assets </t>
  </si>
  <si>
    <t>Increase in tangible fixed assets</t>
  </si>
  <si>
    <t>Change in fixed assets under construction</t>
  </si>
  <si>
    <t xml:space="preserve">Change in liabilities from the purchase of tangible fixed assets </t>
  </si>
  <si>
    <t xml:space="preserve">Change in prepayments for tangible fixed assets </t>
  </si>
  <si>
    <t>The value of “other adjustments” item includes:</t>
  </si>
  <si>
    <t>Information on unconsolidated joint ventures</t>
  </si>
  <si>
    <t>Please provide the following information:</t>
  </si>
  <si>
    <t>a)    name and scope of activities of the joint venture,</t>
  </si>
  <si>
    <t>b)    ownership share,</t>
  </si>
  <si>
    <t>c)    portion of jointly controlled tangible fixed assets and intangible fixed assets,</t>
  </si>
  <si>
    <t xml:space="preserve">d)    obligations arising from joint undertaking or the purchase of second hand tangible fixed  assets, </t>
  </si>
  <si>
    <t>e)    portion of liabilities jointly undertaken,</t>
  </si>
  <si>
    <t>f)    income from joint undertaking and related costs,</t>
  </si>
  <si>
    <t>g)    contingent liabilities and investment obligations related to the joint venture</t>
  </si>
  <si>
    <t>During the financial year the Company did not take part in any joint ventures.</t>
  </si>
  <si>
    <t>Information on revenues and costs resulting from prior periods errors presented in current year equity</t>
  </si>
  <si>
    <t>Please provide amount and type of costs or/and revenue as a result of prior period error presented in the current year on equity.</t>
  </si>
  <si>
    <t>The Company did not report any revenues and costs due to errors made in previous years.</t>
  </si>
  <si>
    <t>Subsequent events not included in the financial statements</t>
  </si>
  <si>
    <t>(Pls specify above events and its impact on assets, financial situation and net result. For example: signed credit agreements, guarantees, significant cooperation agreements, changes of articles of association, change of the Management Board, etc)</t>
  </si>
  <si>
    <t xml:space="preserve">No events occurred after the year end that would require disclosure in the financial statements. </t>
  </si>
  <si>
    <t>Information about events related to previous years and accounted for in the current year</t>
  </si>
  <si>
    <t>Pls specify revenues and expenses related with previous years events accounted for in the current year together with their values and type.</t>
  </si>
  <si>
    <t>There were no events related to previous years which should be accounted for in the current financial statements.</t>
  </si>
  <si>
    <t>Contracts not included in the balance sheet</t>
  </si>
  <si>
    <t>(Information needs to be included about the nature and purpose of the economic agreements concluded by the Company that are not included in the balance sheet, to the extent necessary to assess their impact on the financial position and the financial result of the entity)</t>
  </si>
  <si>
    <t>All contracts, which have a significant impact on the financial position and the financial result of the Company, are included in the balance sheet.</t>
  </si>
  <si>
    <t>Auditor remuneration</t>
  </si>
  <si>
    <t>annual audit of the financial statements</t>
  </si>
  <si>
    <t>other assurance services</t>
  </si>
  <si>
    <t>tax advisory services</t>
  </si>
  <si>
    <t>other services</t>
  </si>
  <si>
    <t>The financial statements of the Company are not subject to audit and the Company has not benefited from other services from an auditor. Consequently it does not pay remuneration to an auditor.</t>
  </si>
  <si>
    <t>Employment</t>
  </si>
  <si>
    <t>Average level of employment during the year</t>
  </si>
  <si>
    <t>Women</t>
  </si>
  <si>
    <t>Men</t>
  </si>
  <si>
    <t>Administrative and general</t>
  </si>
  <si>
    <t>Production</t>
  </si>
  <si>
    <t>If possible, provide specification per occupational group.</t>
  </si>
  <si>
    <t>Until the balance sheet date, the Company did not employ employees.</t>
  </si>
  <si>
    <t>Salaries, loans and related benefits paid to members of the management, supervisory and administration Boards</t>
  </si>
  <si>
    <t xml:space="preserve">The Company did not pay remuneration or grant loans, advances or advances to members of the Management Board. The Company does not have a supervisory Board. </t>
  </si>
  <si>
    <t>Remuneration, including profit-sharing, paid or payable to members of the administrative, supervisory and management Board:</t>
  </si>
  <si>
    <t>Management Board</t>
  </si>
  <si>
    <t>Supervisory Board</t>
  </si>
  <si>
    <t>Administration Board</t>
  </si>
  <si>
    <t>Pension and similar liabilities for former members of the Company's management, supervisory and administrative bodies or liabilities incurred in connection with such pensions:</t>
  </si>
  <si>
    <t>Advances, loans and similar benefits granted to members of the Company's management, supervisory and administrative Board:</t>
  </si>
  <si>
    <t>Liabilities incurred on behalf of the Company's management, supervisory and administrative bodies under guarantees and sureties of all kinds:</t>
  </si>
  <si>
    <t>Related party transactions</t>
  </si>
  <si>
    <t>[Please provide the type of the transactions with related parties together with the corresponding amounts]</t>
  </si>
  <si>
    <t>Company</t>
  </si>
  <si>
    <t>income</t>
  </si>
  <si>
    <t>cost</t>
  </si>
  <si>
    <t>liabilities</t>
  </si>
  <si>
    <t>The Company did not take part in related party transactions.</t>
  </si>
  <si>
    <t>Transactions with related parties conducted on non arm's length principle</t>
  </si>
  <si>
    <t>(Information needs to be provided about the significant transactions (along with the amounts) concluded by the Company with related parties on a different basis than the arms length, together with the information specifying the nature of the transaction, its relation with related parties and other information related with the transaction necessary to understand its impact on assets, financial situation and net result of the Company. The information on the individual transactions can be grouped according to their type, except for where the information on each transaction is necessary to understand their impact on the financial position and the financial result of the entity. Related parties are entities defined in the international accounting standards - in accordance with Regulation no 1606/2002 of the European Parliament dated 19.07.2002 on the application of the international accounting standards.</t>
  </si>
  <si>
    <t>The Company does not conduct transactions with related parties on terms other than arm's length principles.</t>
  </si>
  <si>
    <t xml:space="preserve">Valuation of associated entities and co-subsidiaries </t>
  </si>
  <si>
    <t>Information on impact of measurement of shares in associated entities and co-subsidiaries by equity method, measured otherwise in the financial statements (Article 55 item 7 of the Accounting Act)</t>
  </si>
  <si>
    <t>Name of the Company</t>
  </si>
  <si>
    <t>Value of shares in balance sheet</t>
  </si>
  <si>
    <t>Value of shares measured by equity method</t>
  </si>
  <si>
    <t xml:space="preserve">Impact on current reporting period result </t>
  </si>
  <si>
    <t xml:space="preserve">Total impact of evaluation on equity </t>
  </si>
  <si>
    <t>Entities, in which the Company is partner with unlimited liability</t>
  </si>
  <si>
    <t>Name</t>
  </si>
  <si>
    <t>Management Board adress or registered office</t>
  </si>
  <si>
    <t>Legal form</t>
  </si>
  <si>
    <t>The Company is not a partner with unlimited liability</t>
  </si>
  <si>
    <t>Information about the consolidated financial statements</t>
  </si>
  <si>
    <t>[if the Company does not prepare consolidated financial statements due to exemption or exclusion, information about:</t>
  </si>
  <si>
    <t>a) Legal basis with data justifying exclusion from consolidation</t>
  </si>
  <si>
    <t>b) Name and registered office of the entity preparing consolidated financial statements at higher level of the capital group and its publishing location</t>
  </si>
  <si>
    <t>c) name and address of the entity preparing financial statements on the highest level of capital group, in which the company is a subsidiary and location, where financial statements are available</t>
  </si>
  <si>
    <t>d) name and address of the entity preparing consolidated financial segments at the lowest level of capital group, in which the company is a subsidiary (direct holding entity preparing financial statements)and location, where financial statements are available</t>
  </si>
  <si>
    <t>e)    basic financial ratios presenting the activity of related parties in the current and in the prior year, as:</t>
  </si>
  <si>
    <t>-     net revenue from the sale of finished products, merchandise and raw materials and financial revenue,</t>
  </si>
  <si>
    <t>-     net result for the period and shareholders' equity, with disclosure of the structure:</t>
  </si>
  <si>
    <t>-     value of fixed assets,</t>
  </si>
  <si>
    <t>-     average employment in the period.</t>
  </si>
  <si>
    <t>f) type of applied accounting standards (local or international) by related parties</t>
  </si>
  <si>
    <t>Name of Company excluded from consolidation</t>
  </si>
  <si>
    <t>Legal basis of exclusion</t>
  </si>
  <si>
    <t>Data justifying exclusion from consolidation</t>
  </si>
  <si>
    <t xml:space="preserve">Name of Company </t>
  </si>
  <si>
    <t>Net revenue from sales of products, goods and materials and financial revenue</t>
  </si>
  <si>
    <t>Value of tangible fixed assets</t>
  </si>
  <si>
    <t>Previous year</t>
  </si>
  <si>
    <t>Current year</t>
  </si>
  <si>
    <t>Average annual employment</t>
  </si>
  <si>
    <t>Called up share capital</t>
  </si>
  <si>
    <t xml:space="preserve">Own shares </t>
  </si>
  <si>
    <t>Other reserve capitals</t>
  </si>
  <si>
    <t>Previous years’ profit (loss)</t>
  </si>
  <si>
    <t>The Company is not a holding entity for any capital group, so it does not prepare consolidated financial statements.</t>
  </si>
  <si>
    <r>
      <t>The entity preparing financial statements at the highest level of the capital group in which the Company is a subsidiary, is: …………..</t>
    </r>
    <r>
      <rPr>
        <sz val="10"/>
        <color indexed="10"/>
        <rFont val="Times New Roman"/>
        <family val="1"/>
        <charset val="238"/>
      </rPr>
      <t xml:space="preserve"> (name and registerred adress)</t>
    </r>
    <r>
      <rPr>
        <sz val="10"/>
        <rFont val="Times New Roman"/>
        <family val="1"/>
        <charset val="238"/>
      </rPr>
      <t xml:space="preserve">. Consolidated financial statement is available …….. </t>
    </r>
    <r>
      <rPr>
        <sz val="10"/>
        <color indexed="10"/>
        <rFont val="Times New Roman"/>
        <family val="1"/>
        <charset val="238"/>
      </rPr>
      <t>(place)</t>
    </r>
    <r>
      <rPr>
        <sz val="10"/>
        <rFont val="Times New Roman"/>
        <family val="1"/>
        <charset val="238"/>
      </rPr>
      <t>.</t>
    </r>
  </si>
  <si>
    <r>
      <t>The entity preparing consolidated financial statements at the lowest level of the capital group in which the Company is a subsidiary, is: ……….</t>
    </r>
    <r>
      <rPr>
        <sz val="10"/>
        <color indexed="10"/>
        <rFont val="Times New Roman"/>
        <family val="1"/>
        <charset val="238"/>
      </rPr>
      <t>(name and registerred adress)</t>
    </r>
    <r>
      <rPr>
        <sz val="10"/>
        <rFont val="Times New Roman"/>
        <family val="1"/>
        <charset val="238"/>
      </rPr>
      <t xml:space="preserve">. Consolidated financial statement is available …….. </t>
    </r>
    <r>
      <rPr>
        <sz val="10"/>
        <color indexed="10"/>
        <rFont val="Times New Roman"/>
        <family val="1"/>
        <charset val="238"/>
      </rPr>
      <t>(place).</t>
    </r>
  </si>
  <si>
    <t>Contingent liabilities</t>
  </si>
  <si>
    <t>Contingent liabilities:</t>
  </si>
  <si>
    <t>To related parties</t>
  </si>
  <si>
    <t>guarantees</t>
  </si>
  <si>
    <t>sureties</t>
  </si>
  <si>
    <t>due to concluded but unexecuted agreements</t>
  </si>
  <si>
    <t>security of lease agreements</t>
  </si>
  <si>
    <t>To associated entities</t>
  </si>
  <si>
    <t>To other entities</t>
  </si>
  <si>
    <t>There were no contingent liabilities as at the balance sheet date.</t>
  </si>
  <si>
    <t>Please provide details for each group of contingent liability:</t>
  </si>
  <si>
    <t>- short description of nature of each group of contingent liability (nature and form),</t>
  </si>
  <si>
    <t>- estimated amounts of financial effects,</t>
  </si>
  <si>
    <t>- factors indicated uncertainty of amounts and terms,</t>
  </si>
  <si>
    <t>- possibilities of receiving returns,</t>
  </si>
  <si>
    <t>- describe liabilities secured on the Company's assets,</t>
  </si>
  <si>
    <t>- separately provide information about contingent liabilities for pensions and similar benefits.</t>
  </si>
  <si>
    <t>Discontinued operations</t>
  </si>
  <si>
    <t>[Please provide information about revenue, costs and results of discontinued operation in the financial period or planned to discontinue next year]</t>
  </si>
  <si>
    <t>The Company did not discontinue any operations in the financial period and does not plan to do so in the next year.</t>
  </si>
  <si>
    <t>[In the case where the financial statement are prepared for the period during which a merger took place:</t>
  </si>
  <si>
    <t>1) if the merger was accounted for based on the acquisition method:</t>
  </si>
  <si>
    <t>a)    name and scope of activities of the acquired the Company,</t>
  </si>
  <si>
    <t>b)   quantity, nominal value and the kind of shares issued for the purpose of the merger,</t>
  </si>
  <si>
    <t>c)   acquisition cost, fair value of net assets acquired at the acquisition date, goodwill or negative goodwill and description of the method of its depreciation,</t>
  </si>
  <si>
    <t xml:space="preserve">2) if the combination was settled by merger of shares: </t>
  </si>
  <si>
    <t xml:space="preserve">a) name (company) and activity of companies, which due to merger were deleted from the register, </t>
  </si>
  <si>
    <t xml:space="preserve">b) number, face value and type of shares issued for the purpose of merger, </t>
  </si>
  <si>
    <t>c) revenue and expenses, profit and losses and changes in equity of combined companies for the period from the beginning of the financial year, during which the combination took place, until combination date;</t>
  </si>
  <si>
    <t>Changes in accounting principles (policy)</t>
  </si>
  <si>
    <t>Presentation of changes in accounting principles (policy) introduced in the financial year, including principles of measurement  if having a material impact on the Company’s financial and economic situation, its financial result; their causes and effect on the change in the result, in the equity and in the method of preparing the financial statements.</t>
  </si>
  <si>
    <t>If there were changes in accounting policy, or other reasons hampel comparability of financial data, figures ensuring comparability should be presented.</t>
  </si>
  <si>
    <t>There were no changes in accounting principles in the financial period.</t>
  </si>
  <si>
    <t>Value of food donated to non-governmental organizations</t>
  </si>
  <si>
    <t>Provide the value of food donated to non-governmental organizations for the purpose of performing tasks by these organizations in the scope specified in art. 2 point 2 of the Act of 19 July 2019 on counteracting food waste (Journal of Laws item 1680), or the amount of the fee for food waste referred to in art. 5 of this Act.</t>
  </si>
  <si>
    <t>The Company did not provide food to non-governmental organizations.</t>
  </si>
  <si>
    <t>In the event that information other than that specified above could materially affect the assessment of the property, financial and financial performance of the Company, such information should be disclosed.</t>
  </si>
  <si>
    <t>As at the date of preparation of the financial statements, the composition of the Company's Management Board was as follows:</t>
  </si>
  <si>
    <t>The following changes in the Company's Management Board took place during the reporting period:</t>
  </si>
  <si>
    <t>In the reporting period there were no changes in the Company's Management Board.</t>
  </si>
  <si>
    <t>Persons signing the electronic signature on the financial statements</t>
  </si>
  <si>
    <t>Czy kwota w tysiącach</t>
  </si>
  <si>
    <t>Obrotówka</t>
  </si>
  <si>
    <t>Konta kasowe i bankowe</t>
  </si>
  <si>
    <t>Przekodowanie kont</t>
  </si>
  <si>
    <t>GL_Account</t>
  </si>
  <si>
    <t>GL_Description</t>
  </si>
  <si>
    <t>Typ_Konta</t>
  </si>
  <si>
    <t>PodTyp_Konta</t>
  </si>
  <si>
    <t>BO</t>
  </si>
  <si>
    <t>WN</t>
  </si>
  <si>
    <t>MA</t>
  </si>
  <si>
    <t>BZ</t>
  </si>
  <si>
    <t>Filtr</t>
  </si>
  <si>
    <t>Komentarz</t>
  </si>
  <si>
    <t>Obroty</t>
  </si>
  <si>
    <t>Z którego</t>
  </si>
  <si>
    <t>Na które</t>
  </si>
  <si>
    <t>komentarz</t>
  </si>
  <si>
    <t>a</t>
  </si>
  <si>
    <t>konta kasowe</t>
  </si>
  <si>
    <t>S</t>
  </si>
  <si>
    <t>konta bankowe</t>
  </si>
  <si>
    <t xml:space="preserve">    01000</t>
  </si>
  <si>
    <t>Grunty</t>
  </si>
  <si>
    <t xml:space="preserve">    01009</t>
  </si>
  <si>
    <t>Odpisy aktualizujące grunty</t>
  </si>
  <si>
    <t xml:space="preserve">    01010</t>
  </si>
  <si>
    <t>Prawo użytkowania wieczystego gruntów</t>
  </si>
  <si>
    <t xml:space="preserve">    01019</t>
  </si>
  <si>
    <t>Odpisy aktualizujące prawo użytkowania wieczystego gruntów</t>
  </si>
  <si>
    <t xml:space="preserve">    01100</t>
  </si>
  <si>
    <t>Budynki</t>
  </si>
  <si>
    <t xml:space="preserve">    01109</t>
  </si>
  <si>
    <t>Odpisy aktualizujące budynki</t>
  </si>
  <si>
    <t xml:space="preserve">    01110</t>
  </si>
  <si>
    <t>Spółdzielcze własnościowe prawo do lokalu</t>
  </si>
  <si>
    <t xml:space="preserve">    01119</t>
  </si>
  <si>
    <t>Odpisy aktualizujące spółdzielcze prawo do lokalu</t>
  </si>
  <si>
    <t xml:space="preserve">    01200</t>
  </si>
  <si>
    <t xml:space="preserve">    01209</t>
  </si>
  <si>
    <t>Odpisy aktualizujące urządzenia i maszyny techniczne</t>
  </si>
  <si>
    <t xml:space="preserve">    01210</t>
  </si>
  <si>
    <t>Urządzenia techniczne i maszyny w leasingu finansowym</t>
  </si>
  <si>
    <t xml:space="preserve">    01219</t>
  </si>
  <si>
    <t>Odpisy-urządzenia i maszyny techniczne w leasingu finansowym</t>
  </si>
  <si>
    <t xml:space="preserve">    01301</t>
  </si>
  <si>
    <t xml:space="preserve">    01309</t>
  </si>
  <si>
    <t>Odpisy aktualizujące środki transportu</t>
  </si>
  <si>
    <t xml:space="preserve">    01310</t>
  </si>
  <si>
    <t>Środki transportu w leasingu finansowym</t>
  </si>
  <si>
    <t xml:space="preserve">    01319</t>
  </si>
  <si>
    <t>Odpisy aktualizujace środki transportu w leasingu</t>
  </si>
  <si>
    <t xml:space="preserve">    01400</t>
  </si>
  <si>
    <t xml:space="preserve">    01409</t>
  </si>
  <si>
    <t>Odpisy aktualizujące inne środki trwałe</t>
  </si>
  <si>
    <t xml:space="preserve">    01410</t>
  </si>
  <si>
    <t>Narzędzia, przyrządy, ruchomości i wyposażenie</t>
  </si>
  <si>
    <t xml:space="preserve">    01419</t>
  </si>
  <si>
    <t>Odpisy-narzędzia, przyrządy ruchomości i wyposażenie</t>
  </si>
  <si>
    <t xml:space="preserve">    02000</t>
  </si>
  <si>
    <t xml:space="preserve">    02009</t>
  </si>
  <si>
    <t>Odpisy aktualizujące koszty prac rozwojowych</t>
  </si>
  <si>
    <t xml:space="preserve">    02100</t>
  </si>
  <si>
    <t xml:space="preserve">    02109</t>
  </si>
  <si>
    <t>Odpisy aktualizujące wartość firmy</t>
  </si>
  <si>
    <t xml:space="preserve">    02210</t>
  </si>
  <si>
    <t>Oprogramowanie komputerowe</t>
  </si>
  <si>
    <t xml:space="preserve">    02219</t>
  </si>
  <si>
    <t>Odpisy aktualizujące oprogramowanie komputerowe</t>
  </si>
  <si>
    <t xml:space="preserve">    02220</t>
  </si>
  <si>
    <t>Koncesje i licencje</t>
  </si>
  <si>
    <t xml:space="preserve">    02229</t>
  </si>
  <si>
    <t>Odpisy aktualizujące koncesje i licencje</t>
  </si>
  <si>
    <t xml:space="preserve">    02230</t>
  </si>
  <si>
    <t>Pozostałe prawa autorskie</t>
  </si>
  <si>
    <t xml:space="preserve">    02239</t>
  </si>
  <si>
    <t>Odpisy aktualizujące pozostałe prawa autorskie</t>
  </si>
  <si>
    <t xml:space="preserve">    02300</t>
  </si>
  <si>
    <t>Prawa do wynalazków, patentów oraz znaków</t>
  </si>
  <si>
    <t xml:space="preserve">    02309</t>
  </si>
  <si>
    <t>Odpisy-prawa do wynalazków, patentów oraz znaków</t>
  </si>
  <si>
    <t xml:space="preserve">    03000</t>
  </si>
  <si>
    <t>Nieruchomość inwestycyjna-wartość w cenie zakupu</t>
  </si>
  <si>
    <t xml:space="preserve">    03001</t>
  </si>
  <si>
    <t>Nieruchomość inwestycyjna-wycena fair value</t>
  </si>
  <si>
    <t xml:space="preserve">    03009</t>
  </si>
  <si>
    <t>Nieruchomość inwestycyjna-odpis aktualizujący</t>
  </si>
  <si>
    <t xml:space="preserve">    03900</t>
  </si>
  <si>
    <t>Inwestycje w WNiP</t>
  </si>
  <si>
    <t xml:space="preserve">    03901</t>
  </si>
  <si>
    <t>Inwestycje w WNiP-wycena fair value</t>
  </si>
  <si>
    <t xml:space="preserve">    03909</t>
  </si>
  <si>
    <t>Inwestycje w WNiP-odpis aktualizujący</t>
  </si>
  <si>
    <t xml:space="preserve">    04000</t>
  </si>
  <si>
    <t>Udziały i akcje-jednostki powiązane</t>
  </si>
  <si>
    <t xml:space="preserve">    04009</t>
  </si>
  <si>
    <t>Odpisy aktualizujące udziały i akcje-jednostki powiązane</t>
  </si>
  <si>
    <t xml:space="preserve">    04100</t>
  </si>
  <si>
    <t>Inne papiery wartościowe-jednostki powiązane</t>
  </si>
  <si>
    <t xml:space="preserve">    04109</t>
  </si>
  <si>
    <t>Odpisy-inne papiery wartościowe-jednostki powiązane</t>
  </si>
  <si>
    <t xml:space="preserve">    04501</t>
  </si>
  <si>
    <t>Udzielone pożyczki-kapitał-jednostki powiązane</t>
  </si>
  <si>
    <t xml:space="preserve">    04502</t>
  </si>
  <si>
    <t>Udzielone pożyczki-wycena bilansowa-jednostki powiązane</t>
  </si>
  <si>
    <t xml:space="preserve">    04503</t>
  </si>
  <si>
    <t>Udzielone poż. długoterm.-odsetki-jednostki powiązane</t>
  </si>
  <si>
    <t xml:space="preserve">    04509</t>
  </si>
  <si>
    <t>Odpisy aktualizujące-udzielone pożyczki-jednostki powiązane</t>
  </si>
  <si>
    <t xml:space="preserve">    04900</t>
  </si>
  <si>
    <t>Inne długoterminowe aktywa finansowe-jednostki powiązane</t>
  </si>
  <si>
    <t xml:space="preserve">    04909</t>
  </si>
  <si>
    <t>Odpisy- inne długoterminowe aktywa fin.-jednostki powiązane</t>
  </si>
  <si>
    <t xml:space="preserve">    05000</t>
  </si>
  <si>
    <t>Udziały i akcje-pozostałe jednostki</t>
  </si>
  <si>
    <t xml:space="preserve">    05009</t>
  </si>
  <si>
    <t>Odpisy aktualizujące udziały i akcje-pozostałe jednostki</t>
  </si>
  <si>
    <t xml:space="preserve">    05100</t>
  </si>
  <si>
    <t>Inne papiery wartościowe-pozostałe jednostki</t>
  </si>
  <si>
    <t xml:space="preserve">    05109</t>
  </si>
  <si>
    <t>Odpisy-inne papiery wartościowe-pozostałe jednostki</t>
  </si>
  <si>
    <t xml:space="preserve">    05501</t>
  </si>
  <si>
    <t>Udzielone pożyczki-kapitał-pozostałe jednostki</t>
  </si>
  <si>
    <t xml:space="preserve">    05502</t>
  </si>
  <si>
    <t>Udzielone pożyczki-wycena bilansowa-pozostałe jednostki</t>
  </si>
  <si>
    <t xml:space="preserve">    05503</t>
  </si>
  <si>
    <t>Udzielone poż.długoterm.-odsetki-pozostałe jednostki</t>
  </si>
  <si>
    <t xml:space="preserve">    05509</t>
  </si>
  <si>
    <t>Odpisy aktualizujące-udzielone pożyczki-pozostałe jednostki</t>
  </si>
  <si>
    <t xml:space="preserve">    05900</t>
  </si>
  <si>
    <t>Inne długoterminowe aktywa finansowe-pozostałe jednostki</t>
  </si>
  <si>
    <t xml:space="preserve">    05909</t>
  </si>
  <si>
    <t>Odpisy- inne długoterminowe aktywa fin.-pozostałe jednostki</t>
  </si>
  <si>
    <t xml:space="preserve">    06000</t>
  </si>
  <si>
    <t>A010404</t>
  </si>
  <si>
    <t xml:space="preserve">    07010</t>
  </si>
  <si>
    <t>Umorzenie prawa wieczystego użytkowania gruntów</t>
  </si>
  <si>
    <t xml:space="preserve">    07110</t>
  </si>
  <si>
    <t>Umorzenie - budynki</t>
  </si>
  <si>
    <t xml:space="preserve">    07120</t>
  </si>
  <si>
    <t>Umorzenie-urządzenia techniczne i maszyny</t>
  </si>
  <si>
    <t xml:space="preserve">    07121</t>
  </si>
  <si>
    <t>Umorzenie-urządzenia techniczne i maszyny w leasingu fin.</t>
  </si>
  <si>
    <t xml:space="preserve">    07130</t>
  </si>
  <si>
    <t>Umorzenie-środki transportu</t>
  </si>
  <si>
    <t xml:space="preserve">    07131</t>
  </si>
  <si>
    <t>Umorzenie-środki transportu w leasing finansowym</t>
  </si>
  <si>
    <t xml:space="preserve">    07140</t>
  </si>
  <si>
    <t>Umorzenie-inne środki trwałe</t>
  </si>
  <si>
    <t xml:space="preserve">    07141</t>
  </si>
  <si>
    <t>Umorzenie-narzędzia, przyrządy, ruchomości i wyposażenie</t>
  </si>
  <si>
    <t xml:space="preserve">    07200</t>
  </si>
  <si>
    <t>Umorzenie-koszty zakończonych prac rozwojowych</t>
  </si>
  <si>
    <t xml:space="preserve">    07210</t>
  </si>
  <si>
    <t>Umorzenie-wartość firmy</t>
  </si>
  <si>
    <t xml:space="preserve">    07221</t>
  </si>
  <si>
    <t>Umorzenie-oprogramowanie komputerowe</t>
  </si>
  <si>
    <t xml:space="preserve">    07222</t>
  </si>
  <si>
    <t>Umorzenie-koncesje i licencje</t>
  </si>
  <si>
    <t xml:space="preserve">    07223</t>
  </si>
  <si>
    <t>Umorzenie-pozostałe prawa autorskie</t>
  </si>
  <si>
    <t xml:space="preserve">    07230</t>
  </si>
  <si>
    <t>Umorzenie-prawa do wynalazków, patentów oraz znaków</t>
  </si>
  <si>
    <t xml:space="preserve">    07500</t>
  </si>
  <si>
    <t>Umorzenie nieruchomości inwestycyjnej</t>
  </si>
  <si>
    <t xml:space="preserve">    07590</t>
  </si>
  <si>
    <t>Umorzenie-inwestycje w WNiP</t>
  </si>
  <si>
    <t xml:space="preserve">    08010</t>
  </si>
  <si>
    <t>Koszty budowy</t>
  </si>
  <si>
    <t xml:space="preserve">    08011</t>
  </si>
  <si>
    <t>Koszty finansowe-różnice kursowe</t>
  </si>
  <si>
    <t xml:space="preserve">    08012</t>
  </si>
  <si>
    <t>Koszty finansowe-odsetki</t>
  </si>
  <si>
    <t xml:space="preserve">    08013</t>
  </si>
  <si>
    <t>Koszty finansowe-pozostałe</t>
  </si>
  <si>
    <t xml:space="preserve">    08019</t>
  </si>
  <si>
    <t>Odpisy aktualizujące środki trwałe w budowie</t>
  </si>
  <si>
    <t xml:space="preserve">    08100</t>
  </si>
  <si>
    <t>Zaliczki na ŚT</t>
  </si>
  <si>
    <t xml:space="preserve">    08200</t>
  </si>
  <si>
    <t>Zaliczki na WNiP</t>
  </si>
  <si>
    <t xml:space="preserve">    09000</t>
  </si>
  <si>
    <t>Konta pozabilansowe</t>
  </si>
  <si>
    <t>0ZZ_NIEBILANS</t>
  </si>
  <si>
    <t xml:space="preserve">    09100</t>
  </si>
  <si>
    <t>ŚT w likwidacji</t>
  </si>
  <si>
    <t xml:space="preserve">    09200</t>
  </si>
  <si>
    <t>ŚT używane na podstawie umów najmu i dzierżawy</t>
  </si>
  <si>
    <t xml:space="preserve">    09300</t>
  </si>
  <si>
    <t>ŚT używane na podstawie umów leasing operacyjnego</t>
  </si>
  <si>
    <t xml:space="preserve">    09400</t>
  </si>
  <si>
    <t>Środki transportu w leasingu operacyjnym</t>
  </si>
  <si>
    <t xml:space="preserve">    09500</t>
  </si>
  <si>
    <t>ŚT obce</t>
  </si>
  <si>
    <t xml:space="preserve">    09600</t>
  </si>
  <si>
    <t>Grunty w użytkowaniu wieczystym</t>
  </si>
  <si>
    <t xml:space="preserve">    13300</t>
  </si>
  <si>
    <t>Inne aktywa pieniężne</t>
  </si>
  <si>
    <t xml:space="preserve">    13401</t>
  </si>
  <si>
    <t>Kredyty krótkoterminowe-kapitał</t>
  </si>
  <si>
    <t xml:space="preserve">    13402</t>
  </si>
  <si>
    <t>Kredyty krótkoterminowe-wycena bilansowa</t>
  </si>
  <si>
    <t xml:space="preserve">    13403</t>
  </si>
  <si>
    <t>Kredyty krótkoterminowe-odsetki</t>
  </si>
  <si>
    <t xml:space="preserve">    13404</t>
  </si>
  <si>
    <t>Kredyty krótkoterminowe-prowizja</t>
  </si>
  <si>
    <t xml:space="preserve">    13501</t>
  </si>
  <si>
    <t>Kredyty długoterminowe-kapitał</t>
  </si>
  <si>
    <t xml:space="preserve">    13502</t>
  </si>
  <si>
    <t>Kredyty długoterminowe-wycena bilansowa</t>
  </si>
  <si>
    <t xml:space="preserve">    13503</t>
  </si>
  <si>
    <t>Kredyty długoterminowe-odsetki</t>
  </si>
  <si>
    <t xml:space="preserve">    13504</t>
  </si>
  <si>
    <t>Kredyty długoterminowe-prowizja</t>
  </si>
  <si>
    <t xml:space="preserve">    13505</t>
  </si>
  <si>
    <t>Kredyt długoterm. Inwestycyjny DNB Polska</t>
  </si>
  <si>
    <t xml:space="preserve">    13506</t>
  </si>
  <si>
    <t>Kredyt długoterm. Inwestycyjny DNB Polska - wycena bilansowa</t>
  </si>
  <si>
    <t xml:space="preserve">    13507</t>
  </si>
  <si>
    <t>Kredyt długoterm. Inwestycyjny DNB Norwegia</t>
  </si>
  <si>
    <t xml:space="preserve">    13508</t>
  </si>
  <si>
    <t>Kredyt długoterm. Inwestycyjny DNB Norwegia - wycena bilanso</t>
  </si>
  <si>
    <t xml:space="preserve">    13900</t>
  </si>
  <si>
    <t>Środki pieniężne w drodze</t>
  </si>
  <si>
    <t xml:space="preserve">    13999</t>
  </si>
  <si>
    <t>Srodki pieniezne BO</t>
  </si>
  <si>
    <t xml:space="preserve">    14000</t>
  </si>
  <si>
    <t xml:space="preserve">    14009</t>
  </si>
  <si>
    <t xml:space="preserve">    14100</t>
  </si>
  <si>
    <t xml:space="preserve">    14109</t>
  </si>
  <si>
    <t xml:space="preserve">    14201</t>
  </si>
  <si>
    <t>Udzielone poż. krótkoterm.-kapitał-jednostki powiązane</t>
  </si>
  <si>
    <t xml:space="preserve">    14202</t>
  </si>
  <si>
    <t>Udzielone poż. krótkoterm.-wycena bilans.jednostki powiązane</t>
  </si>
  <si>
    <t xml:space="preserve">    14203</t>
  </si>
  <si>
    <t>Udzielone poż. krótkoterm.-odsetki-jednostki powiązane</t>
  </si>
  <si>
    <t xml:space="preserve">    14209</t>
  </si>
  <si>
    <t>Udzielone poż. krótkoterm.-odpisy akt.-jednostki powiązane</t>
  </si>
  <si>
    <t xml:space="preserve">    14900</t>
  </si>
  <si>
    <t>Inne krótkoterminowe aktywa finansowe-jednostki powiązane</t>
  </si>
  <si>
    <t xml:space="preserve">    14909</t>
  </si>
  <si>
    <t>Odpisy-inne krótkoterminowe aktywa fin.-jednostki powiązane</t>
  </si>
  <si>
    <t xml:space="preserve">    15000</t>
  </si>
  <si>
    <t xml:space="preserve">    15009</t>
  </si>
  <si>
    <t xml:space="preserve">    15100</t>
  </si>
  <si>
    <t xml:space="preserve">    15109</t>
  </si>
  <si>
    <t xml:space="preserve">    15201</t>
  </si>
  <si>
    <t>Udzielone poż.krótkoterm.-kapitał-pozostałe jednostki</t>
  </si>
  <si>
    <t xml:space="preserve">    15202</t>
  </si>
  <si>
    <t>Udzielone poż.krótkoterm.-wycena bilans.pozostałe jednostki</t>
  </si>
  <si>
    <t xml:space="preserve">    15203</t>
  </si>
  <si>
    <t>Udzielone poż.krótkoterm.-odsetki-pozostałe jednostki</t>
  </si>
  <si>
    <t xml:space="preserve">    15209</t>
  </si>
  <si>
    <t>Udzielone poż.krótkoterm.-odpisy akt.-pozostałe jednostki</t>
  </si>
  <si>
    <t xml:space="preserve">    15900</t>
  </si>
  <si>
    <t>Inne krótkoterminowe aktywa finansowe-pozostałe jednostki</t>
  </si>
  <si>
    <t xml:space="preserve">    15909</t>
  </si>
  <si>
    <t>Odpisy-inne krótkoterminowe aktywa fin.-pozostałe jednostki</t>
  </si>
  <si>
    <t xml:space="preserve">    16000</t>
  </si>
  <si>
    <t xml:space="preserve">    20000</t>
  </si>
  <si>
    <t>Należności od jednostek powiązanych-kraj-krótkoterminowe</t>
  </si>
  <si>
    <t xml:space="preserve">    20009</t>
  </si>
  <si>
    <t>Odpisy-należności od jednostek powiązanych-kraj-krótkoterm.</t>
  </si>
  <si>
    <t xml:space="preserve">    20010</t>
  </si>
  <si>
    <t>Należności od jednostek powiązanych-zagraniczne-krótkoterm.</t>
  </si>
  <si>
    <t xml:space="preserve">    20019</t>
  </si>
  <si>
    <t>Odpisy-należności od jednostek powiązanych-zagr.-krótkoterm.</t>
  </si>
  <si>
    <t xml:space="preserve">    20020</t>
  </si>
  <si>
    <t>Należności od jednostek powiązanych-kraj-długoterminowe</t>
  </si>
  <si>
    <t xml:space="preserve">    20029</t>
  </si>
  <si>
    <t>Odpisy-należności od jednostek powiązanych-kraj-długoterm.</t>
  </si>
  <si>
    <t xml:space="preserve">    20030</t>
  </si>
  <si>
    <t>Należności od jednostek powiązanych-zagraniczne-długoterm.</t>
  </si>
  <si>
    <t xml:space="preserve">    20039</t>
  </si>
  <si>
    <t>Odpisy-należności od jednostek powiązanych-zagr.-długoterm.</t>
  </si>
  <si>
    <t xml:space="preserve">    20100</t>
  </si>
  <si>
    <t>Należności od pozostałych jednostek-kraj-krótkoterminowe</t>
  </si>
  <si>
    <t xml:space="preserve">    20109</t>
  </si>
  <si>
    <t>Odpisy-należności od pozostałych jednostek-kraj-krótkoterm.</t>
  </si>
  <si>
    <t xml:space="preserve">    20110</t>
  </si>
  <si>
    <t>Należności od pozostałych jednostek-zagraniczne-krótkoterm.</t>
  </si>
  <si>
    <t xml:space="preserve">    20119</t>
  </si>
  <si>
    <t>Odpisy-należności od pozostałych jednostek-zagr.-krótkoterm.</t>
  </si>
  <si>
    <t xml:space="preserve">    20120</t>
  </si>
  <si>
    <t>Należności od pozostałych jednostek-kraj-długoterminowe</t>
  </si>
  <si>
    <t xml:space="preserve">    20129</t>
  </si>
  <si>
    <t>Odpisy-należności od pozostałych jednostek-kraj-długoterm.</t>
  </si>
  <si>
    <t xml:space="preserve">    20130</t>
  </si>
  <si>
    <t>Należności od pozostałych jednostek-zagraniczne-długoterm.</t>
  </si>
  <si>
    <t xml:space="preserve">    20139</t>
  </si>
  <si>
    <t>Odpisy-należności od pozostałych jednostek-zagr.-długoterm.</t>
  </si>
  <si>
    <t xml:space="preserve">    20200</t>
  </si>
  <si>
    <t>Zobowiązania-jednostki powiązane-kraj-krótkoterminowe</t>
  </si>
  <si>
    <t xml:space="preserve">    20210</t>
  </si>
  <si>
    <t>Zobowiązania-jednostki powiązane-zagraniczne-krótkoterminowe</t>
  </si>
  <si>
    <t xml:space="preserve">    20220</t>
  </si>
  <si>
    <t>Zobowiązania-jednostki powiązane-kraj-długoterminowe</t>
  </si>
  <si>
    <t xml:space="preserve">    20230</t>
  </si>
  <si>
    <t>Zobowiązania-jednostki powiązane-zagraniczne-długoterminowe</t>
  </si>
  <si>
    <t xml:space="preserve">    20300</t>
  </si>
  <si>
    <t>Zobowiązania-pozostałe jednostki-kraj-krótkoterminowe</t>
  </si>
  <si>
    <t xml:space="preserve">    20310</t>
  </si>
  <si>
    <t>Zobowiązania-pozostałe jednostki-zagraniczne-krótkoterminowe</t>
  </si>
  <si>
    <t xml:space="preserve">    20320</t>
  </si>
  <si>
    <t>Zobowiązania-pozostałe jednostki-kraj-długoterminowe</t>
  </si>
  <si>
    <t xml:space="preserve">    20330</t>
  </si>
  <si>
    <t>Zobowiązania-pozostałe jednostki-zagraniczne-długoterminowe</t>
  </si>
  <si>
    <t xml:space="preserve">    20500</t>
  </si>
  <si>
    <t>Zaliczki otrzymane na dostawy</t>
  </si>
  <si>
    <t xml:space="preserve">    20600</t>
  </si>
  <si>
    <t>Należności dochodzone na drodze sądowej</t>
  </si>
  <si>
    <t xml:space="preserve">    20609</t>
  </si>
  <si>
    <t>Należności dochodzone na drodze sądowej-odpisy aktualizujące</t>
  </si>
  <si>
    <t xml:space="preserve">    22000</t>
  </si>
  <si>
    <t>CIT</t>
  </si>
  <si>
    <t xml:space="preserve">    22010</t>
  </si>
  <si>
    <t>PIT</t>
  </si>
  <si>
    <t xml:space="preserve">    22020</t>
  </si>
  <si>
    <t>WHT</t>
  </si>
  <si>
    <t xml:space="preserve">    22030</t>
  </si>
  <si>
    <t>podatek od nieruchomości</t>
  </si>
  <si>
    <t xml:space="preserve">    22040</t>
  </si>
  <si>
    <t>użytkowanie wieczyste</t>
  </si>
  <si>
    <t xml:space="preserve">    22050</t>
  </si>
  <si>
    <t>urząd celny</t>
  </si>
  <si>
    <t xml:space="preserve">    22090</t>
  </si>
  <si>
    <t>pozostałe rozrachunki budżetowe</t>
  </si>
  <si>
    <t xml:space="preserve">    22099</t>
  </si>
  <si>
    <t>Należności budżetowe-odpisy</t>
  </si>
  <si>
    <t xml:space="preserve">    22100</t>
  </si>
  <si>
    <t>VAT należny</t>
  </si>
  <si>
    <t xml:space="preserve">    22110</t>
  </si>
  <si>
    <t>VAT należny - niepodpisane korekty</t>
  </si>
  <si>
    <t xml:space="preserve">    22115</t>
  </si>
  <si>
    <t>VAT należny - złe długi</t>
  </si>
  <si>
    <t xml:space="preserve">    22200</t>
  </si>
  <si>
    <t>VAT naliczony</t>
  </si>
  <si>
    <t xml:space="preserve">    22210</t>
  </si>
  <si>
    <t>Korekty VAT naliczonego - złe długi</t>
  </si>
  <si>
    <t xml:space="preserve">    22300</t>
  </si>
  <si>
    <t>Rozrachunki z US z tytułu VAT</t>
  </si>
  <si>
    <t xml:space="preserve">    22310</t>
  </si>
  <si>
    <t>VAT do zwrotu</t>
  </si>
  <si>
    <t xml:space="preserve">    22400</t>
  </si>
  <si>
    <t>Rozrachunki z ZUS</t>
  </si>
  <si>
    <t xml:space="preserve">    23000</t>
  </si>
  <si>
    <t>Rozrach. z tyt. wynagrodzeń</t>
  </si>
  <si>
    <t xml:space="preserve">    23400</t>
  </si>
  <si>
    <t>Wydatki służbowe-gotówka</t>
  </si>
  <si>
    <t xml:space="preserve">    23410</t>
  </si>
  <si>
    <t>Wydatki służbowe-karty</t>
  </si>
  <si>
    <t xml:space="preserve">    23490</t>
  </si>
  <si>
    <t>Pozostałe rozrachunki z pracownikami</t>
  </si>
  <si>
    <t xml:space="preserve">    24900</t>
  </si>
  <si>
    <t xml:space="preserve">    24910</t>
  </si>
  <si>
    <t>Rozrachunki z udziałowcami</t>
  </si>
  <si>
    <t xml:space="preserve">    24911</t>
  </si>
  <si>
    <t>Zobowiązania z tytułu dywidend</t>
  </si>
  <si>
    <t xml:space="preserve">    24920</t>
  </si>
  <si>
    <t>Kaucje i depozyty otrzymane-krótkoterm.-jednostki powiązane</t>
  </si>
  <si>
    <t xml:space="preserve">    24921</t>
  </si>
  <si>
    <t>Kaucje i depozyty otrzymane-długoterm.-jednostki powiązane</t>
  </si>
  <si>
    <t xml:space="preserve">    24922</t>
  </si>
  <si>
    <t>Kaucje i depozyty otrzymane-krótkoterm.-pozostałe jednostki</t>
  </si>
  <si>
    <t xml:space="preserve">    24923</t>
  </si>
  <si>
    <t>Kaucje i depozyty otrzymane-długoterm.-pozostałe jednostki</t>
  </si>
  <si>
    <t xml:space="preserve">    24930</t>
  </si>
  <si>
    <t>Kaucje i depozyty zapłacone-krótkoterm.-jednostki powiązane</t>
  </si>
  <si>
    <t xml:space="preserve">    24931</t>
  </si>
  <si>
    <t>Kaucje i depozyty zapłacone-długoterm.-jednostki powiązane</t>
  </si>
  <si>
    <t xml:space="preserve">    24932</t>
  </si>
  <si>
    <t>Kaucje i depozyty zapłacone-krótkoterm.-pozostałe jednostki</t>
  </si>
  <si>
    <t xml:space="preserve">    24933</t>
  </si>
  <si>
    <t>Kaucje i depozyty zapłacone-długoterm.-pozostałe jednostki</t>
  </si>
  <si>
    <t xml:space="preserve">    24940</t>
  </si>
  <si>
    <t>Rozrachunki z tytułu leasingu-krótkoterminowe</t>
  </si>
  <si>
    <t xml:space="preserve">    24941</t>
  </si>
  <si>
    <t>Rozrachunki z tytułu leasingu-długoterminowe</t>
  </si>
  <si>
    <t xml:space="preserve">    24950</t>
  </si>
  <si>
    <t>Rozrach.z tytułu zakupu środków trwałych-jednostki powiązane</t>
  </si>
  <si>
    <t xml:space="preserve">    24951</t>
  </si>
  <si>
    <t>Rozrach.z tytułu zakupu środków trwałych-pozostałe jednostki</t>
  </si>
  <si>
    <t xml:space="preserve">    24952</t>
  </si>
  <si>
    <t>Rozrach.z tytułu zakupu WNiP-jednostki powiązane</t>
  </si>
  <si>
    <t xml:space="preserve">    24953</t>
  </si>
  <si>
    <t>Rozrach.z tytułu zakupu WNiP-pozostałe jednostki</t>
  </si>
  <si>
    <t xml:space="preserve">    24954</t>
  </si>
  <si>
    <t>Należnosci-zbycie rzecz.aktywów trwałych-jednostki powiązane</t>
  </si>
  <si>
    <t xml:space="preserve">    24955</t>
  </si>
  <si>
    <t>Należnosci-zbycie rzecz.aktywów trwałych-pozostałe jednostki</t>
  </si>
  <si>
    <t xml:space="preserve">    24956</t>
  </si>
  <si>
    <t>Należności-zbycie inwestycji niefinan.-jednostki powiązane</t>
  </si>
  <si>
    <t xml:space="preserve">    24957</t>
  </si>
  <si>
    <t>Należności-zbycie inwestycji niefinan.-pozostałe jednostki</t>
  </si>
  <si>
    <t xml:space="preserve">    24958</t>
  </si>
  <si>
    <t>Należności-zbycie inwestycji finan.-jednostki powiązane</t>
  </si>
  <si>
    <t xml:space="preserve">    24959</t>
  </si>
  <si>
    <t>Należności-zbycie inwestycji finans.-pozostałe jednostki</t>
  </si>
  <si>
    <t xml:space="preserve">    24960</t>
  </si>
  <si>
    <t>Należności z tytułu dywidend - jednostki powiązane</t>
  </si>
  <si>
    <t xml:space="preserve">    24961</t>
  </si>
  <si>
    <t>Należności z tytułu dywidend - pozostałe jednostki</t>
  </si>
  <si>
    <t xml:space="preserve">    24980</t>
  </si>
  <si>
    <t>Pozostałe należności-jednostki powiązane</t>
  </si>
  <si>
    <t xml:space="preserve">    24981</t>
  </si>
  <si>
    <t>Pozostałe należności-pozostałe jednostki</t>
  </si>
  <si>
    <t xml:space="preserve">    24990</t>
  </si>
  <si>
    <t>Pozostałe zobowiązania-jednostki powiązane</t>
  </si>
  <si>
    <t xml:space="preserve">    24991</t>
  </si>
  <si>
    <t>Pozostałe zobowiązania-pozostałe jednostki</t>
  </si>
  <si>
    <t xml:space="preserve">    24998</t>
  </si>
  <si>
    <t>Odpisy-należności pozostałe-jednostki powiązane</t>
  </si>
  <si>
    <t xml:space="preserve">    24999</t>
  </si>
  <si>
    <t>Odpisy-należności pozostałe-pozostałe jednostki</t>
  </si>
  <si>
    <t xml:space="preserve">    26000</t>
  </si>
  <si>
    <t>Otrzymane poż.krótkoterm.-jednostki powiązane-kapitał</t>
  </si>
  <si>
    <t xml:space="preserve">    26001</t>
  </si>
  <si>
    <t>Otrzymane poż.krótkoterm.-jednostki powiązane-wycena bilans.</t>
  </si>
  <si>
    <t xml:space="preserve">    26002</t>
  </si>
  <si>
    <t>Otrzymane poż.krótkoterm.-jednostki powiązane-odsetki</t>
  </si>
  <si>
    <t xml:space="preserve">    26003</t>
  </si>
  <si>
    <t>Otrzymane poż.krótkoterm.-jednostki powiązane-prowizja</t>
  </si>
  <si>
    <t xml:space="preserve">    26100</t>
  </si>
  <si>
    <t>Otrzymane poż.długoterm.-jednostki powiązane-kapitał</t>
  </si>
  <si>
    <t xml:space="preserve">    26101</t>
  </si>
  <si>
    <t>Otrzymane poż.długoterm-jednostki powiązane-wycena bilansowa</t>
  </si>
  <si>
    <t xml:space="preserve">    26102</t>
  </si>
  <si>
    <t>Otrzymane poż.długoterm.-jednostki powiązane-odsetki</t>
  </si>
  <si>
    <t xml:space="preserve">    26103</t>
  </si>
  <si>
    <t>Otrzymane poż.długoterm.-jednostki powiązane-prowizja</t>
  </si>
  <si>
    <t xml:space="preserve">    26200</t>
  </si>
  <si>
    <t>Otrzymane poż.krótkoterm.-pozostałe jednostki-kapitał</t>
  </si>
  <si>
    <t xml:space="preserve">    26201</t>
  </si>
  <si>
    <t>Otrzymane poż.krótkoterm.-pozostałe jednostki-wycena bilans.</t>
  </si>
  <si>
    <t xml:space="preserve">    26202</t>
  </si>
  <si>
    <t>Otrzymane poż.krótkoterm.-pozostałe jednostki-odsetki</t>
  </si>
  <si>
    <t xml:space="preserve">    26203</t>
  </si>
  <si>
    <t>Otrzymane poż.krótkoterm.-pozostałe jednostki-prowizja</t>
  </si>
  <si>
    <t xml:space="preserve">    26300</t>
  </si>
  <si>
    <t>Otrzymane poż.długoterm.-pozostałe jednostki-kapitał</t>
  </si>
  <si>
    <t xml:space="preserve">    26301</t>
  </si>
  <si>
    <t>Otrzymane poż.długoterm.-pozostałe jednostki-wycena bilans.</t>
  </si>
  <si>
    <t xml:space="preserve">    26302</t>
  </si>
  <si>
    <t>Otrzymane poż.długoterm.-pozostałe jednostki-odsetki</t>
  </si>
  <si>
    <t xml:space="preserve">    26303</t>
  </si>
  <si>
    <t>Otrzymane poż.długoterm.-pozostałe jednostki-prowizja</t>
  </si>
  <si>
    <t xml:space="preserve">    27010</t>
  </si>
  <si>
    <t>Zob.-emisja dłużn.pap.wart.-krótkoterm.-jednostki powiązane</t>
  </si>
  <si>
    <t xml:space="preserve">    27011</t>
  </si>
  <si>
    <t>Zob.-emisja dłużn.pap.wart.-długoterm.-powiązane jednostki</t>
  </si>
  <si>
    <t xml:space="preserve">    27012</t>
  </si>
  <si>
    <t>Zob.-emisja dłuż.pap.wartośc.krótkoterm.-pozostałe jednostki</t>
  </si>
  <si>
    <t xml:space="preserve">    27013</t>
  </si>
  <si>
    <t>Zob.-emisja dłuż.pap.wartośc.-długoterm.-pozostałe jednostki</t>
  </si>
  <si>
    <t xml:space="preserve">    27020</t>
  </si>
  <si>
    <t>Inne zobowiązania finansowe-krótkoterm.-jednostki powiązane</t>
  </si>
  <si>
    <t xml:space="preserve">    27021</t>
  </si>
  <si>
    <t>Inne zobowiązania finansowe-długoterm.-jednostki powiązane</t>
  </si>
  <si>
    <t xml:space="preserve">    27022</t>
  </si>
  <si>
    <t>Inne zobowiązania finansowe-krótkoterm.-pozostałe jednostki</t>
  </si>
  <si>
    <t xml:space="preserve">    27023</t>
  </si>
  <si>
    <t>Inne zobowiązania finansowe-długoterm.-pozostałe jednostki</t>
  </si>
  <si>
    <t xml:space="preserve">    27030</t>
  </si>
  <si>
    <t xml:space="preserve">    28000</t>
  </si>
  <si>
    <t>Rozliczenia z oddziałem</t>
  </si>
  <si>
    <t xml:space="preserve">    30010</t>
  </si>
  <si>
    <t>Rozliczenie zakupu-środki trwale do przyjęcia</t>
  </si>
  <si>
    <t xml:space="preserve">    30020</t>
  </si>
  <si>
    <t>Rozliczenie zakupu usług</t>
  </si>
  <si>
    <t xml:space="preserve">    30030</t>
  </si>
  <si>
    <t>Rozliczenie zakupu towarów</t>
  </si>
  <si>
    <t xml:space="preserve">    30040</t>
  </si>
  <si>
    <t>Rozliczenie zakupu materiałów</t>
  </si>
  <si>
    <t xml:space="preserve">    31000</t>
  </si>
  <si>
    <t xml:space="preserve">    31001</t>
  </si>
  <si>
    <t>OCE Materiały</t>
  </si>
  <si>
    <t xml:space="preserve">    31009</t>
  </si>
  <si>
    <t>Odpisy aktualizujące materiały</t>
  </si>
  <si>
    <t xml:space="preserve">    31010</t>
  </si>
  <si>
    <t>Koszty zakupu materiałów</t>
  </si>
  <si>
    <t xml:space="preserve">    32000</t>
  </si>
  <si>
    <t xml:space="preserve">    32001</t>
  </si>
  <si>
    <t>OCE Towary</t>
  </si>
  <si>
    <t xml:space="preserve">    32009</t>
  </si>
  <si>
    <t>Odpisy aktualizujące towary</t>
  </si>
  <si>
    <t xml:space="preserve">    32010</t>
  </si>
  <si>
    <t>Koszty zakupu towarów</t>
  </si>
  <si>
    <t xml:space="preserve">    36000</t>
  </si>
  <si>
    <t>Zaliczki na dostawy</t>
  </si>
  <si>
    <t xml:space="preserve">    40010</t>
  </si>
  <si>
    <t>Amortyzacja środków trwałych i WNiP-KUP</t>
  </si>
  <si>
    <t>W</t>
  </si>
  <si>
    <t xml:space="preserve">    40019</t>
  </si>
  <si>
    <t>Amortyzacja środków trwałych i WNiP-NKUP</t>
  </si>
  <si>
    <t xml:space="preserve">    40020</t>
  </si>
  <si>
    <t>Amortyzacja nieruchomości inwestycyjnych-KUP</t>
  </si>
  <si>
    <t xml:space="preserve">    40029</t>
  </si>
  <si>
    <t>Amortyzacja nieruchomości inwestycyjnych-NKUP</t>
  </si>
  <si>
    <t xml:space="preserve">    40110</t>
  </si>
  <si>
    <t>Zużycie materiałów</t>
  </si>
  <si>
    <t xml:space="preserve">    40120</t>
  </si>
  <si>
    <t>Zużycie energii</t>
  </si>
  <si>
    <t xml:space="preserve">    40210</t>
  </si>
  <si>
    <t>Usługi audytorskie</t>
  </si>
  <si>
    <t xml:space="preserve">    40220</t>
  </si>
  <si>
    <t>Usługi niematerialne od podmiotów powiązanych</t>
  </si>
  <si>
    <t xml:space="preserve">    40290</t>
  </si>
  <si>
    <t>Pozostałe usługi obce</t>
  </si>
  <si>
    <t xml:space="preserve">    40310</t>
  </si>
  <si>
    <t>Podatek akcyzowy</t>
  </si>
  <si>
    <t xml:space="preserve">    40390</t>
  </si>
  <si>
    <t>Pozostałe podatki i opłaty</t>
  </si>
  <si>
    <t xml:space="preserve">    40410</t>
  </si>
  <si>
    <t>Wynagrodzenia ze stosunku pracy</t>
  </si>
  <si>
    <t xml:space="preserve">    40411</t>
  </si>
  <si>
    <t>Niewypłacone wynagrodzenia ze stosunku pracy</t>
  </si>
  <si>
    <t xml:space="preserve">    40450</t>
  </si>
  <si>
    <t>Rezerwy na premie i bonusy</t>
  </si>
  <si>
    <t xml:space="preserve">    40451</t>
  </si>
  <si>
    <t>Rezerwy na niewykorzystane urlopy</t>
  </si>
  <si>
    <t xml:space="preserve">    40452</t>
  </si>
  <si>
    <t>Rezerwy na świadczenia emerytalne i podobne</t>
  </si>
  <si>
    <t xml:space="preserve">    40490</t>
  </si>
  <si>
    <t>Pozostałe wynagrodzenia</t>
  </si>
  <si>
    <t xml:space="preserve">    40510</t>
  </si>
  <si>
    <t>Składki z tytułu ubezpieczeń społecznych</t>
  </si>
  <si>
    <t xml:space="preserve">    40511</t>
  </si>
  <si>
    <t>Niewypłacone składki na ZUS</t>
  </si>
  <si>
    <t xml:space="preserve">    40520</t>
  </si>
  <si>
    <t>Szkolenia pracowników</t>
  </si>
  <si>
    <t xml:space="preserve">    40590</t>
  </si>
  <si>
    <t>Pozostałe świadczenia</t>
  </si>
  <si>
    <t xml:space="preserve">    40910</t>
  </si>
  <si>
    <t>Koszty podróży służbowych</t>
  </si>
  <si>
    <t xml:space="preserve">    40920</t>
  </si>
  <si>
    <t>Ubezpieczenia majątkowe i osobowe</t>
  </si>
  <si>
    <t xml:space="preserve">    40930</t>
  </si>
  <si>
    <t>Składki członkowskie</t>
  </si>
  <si>
    <t xml:space="preserve">    40975</t>
  </si>
  <si>
    <t>Koszty samochodu limit</t>
  </si>
  <si>
    <t xml:space="preserve">    40990</t>
  </si>
  <si>
    <t>Pozostałe koszty</t>
  </si>
  <si>
    <t xml:space="preserve">    50100</t>
  </si>
  <si>
    <t>Produkcja podstawowa</t>
  </si>
  <si>
    <t>0ZZ_TECH</t>
  </si>
  <si>
    <t xml:space="preserve">    50200</t>
  </si>
  <si>
    <t>Koszty wydziałowe</t>
  </si>
  <si>
    <t xml:space="preserve">    50300</t>
  </si>
  <si>
    <t>Koszty zakupu</t>
  </si>
  <si>
    <t xml:space="preserve">    50400</t>
  </si>
  <si>
    <t>Koszty działalności handlowej</t>
  </si>
  <si>
    <t xml:space="preserve">    50700</t>
  </si>
  <si>
    <t xml:space="preserve">    53000</t>
  </si>
  <si>
    <t>Produkcja pomocnicza</t>
  </si>
  <si>
    <t xml:space="preserve">    55000</t>
  </si>
  <si>
    <t>Koszty zarządu</t>
  </si>
  <si>
    <t xml:space="preserve">    58000</t>
  </si>
  <si>
    <t>Rozliczenie produkcji</t>
  </si>
  <si>
    <t xml:space="preserve">    60000</t>
  </si>
  <si>
    <t xml:space="preserve">    60010</t>
  </si>
  <si>
    <t>OCE produkty gotowe</t>
  </si>
  <si>
    <t xml:space="preserve">    60019</t>
  </si>
  <si>
    <t>Odpisy aktualizujące produkty gotowe</t>
  </si>
  <si>
    <t xml:space="preserve">    61000</t>
  </si>
  <si>
    <t>Półprodukty</t>
  </si>
  <si>
    <t xml:space="preserve">    61010</t>
  </si>
  <si>
    <t>OCE półprodukty</t>
  </si>
  <si>
    <t xml:space="preserve">    61019</t>
  </si>
  <si>
    <t>Odpisy aktualizujące półprodukty</t>
  </si>
  <si>
    <t xml:space="preserve">    64000</t>
  </si>
  <si>
    <t>RMK-czynne-krótkoterminowe</t>
  </si>
  <si>
    <t xml:space="preserve">    64100</t>
  </si>
  <si>
    <t>RMK-czynne-długoterminowe</t>
  </si>
  <si>
    <t xml:space="preserve">    64200</t>
  </si>
  <si>
    <t>RMK-bierne-krótkoterminowe</t>
  </si>
  <si>
    <t xml:space="preserve">    64300</t>
  </si>
  <si>
    <t>RMK-bierne-długoterminowe</t>
  </si>
  <si>
    <t xml:space="preserve">    65000</t>
  </si>
  <si>
    <t>Aktywo z tytułu podatku odroczonego</t>
  </si>
  <si>
    <t xml:space="preserve">    70010</t>
  </si>
  <si>
    <t>Sprzedaż usług-kraj-jednostki powiązane</t>
  </si>
  <si>
    <t xml:space="preserve">    70011</t>
  </si>
  <si>
    <t>Sprzedaż usług-zagranica-jednostki powiązane</t>
  </si>
  <si>
    <t xml:space="preserve">    70012</t>
  </si>
  <si>
    <t>Sprzedaż usług-kraj-pozostałe jednostki</t>
  </si>
  <si>
    <t xml:space="preserve">    70013</t>
  </si>
  <si>
    <t>Sprzedaż usług-zagranica-pozostałe jednostki</t>
  </si>
  <si>
    <t xml:space="preserve">    70310</t>
  </si>
  <si>
    <t>Sprzedaż produktów-kraj-jednostki powiązane</t>
  </si>
  <si>
    <t xml:space="preserve">    70311</t>
  </si>
  <si>
    <t>Sprzedaż produktów-zagranica-jednostki powiązane</t>
  </si>
  <si>
    <t xml:space="preserve">    70312</t>
  </si>
  <si>
    <t>Sprzedaż produktów-kraj-pozostałe jednostki</t>
  </si>
  <si>
    <t xml:space="preserve">    70313</t>
  </si>
  <si>
    <t>Sprzedaż produktów-zagraniczne-pozostałe jednostki</t>
  </si>
  <si>
    <t xml:space="preserve">    71510</t>
  </si>
  <si>
    <t>Sprzedaż towarów-kraj-jednostki powiązane</t>
  </si>
  <si>
    <t xml:space="preserve">    71511</t>
  </si>
  <si>
    <t>Sprzedaż towarów-kraj-pozostałe jednostki</t>
  </si>
  <si>
    <t xml:space="preserve">    71512</t>
  </si>
  <si>
    <t>Sprzedaż towarów-zagranica-jednostki powiązane</t>
  </si>
  <si>
    <t xml:space="preserve">    71513</t>
  </si>
  <si>
    <t>Sprzedaż towarów-zagranica-pozostałe jednostki</t>
  </si>
  <si>
    <t xml:space="preserve">    73500</t>
  </si>
  <si>
    <t>Wartość sprzedanych towarów</t>
  </si>
  <si>
    <t xml:space="preserve">    73510</t>
  </si>
  <si>
    <t>Sprzedaż materiałów-kraj-jednostki powiązane</t>
  </si>
  <si>
    <t xml:space="preserve">    73511</t>
  </si>
  <si>
    <t>Sprzedaż materiałów-kraj-pozostałe jednostki</t>
  </si>
  <si>
    <t xml:space="preserve">    73512</t>
  </si>
  <si>
    <t>Sprzedaż materiałów-zagranica-jednostki powiązane</t>
  </si>
  <si>
    <t xml:space="preserve">    73513</t>
  </si>
  <si>
    <t>Sprzedaż materiałów-zagranica-pozostałe jednostki</t>
  </si>
  <si>
    <t xml:space="preserve">    74500</t>
  </si>
  <si>
    <t>Wartość sprzedanych materiałów</t>
  </si>
  <si>
    <t xml:space="preserve">    75010</t>
  </si>
  <si>
    <t>Dywidendy-jednostki powiązane</t>
  </si>
  <si>
    <t xml:space="preserve">    75020</t>
  </si>
  <si>
    <t>Odsetki-pożyczki-jednostki powiązane-naliczone</t>
  </si>
  <si>
    <t xml:space="preserve">    75021</t>
  </si>
  <si>
    <t>Odsetki-pożyczki-jednostki powiązane-otrzymane</t>
  </si>
  <si>
    <t xml:space="preserve">    75022</t>
  </si>
  <si>
    <t>Odsetki-handlowe-jednostki powiązane-naliczone</t>
  </si>
  <si>
    <t xml:space="preserve">    75023</t>
  </si>
  <si>
    <t>Odsetki-handlowe-jednostki powiązane-otrzymane</t>
  </si>
  <si>
    <t xml:space="preserve">    75024</t>
  </si>
  <si>
    <t>Odsetki-bankowe-jednostki powiązane-otrzymane</t>
  </si>
  <si>
    <t xml:space="preserve">    75025</t>
  </si>
  <si>
    <t>Odsetki-dłuż.instrumenty finans.-jednostki powiązane-nalicz.</t>
  </si>
  <si>
    <t xml:space="preserve">    75026</t>
  </si>
  <si>
    <t>Odsetki-dłuż.instrumenty finans.-jednostki powiązane-otrzym.</t>
  </si>
  <si>
    <t xml:space="preserve">    75028</t>
  </si>
  <si>
    <t>Odsetki-pozostałe-jednostki powiązane-naliczone</t>
  </si>
  <si>
    <t xml:space="preserve">    75029</t>
  </si>
  <si>
    <t>Odsetki-pozostałe-jednostki powiązane-otrzymane</t>
  </si>
  <si>
    <t xml:space="preserve">    75030</t>
  </si>
  <si>
    <t>Przychody ze zbycia inwestycji-jednostki powiązane</t>
  </si>
  <si>
    <t xml:space="preserve">    75040</t>
  </si>
  <si>
    <t>Aktualizacja wartości inwestycji-jednostki powiązane</t>
  </si>
  <si>
    <t xml:space="preserve">    75045</t>
  </si>
  <si>
    <t>Rozwiąz.odpisów-inwestycje długoterm.-jednostki powiązane</t>
  </si>
  <si>
    <t xml:space="preserve">    75046</t>
  </si>
  <si>
    <t>Rozwiąz.odpisów-inwestycje krótkoterm.-jednostki powiązane</t>
  </si>
  <si>
    <t xml:space="preserve">    75047</t>
  </si>
  <si>
    <t>Rozwiąz.odpisów-odsetki od należności - jednostki powiązane</t>
  </si>
  <si>
    <t xml:space="preserve">    75050</t>
  </si>
  <si>
    <t>Prowizje od pożyczek udzielonych-jednostki powiązane-nalicz.</t>
  </si>
  <si>
    <t xml:space="preserve">    75051</t>
  </si>
  <si>
    <t>Prowizje od pożyczek udzielonych-jednostki powiązane-zapłac.</t>
  </si>
  <si>
    <t xml:space="preserve">    75060</t>
  </si>
  <si>
    <t>Rozwiązanie rezerw-jednostki powiązane</t>
  </si>
  <si>
    <t xml:space="preserve">    75090</t>
  </si>
  <si>
    <t>Pozostałe przychody finansowe-jednostki powiązane</t>
  </si>
  <si>
    <t xml:space="preserve">    75110</t>
  </si>
  <si>
    <t>Dywidendy-pozostałe jednostki</t>
  </si>
  <si>
    <t xml:space="preserve">    75120</t>
  </si>
  <si>
    <t>Odsetki-pożyczki-pozostałe jednostki-naliczone</t>
  </si>
  <si>
    <t xml:space="preserve">    75121</t>
  </si>
  <si>
    <t>Odsetki-pożyczki-pozostałe jednostki-otrzymane</t>
  </si>
  <si>
    <t xml:space="preserve">    75122</t>
  </si>
  <si>
    <t>Odsetki-handlowe-pozostałe jednostki-naliczone</t>
  </si>
  <si>
    <t xml:space="preserve">    75123</t>
  </si>
  <si>
    <t>Odsetki-handlowe-pozostałe jednostki-otrzymane</t>
  </si>
  <si>
    <t xml:space="preserve">    75124</t>
  </si>
  <si>
    <t>Odsetki-bankowe-pozostałe jednostki-otrzymane</t>
  </si>
  <si>
    <t xml:space="preserve">    75125</t>
  </si>
  <si>
    <t>Odsetki-dłuż.instrumenty finans.-pozostałe jednostki-nalicz.</t>
  </si>
  <si>
    <t xml:space="preserve">    75126</t>
  </si>
  <si>
    <t>Odsetki-dłuż. instrumenty fin.-pozostałe jednostki-otrzym.</t>
  </si>
  <si>
    <t xml:space="preserve">    75128</t>
  </si>
  <si>
    <t>Odsetki-pozostałe-pozostałe jednostki-naliczone</t>
  </si>
  <si>
    <t xml:space="preserve">    75129</t>
  </si>
  <si>
    <t>Odsetki-pozostałe-pozostałe jednostki-otrzymane</t>
  </si>
  <si>
    <t xml:space="preserve">    75130</t>
  </si>
  <si>
    <t>Przychody ze zbycia inwestycji-pozostałe jednostki</t>
  </si>
  <si>
    <t xml:space="preserve">    75140</t>
  </si>
  <si>
    <t>Aktualizacja wartości inwestycji-pozostałe jednostki</t>
  </si>
  <si>
    <t xml:space="preserve">    75145</t>
  </si>
  <si>
    <t>Rozw.odpisów-inwestycje długoterm.-pozostałe jednostki</t>
  </si>
  <si>
    <t xml:space="preserve">    75146</t>
  </si>
  <si>
    <t>Rozwiąz.odpisów-inwestycje krótkoterm.-pozostałe jednostki</t>
  </si>
  <si>
    <t xml:space="preserve">    75147</t>
  </si>
  <si>
    <t>Rozw.odpisów-odsetki od należności- pozostałe jednostki</t>
  </si>
  <si>
    <t xml:space="preserve">    75150</t>
  </si>
  <si>
    <t>Prowizje -pożyczek udzielonych-pozostałe jednostki-nalicz.</t>
  </si>
  <si>
    <t xml:space="preserve">    75151</t>
  </si>
  <si>
    <t>Prowizje -pożyczek udzielonych-pozostałe jednostki-zapłac.</t>
  </si>
  <si>
    <t xml:space="preserve">    75160</t>
  </si>
  <si>
    <t>Rozwiązanie rezerw-jednostki pozostałe</t>
  </si>
  <si>
    <t xml:space="preserve">    75190</t>
  </si>
  <si>
    <t>Pozostałe przychody finansowe-pozostałe jednostki</t>
  </si>
  <si>
    <t xml:space="preserve">    75210</t>
  </si>
  <si>
    <t>RK(+) zrealizowane-pożyczki/kredyty otrzymane</t>
  </si>
  <si>
    <t xml:space="preserve">    75211</t>
  </si>
  <si>
    <t>RK(+) niezrealizowane-pożyczki/kredyty otrzymane</t>
  </si>
  <si>
    <t xml:space="preserve">    75212</t>
  </si>
  <si>
    <t>RK(+) zrealizowane-pożyczki udzielone</t>
  </si>
  <si>
    <t xml:space="preserve">    75213</t>
  </si>
  <si>
    <t>RK(+) niezrealizowane-pożyczki udzielone</t>
  </si>
  <si>
    <t xml:space="preserve">    75220</t>
  </si>
  <si>
    <t>RK(+) zrealizowane-należności/zobowiązania</t>
  </si>
  <si>
    <t xml:space="preserve">    75221</t>
  </si>
  <si>
    <t>RK(+) niezrealizowane-należności/zbowiązania</t>
  </si>
  <si>
    <t xml:space="preserve">    75230</t>
  </si>
  <si>
    <t>RK(+) zrealizowane-środki pieniężne</t>
  </si>
  <si>
    <t xml:space="preserve">    75231</t>
  </si>
  <si>
    <t>RK(+) niezrealizowane-środki pieniężne</t>
  </si>
  <si>
    <t xml:space="preserve">    75290</t>
  </si>
  <si>
    <t>RK(+) zrealizowane-pozostałe</t>
  </si>
  <si>
    <t xml:space="preserve">    75291</t>
  </si>
  <si>
    <t>RK(+) niezrealizowane-pozostałe</t>
  </si>
  <si>
    <t xml:space="preserve">    75520</t>
  </si>
  <si>
    <t>Odsetki-pożyczki/kredyty-jednostki powiązane-naliczone</t>
  </si>
  <si>
    <t xml:space="preserve">    75521</t>
  </si>
  <si>
    <t>Odsetki-pożyczki/kredyty-jednostki powiązane-zapłacone</t>
  </si>
  <si>
    <t xml:space="preserve">    75522</t>
  </si>
  <si>
    <t xml:space="preserve">    75523</t>
  </si>
  <si>
    <t>Odsetki-handlowe-jednostki powiązane-zapłacone</t>
  </si>
  <si>
    <t xml:space="preserve">    75524</t>
  </si>
  <si>
    <t>Odsetki-bankowe-jednostki powiązane-zapłacone</t>
  </si>
  <si>
    <t xml:space="preserve">    75525</t>
  </si>
  <si>
    <t>Odsetki-dłuż. instrumenty fin.-jednostki powiązane-naliczone</t>
  </si>
  <si>
    <t xml:space="preserve">    75526</t>
  </si>
  <si>
    <t>Odsetki-dłuż. instrumenty fin.-jednostki powiązane-zapłacone</t>
  </si>
  <si>
    <t xml:space="preserve">    75528</t>
  </si>
  <si>
    <t xml:space="preserve">    75529</t>
  </si>
  <si>
    <t>Odsetki-pozostałe-jednostki powiązane-zapłacone</t>
  </si>
  <si>
    <t xml:space="preserve">    75530</t>
  </si>
  <si>
    <t>Koszt zbycia inwestycji-jednostki powiązane</t>
  </si>
  <si>
    <t xml:space="preserve">    75540</t>
  </si>
  <si>
    <t xml:space="preserve">    75550</t>
  </si>
  <si>
    <t>Prowizje -poż./kredytów otrzym.jednostki powiązane-nalicz.</t>
  </si>
  <si>
    <t xml:space="preserve">    75551</t>
  </si>
  <si>
    <t>Prowizje -poż./kredytów otrzym.jednostki powiązane-zapłac.</t>
  </si>
  <si>
    <t xml:space="preserve">    75560</t>
  </si>
  <si>
    <t>Rezerwy-jednostki powiązane</t>
  </si>
  <si>
    <t xml:space="preserve">    75570</t>
  </si>
  <si>
    <t>Odpisy- odsetki od należności - jednostki powiązane</t>
  </si>
  <si>
    <t xml:space="preserve">    75590</t>
  </si>
  <si>
    <t>Pozostałe koszty finansowe-jednostki powiązane</t>
  </si>
  <si>
    <t xml:space="preserve">    75595</t>
  </si>
  <si>
    <t>Pozostałe koszty finansowe limitowane jednostki powiązane</t>
  </si>
  <si>
    <t xml:space="preserve">    75620</t>
  </si>
  <si>
    <t>Odsetki-pożyczki/kredyty-pozostałe jednostki-naliczone</t>
  </si>
  <si>
    <t xml:space="preserve">    75621</t>
  </si>
  <si>
    <t>Odsetki-pożyczki/kredyty-pozostałe jednostki-zapłacone</t>
  </si>
  <si>
    <t xml:space="preserve">    75622</t>
  </si>
  <si>
    <t xml:space="preserve">    75623</t>
  </si>
  <si>
    <t>Odsetki-handlowe-pozostałe jednostki-zapłacone</t>
  </si>
  <si>
    <t xml:space="preserve">    75624</t>
  </si>
  <si>
    <t>Odsetki-bankowe-pozostałe jednostki-zapłacone</t>
  </si>
  <si>
    <t xml:space="preserve">    75625</t>
  </si>
  <si>
    <t>Odsetki-dłuż. instrumenty fin.-pozostałe jednostki-naliczone</t>
  </si>
  <si>
    <t xml:space="preserve">    75626</t>
  </si>
  <si>
    <t>Odsetki-dłuż. instrumenty fin.-pozostałe jednostki-zapłacone</t>
  </si>
  <si>
    <t xml:space="preserve">    75628</t>
  </si>
  <si>
    <t xml:space="preserve">    75629</t>
  </si>
  <si>
    <t>Odsetki-pozostałe-pozostałe jednostki-zapłacone</t>
  </si>
  <si>
    <t xml:space="preserve">    75630</t>
  </si>
  <si>
    <t>Koszt zbycia inwestycji-pozostałe jednostki</t>
  </si>
  <si>
    <t xml:space="preserve">    75640</t>
  </si>
  <si>
    <t xml:space="preserve">    75650</t>
  </si>
  <si>
    <t>Prowizje-poż./kredytów otrzym.-pozostałe jednostki-nalicz.</t>
  </si>
  <si>
    <t xml:space="preserve">    75651</t>
  </si>
  <si>
    <t>Prowizje-poży./kredytów otrzym.-pozostałe jednostki-zapłac.</t>
  </si>
  <si>
    <t xml:space="preserve">    75660</t>
  </si>
  <si>
    <t>Rezerwy pozostałe jednostki</t>
  </si>
  <si>
    <t xml:space="preserve">    75670</t>
  </si>
  <si>
    <t>Odpisy- odsetki od należności - pozostałe jednostki</t>
  </si>
  <si>
    <t xml:space="preserve">    75690</t>
  </si>
  <si>
    <t>Pozostałe koszty finansowe-pozostałe jednostki</t>
  </si>
  <si>
    <t xml:space="preserve">    75695</t>
  </si>
  <si>
    <t>Pozostałe koszty finansowe limitowane - pozostałe jednostki</t>
  </si>
  <si>
    <t xml:space="preserve">    75710</t>
  </si>
  <si>
    <t>RK(-) zrealizowane-pożyczki/kredyty otrzymane</t>
  </si>
  <si>
    <t xml:space="preserve">    75711</t>
  </si>
  <si>
    <t>RK(-)  niezrealizowane-pożyczki/kredyty otrzymane</t>
  </si>
  <si>
    <t xml:space="preserve">    75712</t>
  </si>
  <si>
    <t>RK(-) zrealizowane-pożyczki udzielone</t>
  </si>
  <si>
    <t xml:space="preserve">    75713</t>
  </si>
  <si>
    <t>RK(-) niezrealizowane-pożyczki udzielone</t>
  </si>
  <si>
    <t xml:space="preserve">    75720</t>
  </si>
  <si>
    <t>RK(-) zrealizowane-należności/zobowiązania</t>
  </si>
  <si>
    <t xml:space="preserve">    75721</t>
  </si>
  <si>
    <t>RK(-) niezrealizowane-należności/zbowiązania</t>
  </si>
  <si>
    <t xml:space="preserve">    75730</t>
  </si>
  <si>
    <t>RK(-) zrealizowane-środki pieniężne</t>
  </si>
  <si>
    <t xml:space="preserve">    75731</t>
  </si>
  <si>
    <t>RK(-) niezrealizowane-środki pieniężne</t>
  </si>
  <si>
    <t xml:space="preserve">    75790</t>
  </si>
  <si>
    <t>RK(-) zrealizowane-pozostałe</t>
  </si>
  <si>
    <t xml:space="preserve">    75791</t>
  </si>
  <si>
    <t>RK(-) niezrealizowane-pozostałe</t>
  </si>
  <si>
    <t xml:space="preserve">    76010</t>
  </si>
  <si>
    <t>Przychody ze zbycia niefinansowych aktywów trwałych</t>
  </si>
  <si>
    <t xml:space="preserve">    76020</t>
  </si>
  <si>
    <t xml:space="preserve">    76030</t>
  </si>
  <si>
    <t>Rozwiązanie odpisów aktualizujących aktywa niefinansowe</t>
  </si>
  <si>
    <t xml:space="preserve">    76040</t>
  </si>
  <si>
    <t>Rozwiązanie pozostałych rezerw</t>
  </si>
  <si>
    <t xml:space="preserve">    76099</t>
  </si>
  <si>
    <t xml:space="preserve">    76510</t>
  </si>
  <si>
    <t>Koszt zbytych niefinansowych aktywów trwałych</t>
  </si>
  <si>
    <t xml:space="preserve">    76520</t>
  </si>
  <si>
    <t xml:space="preserve">    76530</t>
  </si>
  <si>
    <t>Odpisy aktualizujące aktywa niefinansowe</t>
  </si>
  <si>
    <t xml:space="preserve">    76540</t>
  </si>
  <si>
    <t>Utworzenie pozostałych rezerw</t>
  </si>
  <si>
    <t xml:space="preserve">    76545</t>
  </si>
  <si>
    <t>Odpisane wierzytelności</t>
  </si>
  <si>
    <t xml:space="preserve">    76599</t>
  </si>
  <si>
    <t xml:space="preserve">    77010</t>
  </si>
  <si>
    <t>Zyski nadzwyczajne - skutki zdarzeń losowych</t>
  </si>
  <si>
    <t>RK1</t>
  </si>
  <si>
    <t xml:space="preserve">    77020</t>
  </si>
  <si>
    <t>Zyski nadzwyczajne - pozostałe</t>
  </si>
  <si>
    <t xml:space="preserve">    77510</t>
  </si>
  <si>
    <t>Straty nadzwyczajne-skutki zdarzeń losowych</t>
  </si>
  <si>
    <t xml:space="preserve">    77520</t>
  </si>
  <si>
    <t>Straty nadzwyczajne-pozostałe</t>
  </si>
  <si>
    <t xml:space="preserve">    80000</t>
  </si>
  <si>
    <t>Kapitał zakładowy</t>
  </si>
  <si>
    <t xml:space="preserve">    80100</t>
  </si>
  <si>
    <t>Kapitał zakładowy-wartość ujemna</t>
  </si>
  <si>
    <t xml:space="preserve">    81100</t>
  </si>
  <si>
    <t>P03240</t>
  </si>
  <si>
    <t xml:space="preserve">    81200</t>
  </si>
  <si>
    <t>Kapitał rezerwowy</t>
  </si>
  <si>
    <t xml:space="preserve">    81210</t>
  </si>
  <si>
    <t>Dopłaty wniesione przez wspólników</t>
  </si>
  <si>
    <t xml:space="preserve">    81300</t>
  </si>
  <si>
    <t xml:space="preserve">    82000</t>
  </si>
  <si>
    <t>Rozliczenie wyniku finansowego</t>
  </si>
  <si>
    <t xml:space="preserve">    82100</t>
  </si>
  <si>
    <t>Rozliczenie błędu podstawowego oraz zmian polityki rach.</t>
  </si>
  <si>
    <t xml:space="preserve">    83100</t>
  </si>
  <si>
    <t>Rezerwa na podatek dochodowy</t>
  </si>
  <si>
    <t xml:space="preserve">    83200</t>
  </si>
  <si>
    <t>Rezerwy na świad.emerytalne i podobne-krótkoterm.</t>
  </si>
  <si>
    <t xml:space="preserve">    83290</t>
  </si>
  <si>
    <t>Pozostałe rezerwy-krótkoterminowe</t>
  </si>
  <si>
    <t>P04310302</t>
  </si>
  <si>
    <t xml:space="preserve">    83300</t>
  </si>
  <si>
    <t>Rezerwy na świad.emerytalne i podobne-długoterm.</t>
  </si>
  <si>
    <t xml:space="preserve">    83390</t>
  </si>
  <si>
    <t>Pozostałe rezerwy-długoterminowe</t>
  </si>
  <si>
    <t>P04310301</t>
  </si>
  <si>
    <t xml:space="preserve">    84000</t>
  </si>
  <si>
    <t>Rozliczenia międzyokresowe przychodów-krótkoterminowe</t>
  </si>
  <si>
    <t xml:space="preserve">    84100</t>
  </si>
  <si>
    <t>Rozliczenia międzyokresowe przychodów-długoterminowe</t>
  </si>
  <si>
    <t xml:space="preserve">    84500</t>
  </si>
  <si>
    <t xml:space="preserve">    85000</t>
  </si>
  <si>
    <t>ZFŚS</t>
  </si>
  <si>
    <t xml:space="preserve">    86000</t>
  </si>
  <si>
    <t xml:space="preserve">    87100</t>
  </si>
  <si>
    <t xml:space="preserve">    87200</t>
  </si>
  <si>
    <t>Podatek odroczony</t>
  </si>
  <si>
    <t xml:space="preserve"> gbkmut.kstplcode As 'Stanowisko kosztowe', gbkmut.kstdrcode  As 'Nośnik kosztów',</t>
  </si>
  <si>
    <t xml:space="preserve"> gbkmut.kstplcode, gbkmut.kstdrcode,</t>
  </si>
  <si>
    <t>Stanowisko kosztowe</t>
  </si>
  <si>
    <t>Nośnik kosztów</t>
  </si>
  <si>
    <t>NrKontrahent</t>
  </si>
  <si>
    <t>NazwaKontrahenta</t>
  </si>
  <si>
    <t>Konto</t>
  </si>
  <si>
    <t>Typ</t>
  </si>
  <si>
    <t>Podtyp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</si>
</sst>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1" formatCode="_(* #,##0_);_(* \(#,##0\);_(* &quot;-&quot;_);_(@_)"/>
    <numFmt numFmtId="43" formatCode="_(* #,##0.00_);_(* \(#,##0.00\);_(* &quot;-&quot;??_);_(@_)"/>
    <numFmt numFmtId="164" formatCode="#,##0.0\ ;[Red]\(#,##0.0\)"/>
    <numFmt numFmtId="165" formatCode="d\.m\.yyyy"/>
    <numFmt numFmtId="166" formatCode="_(* #,##0.00_);_(* \(#,##0.00\);_(* &quot;-&quot;?_);_(@_)"/>
    <numFmt numFmtId="167" formatCode="#,##0.00;\(#,##0.00\)"/>
    <numFmt numFmtId="168" formatCode="m/d/yy\ h:mm"/>
    <numFmt numFmtId="169" formatCode="0&quot;.&quot;"/>
    <numFmt numFmtId="170" formatCode="_(* #,##0.0_);_(* \(#,##0.0\);_(* &quot;-&quot;_)"/>
    <numFmt numFmtId="171" formatCode="#,##0.00_ ;[Red]\-#,##0.00\ "/>
    <numFmt numFmtId="172" formatCode="dd\.mm\.yyyy"/>
    <numFmt numFmtId="173" formatCode="0_)"/>
    <numFmt numFmtId="174" formatCode="0.0%"/>
    <numFmt numFmtId="175" formatCode="&quot;   &quot;@"/>
    <numFmt numFmtId="176" formatCode="mmmm\ d\,\ yyyy"/>
    <numFmt numFmtId="177" formatCode="0.0000"/>
    <numFmt numFmtId="178" formatCode="#\ ##0.00"/>
    <numFmt numFmtId="179" formatCode="dd\.mm\.\r\r\r\r"/>
  </numFmts>
  <fonts count="150" x14ac:knownFonts="1">
    <font>
      <sz val="11"/>
      <color theme="1"/>
      <name val="Calibri"/>
      <family val="2"/>
      <charset val="238"/>
      <scheme val="minor"/>
    </font>
    <font>
      <sz val="11"/>
      <color theme="1"/>
      <name val="Calibri"/>
      <family val="2"/>
      <charset val="238"/>
      <scheme val="minor"/>
    </font>
    <font>
      <sz val="10"/>
      <name val="Arial"/>
      <family val="2"/>
      <charset val="238"/>
    </font>
    <font>
      <sz val="12"/>
      <name val="Arial"/>
      <family val="2"/>
      <charset val="238"/>
    </font>
    <font>
      <b/>
      <sz val="12"/>
      <name val="Times New Roman CE"/>
      <family val="1"/>
      <charset val="238"/>
    </font>
    <font>
      <sz val="12"/>
      <name val="Times New Roman CE"/>
      <family val="1"/>
      <charset val="238"/>
    </font>
    <font>
      <sz val="8"/>
      <name val="Times New Roman CE"/>
      <charset val="238"/>
    </font>
    <font>
      <sz val="8"/>
      <name val="Times New Roman CE"/>
      <family val="1"/>
      <charset val="238"/>
    </font>
    <font>
      <b/>
      <sz val="10"/>
      <name val="Times New Roman CE"/>
      <family val="1"/>
      <charset val="238"/>
    </font>
    <font>
      <sz val="10"/>
      <name val="Times New Roman CE"/>
      <family val="1"/>
      <charset val="238"/>
    </font>
    <font>
      <b/>
      <sz val="10"/>
      <color indexed="8"/>
      <name val="Times New Roman CE"/>
      <family val="1"/>
      <charset val="238"/>
    </font>
    <font>
      <b/>
      <sz val="10"/>
      <name val="Times New Roman CE"/>
      <charset val="238"/>
    </font>
    <font>
      <b/>
      <sz val="10"/>
      <color rgb="FF000000"/>
      <name val="Times New Roman CE"/>
      <charset val="238"/>
    </font>
    <font>
      <b/>
      <sz val="12"/>
      <name val="Times New Roman CE"/>
      <charset val="238"/>
    </font>
    <font>
      <sz val="10"/>
      <color rgb="FF000000"/>
      <name val="Times New Roman CE"/>
      <family val="1"/>
      <charset val="238"/>
    </font>
    <font>
      <sz val="10"/>
      <color indexed="8"/>
      <name val="Times New Roman"/>
      <family val="1"/>
    </font>
    <font>
      <sz val="10"/>
      <color rgb="FF0000FF"/>
      <name val="Times New Roman CE"/>
      <family val="1"/>
      <charset val="238"/>
    </font>
    <font>
      <sz val="12"/>
      <color rgb="FF000000"/>
      <name val="Times New Roman CE"/>
      <family val="1"/>
      <charset val="238"/>
    </font>
    <font>
      <sz val="10"/>
      <name val="Times New Roman"/>
      <family val="1"/>
      <charset val="238"/>
    </font>
    <font>
      <b/>
      <sz val="10"/>
      <color rgb="FF0000FF"/>
      <name val="Times New Roman CE"/>
      <charset val="238"/>
    </font>
    <font>
      <b/>
      <i/>
      <sz val="10"/>
      <color indexed="12"/>
      <name val="Times New Roman CE"/>
      <family val="1"/>
      <charset val="238"/>
    </font>
    <font>
      <sz val="10"/>
      <color indexed="8"/>
      <name val="Times New Roman CE"/>
      <family val="1"/>
      <charset val="238"/>
    </font>
    <font>
      <sz val="10"/>
      <color indexed="10"/>
      <name val="Times New Roman CE"/>
      <family val="1"/>
      <charset val="238"/>
    </font>
    <font>
      <sz val="11"/>
      <name val="Times New Roman CE"/>
      <family val="1"/>
      <charset val="238"/>
    </font>
    <font>
      <sz val="12"/>
      <color indexed="8"/>
      <name val="Times New Roman CE"/>
      <family val="1"/>
      <charset val="238"/>
    </font>
    <font>
      <b/>
      <sz val="10"/>
      <color indexed="8"/>
      <name val="Times New Roman"/>
      <family val="1"/>
    </font>
    <font>
      <b/>
      <sz val="10"/>
      <color rgb="FF000000"/>
      <name val="Times New Roman CE"/>
      <family val="1"/>
      <charset val="238"/>
    </font>
    <font>
      <b/>
      <sz val="10"/>
      <color rgb="FF0000FF"/>
      <name val="Times New Roman CE"/>
      <family val="1"/>
      <charset val="238"/>
    </font>
    <font>
      <sz val="10"/>
      <name val="Times New Roman"/>
      <family val="1"/>
    </font>
    <font>
      <i/>
      <sz val="10"/>
      <name val="Times New Roman"/>
      <family val="1"/>
      <charset val="238"/>
    </font>
    <font>
      <i/>
      <sz val="10"/>
      <name val="Times New Roman"/>
      <family val="1"/>
    </font>
    <font>
      <b/>
      <sz val="12"/>
      <name val="Arial"/>
      <family val="2"/>
      <charset val="238"/>
    </font>
    <font>
      <sz val="12"/>
      <color indexed="12"/>
      <name val="Times New Roman CE"/>
      <family val="1"/>
      <charset val="238"/>
    </font>
    <font>
      <sz val="10"/>
      <color indexed="12"/>
      <name val="Times New Roman CE"/>
      <family val="1"/>
      <charset val="238"/>
    </font>
    <font>
      <sz val="10"/>
      <name val="Times New Roman CE"/>
      <charset val="238"/>
    </font>
    <font>
      <sz val="12"/>
      <color rgb="FF00B050"/>
      <name val="Times New Roman CE"/>
      <family val="1"/>
      <charset val="238"/>
    </font>
    <font>
      <sz val="8"/>
      <name val="Times New Roman"/>
      <family val="1"/>
      <charset val="238"/>
    </font>
    <font>
      <sz val="8"/>
      <name val="Arial"/>
      <family val="2"/>
      <charset val="238"/>
    </font>
    <font>
      <sz val="10"/>
      <color indexed="8"/>
      <name val="Times New Roman"/>
      <family val="1"/>
      <charset val="238"/>
    </font>
    <font>
      <sz val="11"/>
      <color indexed="8"/>
      <name val="Times New Roman CE"/>
      <family val="1"/>
      <charset val="238"/>
    </font>
    <font>
      <b/>
      <i/>
      <sz val="10"/>
      <name val="Times New Roman CE"/>
      <family val="1"/>
      <charset val="238"/>
    </font>
    <font>
      <i/>
      <sz val="10"/>
      <name val="Times New Roman CE"/>
      <family val="1"/>
      <charset val="238"/>
    </font>
    <font>
      <b/>
      <sz val="10"/>
      <name val="Times New Roman"/>
      <family val="1"/>
    </font>
    <font>
      <sz val="10"/>
      <name val="Arial CE"/>
      <charset val="238"/>
    </font>
    <font>
      <b/>
      <sz val="10"/>
      <color indexed="8"/>
      <name val="Times New Roman CE"/>
      <charset val="238"/>
    </font>
    <font>
      <b/>
      <sz val="10"/>
      <name val="Arial"/>
      <family val="2"/>
      <charset val="238"/>
    </font>
    <font>
      <sz val="10"/>
      <color rgb="FFFF0000"/>
      <name val="Times New Roman CE"/>
      <charset val="238"/>
    </font>
    <font>
      <sz val="10"/>
      <color indexed="10"/>
      <name val="Times New Roman CE"/>
      <charset val="238"/>
    </font>
    <font>
      <b/>
      <sz val="10"/>
      <name val="Times New Roman"/>
      <family val="1"/>
      <charset val="238"/>
    </font>
    <font>
      <sz val="8"/>
      <color indexed="81"/>
      <name val="Tahoma"/>
      <family val="2"/>
      <charset val="238"/>
    </font>
    <font>
      <sz val="10"/>
      <name val="Arial"/>
      <family val="2"/>
    </font>
    <font>
      <b/>
      <sz val="10"/>
      <color rgb="FFFF0000"/>
      <name val="Times New Roman CE"/>
      <charset val="238"/>
    </font>
    <font>
      <b/>
      <sz val="8"/>
      <color indexed="81"/>
      <name val="Tahoma"/>
      <family val="2"/>
      <charset val="238"/>
    </font>
    <font>
      <b/>
      <sz val="10"/>
      <color indexed="8"/>
      <name val="Times New Roman"/>
      <family val="1"/>
      <charset val="238"/>
    </font>
    <font>
      <b/>
      <sz val="10"/>
      <color indexed="10"/>
      <name val="Times New Roman CE"/>
      <family val="1"/>
      <charset val="238"/>
    </font>
    <font>
      <b/>
      <i/>
      <sz val="10"/>
      <color rgb="FFFF0000"/>
      <name val="Times New Roman CE"/>
      <charset val="238"/>
    </font>
    <font>
      <sz val="8"/>
      <color indexed="8"/>
      <name val="Arial"/>
      <family val="2"/>
      <charset val="238"/>
    </font>
    <font>
      <sz val="10"/>
      <color indexed="8"/>
      <name val="Times New Roman CE"/>
      <charset val="238"/>
    </font>
    <font>
      <i/>
      <sz val="10"/>
      <name val="Times New Roman CE"/>
      <charset val="238"/>
    </font>
    <font>
      <b/>
      <i/>
      <sz val="10"/>
      <name val="Times New Roman CE"/>
      <charset val="238"/>
    </font>
    <font>
      <sz val="10"/>
      <color indexed="12"/>
      <name val="Times New Roman CE"/>
      <charset val="238"/>
    </font>
    <font>
      <b/>
      <i/>
      <sz val="10"/>
      <color indexed="10"/>
      <name val="Times New Roman CE"/>
      <charset val="238"/>
    </font>
    <font>
      <i/>
      <sz val="10"/>
      <color indexed="8"/>
      <name val="Times New Roman CE"/>
      <charset val="238"/>
    </font>
    <font>
      <b/>
      <sz val="10"/>
      <color rgb="FF00B050"/>
      <name val="Times New Roman CE"/>
      <charset val="238"/>
    </font>
    <font>
      <b/>
      <i/>
      <sz val="10"/>
      <color indexed="8"/>
      <name val="Times New Roman CE"/>
      <family val="1"/>
      <charset val="238"/>
    </font>
    <font>
      <sz val="10"/>
      <color indexed="10"/>
      <name val="Times New Roman"/>
      <family val="1"/>
      <charset val="238"/>
    </font>
    <font>
      <sz val="9"/>
      <color indexed="81"/>
      <name val="Tahoma"/>
      <family val="2"/>
      <charset val="238"/>
    </font>
    <font>
      <sz val="10"/>
      <color indexed="8"/>
      <name val="Symbol"/>
      <family val="1"/>
      <charset val="2"/>
    </font>
    <font>
      <sz val="10"/>
      <name val="Symbol"/>
      <family val="1"/>
      <charset val="2"/>
    </font>
    <font>
      <b/>
      <i/>
      <sz val="10"/>
      <name val="Times New Roman"/>
      <family val="1"/>
      <charset val="238"/>
    </font>
    <font>
      <sz val="10"/>
      <color indexed="12"/>
      <name val="Times New Roman"/>
      <family val="1"/>
      <charset val="238"/>
    </font>
    <font>
      <b/>
      <i/>
      <sz val="10"/>
      <color indexed="8"/>
      <name val="Times New Roman"/>
      <family val="1"/>
      <charset val="238"/>
    </font>
    <font>
      <b/>
      <sz val="10"/>
      <color indexed="10"/>
      <name val="Times New Roman"/>
      <family val="1"/>
      <charset val="238"/>
    </font>
    <font>
      <i/>
      <sz val="10"/>
      <color indexed="8"/>
      <name val="Times New Roman"/>
      <family val="1"/>
      <charset val="238"/>
    </font>
    <font>
      <i/>
      <sz val="10"/>
      <color indexed="10"/>
      <name val="Times New Roman"/>
      <family val="1"/>
      <charset val="238"/>
    </font>
    <font>
      <b/>
      <i/>
      <sz val="10"/>
      <color indexed="10"/>
      <name val="Times New Roman"/>
      <family val="1"/>
      <charset val="238"/>
    </font>
    <font>
      <i/>
      <sz val="10"/>
      <color rgb="FFFF0000"/>
      <name val="Times New Roman"/>
      <family val="1"/>
      <charset val="238"/>
    </font>
    <font>
      <sz val="10"/>
      <color rgb="FF00B050"/>
      <name val="Times New Roman"/>
      <family val="1"/>
      <charset val="238"/>
    </font>
    <font>
      <sz val="10"/>
      <color rgb="FFFF0000"/>
      <name val="Times New Roman"/>
      <family val="1"/>
      <charset val="238"/>
    </font>
    <font>
      <b/>
      <sz val="12"/>
      <color indexed="12"/>
      <name val="Arial"/>
      <family val="2"/>
      <charset val="238"/>
    </font>
    <font>
      <sz val="12"/>
      <color indexed="12"/>
      <name val="Arial"/>
      <family val="2"/>
    </font>
    <font>
      <sz val="10"/>
      <color indexed="12"/>
      <name val="Arial"/>
      <family val="2"/>
    </font>
    <font>
      <sz val="9"/>
      <color indexed="12"/>
      <name val="Arial"/>
      <family val="2"/>
    </font>
    <font>
      <b/>
      <sz val="9"/>
      <color indexed="81"/>
      <name val="Tahoma"/>
      <family val="2"/>
      <charset val="238"/>
    </font>
    <font>
      <sz val="10"/>
      <color rgb="FF000000"/>
      <name val="Times New Roman"/>
      <family val="1"/>
      <charset val="238"/>
    </font>
    <font>
      <u/>
      <sz val="11"/>
      <color theme="10"/>
      <name val="Calibri"/>
      <family val="2"/>
      <charset val="238"/>
      <scheme val="minor"/>
    </font>
    <font>
      <sz val="10"/>
      <color rgb="FF881280"/>
      <name val="Courier New"/>
      <family val="3"/>
      <charset val="238"/>
    </font>
    <font>
      <sz val="10"/>
      <color theme="1"/>
      <name val="Courier New"/>
      <family val="3"/>
      <charset val="238"/>
    </font>
    <font>
      <sz val="11"/>
      <color theme="0"/>
      <name val="Calibri"/>
      <family val="2"/>
      <charset val="238"/>
      <scheme val="minor"/>
    </font>
    <font>
      <b/>
      <i/>
      <sz val="10"/>
      <color indexed="8"/>
      <name val="Times New Roman"/>
      <family val="1"/>
    </font>
    <font>
      <sz val="10"/>
      <color theme="6" tint="-0.249977111117893"/>
      <name val="Times New Roman CE"/>
      <charset val="238"/>
    </font>
    <font>
      <sz val="10"/>
      <color rgb="FFFF0000"/>
      <name val="Times New Roman CE"/>
      <family val="1"/>
      <charset val="238"/>
    </font>
    <font>
      <b/>
      <sz val="10"/>
      <color indexed="10"/>
      <name val="Times New Roman CE"/>
      <charset val="238"/>
    </font>
    <font>
      <b/>
      <i/>
      <sz val="10"/>
      <color rgb="FF00B0F0"/>
      <name val="Times New Roman CE"/>
      <charset val="238"/>
    </font>
    <font>
      <sz val="10"/>
      <color indexed="10"/>
      <name val="Arial"/>
      <family val="2"/>
      <charset val="238"/>
    </font>
    <font>
      <b/>
      <sz val="10"/>
      <color rgb="FF00B0F0"/>
      <name val="Times New Roman CE"/>
      <charset val="238"/>
    </font>
    <font>
      <sz val="12"/>
      <color indexed="10"/>
      <name val="Times New Roman CE"/>
      <charset val="238"/>
    </font>
    <font>
      <b/>
      <i/>
      <sz val="10"/>
      <color rgb="FFFF0000"/>
      <name val="Times New Roman CE"/>
      <family val="1"/>
      <charset val="238"/>
    </font>
    <font>
      <sz val="10"/>
      <color rgb="FF0070C0"/>
      <name val="Times New Roman"/>
      <family val="1"/>
      <charset val="238"/>
    </font>
    <font>
      <i/>
      <sz val="10"/>
      <color rgb="FF0070C0"/>
      <name val="Times New Roman"/>
      <family val="1"/>
      <charset val="238"/>
    </font>
    <font>
      <sz val="8"/>
      <name val="Calibri"/>
      <family val="2"/>
      <charset val="238"/>
      <scheme val="minor"/>
    </font>
    <font>
      <sz val="12"/>
      <name val="Times New Roman"/>
      <family val="1"/>
    </font>
    <font>
      <b/>
      <i/>
      <sz val="10"/>
      <name val="Times New Roman"/>
      <family val="1"/>
    </font>
    <font>
      <i/>
      <sz val="10"/>
      <color indexed="10"/>
      <name val="Times New Roman CE"/>
      <charset val="238"/>
    </font>
    <font>
      <sz val="10"/>
      <color rgb="FFFF0000"/>
      <name val="Arial"/>
      <family val="2"/>
      <charset val="238"/>
    </font>
    <font>
      <sz val="11"/>
      <name val="Calibri"/>
      <family val="2"/>
      <charset val="238"/>
      <scheme val="minor"/>
    </font>
    <font>
      <sz val="14"/>
      <color theme="8" tint="-0.249977111117893"/>
      <name val="Calibri"/>
      <family val="2"/>
      <charset val="238"/>
      <scheme val="minor"/>
    </font>
    <font>
      <sz val="8"/>
      <color rgb="FF00B050"/>
      <name val="Calibri"/>
      <family val="2"/>
      <charset val="238"/>
      <scheme val="minor"/>
    </font>
    <font>
      <sz val="16"/>
      <color theme="9" tint="-0.249977111117893"/>
      <name val="Calibri"/>
      <family val="2"/>
      <charset val="238"/>
      <scheme val="minor"/>
    </font>
    <font>
      <b/>
      <sz val="14"/>
      <color theme="1"/>
      <name val="Calibri"/>
      <family val="2"/>
      <charset val="238"/>
      <scheme val="minor"/>
    </font>
    <font>
      <sz val="11"/>
      <color rgb="FF000000"/>
      <name val="Segoe UI"/>
      <family val="2"/>
      <charset val="238"/>
    </font>
    <font>
      <b/>
      <sz val="22"/>
      <color indexed="8"/>
      <name val="Times New Roman CE"/>
      <family val="1"/>
      <charset val="238"/>
    </font>
    <font>
      <b/>
      <sz val="16"/>
      <name val="Times New Roman CE"/>
      <family val="1"/>
      <charset val="238"/>
    </font>
    <font>
      <sz val="18"/>
      <name val="Times New Roman CE"/>
      <family val="1"/>
      <charset val="238"/>
    </font>
    <font>
      <sz val="16"/>
      <name val="Times New Roman CE"/>
      <family val="1"/>
      <charset val="238"/>
    </font>
    <font>
      <b/>
      <sz val="12"/>
      <color indexed="8"/>
      <name val="Times New Roman CE"/>
      <family val="1"/>
      <charset val="238"/>
    </font>
    <font>
      <b/>
      <sz val="11"/>
      <color theme="1"/>
      <name val="Calibri"/>
      <family val="2"/>
      <charset val="238"/>
      <scheme val="minor"/>
    </font>
    <font>
      <sz val="11"/>
      <color rgb="FF222222"/>
      <name val="Arial"/>
      <family val="2"/>
      <charset val="238"/>
    </font>
    <font>
      <i/>
      <sz val="10"/>
      <color theme="1"/>
      <name val="Times New Roman"/>
      <family val="1"/>
      <charset val="238"/>
    </font>
    <font>
      <sz val="10"/>
      <color theme="1"/>
      <name val="Times New Roman"/>
      <family val="1"/>
      <charset val="238"/>
    </font>
    <font>
      <b/>
      <sz val="10"/>
      <color rgb="FF0070C0"/>
      <name val="Times New Roman"/>
      <family val="1"/>
      <charset val="238"/>
    </font>
    <font>
      <b/>
      <sz val="10"/>
      <color rgb="FFFF0000"/>
      <name val="Times New Roman"/>
      <family val="1"/>
      <charset val="238"/>
    </font>
    <font>
      <b/>
      <sz val="10"/>
      <color rgb="FF00B050"/>
      <name val="Times New Roman"/>
      <family val="1"/>
      <charset val="238"/>
    </font>
    <font>
      <i/>
      <sz val="10"/>
      <color rgb="FF00B050"/>
      <name val="Times New Roman"/>
      <family val="1"/>
      <charset val="238"/>
    </font>
    <font>
      <b/>
      <sz val="10"/>
      <color indexed="12"/>
      <name val="Times New Roman"/>
      <family val="1"/>
      <charset val="238"/>
    </font>
    <font>
      <b/>
      <i/>
      <sz val="10"/>
      <color rgb="FF00B050"/>
      <name val="Times New Roman"/>
      <family val="1"/>
      <charset val="238"/>
    </font>
    <font>
      <b/>
      <i/>
      <sz val="10"/>
      <color rgb="FFFF0000"/>
      <name val="Times New Roman"/>
      <family val="1"/>
      <charset val="238"/>
    </font>
    <font>
      <b/>
      <i/>
      <sz val="10"/>
      <color indexed="17"/>
      <name val="Times New Roman"/>
      <family val="1"/>
      <charset val="238"/>
    </font>
    <font>
      <b/>
      <i/>
      <sz val="10"/>
      <color rgb="FF33CC33"/>
      <name val="Times New Roman"/>
      <family val="1"/>
      <charset val="238"/>
    </font>
    <font>
      <sz val="10"/>
      <color rgb="FF33CC33"/>
      <name val="Times New Roman"/>
      <family val="1"/>
      <charset val="238"/>
    </font>
    <font>
      <b/>
      <i/>
      <sz val="10"/>
      <color rgb="FF0070C0"/>
      <name val="Times New Roman"/>
      <family val="1"/>
      <charset val="238"/>
    </font>
    <font>
      <u/>
      <sz val="10"/>
      <color theme="10"/>
      <name val="Times New Roman"/>
      <family val="1"/>
      <charset val="238"/>
    </font>
    <font>
      <i/>
      <sz val="10"/>
      <color rgb="FF000000"/>
      <name val="Times New Roman"/>
      <family val="1"/>
      <charset val="238"/>
    </font>
    <font>
      <b/>
      <sz val="10"/>
      <color rgb="FF33CC33"/>
      <name val="Times New Roman"/>
      <family val="1"/>
      <charset val="238"/>
    </font>
    <font>
      <sz val="10"/>
      <color rgb="FF000000"/>
      <name val="Times New Roman CE"/>
      <charset val="238"/>
    </font>
    <font>
      <sz val="11"/>
      <color indexed="12"/>
      <name val="Arial"/>
      <family val="2"/>
    </font>
    <font>
      <sz val="12"/>
      <color rgb="FF0000FF"/>
      <name val="Arial"/>
      <family val="2"/>
      <charset val="238"/>
    </font>
    <font>
      <sz val="11"/>
      <color theme="1"/>
      <name val="Calibri"/>
      <family val="2"/>
      <charset val="238"/>
    </font>
    <font>
      <i/>
      <sz val="10"/>
      <color rgb="FF000000"/>
      <name val="Times New Roman CE"/>
      <family val="1"/>
      <charset val="238"/>
    </font>
    <font>
      <b/>
      <sz val="10"/>
      <color rgb="FF000000"/>
      <name val="Times New Roman"/>
      <family val="1"/>
      <charset val="238"/>
    </font>
    <font>
      <sz val="10"/>
      <color rgb="FF000000"/>
      <name val="Times New Roman"/>
      <family val="1"/>
    </font>
    <font>
      <b/>
      <i/>
      <sz val="10"/>
      <color rgb="FF000000"/>
      <name val="Times New Roman"/>
      <family val="1"/>
      <charset val="238"/>
    </font>
    <font>
      <sz val="11"/>
      <color rgb="FFFF0000"/>
      <name val="Calibri"/>
      <family val="2"/>
      <charset val="238"/>
      <scheme val="minor"/>
    </font>
    <font>
      <b/>
      <sz val="11"/>
      <name val="Calibri"/>
      <family val="2"/>
      <charset val="238"/>
      <scheme val="minor"/>
    </font>
    <font>
      <sz val="11"/>
      <color rgb="FF00B050"/>
      <name val="Calibri"/>
      <family val="2"/>
      <charset val="238"/>
      <scheme val="minor"/>
    </font>
    <font>
      <sz val="12"/>
      <name val="Times New Roman"/>
      <family val="1"/>
      <charset val="238"/>
    </font>
    <font>
      <u/>
      <sz val="11"/>
      <color rgb="FF0070C0"/>
      <name val="Calibri"/>
      <family val="2"/>
      <charset val="238"/>
    </font>
    <font>
      <u/>
      <sz val="11"/>
      <color indexed="8"/>
      <name val="Calibri"/>
      <family val="2"/>
      <charset val="238"/>
    </font>
    <font>
      <u/>
      <sz val="10"/>
      <color rgb="FF000000"/>
      <name val="Times New Roman"/>
      <family val="1"/>
      <charset val="238"/>
    </font>
    <font>
      <sz val="11"/>
      <color rgb="FF000000"/>
      <name val="Calibri"/>
      <family val="2"/>
      <charset val="238"/>
    </font>
  </fonts>
  <fills count="16">
    <fill>
      <patternFill patternType="none"/>
    </fill>
    <fill>
      <patternFill patternType="gray125"/>
    </fill>
    <fill>
      <patternFill patternType="solid">
        <fgColor indexed="9"/>
        <bgColor indexed="64"/>
      </patternFill>
    </fill>
    <fill>
      <patternFill patternType="solid">
        <fgColor rgb="FF99CCFF"/>
        <bgColor rgb="FF000000"/>
      </patternFill>
    </fill>
    <fill>
      <patternFill patternType="solid">
        <fgColor indexed="44"/>
        <bgColor indexed="64"/>
      </patternFill>
    </fill>
    <fill>
      <patternFill patternType="solid">
        <fgColor rgb="FFCCFFCC"/>
        <bgColor rgb="FF000000"/>
      </patternFill>
    </fill>
    <fill>
      <patternFill patternType="solid">
        <fgColor indexed="11"/>
        <bgColor indexed="64"/>
      </patternFill>
    </fill>
    <fill>
      <patternFill patternType="solid">
        <fgColor indexed="42"/>
        <bgColor indexed="64"/>
      </patternFill>
    </fill>
    <fill>
      <patternFill patternType="solid">
        <fgColor indexed="31"/>
        <bgColor indexed="64"/>
      </patternFill>
    </fill>
    <fill>
      <patternFill patternType="solid">
        <fgColor indexed="13"/>
        <bgColor indexed="64"/>
      </patternFill>
    </fill>
    <fill>
      <patternFill patternType="solid">
        <fgColor rgb="FFFFFF00"/>
        <bgColor indexed="64"/>
      </patternFill>
    </fill>
    <fill>
      <patternFill patternType="solid">
        <fgColor rgb="FFCCFFCC"/>
        <bgColor indexed="64"/>
      </patternFill>
    </fill>
    <fill>
      <patternFill patternType="solid">
        <fgColor theme="9" tint="0.39997558519241921"/>
        <bgColor indexed="64"/>
      </patternFill>
    </fill>
    <fill>
      <patternFill patternType="solid">
        <fgColor rgb="FF99CCFF"/>
        <bgColor indexed="64"/>
      </patternFill>
    </fill>
    <fill>
      <patternFill patternType="solid">
        <fgColor rgb="FFFF0000"/>
        <bgColor indexed="64"/>
      </patternFill>
    </fill>
    <fill>
      <patternFill patternType="solid">
        <fgColor theme="0" tint="-0.14999847407452621"/>
        <bgColor indexed="64"/>
      </patternFill>
    </fill>
  </fills>
  <borders count="4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indexed="8"/>
      </bottom>
      <diagonal/>
    </border>
    <border>
      <left/>
      <right/>
      <top style="thin">
        <color indexed="8"/>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8"/>
      </left>
      <right style="thick">
        <color indexed="8"/>
      </right>
      <top style="thick">
        <color indexed="8"/>
      </top>
      <bottom style="thick">
        <color indexed="8"/>
      </bottom>
      <diagonal/>
    </border>
    <border>
      <left style="medium">
        <color indexed="8"/>
      </left>
      <right style="medium">
        <color indexed="8"/>
      </right>
      <top style="medium">
        <color indexed="8"/>
      </top>
      <bottom style="medium">
        <color indexed="8"/>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auto="1"/>
      </left>
      <right style="medium">
        <color auto="1"/>
      </right>
      <top style="medium">
        <color auto="1"/>
      </top>
      <bottom style="thick">
        <color auto="1"/>
      </bottom>
      <diagonal/>
    </border>
  </borders>
  <cellStyleXfs count="18">
    <xf numFmtId="0" fontId="0" fillId="0" borderId="0"/>
    <xf numFmtId="0" fontId="2" fillId="0" borderId="0"/>
    <xf numFmtId="0" fontId="3" fillId="0" borderId="0"/>
    <xf numFmtId="0" fontId="43" fillId="0" borderId="0"/>
    <xf numFmtId="0" fontId="43" fillId="0" borderId="0"/>
    <xf numFmtId="0" fontId="43" fillId="0" borderId="0"/>
    <xf numFmtId="0" fontId="50" fillId="0" borderId="0"/>
    <xf numFmtId="43" fontId="2" fillId="0" borderId="0" applyFont="0" applyFill="0" applyBorder="0" applyAlignment="0" applyProtection="0"/>
    <xf numFmtId="0" fontId="43" fillId="0" borderId="0"/>
    <xf numFmtId="0" fontId="43" fillId="0" borderId="0"/>
    <xf numFmtId="9" fontId="2" fillId="0" borderId="0" applyFont="0" applyFill="0" applyBorder="0" applyAlignment="0" applyProtection="0"/>
    <xf numFmtId="0" fontId="2" fillId="0" borderId="0"/>
    <xf numFmtId="0" fontId="2" fillId="0" borderId="0"/>
    <xf numFmtId="0" fontId="1" fillId="0" borderId="0"/>
    <xf numFmtId="0" fontId="85" fillId="0" borderId="0" applyNumberFormat="0" applyFill="0" applyBorder="0" applyAlignment="0" applyProtection="0"/>
    <xf numFmtId="0" fontId="2" fillId="0" borderId="0"/>
    <xf numFmtId="9" fontId="1" fillId="0" borderId="0" applyFont="0" applyFill="0" applyBorder="0" applyAlignment="0" applyProtection="0"/>
    <xf numFmtId="43" fontId="1" fillId="0" borderId="0" applyFont="0" applyFill="0" applyBorder="0" applyAlignment="0" applyProtection="0"/>
  </cellStyleXfs>
  <cellXfs count="1520">
    <xf numFmtId="0" fontId="0" fillId="0" borderId="0" xfId="0"/>
    <xf numFmtId="166" fontId="12" fillId="3" borderId="0" xfId="2" applyNumberFormat="1" applyFont="1" applyFill="1" applyAlignment="1" applyProtection="1">
      <alignment vertical="center" wrapText="1"/>
      <protection locked="0"/>
    </xf>
    <xf numFmtId="166" fontId="14" fillId="3" borderId="0" xfId="2" applyNumberFormat="1" applyFont="1" applyFill="1" applyAlignment="1" applyProtection="1">
      <alignment vertical="center" wrapText="1"/>
      <protection locked="0"/>
    </xf>
    <xf numFmtId="166" fontId="14" fillId="3" borderId="1" xfId="2" applyNumberFormat="1" applyFont="1" applyFill="1" applyBorder="1" applyAlignment="1" applyProtection="1">
      <alignment vertical="center" wrapText="1"/>
      <protection locked="0"/>
    </xf>
    <xf numFmtId="166" fontId="14" fillId="3" borderId="2" xfId="2" applyNumberFormat="1" applyFont="1" applyFill="1" applyBorder="1" applyAlignment="1" applyProtection="1">
      <alignment vertical="center" wrapText="1"/>
      <protection locked="0"/>
    </xf>
    <xf numFmtId="166" fontId="14" fillId="5" borderId="0" xfId="2" applyNumberFormat="1" applyFont="1" applyFill="1" applyAlignment="1" applyProtection="1">
      <alignment vertical="center" wrapText="1"/>
      <protection locked="0"/>
    </xf>
    <xf numFmtId="166" fontId="12" fillId="3" borderId="3" xfId="2" applyNumberFormat="1" applyFont="1" applyFill="1" applyBorder="1" applyAlignment="1" applyProtection="1">
      <alignment vertical="center" wrapText="1"/>
      <protection locked="0"/>
    </xf>
    <xf numFmtId="166" fontId="14" fillId="3" borderId="0" xfId="2" applyNumberFormat="1" applyFont="1" applyFill="1" applyAlignment="1" applyProtection="1">
      <alignment vertical="center"/>
      <protection locked="0"/>
    </xf>
    <xf numFmtId="0" fontId="3" fillId="0" borderId="0" xfId="2" applyProtection="1">
      <protection locked="0"/>
    </xf>
    <xf numFmtId="170" fontId="38" fillId="0" borderId="0" xfId="2" applyNumberFormat="1" applyFont="1" applyProtection="1">
      <protection locked="0"/>
    </xf>
    <xf numFmtId="172" fontId="80" fillId="7" borderId="0" xfId="1" applyNumberFormat="1" applyFont="1" applyFill="1" applyProtection="1">
      <protection locked="0"/>
    </xf>
    <xf numFmtId="14" fontId="80" fillId="7" borderId="0" xfId="1" applyNumberFormat="1" applyFont="1" applyFill="1" applyProtection="1">
      <protection locked="0"/>
    </xf>
    <xf numFmtId="14" fontId="81" fillId="7" borderId="0" xfId="1" applyNumberFormat="1" applyFont="1" applyFill="1" applyAlignment="1" applyProtection="1">
      <alignment wrapText="1"/>
      <protection locked="0"/>
    </xf>
    <xf numFmtId="0" fontId="2" fillId="7" borderId="0" xfId="1" applyFill="1" applyAlignment="1" applyProtection="1">
      <alignment horizontal="right"/>
      <protection locked="0"/>
    </xf>
    <xf numFmtId="9" fontId="80" fillId="7" borderId="0" xfId="10" applyFont="1" applyFill="1" applyAlignment="1" applyProtection="1">
      <alignment horizontal="left"/>
      <protection locked="0"/>
    </xf>
    <xf numFmtId="0" fontId="80" fillId="7" borderId="0" xfId="10" applyNumberFormat="1" applyFont="1" applyFill="1" applyAlignment="1" applyProtection="1">
      <alignment horizontal="left"/>
      <protection locked="0"/>
    </xf>
    <xf numFmtId="49" fontId="80" fillId="7" borderId="0" xfId="10" quotePrefix="1" applyNumberFormat="1" applyFont="1" applyFill="1" applyAlignment="1" applyProtection="1">
      <alignment horizontal="left"/>
      <protection locked="0"/>
    </xf>
    <xf numFmtId="9" fontId="80" fillId="7" borderId="0" xfId="10" applyFont="1" applyFill="1" applyAlignment="1" applyProtection="1">
      <alignment horizontal="right"/>
      <protection locked="0"/>
    </xf>
    <xf numFmtId="4" fontId="0" fillId="0" borderId="0" xfId="0" applyNumberFormat="1"/>
    <xf numFmtId="14" fontId="0" fillId="0" borderId="0" xfId="0" applyNumberFormat="1"/>
    <xf numFmtId="0" fontId="0" fillId="0" borderId="0" xfId="0" quotePrefix="1"/>
    <xf numFmtId="0" fontId="0" fillId="10" borderId="0" xfId="0" applyFill="1"/>
    <xf numFmtId="49" fontId="0" fillId="0" borderId="0" xfId="0" applyNumberFormat="1"/>
    <xf numFmtId="0" fontId="86" fillId="0" borderId="0" xfId="0" applyFont="1"/>
    <xf numFmtId="49" fontId="0" fillId="0" borderId="0" xfId="0" quotePrefix="1" applyNumberFormat="1"/>
    <xf numFmtId="0" fontId="88" fillId="0" borderId="0" xfId="13" applyFont="1"/>
    <xf numFmtId="0" fontId="2" fillId="0" borderId="0" xfId="1"/>
    <xf numFmtId="0" fontId="2" fillId="7" borderId="12" xfId="1" applyFill="1" applyBorder="1" applyAlignment="1" applyProtection="1">
      <alignment horizontal="left"/>
      <protection locked="0"/>
    </xf>
    <xf numFmtId="0" fontId="101" fillId="0" borderId="0" xfId="0" applyFont="1" applyAlignment="1" applyProtection="1">
      <alignment wrapText="1"/>
      <protection hidden="1"/>
    </xf>
    <xf numFmtId="0" fontId="28" fillId="0" borderId="0" xfId="0" applyFont="1" applyAlignment="1" applyProtection="1">
      <alignment horizontal="left" vertical="top"/>
      <protection hidden="1"/>
    </xf>
    <xf numFmtId="0" fontId="15" fillId="0" borderId="0" xfId="0" applyFont="1" applyAlignment="1" applyProtection="1">
      <alignment vertical="top" wrapText="1"/>
      <protection hidden="1"/>
    </xf>
    <xf numFmtId="49" fontId="28" fillId="0" borderId="0" xfId="0" applyNumberFormat="1" applyFont="1" applyAlignment="1" applyProtection="1">
      <alignment vertical="top" wrapText="1"/>
      <protection hidden="1"/>
    </xf>
    <xf numFmtId="49" fontId="101" fillId="0" borderId="0" xfId="0" applyNumberFormat="1" applyFont="1" applyAlignment="1" applyProtection="1">
      <alignment vertical="top" wrapText="1"/>
      <protection hidden="1"/>
    </xf>
    <xf numFmtId="49" fontId="15" fillId="0" borderId="0" xfId="0" applyNumberFormat="1" applyFont="1" applyAlignment="1" applyProtection="1">
      <alignment vertical="top" wrapText="1"/>
      <protection hidden="1"/>
    </xf>
    <xf numFmtId="49" fontId="101" fillId="0" borderId="0" xfId="0" applyNumberFormat="1" applyFont="1" applyProtection="1">
      <protection hidden="1"/>
    </xf>
    <xf numFmtId="0" fontId="79" fillId="7" borderId="0" xfId="1" quotePrefix="1" applyFont="1" applyFill="1" applyProtection="1">
      <protection locked="0"/>
    </xf>
    <xf numFmtId="0" fontId="106" fillId="0" borderId="0" xfId="0" applyFont="1" applyAlignment="1">
      <alignment horizontal="right" vertical="center"/>
    </xf>
    <xf numFmtId="0" fontId="106" fillId="0" borderId="0" xfId="0" applyFont="1" applyAlignment="1">
      <alignment vertical="center"/>
    </xf>
    <xf numFmtId="4" fontId="106" fillId="0" borderId="0" xfId="0" applyNumberFormat="1" applyFont="1" applyAlignment="1">
      <alignment horizontal="center" vertical="center"/>
    </xf>
    <xf numFmtId="4" fontId="108" fillId="0" borderId="0" xfId="0" applyNumberFormat="1" applyFont="1" applyAlignment="1">
      <alignment vertical="center"/>
    </xf>
    <xf numFmtId="0" fontId="109" fillId="0" borderId="0" xfId="0" applyFont="1"/>
    <xf numFmtId="4" fontId="109" fillId="0" borderId="0" xfId="0" applyNumberFormat="1" applyFont="1"/>
    <xf numFmtId="4" fontId="105" fillId="0" borderId="0" xfId="0" applyNumberFormat="1" applyFont="1"/>
    <xf numFmtId="0" fontId="110" fillId="0" borderId="0" xfId="0" applyFont="1"/>
    <xf numFmtId="0" fontId="2" fillId="13" borderId="12" xfId="1" applyFill="1" applyBorder="1" applyAlignment="1" applyProtection="1">
      <alignment horizontal="left"/>
      <protection locked="0"/>
    </xf>
    <xf numFmtId="0" fontId="80" fillId="13" borderId="0" xfId="10" applyNumberFormat="1" applyFont="1" applyFill="1" applyAlignment="1" applyProtection="1">
      <alignment horizontal="left"/>
      <protection locked="0"/>
    </xf>
    <xf numFmtId="0" fontId="80" fillId="13" borderId="0" xfId="10" quotePrefix="1" applyNumberFormat="1" applyFont="1" applyFill="1" applyAlignment="1" applyProtection="1">
      <alignment horizontal="left"/>
      <protection locked="0"/>
    </xf>
    <xf numFmtId="0" fontId="31" fillId="0" borderId="0" xfId="1" applyFont="1"/>
    <xf numFmtId="0" fontId="0" fillId="0" borderId="11" xfId="0" applyBorder="1"/>
    <xf numFmtId="0" fontId="0" fillId="10" borderId="11" xfId="0" applyFill="1" applyBorder="1"/>
    <xf numFmtId="176" fontId="2" fillId="0" borderId="0" xfId="1" applyNumberFormat="1"/>
    <xf numFmtId="0" fontId="2" fillId="0" borderId="0" xfId="1" applyAlignment="1">
      <alignment horizontal="right"/>
    </xf>
    <xf numFmtId="0" fontId="1" fillId="0" borderId="0" xfId="13"/>
    <xf numFmtId="0" fontId="5" fillId="0" borderId="0" xfId="2" applyFont="1" applyAlignment="1">
      <alignment vertical="top" wrapText="1"/>
    </xf>
    <xf numFmtId="0" fontId="8" fillId="0" borderId="0" xfId="2" applyFont="1" applyAlignment="1">
      <alignment horizontal="center"/>
    </xf>
    <xf numFmtId="0" fontId="5" fillId="0" borderId="0" xfId="2" applyFont="1"/>
    <xf numFmtId="0" fontId="3" fillId="0" borderId="0" xfId="2"/>
    <xf numFmtId="0" fontId="9" fillId="0" borderId="0" xfId="2" applyFont="1" applyAlignment="1">
      <alignment wrapText="1"/>
    </xf>
    <xf numFmtId="0" fontId="9" fillId="0" borderId="0" xfId="2" applyFont="1" applyAlignment="1">
      <alignment vertical="top" wrapText="1"/>
    </xf>
    <xf numFmtId="0" fontId="8" fillId="6" borderId="0" xfId="2" applyFont="1" applyFill="1" applyAlignment="1">
      <alignment horizontal="left"/>
    </xf>
    <xf numFmtId="164" fontId="5" fillId="0" borderId="0" xfId="2" applyNumberFormat="1" applyFont="1" applyAlignment="1">
      <alignment vertical="center"/>
    </xf>
    <xf numFmtId="164" fontId="10" fillId="0" borderId="0" xfId="2" applyNumberFormat="1" applyFont="1" applyAlignment="1">
      <alignment horizontal="right" vertical="center" wrapText="1"/>
    </xf>
    <xf numFmtId="166" fontId="11" fillId="0" borderId="0" xfId="2" applyNumberFormat="1" applyFont="1" applyAlignment="1">
      <alignment vertical="center"/>
    </xf>
    <xf numFmtId="166" fontId="14" fillId="0" borderId="0" xfId="2" applyNumberFormat="1" applyFont="1" applyAlignment="1">
      <alignment vertical="center" wrapText="1"/>
    </xf>
    <xf numFmtId="166" fontId="16" fillId="0" borderId="0" xfId="2" applyNumberFormat="1" applyFont="1" applyAlignment="1">
      <alignment vertical="center" wrapText="1"/>
    </xf>
    <xf numFmtId="166" fontId="17" fillId="0" borderId="0" xfId="2" applyNumberFormat="1" applyFont="1" applyAlignment="1">
      <alignment vertical="center"/>
    </xf>
    <xf numFmtId="166" fontId="19" fillId="0" borderId="0" xfId="2" applyNumberFormat="1" applyFont="1" applyAlignment="1">
      <alignment vertical="center" wrapText="1"/>
    </xf>
    <xf numFmtId="164" fontId="21" fillId="6" borderId="0" xfId="2" applyNumberFormat="1" applyFont="1" applyFill="1" applyAlignment="1">
      <alignment vertical="center"/>
    </xf>
    <xf numFmtId="164" fontId="9" fillId="0" borderId="0" xfId="2" applyNumberFormat="1" applyFont="1" applyAlignment="1">
      <alignment vertical="center"/>
    </xf>
    <xf numFmtId="166" fontId="9" fillId="5" borderId="0" xfId="2" applyNumberFormat="1" applyFont="1" applyFill="1" applyAlignment="1" applyProtection="1">
      <alignment vertical="center" wrapText="1"/>
      <protection locked="0"/>
    </xf>
    <xf numFmtId="0" fontId="111" fillId="0" borderId="0" xfId="1" applyFont="1" applyAlignment="1" applyProtection="1">
      <alignment horizontal="left" wrapText="1"/>
      <protection locked="0"/>
    </xf>
    <xf numFmtId="0" fontId="5" fillId="0" borderId="0" xfId="1" applyFont="1"/>
    <xf numFmtId="0" fontId="4" fillId="0" borderId="0" xfId="1" applyFont="1" applyAlignment="1" applyProtection="1">
      <alignment horizontal="left"/>
      <protection locked="0"/>
    </xf>
    <xf numFmtId="0" fontId="112" fillId="0" borderId="0" xfId="1" applyFont="1" applyAlignment="1" applyProtection="1">
      <alignment horizontal="left"/>
      <protection locked="0"/>
    </xf>
    <xf numFmtId="0" fontId="113" fillId="0" borderId="0" xfId="1" applyFont="1"/>
    <xf numFmtId="0" fontId="114" fillId="0" borderId="0" xfId="1" applyFont="1" applyAlignment="1" applyProtection="1">
      <alignment horizontal="left"/>
      <protection locked="0"/>
    </xf>
    <xf numFmtId="0" fontId="111" fillId="0" borderId="0" xfId="1" applyFont="1" applyAlignment="1">
      <alignment horizontal="left"/>
    </xf>
    <xf numFmtId="0" fontId="115" fillId="0" borderId="0" xfId="1" applyFont="1"/>
    <xf numFmtId="0" fontId="112" fillId="0" borderId="0" xfId="1" applyFont="1"/>
    <xf numFmtId="0" fontId="80" fillId="11" borderId="0" xfId="10" applyNumberFormat="1" applyFont="1" applyFill="1" applyAlignment="1" applyProtection="1">
      <alignment horizontal="left"/>
      <protection locked="0"/>
    </xf>
    <xf numFmtId="178" fontId="105" fillId="0" borderId="0" xfId="0" applyNumberFormat="1" applyFont="1" applyAlignment="1">
      <alignment vertical="center"/>
    </xf>
    <xf numFmtId="166" fontId="14" fillId="5" borderId="1" xfId="2" applyNumberFormat="1" applyFont="1" applyFill="1" applyBorder="1" applyAlignment="1" applyProtection="1">
      <alignment vertical="center" wrapText="1"/>
      <protection locked="0"/>
    </xf>
    <xf numFmtId="166" fontId="9" fillId="11" borderId="0" xfId="2" applyNumberFormat="1" applyFont="1" applyFill="1" applyAlignment="1" applyProtection="1">
      <alignment vertical="center" wrapText="1"/>
      <protection locked="0"/>
    </xf>
    <xf numFmtId="166" fontId="21" fillId="11" borderId="0" xfId="2" applyNumberFormat="1" applyFont="1" applyFill="1" applyAlignment="1" applyProtection="1">
      <alignment vertical="center" wrapText="1"/>
      <protection locked="0"/>
    </xf>
    <xf numFmtId="166" fontId="21" fillId="11" borderId="0" xfId="2" applyNumberFormat="1" applyFont="1" applyFill="1" applyAlignment="1" applyProtection="1">
      <alignment wrapText="1"/>
      <protection locked="0"/>
    </xf>
    <xf numFmtId="0" fontId="2" fillId="0" borderId="0" xfId="1" applyProtection="1">
      <protection locked="0"/>
    </xf>
    <xf numFmtId="166" fontId="9" fillId="13" borderId="2" xfId="2" applyNumberFormat="1" applyFont="1" applyFill="1" applyBorder="1" applyAlignment="1" applyProtection="1">
      <alignment vertical="center" wrapText="1"/>
      <protection locked="0"/>
    </xf>
    <xf numFmtId="166" fontId="9" fillId="13" borderId="0" xfId="2" applyNumberFormat="1" applyFont="1" applyFill="1" applyAlignment="1" applyProtection="1">
      <alignment vertical="center" wrapText="1"/>
      <protection locked="0"/>
    </xf>
    <xf numFmtId="166" fontId="9" fillId="13" borderId="4" xfId="2" applyNumberFormat="1" applyFont="1" applyFill="1" applyBorder="1" applyAlignment="1" applyProtection="1">
      <alignment vertical="center" wrapText="1"/>
      <protection locked="0"/>
    </xf>
    <xf numFmtId="166" fontId="21" fillId="13" borderId="0" xfId="2" applyNumberFormat="1" applyFont="1" applyFill="1" applyAlignment="1" applyProtection="1">
      <alignment vertical="center" wrapText="1"/>
      <protection locked="0"/>
    </xf>
    <xf numFmtId="166" fontId="21" fillId="13" borderId="2" xfId="2" applyNumberFormat="1" applyFont="1" applyFill="1" applyBorder="1" applyAlignment="1" applyProtection="1">
      <alignment vertical="center" wrapText="1"/>
      <protection locked="0"/>
    </xf>
    <xf numFmtId="166" fontId="21" fillId="13" borderId="4" xfId="2" applyNumberFormat="1" applyFont="1" applyFill="1" applyBorder="1" applyAlignment="1" applyProtection="1">
      <alignment vertical="center" wrapText="1"/>
      <protection locked="0"/>
    </xf>
    <xf numFmtId="166" fontId="21" fillId="13" borderId="3" xfId="2" applyNumberFormat="1" applyFont="1" applyFill="1" applyBorder="1" applyAlignment="1" applyProtection="1">
      <alignment vertical="center" wrapText="1"/>
      <protection locked="0"/>
    </xf>
    <xf numFmtId="0" fontId="9" fillId="0" borderId="0" xfId="2" applyFont="1"/>
    <xf numFmtId="0" fontId="8" fillId="0" borderId="0" xfId="2" applyFont="1"/>
    <xf numFmtId="0" fontId="2" fillId="0" borderId="0" xfId="1" applyAlignment="1">
      <alignment vertical="top" wrapText="1"/>
    </xf>
    <xf numFmtId="0" fontId="9" fillId="0" borderId="0" xfId="2" applyFont="1" applyAlignment="1">
      <alignment vertical="top"/>
    </xf>
    <xf numFmtId="0" fontId="9" fillId="0" borderId="0" xfId="2" applyFont="1" applyAlignment="1">
      <alignment horizontal="justify" wrapText="1"/>
    </xf>
    <xf numFmtId="0" fontId="9" fillId="0" borderId="0" xfId="2" applyFont="1" applyAlignment="1">
      <alignment horizontal="justify" vertical="top" wrapText="1"/>
    </xf>
    <xf numFmtId="0" fontId="9" fillId="0" borderId="0" xfId="2" applyFont="1" applyAlignment="1">
      <alignment horizontal="justify" vertical="top"/>
    </xf>
    <xf numFmtId="0" fontId="9" fillId="0" borderId="0" xfId="2" applyFont="1" applyAlignment="1">
      <alignment horizontal="justify"/>
    </xf>
    <xf numFmtId="0" fontId="91" fillId="11" borderId="0" xfId="2" applyFont="1" applyFill="1"/>
    <xf numFmtId="0" fontId="30" fillId="0" borderId="0" xfId="0" applyFont="1"/>
    <xf numFmtId="0" fontId="33" fillId="0" borderId="0" xfId="2" applyFont="1"/>
    <xf numFmtId="0" fontId="41" fillId="0" borderId="0" xfId="2" applyFont="1"/>
    <xf numFmtId="0" fontId="97" fillId="7" borderId="0" xfId="2" applyFont="1" applyFill="1"/>
    <xf numFmtId="0" fontId="2" fillId="0" borderId="0" xfId="2" applyFont="1"/>
    <xf numFmtId="0" fontId="33" fillId="7" borderId="0" xfId="2" applyFont="1" applyFill="1"/>
    <xf numFmtId="0" fontId="8" fillId="0" borderId="0" xfId="2" applyFont="1" applyAlignment="1">
      <alignment horizontal="left"/>
    </xf>
    <xf numFmtId="0" fontId="9" fillId="10" borderId="0" xfId="2" applyFont="1" applyFill="1" applyAlignment="1">
      <alignment horizontal="justify" vertical="top"/>
    </xf>
    <xf numFmtId="164" fontId="24" fillId="0" borderId="0" xfId="2" applyNumberFormat="1" applyFont="1" applyAlignment="1">
      <alignment vertical="center"/>
    </xf>
    <xf numFmtId="164" fontId="21" fillId="0" borderId="0" xfId="2" applyNumberFormat="1" applyFont="1" applyAlignment="1">
      <alignment vertical="center"/>
    </xf>
    <xf numFmtId="166" fontId="27" fillId="0" borderId="0" xfId="2" applyNumberFormat="1" applyFont="1" applyAlignment="1">
      <alignment vertical="center" wrapText="1"/>
    </xf>
    <xf numFmtId="164" fontId="21" fillId="0" borderId="0" xfId="2" applyNumberFormat="1" applyFont="1" applyAlignment="1">
      <alignment horizontal="centerContinuous" vertical="center" wrapText="1"/>
    </xf>
    <xf numFmtId="0" fontId="30" fillId="0" borderId="0" xfId="2" applyFont="1"/>
    <xf numFmtId="164" fontId="24" fillId="0" borderId="0" xfId="2" applyNumberFormat="1" applyFont="1" applyAlignment="1">
      <alignment vertical="center" wrapText="1"/>
    </xf>
    <xf numFmtId="164" fontId="21" fillId="6" borderId="0" xfId="2" applyNumberFormat="1" applyFont="1" applyFill="1" applyAlignment="1">
      <alignment vertical="center" wrapText="1"/>
    </xf>
    <xf numFmtId="4" fontId="6" fillId="2" borderId="0" xfId="2" applyNumberFormat="1" applyFont="1" applyFill="1"/>
    <xf numFmtId="0" fontId="5" fillId="2" borderId="0" xfId="2" applyFont="1" applyFill="1" applyAlignment="1">
      <alignment vertical="top" wrapText="1"/>
    </xf>
    <xf numFmtId="0" fontId="20" fillId="0" borderId="0" xfId="2" applyFont="1" applyAlignment="1">
      <alignment vertical="top"/>
    </xf>
    <xf numFmtId="0" fontId="20" fillId="0" borderId="0" xfId="2" applyFont="1" applyAlignment="1">
      <alignment horizontal="center" vertical="top" wrapText="1"/>
    </xf>
    <xf numFmtId="0" fontId="9" fillId="0" borderId="0" xfId="2" applyFont="1" applyAlignment="1">
      <alignment horizontal="center" vertical="top" wrapText="1"/>
    </xf>
    <xf numFmtId="164" fontId="21" fillId="0" borderId="0" xfId="2" applyNumberFormat="1" applyFont="1" applyAlignment="1">
      <alignment horizontal="center" vertical="center" wrapText="1"/>
    </xf>
    <xf numFmtId="0" fontId="8" fillId="6" borderId="0" xfId="2" applyFont="1" applyFill="1"/>
    <xf numFmtId="0" fontId="9" fillId="6" borderId="0" xfId="2" applyFont="1" applyFill="1" applyAlignment="1">
      <alignment vertical="top" wrapText="1"/>
    </xf>
    <xf numFmtId="0" fontId="4" fillId="0" borderId="0" xfId="2" applyFont="1"/>
    <xf numFmtId="0" fontId="5" fillId="0" borderId="0" xfId="2" applyFont="1" applyAlignment="1">
      <alignment horizontal="center"/>
    </xf>
    <xf numFmtId="164" fontId="32" fillId="0" borderId="0" xfId="2" applyNumberFormat="1" applyFont="1" applyAlignment="1">
      <alignment vertical="center"/>
    </xf>
    <xf numFmtId="164" fontId="33" fillId="0" borderId="0" xfId="2" applyNumberFormat="1" applyFont="1" applyAlignment="1">
      <alignment vertical="center"/>
    </xf>
    <xf numFmtId="164" fontId="33" fillId="0" borderId="0" xfId="2" applyNumberFormat="1" applyFont="1" applyAlignment="1">
      <alignment vertical="center" wrapText="1"/>
    </xf>
    <xf numFmtId="0" fontId="21" fillId="0" borderId="0" xfId="2" applyFont="1" applyAlignment="1">
      <alignment vertical="center" wrapText="1"/>
    </xf>
    <xf numFmtId="0" fontId="7" fillId="2" borderId="0" xfId="2" applyFont="1" applyFill="1"/>
    <xf numFmtId="0" fontId="13" fillId="0" borderId="0" xfId="2" applyFont="1"/>
    <xf numFmtId="0" fontId="9" fillId="0" borderId="0" xfId="2" applyFont="1" applyAlignment="1">
      <alignment horizontal="center"/>
    </xf>
    <xf numFmtId="0" fontId="25" fillId="0" borderId="0" xfId="2" applyFont="1" applyAlignment="1">
      <alignment vertical="top"/>
    </xf>
    <xf numFmtId="0" fontId="9" fillId="0" borderId="0" xfId="2" quotePrefix="1" applyFont="1" applyAlignment="1">
      <alignment horizontal="left" vertical="top" wrapText="1" indent="2"/>
    </xf>
    <xf numFmtId="0" fontId="15" fillId="0" borderId="0" xfId="2" applyFont="1" applyAlignment="1">
      <alignment horizontal="left" vertical="top" indent="1"/>
    </xf>
    <xf numFmtId="0" fontId="15" fillId="0" borderId="0" xfId="2" applyFont="1" applyAlignment="1">
      <alignment horizontal="left" vertical="top" indent="2"/>
    </xf>
    <xf numFmtId="0" fontId="15" fillId="0" borderId="0" xfId="2" applyFont="1" applyAlignment="1">
      <alignment horizontal="left" vertical="top" indent="3"/>
    </xf>
    <xf numFmtId="0" fontId="35" fillId="0" borderId="0" xfId="2" applyFont="1"/>
    <xf numFmtId="0" fontId="7" fillId="0" borderId="0" xfId="2" applyFont="1"/>
    <xf numFmtId="0" fontId="31" fillId="0" borderId="0" xfId="2" applyFont="1"/>
    <xf numFmtId="0" fontId="37" fillId="0" borderId="0" xfId="2" applyFont="1"/>
    <xf numFmtId="166" fontId="9" fillId="0" borderId="0" xfId="2" applyNumberFormat="1" applyFont="1" applyAlignment="1">
      <alignment vertical="center" wrapText="1"/>
    </xf>
    <xf numFmtId="0" fontId="25" fillId="0" borderId="0" xfId="2" applyFont="1" applyAlignment="1">
      <alignment vertical="top" wrapText="1"/>
    </xf>
    <xf numFmtId="166" fontId="33" fillId="0" borderId="0" xfId="2" applyNumberFormat="1" applyFont="1" applyAlignment="1">
      <alignment vertical="center" wrapText="1"/>
    </xf>
    <xf numFmtId="166" fontId="21" fillId="13" borderId="2" xfId="2" quotePrefix="1" applyNumberFormat="1" applyFont="1" applyFill="1" applyBorder="1" applyAlignment="1" applyProtection="1">
      <alignment vertical="center" wrapText="1"/>
      <protection locked="0"/>
    </xf>
    <xf numFmtId="166" fontId="21" fillId="0" borderId="0" xfId="2" applyNumberFormat="1" applyFont="1" applyAlignment="1">
      <alignment vertical="center" wrapText="1"/>
    </xf>
    <xf numFmtId="0" fontId="2" fillId="11" borderId="12" xfId="1" applyFill="1" applyBorder="1" applyAlignment="1" applyProtection="1">
      <alignment horizontal="left"/>
      <protection locked="0"/>
    </xf>
    <xf numFmtId="0" fontId="117" fillId="0" borderId="0" xfId="0" applyFont="1"/>
    <xf numFmtId="0" fontId="9" fillId="0" borderId="0" xfId="2" applyFont="1" applyAlignment="1">
      <alignment horizontal="right"/>
    </xf>
    <xf numFmtId="0" fontId="9" fillId="0" borderId="0" xfId="2" applyFont="1" applyAlignment="1">
      <alignment horizontal="left"/>
    </xf>
    <xf numFmtId="0" fontId="11" fillId="0" borderId="0" xfId="2" applyFont="1" applyAlignment="1">
      <alignment horizontal="left"/>
    </xf>
    <xf numFmtId="170" fontId="21" fillId="0" borderId="0" xfId="2" applyNumberFormat="1" applyFont="1"/>
    <xf numFmtId="0" fontId="18" fillId="0" borderId="0" xfId="1" applyFont="1" applyAlignment="1">
      <alignment horizontal="left"/>
    </xf>
    <xf numFmtId="0" fontId="18" fillId="0" borderId="0" xfId="1" applyFont="1" applyAlignment="1">
      <alignment wrapText="1"/>
    </xf>
    <xf numFmtId="170" fontId="21" fillId="0" borderId="0" xfId="2" applyNumberFormat="1" applyFont="1" applyAlignment="1">
      <alignment vertical="center"/>
    </xf>
    <xf numFmtId="0" fontId="38" fillId="0" borderId="0" xfId="2" applyFont="1" applyAlignment="1">
      <alignment horizontal="left"/>
    </xf>
    <xf numFmtId="0" fontId="2" fillId="0" borderId="0" xfId="1" applyAlignment="1">
      <alignment wrapText="1"/>
    </xf>
    <xf numFmtId="0" fontId="42" fillId="0" borderId="0" xfId="0" applyFont="1" applyAlignment="1" applyProtection="1">
      <alignment wrapText="1"/>
      <protection hidden="1"/>
    </xf>
    <xf numFmtId="0" fontId="36" fillId="0" borderId="0" xfId="2" applyFont="1"/>
    <xf numFmtId="0" fontId="8" fillId="0" borderId="0" xfId="2" applyFont="1" applyAlignment="1">
      <alignment horizontal="center" vertical="top" wrapText="1"/>
    </xf>
    <xf numFmtId="0" fontId="15" fillId="0" borderId="0" xfId="2" applyFont="1" applyAlignment="1">
      <alignment horizontal="left" vertical="top" wrapText="1" indent="2"/>
    </xf>
    <xf numFmtId="0" fontId="15" fillId="0" borderId="0" xfId="2" applyFont="1" applyAlignment="1">
      <alignment horizontal="left" vertical="top" indent="4"/>
    </xf>
    <xf numFmtId="0" fontId="29" fillId="0" borderId="0" xfId="2" applyFont="1"/>
    <xf numFmtId="0" fontId="9" fillId="6" borderId="0" xfId="2" applyFont="1" applyFill="1" applyAlignment="1">
      <alignment horizontal="left" vertical="top"/>
    </xf>
    <xf numFmtId="41" fontId="5" fillId="0" borderId="0" xfId="2" applyNumberFormat="1" applyFont="1" applyAlignment="1">
      <alignment vertical="center" wrapText="1"/>
    </xf>
    <xf numFmtId="168" fontId="10" fillId="0" borderId="0" xfId="2" applyNumberFormat="1" applyFont="1" applyAlignment="1">
      <alignment horizontal="right" vertical="center" wrapText="1"/>
    </xf>
    <xf numFmtId="166" fontId="21" fillId="0" borderId="0" xfId="2" applyNumberFormat="1" applyFont="1" applyAlignment="1">
      <alignment wrapText="1"/>
    </xf>
    <xf numFmtId="166" fontId="0" fillId="13" borderId="0" xfId="0" applyNumberFormat="1" applyFill="1" applyProtection="1">
      <protection locked="0"/>
    </xf>
    <xf numFmtId="170" fontId="9" fillId="0" borderId="0" xfId="2" applyNumberFormat="1" applyFont="1" applyAlignment="1">
      <alignment vertical="center"/>
    </xf>
    <xf numFmtId="0" fontId="48" fillId="0" borderId="0" xfId="2" applyFont="1" applyAlignment="1">
      <alignment horizontal="left"/>
    </xf>
    <xf numFmtId="0" fontId="98" fillId="0" borderId="0" xfId="2" applyFont="1"/>
    <xf numFmtId="0" fontId="48" fillId="0" borderId="0" xfId="2" applyFont="1" applyAlignment="1">
      <alignment vertical="top"/>
    </xf>
    <xf numFmtId="0" fontId="18" fillId="0" borderId="0" xfId="1" applyFont="1"/>
    <xf numFmtId="0" fontId="69" fillId="0" borderId="0" xfId="2" applyFont="1"/>
    <xf numFmtId="0" fontId="29" fillId="0" borderId="0" xfId="2" applyFont="1" applyAlignment="1">
      <alignment horizontal="center" wrapText="1"/>
    </xf>
    <xf numFmtId="0" fontId="99" fillId="0" borderId="0" xfId="2" applyFont="1" applyAlignment="1">
      <alignment horizontal="center" wrapText="1"/>
    </xf>
    <xf numFmtId="0" fontId="18" fillId="0" borderId="0" xfId="2" applyFont="1" applyAlignment="1">
      <alignment horizontal="center" wrapText="1"/>
    </xf>
    <xf numFmtId="0" fontId="18" fillId="0" borderId="0" xfId="2" applyFont="1" applyAlignment="1">
      <alignment horizontal="left" vertical="top" indent="1"/>
    </xf>
    <xf numFmtId="0" fontId="18" fillId="0" borderId="0" xfId="2" applyFont="1" applyAlignment="1">
      <alignment horizontal="left" vertical="top" wrapText="1" indent="1"/>
    </xf>
    <xf numFmtId="0" fontId="18" fillId="0" borderId="0" xfId="2" applyFont="1" applyAlignment="1">
      <alignment horizontal="left" wrapText="1" indent="1"/>
    </xf>
    <xf numFmtId="167" fontId="18" fillId="0" borderId="0" xfId="3" applyNumberFormat="1" applyFont="1" applyAlignment="1">
      <alignment horizontal="left" wrapText="1" indent="1"/>
    </xf>
    <xf numFmtId="0" fontId="38" fillId="0" borderId="0" xfId="2" applyFont="1" applyAlignment="1">
      <alignment vertical="center"/>
    </xf>
    <xf numFmtId="0" fontId="38" fillId="0" borderId="0" xfId="2" applyFont="1" applyAlignment="1">
      <alignment vertical="center" wrapText="1"/>
    </xf>
    <xf numFmtId="0" fontId="53" fillId="0" borderId="0" xfId="2" applyFont="1"/>
    <xf numFmtId="0" fontId="98" fillId="0" borderId="0" xfId="2" applyFont="1" applyAlignment="1">
      <alignment horizontal="center" wrapText="1"/>
    </xf>
    <xf numFmtId="0" fontId="78" fillId="0" borderId="0" xfId="2" applyFont="1" applyAlignment="1">
      <alignment horizontal="justify" wrapText="1"/>
    </xf>
    <xf numFmtId="170" fontId="18" fillId="0" borderId="0" xfId="2" applyNumberFormat="1" applyFont="1"/>
    <xf numFmtId="171" fontId="18" fillId="0" borderId="0" xfId="2" applyNumberFormat="1" applyFont="1"/>
    <xf numFmtId="167" fontId="18" fillId="0" borderId="0" xfId="4" applyNumberFormat="1" applyFont="1" applyAlignment="1">
      <alignment horizontal="left" wrapText="1" indent="1"/>
    </xf>
    <xf numFmtId="166" fontId="38" fillId="0" borderId="0" xfId="2" applyNumberFormat="1" applyFont="1" applyAlignment="1">
      <alignment vertical="center" wrapText="1"/>
    </xf>
    <xf numFmtId="166" fontId="38" fillId="0" borderId="0" xfId="2" applyNumberFormat="1" applyFont="1" applyAlignment="1">
      <alignment vertical="center"/>
    </xf>
    <xf numFmtId="0" fontId="33" fillId="0" borderId="0" xfId="2" applyFont="1" applyAlignment="1">
      <alignment vertical="center"/>
    </xf>
    <xf numFmtId="173" fontId="53" fillId="0" borderId="0" xfId="2" applyNumberFormat="1" applyFont="1" applyAlignment="1">
      <alignment horizontal="right"/>
    </xf>
    <xf numFmtId="170" fontId="53" fillId="0" borderId="0" xfId="2" applyNumberFormat="1" applyFont="1" applyAlignment="1">
      <alignment vertical="top"/>
    </xf>
    <xf numFmtId="170" fontId="38" fillId="0" borderId="0" xfId="2" applyNumberFormat="1" applyFont="1" applyAlignment="1">
      <alignment vertical="center"/>
    </xf>
    <xf numFmtId="170" fontId="38" fillId="0" borderId="0" xfId="2" applyNumberFormat="1" applyFont="1" applyAlignment="1">
      <alignment horizontal="center" vertical="center"/>
    </xf>
    <xf numFmtId="0" fontId="18" fillId="0" borderId="0" xfId="1" applyFont="1" applyAlignment="1">
      <alignment horizontal="left" indent="1"/>
    </xf>
    <xf numFmtId="0" fontId="18" fillId="0" borderId="0" xfId="1" applyFont="1" applyAlignment="1">
      <alignment vertical="top"/>
    </xf>
    <xf numFmtId="170" fontId="38" fillId="0" borderId="0" xfId="2" applyNumberFormat="1" applyFont="1"/>
    <xf numFmtId="170" fontId="53" fillId="0" borderId="0" xfId="2" applyNumberFormat="1" applyFont="1" applyAlignment="1">
      <alignment vertical="center"/>
    </xf>
    <xf numFmtId="0" fontId="38" fillId="0" borderId="0" xfId="2" applyFont="1"/>
    <xf numFmtId="0" fontId="38" fillId="0" borderId="0" xfId="2" applyFont="1" applyAlignment="1">
      <alignment horizontal="left" indent="1"/>
    </xf>
    <xf numFmtId="170" fontId="53" fillId="0" borderId="0" xfId="2" applyNumberFormat="1" applyFont="1"/>
    <xf numFmtId="170" fontId="38" fillId="0" borderId="0" xfId="2" applyNumberFormat="1" applyFont="1" applyAlignment="1">
      <alignment vertical="center" wrapText="1"/>
    </xf>
    <xf numFmtId="167" fontId="18" fillId="0" borderId="0" xfId="1" quotePrefix="1" applyNumberFormat="1" applyFont="1" applyAlignment="1">
      <alignment wrapText="1"/>
    </xf>
    <xf numFmtId="0" fontId="53" fillId="0" borderId="0" xfId="2" applyFont="1" applyAlignment="1">
      <alignment vertical="top"/>
    </xf>
    <xf numFmtId="167" fontId="18" fillId="0" borderId="0" xfId="1" quotePrefix="1" applyNumberFormat="1" applyFont="1" applyAlignment="1">
      <alignment horizontal="justify" vertical="center" wrapText="1"/>
    </xf>
    <xf numFmtId="0" fontId="38" fillId="0" borderId="0" xfId="2" applyFont="1" applyAlignment="1">
      <alignment vertical="top"/>
    </xf>
    <xf numFmtId="0" fontId="38" fillId="0" borderId="0" xfId="2" applyFont="1" applyAlignment="1">
      <alignment horizontal="left" vertical="top"/>
    </xf>
    <xf numFmtId="0" fontId="48" fillId="0" borderId="0" xfId="6" applyFont="1" applyAlignment="1">
      <alignment horizontal="justify" vertical="center" wrapText="1"/>
    </xf>
    <xf numFmtId="0" fontId="18" fillId="0" borderId="0" xfId="6" applyFont="1" applyAlignment="1">
      <alignment horizontal="justify" vertical="center" wrapText="1"/>
    </xf>
    <xf numFmtId="0" fontId="18" fillId="0" borderId="0" xfId="6" applyFont="1" applyAlignment="1">
      <alignment horizontal="center" vertical="center" wrapText="1"/>
    </xf>
    <xf numFmtId="167" fontId="18" fillId="0" borderId="0" xfId="1" quotePrefix="1" applyNumberFormat="1" applyFont="1" applyAlignment="1">
      <alignment horizontal="center" vertical="center"/>
    </xf>
    <xf numFmtId="167" fontId="18" fillId="0" borderId="0" xfId="1" applyNumberFormat="1" applyFont="1" applyAlignment="1">
      <alignment horizontal="right" vertical="center" wrapText="1"/>
    </xf>
    <xf numFmtId="167" fontId="18" fillId="0" borderId="0" xfId="1" applyNumberFormat="1" applyFont="1" applyAlignment="1">
      <alignment horizontal="center" vertical="center" wrapText="1"/>
    </xf>
    <xf numFmtId="170" fontId="65" fillId="0" borderId="0" xfId="2" applyNumberFormat="1" applyFont="1"/>
    <xf numFmtId="0" fontId="73" fillId="0" borderId="0" xfId="2" applyFont="1"/>
    <xf numFmtId="0" fontId="75" fillId="0" borderId="0" xfId="2" applyFont="1"/>
    <xf numFmtId="0" fontId="38" fillId="0" borderId="0" xfId="2" quotePrefix="1" applyFont="1"/>
    <xf numFmtId="170" fontId="74" fillId="0" borderId="0" xfId="2" applyNumberFormat="1" applyFont="1"/>
    <xf numFmtId="170" fontId="48" fillId="0" borderId="0" xfId="2" applyNumberFormat="1" applyFont="1" applyAlignment="1">
      <alignment horizontal="left"/>
    </xf>
    <xf numFmtId="170" fontId="38" fillId="0" borderId="0" xfId="2" applyNumberFormat="1" applyFont="1" applyAlignment="1">
      <alignment horizontal="left" vertical="top" wrapText="1"/>
    </xf>
    <xf numFmtId="170" fontId="38" fillId="0" borderId="0" xfId="2" applyNumberFormat="1" applyFont="1" applyAlignment="1">
      <alignment vertical="top"/>
    </xf>
    <xf numFmtId="170" fontId="65" fillId="0" borderId="0" xfId="2" applyNumberFormat="1" applyFont="1" applyAlignment="1">
      <alignment vertical="top"/>
    </xf>
    <xf numFmtId="0" fontId="18" fillId="0" borderId="0" xfId="6" applyFont="1" applyAlignment="1">
      <alignment vertical="center"/>
    </xf>
    <xf numFmtId="0" fontId="18" fillId="0" borderId="0" xfId="1" applyFont="1" applyAlignment="1">
      <alignment vertical="top" wrapText="1"/>
    </xf>
    <xf numFmtId="0" fontId="18" fillId="0" borderId="0" xfId="6" applyFont="1"/>
    <xf numFmtId="166" fontId="70" fillId="0" borderId="0" xfId="2" applyNumberFormat="1" applyFont="1" applyAlignment="1">
      <alignment horizontal="center" wrapText="1"/>
    </xf>
    <xf numFmtId="170" fontId="18" fillId="0" borderId="0" xfId="6" applyNumberFormat="1" applyFont="1"/>
    <xf numFmtId="170" fontId="71" fillId="0" borderId="0" xfId="2" applyNumberFormat="1" applyFont="1"/>
    <xf numFmtId="167" fontId="48" fillId="0" borderId="0" xfId="1" applyNumberFormat="1" applyFont="1" applyAlignment="1">
      <alignment vertical="center" wrapText="1"/>
    </xf>
    <xf numFmtId="167" fontId="48" fillId="0" borderId="0" xfId="1" applyNumberFormat="1" applyFont="1"/>
    <xf numFmtId="167" fontId="48" fillId="0" borderId="0" xfId="1" applyNumberFormat="1" applyFont="1" applyAlignment="1">
      <alignment horizontal="left" indent="1"/>
    </xf>
    <xf numFmtId="167" fontId="18" fillId="0" borderId="0" xfId="1" applyNumberFormat="1" applyFont="1" applyAlignment="1">
      <alignment horizontal="left" indent="2"/>
    </xf>
    <xf numFmtId="170" fontId="71" fillId="0" borderId="0" xfId="2" applyNumberFormat="1" applyFont="1" applyAlignment="1">
      <alignment horizontal="left" indent="1"/>
    </xf>
    <xf numFmtId="167" fontId="29" fillId="0" borderId="0" xfId="1" applyNumberFormat="1" applyFont="1" applyAlignment="1">
      <alignment horizontal="center"/>
    </xf>
    <xf numFmtId="170" fontId="18" fillId="0" borderId="0" xfId="2" applyNumberFormat="1" applyFont="1" applyAlignment="1">
      <alignment vertical="top"/>
    </xf>
    <xf numFmtId="0" fontId="65" fillId="0" borderId="0" xfId="1" applyFont="1" applyAlignment="1">
      <alignment horizontal="left" wrapText="1"/>
    </xf>
    <xf numFmtId="0" fontId="78" fillId="0" borderId="0" xfId="2" applyFont="1"/>
    <xf numFmtId="0" fontId="53" fillId="0" borderId="0" xfId="2" applyFont="1" applyAlignment="1">
      <alignment vertical="top" wrapText="1"/>
    </xf>
    <xf numFmtId="0" fontId="18" fillId="0" borderId="0" xfId="0" applyFont="1"/>
    <xf numFmtId="0" fontId="77" fillId="9" borderId="0" xfId="2" applyFont="1" applyFill="1" applyAlignment="1">
      <alignment horizontal="center" vertical="center" wrapText="1"/>
    </xf>
    <xf numFmtId="0" fontId="48" fillId="0" borderId="0" xfId="2" applyFont="1"/>
    <xf numFmtId="164" fontId="38" fillId="0" borderId="0" xfId="2" applyNumberFormat="1" applyFont="1" applyAlignment="1">
      <alignment horizontal="center" vertical="center" wrapText="1"/>
    </xf>
    <xf numFmtId="0" fontId="116" fillId="0" borderId="0" xfId="0" applyFont="1"/>
    <xf numFmtId="0" fontId="0" fillId="0" borderId="25" xfId="0" applyBorder="1"/>
    <xf numFmtId="0" fontId="0" fillId="0" borderId="26" xfId="0" applyBorder="1"/>
    <xf numFmtId="0" fontId="0" fillId="0" borderId="17" xfId="0" applyBorder="1"/>
    <xf numFmtId="0" fontId="0" fillId="0" borderId="22" xfId="0" applyBorder="1"/>
    <xf numFmtId="170" fontId="38" fillId="0" borderId="0" xfId="2" applyNumberFormat="1" applyFont="1" applyAlignment="1" applyProtection="1">
      <alignment vertical="center"/>
      <protection locked="0"/>
    </xf>
    <xf numFmtId="0" fontId="0" fillId="0" borderId="11" xfId="0" applyBorder="1" applyProtection="1">
      <protection locked="0"/>
    </xf>
    <xf numFmtId="0" fontId="0" fillId="0" borderId="0" xfId="0" applyProtection="1">
      <protection locked="0"/>
    </xf>
    <xf numFmtId="0" fontId="0" fillId="0" borderId="12" xfId="0" applyBorder="1" applyProtection="1">
      <protection locked="0"/>
    </xf>
    <xf numFmtId="0" fontId="0" fillId="0" borderId="11" xfId="0" quotePrefix="1" applyBorder="1" applyProtection="1">
      <protection locked="0"/>
    </xf>
    <xf numFmtId="0" fontId="0" fillId="0" borderId="0" xfId="0" quotePrefix="1" applyProtection="1">
      <protection locked="0"/>
    </xf>
    <xf numFmtId="0" fontId="18" fillId="0" borderId="0" xfId="2" applyFont="1"/>
    <xf numFmtId="0" fontId="2" fillId="13" borderId="10" xfId="1" applyFill="1" applyBorder="1" applyAlignment="1" applyProtection="1">
      <alignment horizontal="left"/>
      <protection locked="0"/>
    </xf>
    <xf numFmtId="0" fontId="5" fillId="0" borderId="0" xfId="2" applyFont="1" applyAlignment="1">
      <alignment vertical="center" wrapText="1"/>
    </xf>
    <xf numFmtId="0" fontId="6" fillId="2" borderId="0" xfId="2" applyFont="1" applyFill="1" applyAlignment="1">
      <alignment vertical="center"/>
    </xf>
    <xf numFmtId="0" fontId="8" fillId="0" borderId="0" xfId="2" applyFont="1" applyAlignment="1">
      <alignment horizontal="center" vertical="center"/>
    </xf>
    <xf numFmtId="0" fontId="11" fillId="0" borderId="0" xfId="2" applyFont="1" applyAlignment="1">
      <alignment vertical="center" wrapText="1"/>
    </xf>
    <xf numFmtId="0" fontId="9" fillId="0" borderId="0" xfId="2" applyFont="1" applyAlignment="1">
      <alignment horizontal="right" vertical="center" wrapText="1"/>
    </xf>
    <xf numFmtId="0" fontId="5" fillId="0" borderId="0" xfId="2" applyFont="1" applyAlignment="1">
      <alignment vertical="center"/>
    </xf>
    <xf numFmtId="0" fontId="3" fillId="0" borderId="0" xfId="2" applyAlignment="1">
      <alignment vertical="center"/>
    </xf>
    <xf numFmtId="0" fontId="15" fillId="0" borderId="0" xfId="2" applyFont="1" applyAlignment="1">
      <alignment vertical="center"/>
    </xf>
    <xf numFmtId="0" fontId="13" fillId="0" borderId="0" xfId="2" applyFont="1" applyAlignment="1">
      <alignment vertical="center"/>
    </xf>
    <xf numFmtId="166" fontId="12" fillId="0" borderId="0" xfId="2" applyNumberFormat="1" applyFont="1" applyAlignment="1">
      <alignment vertical="center" wrapText="1"/>
    </xf>
    <xf numFmtId="0" fontId="9" fillId="0" borderId="0" xfId="2" applyFont="1" applyAlignment="1">
      <alignment vertical="center" wrapText="1"/>
    </xf>
    <xf numFmtId="0" fontId="11" fillId="0" borderId="0" xfId="2" applyFont="1" applyAlignment="1">
      <alignment horizontal="right" vertical="center" wrapText="1"/>
    </xf>
    <xf numFmtId="0" fontId="8" fillId="6" borderId="0" xfId="2" applyFont="1" applyFill="1" applyAlignment="1">
      <alignment horizontal="left" vertical="center"/>
    </xf>
    <xf numFmtId="0" fontId="9" fillId="0" borderId="0" xfId="2" applyFont="1" applyAlignment="1">
      <alignment horizontal="centerContinuous" vertical="center" wrapText="1"/>
    </xf>
    <xf numFmtId="0" fontId="11" fillId="0" borderId="0" xfId="2" applyFont="1" applyAlignment="1">
      <alignment horizontal="left" vertical="center"/>
    </xf>
    <xf numFmtId="0" fontId="41" fillId="0" borderId="0" xfId="2" applyFont="1" applyAlignment="1">
      <alignment vertical="center"/>
    </xf>
    <xf numFmtId="0" fontId="8" fillId="0" borderId="0" xfId="2" applyFont="1" applyAlignment="1">
      <alignment horizontal="left" vertical="center"/>
    </xf>
    <xf numFmtId="0" fontId="9" fillId="0" borderId="0" xfId="2" applyFont="1" applyAlignment="1">
      <alignment horizontal="right" vertical="center"/>
    </xf>
    <xf numFmtId="173" fontId="64" fillId="0" borderId="0" xfId="2" applyNumberFormat="1" applyFont="1" applyAlignment="1">
      <alignment horizontal="left" vertical="center"/>
    </xf>
    <xf numFmtId="0" fontId="102" fillId="0" borderId="0" xfId="1" applyFont="1" applyAlignment="1">
      <alignment horizontal="left" vertical="center"/>
    </xf>
    <xf numFmtId="0" fontId="40" fillId="0" borderId="0" xfId="2" applyFont="1" applyAlignment="1">
      <alignment horizontal="left" vertical="center"/>
    </xf>
    <xf numFmtId="0" fontId="67" fillId="0" borderId="0" xfId="2" applyFont="1" applyAlignment="1">
      <alignment horizontal="justify" vertical="center"/>
    </xf>
    <xf numFmtId="0" fontId="34" fillId="0" borderId="0" xfId="2" applyFont="1" applyAlignment="1">
      <alignment vertical="center" wrapText="1"/>
    </xf>
    <xf numFmtId="170" fontId="64" fillId="0" borderId="0" xfId="2" applyNumberFormat="1" applyFont="1" applyAlignment="1">
      <alignment vertical="center"/>
    </xf>
    <xf numFmtId="169" fontId="64" fillId="0" borderId="0" xfId="2" applyNumberFormat="1" applyFont="1" applyAlignment="1">
      <alignment horizontal="justify" vertical="center"/>
    </xf>
    <xf numFmtId="173" fontId="64" fillId="0" borderId="0" xfId="2" applyNumberFormat="1" applyFont="1" applyAlignment="1">
      <alignment horizontal="justify" vertical="center"/>
    </xf>
    <xf numFmtId="170" fontId="47" fillId="0" borderId="0" xfId="2" applyNumberFormat="1" applyFont="1" applyAlignment="1">
      <alignment horizontal="justify" vertical="center" wrapText="1"/>
    </xf>
    <xf numFmtId="0" fontId="22" fillId="0" borderId="0" xfId="2" applyFont="1" applyAlignment="1">
      <alignment vertical="center" wrapText="1"/>
    </xf>
    <xf numFmtId="0" fontId="22" fillId="0" borderId="0" xfId="2" applyFont="1" applyAlignment="1">
      <alignment horizontal="justify" vertical="center" wrapText="1"/>
    </xf>
    <xf numFmtId="0" fontId="18" fillId="0" borderId="0" xfId="1" applyFont="1" applyAlignment="1">
      <alignment vertical="center" wrapText="1"/>
    </xf>
    <xf numFmtId="0" fontId="9" fillId="10" borderId="0" xfId="2" applyFont="1" applyFill="1" applyAlignment="1">
      <alignment horizontal="justify" vertical="center"/>
    </xf>
    <xf numFmtId="0" fontId="41" fillId="0" borderId="0" xfId="2" applyFont="1" applyAlignment="1">
      <alignment horizontal="justify" vertical="center"/>
    </xf>
    <xf numFmtId="0" fontId="9" fillId="0" borderId="0" xfId="2" applyFont="1" applyAlignment="1">
      <alignment horizontal="left" vertical="center" wrapText="1"/>
    </xf>
    <xf numFmtId="0" fontId="61" fillId="0" borderId="0" xfId="2" applyFont="1" applyAlignment="1">
      <alignment horizontal="justify" vertical="center"/>
    </xf>
    <xf numFmtId="0" fontId="92" fillId="0" borderId="0" xfId="2" applyFont="1" applyAlignment="1">
      <alignment horizontal="justify" vertical="center"/>
    </xf>
    <xf numFmtId="0" fontId="47" fillId="0" borderId="0" xfId="2" applyFont="1" applyAlignment="1">
      <alignment horizontal="justify" vertical="center"/>
    </xf>
    <xf numFmtId="0" fontId="34" fillId="0" borderId="0" xfId="2" applyFont="1" applyAlignment="1">
      <alignment vertical="center"/>
    </xf>
    <xf numFmtId="0" fontId="34" fillId="0" borderId="0" xfId="2" applyFont="1" applyAlignment="1">
      <alignment horizontal="center" vertical="center"/>
    </xf>
    <xf numFmtId="170" fontId="57" fillId="0" borderId="0" xfId="2" applyNumberFormat="1" applyFont="1" applyAlignment="1">
      <alignment horizontal="justify" vertical="center" wrapText="1"/>
    </xf>
    <xf numFmtId="0" fontId="47" fillId="0" borderId="0" xfId="2" applyFont="1" applyAlignment="1">
      <alignment horizontal="justify" vertical="center" wrapText="1"/>
    </xf>
    <xf numFmtId="0" fontId="11" fillId="0" borderId="0" xfId="2" applyFont="1" applyAlignment="1">
      <alignment horizontal="justify" vertical="center"/>
    </xf>
    <xf numFmtId="0" fontId="33" fillId="7" borderId="0" xfId="2" applyFont="1" applyFill="1" applyAlignment="1" applyProtection="1">
      <alignment horizontal="justify" vertical="center"/>
      <protection locked="0"/>
    </xf>
    <xf numFmtId="0" fontId="8" fillId="0" borderId="0" xfId="2" applyFont="1" applyAlignment="1">
      <alignment horizontal="justify" vertical="center"/>
    </xf>
    <xf numFmtId="0" fontId="41" fillId="0" borderId="0" xfId="2" applyFont="1" applyAlignment="1" applyProtection="1">
      <alignment horizontal="justify" vertical="center"/>
      <protection locked="0"/>
    </xf>
    <xf numFmtId="0" fontId="18" fillId="0" borderId="0" xfId="2" applyFont="1" applyAlignment="1">
      <alignment horizontal="justify" vertical="center"/>
    </xf>
    <xf numFmtId="169" fontId="10" fillId="0" borderId="0" xfId="2" applyNumberFormat="1" applyFont="1" applyAlignment="1">
      <alignment horizontal="justify" vertical="center"/>
    </xf>
    <xf numFmtId="170" fontId="21" fillId="0" borderId="0" xfId="2" applyNumberFormat="1" applyFont="1" applyAlignment="1">
      <alignment horizontal="justify" vertical="center"/>
    </xf>
    <xf numFmtId="0" fontId="89" fillId="0" borderId="0" xfId="2" applyFont="1" applyAlignment="1">
      <alignment horizontal="justify" vertical="center"/>
    </xf>
    <xf numFmtId="170" fontId="10" fillId="0" borderId="0" xfId="2" applyNumberFormat="1" applyFont="1" applyAlignment="1">
      <alignment horizontal="justify" vertical="center"/>
    </xf>
    <xf numFmtId="170" fontId="44" fillId="0" borderId="0" xfId="2" applyNumberFormat="1" applyFont="1" applyAlignment="1">
      <alignment horizontal="justify" vertical="center"/>
    </xf>
    <xf numFmtId="0" fontId="90" fillId="0" borderId="0" xfId="2" applyFont="1" applyAlignment="1">
      <alignment vertical="center"/>
    </xf>
    <xf numFmtId="0" fontId="33" fillId="0" borderId="0" xfId="2" applyFont="1" applyAlignment="1">
      <alignment horizontal="left" vertical="center"/>
    </xf>
    <xf numFmtId="0" fontId="90" fillId="0" borderId="0" xfId="2" applyFont="1" applyAlignment="1">
      <alignment horizontal="left" vertical="center"/>
    </xf>
    <xf numFmtId="0" fontId="33" fillId="0" borderId="0" xfId="2" applyFont="1" applyAlignment="1">
      <alignment horizontal="justify" vertical="center"/>
    </xf>
    <xf numFmtId="0" fontId="18" fillId="0" borderId="0" xfId="15" applyFont="1" applyAlignment="1">
      <alignment horizontal="justify" vertical="center"/>
    </xf>
    <xf numFmtId="0" fontId="2" fillId="0" borderId="0" xfId="15" applyAlignment="1">
      <alignment horizontal="justify" vertical="center"/>
    </xf>
    <xf numFmtId="0" fontId="68" fillId="0" borderId="0" xfId="15" applyFont="1" applyAlignment="1">
      <alignment horizontal="justify" vertical="center"/>
    </xf>
    <xf numFmtId="0" fontId="18" fillId="0" borderId="0" xfId="15" applyFont="1" applyAlignment="1">
      <alignment horizontal="left" vertical="center"/>
    </xf>
    <xf numFmtId="0" fontId="11" fillId="0" borderId="0" xfId="2" applyFont="1" applyAlignment="1" applyProtection="1">
      <alignment horizontal="justify" vertical="center"/>
      <protection locked="0"/>
    </xf>
    <xf numFmtId="0" fontId="11" fillId="0" borderId="0" xfId="2" applyFont="1" applyAlignment="1">
      <alignment horizontal="right" vertical="center"/>
    </xf>
    <xf numFmtId="0" fontId="46" fillId="0" borderId="0" xfId="2" applyFont="1" applyAlignment="1">
      <alignment vertical="center"/>
    </xf>
    <xf numFmtId="170" fontId="9" fillId="0" borderId="0" xfId="2" applyNumberFormat="1" applyFont="1" applyAlignment="1">
      <alignment horizontal="justify" vertical="center"/>
    </xf>
    <xf numFmtId="170" fontId="8" fillId="0" borderId="0" xfId="2" applyNumberFormat="1" applyFont="1" applyAlignment="1">
      <alignment horizontal="justify" vertical="center"/>
    </xf>
    <xf numFmtId="170" fontId="64" fillId="0" borderId="0" xfId="2" applyNumberFormat="1" applyFont="1" applyAlignment="1">
      <alignment horizontal="justify" vertical="center"/>
    </xf>
    <xf numFmtId="169" fontId="59" fillId="0" borderId="0" xfId="2" applyNumberFormat="1" applyFont="1" applyAlignment="1">
      <alignment horizontal="justify" vertical="center"/>
    </xf>
    <xf numFmtId="173" fontId="59" fillId="0" borderId="0" xfId="2" applyNumberFormat="1" applyFont="1" applyAlignment="1">
      <alignment horizontal="justify" vertical="center"/>
    </xf>
    <xf numFmtId="170" fontId="34" fillId="0" borderId="0" xfId="2" applyNumberFormat="1" applyFont="1" applyAlignment="1">
      <alignment horizontal="justify" vertical="center" wrapText="1"/>
    </xf>
    <xf numFmtId="170" fontId="59" fillId="0" borderId="0" xfId="2" applyNumberFormat="1" applyFont="1" applyAlignment="1">
      <alignment horizontal="justify" vertical="center"/>
    </xf>
    <xf numFmtId="0" fontId="18" fillId="0" borderId="0" xfId="15" applyFont="1" applyAlignment="1">
      <alignment horizontal="justify" vertical="center" wrapText="1"/>
    </xf>
    <xf numFmtId="169" fontId="71" fillId="0" borderId="0" xfId="2" applyNumberFormat="1" applyFont="1" applyAlignment="1">
      <alignment horizontal="justify" vertical="center"/>
    </xf>
    <xf numFmtId="173" fontId="71" fillId="0" borderId="0" xfId="2" applyNumberFormat="1" applyFont="1" applyAlignment="1">
      <alignment horizontal="justify" vertical="center"/>
    </xf>
    <xf numFmtId="0" fontId="48" fillId="0" borderId="0" xfId="2" applyFont="1" applyAlignment="1">
      <alignment horizontal="justify" vertical="center"/>
    </xf>
    <xf numFmtId="0" fontId="78" fillId="0" borderId="0" xfId="15" applyFont="1" applyAlignment="1">
      <alignment horizontal="justify" vertical="center" wrapText="1"/>
    </xf>
    <xf numFmtId="0" fontId="70" fillId="0" borderId="0" xfId="2" applyFont="1" applyAlignment="1">
      <alignment horizontal="justify" vertical="center"/>
    </xf>
    <xf numFmtId="0" fontId="15" fillId="0" borderId="0" xfId="2" applyFont="1" applyAlignment="1">
      <alignment horizontal="justify" vertical="center" wrapText="1"/>
    </xf>
    <xf numFmtId="0" fontId="18" fillId="0" borderId="0" xfId="2" applyFont="1" applyAlignment="1" applyProtection="1">
      <alignment vertical="center"/>
      <protection locked="0"/>
    </xf>
    <xf numFmtId="0" fontId="65" fillId="0" borderId="0" xfId="15" applyFont="1" applyAlignment="1">
      <alignment horizontal="justify" vertical="center" wrapText="1"/>
    </xf>
    <xf numFmtId="0" fontId="94" fillId="0" borderId="0" xfId="15" applyFont="1" applyAlignment="1">
      <alignment horizontal="justify" vertical="center"/>
    </xf>
    <xf numFmtId="0" fontId="22" fillId="0" borderId="0" xfId="2" applyFont="1" applyAlignment="1">
      <alignment horizontal="justify" vertical="center"/>
    </xf>
    <xf numFmtId="0" fontId="54" fillId="0" borderId="0" xfId="2" applyFont="1" applyAlignment="1">
      <alignment horizontal="justify" vertical="center"/>
    </xf>
    <xf numFmtId="0" fontId="58" fillId="0" borderId="0" xfId="2" applyFont="1" applyAlignment="1">
      <alignment horizontal="justify" vertical="center"/>
    </xf>
    <xf numFmtId="0" fontId="55" fillId="10" borderId="0" xfId="2" applyFont="1" applyFill="1" applyAlignment="1">
      <alignment vertical="center"/>
    </xf>
    <xf numFmtId="0" fontId="93" fillId="10" borderId="0" xfId="2" applyFont="1" applyFill="1" applyAlignment="1">
      <alignment vertical="center"/>
    </xf>
    <xf numFmtId="0" fontId="95" fillId="10" borderId="0" xfId="2" applyFont="1" applyFill="1" applyAlignment="1">
      <alignment horizontal="justify" vertical="center"/>
    </xf>
    <xf numFmtId="0" fontId="40" fillId="10" borderId="0" xfId="2" applyFont="1" applyFill="1" applyAlignment="1">
      <alignment horizontal="justify" vertical="center"/>
    </xf>
    <xf numFmtId="0" fontId="55" fillId="10" borderId="0" xfId="2" applyFont="1" applyFill="1" applyAlignment="1">
      <alignment horizontal="justify" vertical="center"/>
    </xf>
    <xf numFmtId="0" fontId="51" fillId="10" borderId="0" xfId="2" applyFont="1" applyFill="1" applyAlignment="1">
      <alignment horizontal="justify" vertical="center"/>
    </xf>
    <xf numFmtId="0" fontId="46" fillId="10" borderId="0" xfId="2" applyFont="1" applyFill="1" applyAlignment="1">
      <alignment horizontal="justify" vertical="center"/>
    </xf>
    <xf numFmtId="0" fontId="8" fillId="10" borderId="0" xfId="2" applyFont="1" applyFill="1" applyAlignment="1">
      <alignment horizontal="justify" vertical="center"/>
    </xf>
    <xf numFmtId="0" fontId="64" fillId="0" borderId="0" xfId="2" applyFont="1" applyAlignment="1">
      <alignment horizontal="justify" vertical="center"/>
    </xf>
    <xf numFmtId="170" fontId="62" fillId="0" borderId="0" xfId="2" applyNumberFormat="1" applyFont="1" applyAlignment="1">
      <alignment horizontal="justify" vertical="center"/>
    </xf>
    <xf numFmtId="173" fontId="57" fillId="0" borderId="0" xfId="2" applyNumberFormat="1" applyFont="1" applyAlignment="1">
      <alignment horizontal="justify" vertical="center"/>
    </xf>
    <xf numFmtId="0" fontId="46" fillId="0" borderId="0" xfId="2" applyFont="1" applyAlignment="1">
      <alignment horizontal="justify" vertical="center"/>
    </xf>
    <xf numFmtId="0" fontId="51" fillId="0" borderId="0" xfId="2" applyFont="1" applyAlignment="1">
      <alignment horizontal="justify" vertical="center"/>
    </xf>
    <xf numFmtId="164" fontId="60" fillId="0" borderId="0" xfId="2" applyNumberFormat="1" applyFont="1" applyAlignment="1">
      <alignment vertical="center"/>
    </xf>
    <xf numFmtId="166" fontId="9" fillId="0" borderId="0" xfId="2" applyNumberFormat="1" applyFont="1" applyAlignment="1">
      <alignment horizontal="left" vertical="center" wrapText="1"/>
    </xf>
    <xf numFmtId="0" fontId="2" fillId="0" borderId="0" xfId="1" applyAlignment="1">
      <alignment vertical="center"/>
    </xf>
    <xf numFmtId="0" fontId="69" fillId="0" borderId="0" xfId="2" applyFont="1" applyAlignment="1">
      <alignment vertical="top"/>
    </xf>
    <xf numFmtId="167" fontId="48" fillId="0" borderId="0" xfId="4" applyNumberFormat="1" applyFont="1" applyAlignment="1">
      <alignment horizontal="center" wrapText="1"/>
    </xf>
    <xf numFmtId="0" fontId="120" fillId="0" borderId="0" xfId="2" applyFont="1" applyAlignment="1">
      <alignment horizontal="center" wrapText="1"/>
    </xf>
    <xf numFmtId="0" fontId="98" fillId="0" borderId="0" xfId="2" applyFont="1" applyAlignment="1">
      <alignment wrapText="1"/>
    </xf>
    <xf numFmtId="0" fontId="77" fillId="0" borderId="0" xfId="2" applyFont="1"/>
    <xf numFmtId="0" fontId="75" fillId="0" borderId="0" xfId="2" applyFont="1" applyAlignment="1">
      <alignment horizontal="center"/>
    </xf>
    <xf numFmtId="0" fontId="53" fillId="0" borderId="0" xfId="2" applyFont="1" applyAlignment="1">
      <alignment horizontal="center" wrapText="1"/>
    </xf>
    <xf numFmtId="167" fontId="69" fillId="0" borderId="0" xfId="4" applyNumberFormat="1" applyFont="1" applyAlignment="1">
      <alignment horizontal="left" wrapText="1"/>
    </xf>
    <xf numFmtId="0" fontId="18" fillId="0" borderId="0" xfId="6" applyFont="1" applyAlignment="1">
      <alignment horizontal="left"/>
    </xf>
    <xf numFmtId="4" fontId="18" fillId="0" borderId="0" xfId="7" applyNumberFormat="1" applyFont="1" applyProtection="1"/>
    <xf numFmtId="167" fontId="18" fillId="0" borderId="0" xfId="5" applyNumberFormat="1" applyFont="1"/>
    <xf numFmtId="0" fontId="18" fillId="0" borderId="0" xfId="6" quotePrefix="1" applyFont="1" applyAlignment="1">
      <alignment horizontal="left"/>
    </xf>
    <xf numFmtId="0" fontId="78" fillId="0" borderId="0" xfId="2" applyFont="1" applyAlignment="1">
      <alignment horizontal="left" wrapText="1"/>
    </xf>
    <xf numFmtId="0" fontId="121" fillId="0" borderId="0" xfId="2" applyFont="1" applyAlignment="1">
      <alignment horizontal="left" wrapText="1"/>
    </xf>
    <xf numFmtId="0" fontId="18" fillId="0" borderId="0" xfId="2" applyFont="1" applyAlignment="1">
      <alignment vertical="top" wrapText="1"/>
    </xf>
    <xf numFmtId="0" fontId="98" fillId="0" borderId="0" xfId="1" applyFont="1"/>
    <xf numFmtId="0" fontId="29" fillId="9" borderId="0" xfId="2" applyFont="1" applyFill="1" applyAlignment="1">
      <alignment horizontal="center" wrapText="1"/>
    </xf>
    <xf numFmtId="167" fontId="18" fillId="0" borderId="0" xfId="4" applyNumberFormat="1" applyFont="1" applyAlignment="1">
      <alignment horizontal="left" indent="1"/>
    </xf>
    <xf numFmtId="0" fontId="18" fillId="0" borderId="0" xfId="2" applyFont="1" applyAlignment="1">
      <alignment horizontal="left" indent="1"/>
    </xf>
    <xf numFmtId="170" fontId="18" fillId="0" borderId="0" xfId="1" applyNumberFormat="1" applyFont="1" applyAlignment="1">
      <alignment horizontal="left"/>
    </xf>
    <xf numFmtId="0" fontId="123" fillId="9" borderId="0" xfId="2" applyFont="1" applyFill="1" applyAlignment="1">
      <alignment horizontal="center" wrapText="1"/>
    </xf>
    <xf numFmtId="166" fontId="53" fillId="0" borderId="0" xfId="2" applyNumberFormat="1" applyFont="1" applyAlignment="1">
      <alignment vertical="center" wrapText="1"/>
    </xf>
    <xf numFmtId="0" fontId="38" fillId="0" borderId="0" xfId="2" applyFont="1" applyAlignment="1">
      <alignment horizontal="right" vertical="top" wrapText="1"/>
    </xf>
    <xf numFmtId="167" fontId="69" fillId="0" borderId="0" xfId="8" applyNumberFormat="1" applyFont="1" applyAlignment="1">
      <alignment horizontal="left" vertical="top" wrapText="1"/>
    </xf>
    <xf numFmtId="0" fontId="98" fillId="0" borderId="0" xfId="6" applyFont="1"/>
    <xf numFmtId="167" fontId="48" fillId="0" borderId="0" xfId="8" applyNumberFormat="1" applyFont="1" applyAlignment="1">
      <alignment horizontal="center" wrapText="1"/>
    </xf>
    <xf numFmtId="49" fontId="48" fillId="0" borderId="0" xfId="8" applyNumberFormat="1" applyFont="1" applyAlignment="1">
      <alignment horizontal="center" vertical="center"/>
    </xf>
    <xf numFmtId="166" fontId="70" fillId="0" borderId="0" xfId="2" applyNumberFormat="1" applyFont="1" applyAlignment="1">
      <alignment vertical="center"/>
    </xf>
    <xf numFmtId="167" fontId="48" fillId="0" borderId="0" xfId="8" applyNumberFormat="1" applyFont="1"/>
    <xf numFmtId="167" fontId="69" fillId="0" borderId="0" xfId="1" applyNumberFormat="1" applyFont="1" applyAlignment="1">
      <alignment horizontal="center" vertical="top" wrapText="1"/>
    </xf>
    <xf numFmtId="167" fontId="48" fillId="0" borderId="0" xfId="1" applyNumberFormat="1" applyFont="1" applyAlignment="1">
      <alignment horizontal="center" wrapText="1"/>
    </xf>
    <xf numFmtId="170" fontId="98" fillId="0" borderId="0" xfId="2" applyNumberFormat="1" applyFont="1"/>
    <xf numFmtId="167" fontId="48" fillId="0" borderId="0" xfId="9" applyNumberFormat="1" applyFont="1"/>
    <xf numFmtId="167" fontId="48" fillId="0" borderId="0" xfId="9" applyNumberFormat="1" applyFont="1" applyAlignment="1">
      <alignment wrapText="1"/>
    </xf>
    <xf numFmtId="169" fontId="72" fillId="0" borderId="0" xfId="2" applyNumberFormat="1" applyFont="1" applyAlignment="1">
      <alignment horizontal="left" vertical="top"/>
    </xf>
    <xf numFmtId="1" fontId="18" fillId="0" borderId="0" xfId="2" applyNumberFormat="1" applyFont="1" applyAlignment="1">
      <alignment horizontal="justify" vertical="top" wrapText="1"/>
    </xf>
    <xf numFmtId="167" fontId="69" fillId="0" borderId="0" xfId="5" applyNumberFormat="1" applyFont="1" applyAlignment="1">
      <alignment horizontal="left" vertical="top" wrapText="1"/>
    </xf>
    <xf numFmtId="167" fontId="48" fillId="0" borderId="0" xfId="5" applyNumberFormat="1" applyFont="1" applyAlignment="1">
      <alignment horizontal="center" vertical="center" wrapText="1"/>
    </xf>
    <xf numFmtId="170" fontId="77" fillId="0" borderId="0" xfId="2" applyNumberFormat="1" applyFont="1"/>
    <xf numFmtId="170" fontId="126" fillId="0" borderId="0" xfId="2" applyNumberFormat="1" applyFont="1" applyAlignment="1">
      <alignment vertical="top"/>
    </xf>
    <xf numFmtId="170" fontId="18" fillId="0" borderId="0" xfId="2" applyNumberFormat="1" applyFont="1" applyAlignment="1">
      <alignment horizontal="justify" vertical="top" wrapText="1"/>
    </xf>
    <xf numFmtId="167" fontId="69" fillId="0" borderId="0" xfId="5" applyNumberFormat="1" applyFont="1" applyAlignment="1">
      <alignment vertical="top" wrapText="1"/>
    </xf>
    <xf numFmtId="167" fontId="98" fillId="0" borderId="0" xfId="5" applyNumberFormat="1" applyFont="1"/>
    <xf numFmtId="43" fontId="18" fillId="0" borderId="0" xfId="7" applyFont="1" applyProtection="1"/>
    <xf numFmtId="167" fontId="120" fillId="0" borderId="0" xfId="5" applyNumberFormat="1" applyFont="1" applyAlignment="1">
      <alignment horizontal="center"/>
    </xf>
    <xf numFmtId="167" fontId="48" fillId="0" borderId="0" xfId="5" applyNumberFormat="1" applyFont="1"/>
    <xf numFmtId="167" fontId="120" fillId="0" borderId="0" xfId="5" applyNumberFormat="1" applyFont="1"/>
    <xf numFmtId="167" fontId="18" fillId="0" borderId="0" xfId="5" applyNumberFormat="1" applyFont="1" applyAlignment="1">
      <alignment horizontal="left" indent="1"/>
    </xf>
    <xf numFmtId="167" fontId="120" fillId="0" borderId="0" xfId="5" applyNumberFormat="1" applyFont="1" applyAlignment="1">
      <alignment horizontal="center" vertical="center" wrapText="1"/>
    </xf>
    <xf numFmtId="170" fontId="38" fillId="0" borderId="0" xfId="2" applyNumberFormat="1" applyFont="1" applyAlignment="1">
      <alignment horizontal="left" indent="1"/>
    </xf>
    <xf numFmtId="167" fontId="29" fillId="0" borderId="0" xfId="5" applyNumberFormat="1" applyFont="1" applyAlignment="1">
      <alignment horizontal="left" indent="2"/>
    </xf>
    <xf numFmtId="167" fontId="29" fillId="0" borderId="0" xfId="5" applyNumberFormat="1" applyFont="1"/>
    <xf numFmtId="167" fontId="99" fillId="0" borderId="0" xfId="5" applyNumberFormat="1" applyFont="1"/>
    <xf numFmtId="170" fontId="18" fillId="0" borderId="0" xfId="2" applyNumberFormat="1" applyFont="1" applyAlignment="1">
      <alignment horizontal="left" indent="1"/>
    </xf>
    <xf numFmtId="167" fontId="98" fillId="0" borderId="0" xfId="5" applyNumberFormat="1" applyFont="1" applyAlignment="1">
      <alignment wrapText="1"/>
    </xf>
    <xf numFmtId="170" fontId="78" fillId="0" borderId="0" xfId="2" applyNumberFormat="1" applyFont="1"/>
    <xf numFmtId="170" fontId="53" fillId="0" borderId="0" xfId="2" applyNumberFormat="1" applyFont="1" applyAlignment="1">
      <alignment horizontal="left"/>
    </xf>
    <xf numFmtId="170" fontId="53" fillId="0" borderId="0" xfId="2" applyNumberFormat="1" applyFont="1" applyAlignment="1">
      <alignment horizontal="right" vertical="center"/>
    </xf>
    <xf numFmtId="0" fontId="53" fillId="0" borderId="5" xfId="2" applyFont="1" applyBorder="1" applyAlignment="1">
      <alignment horizontal="center" wrapText="1"/>
    </xf>
    <xf numFmtId="0" fontId="73" fillId="0" borderId="0" xfId="2" applyFont="1" applyAlignment="1">
      <alignment vertical="top"/>
    </xf>
    <xf numFmtId="170" fontId="71" fillId="0" borderId="0" xfId="2" applyNumberFormat="1" applyFont="1" applyAlignment="1">
      <alignment horizontal="left"/>
    </xf>
    <xf numFmtId="170" fontId="73" fillId="0" borderId="0" xfId="2" applyNumberFormat="1" applyFont="1" applyAlignment="1">
      <alignment horizontal="left"/>
    </xf>
    <xf numFmtId="170" fontId="128" fillId="0" borderId="0" xfId="2" applyNumberFormat="1" applyFont="1" applyAlignment="1">
      <alignment horizontal="left"/>
    </xf>
    <xf numFmtId="0" fontId="129" fillId="0" borderId="0" xfId="2" applyFont="1" applyAlignment="1">
      <alignment horizontal="right" vertical="top" wrapText="1"/>
    </xf>
    <xf numFmtId="175" fontId="38" fillId="0" borderId="0" xfId="2" applyNumberFormat="1" applyFont="1"/>
    <xf numFmtId="170" fontId="75" fillId="0" borderId="0" xfId="2" applyNumberFormat="1" applyFont="1" applyAlignment="1">
      <alignment horizontal="left"/>
    </xf>
    <xf numFmtId="167" fontId="18" fillId="0" borderId="0" xfId="9" applyNumberFormat="1" applyFont="1" applyAlignment="1">
      <alignment horizontal="left"/>
    </xf>
    <xf numFmtId="167" fontId="18" fillId="0" borderId="0" xfId="9" applyNumberFormat="1" applyFont="1"/>
    <xf numFmtId="170" fontId="48" fillId="0" borderId="0" xfId="2" applyNumberFormat="1" applyFont="1" applyAlignment="1">
      <alignment vertical="top"/>
    </xf>
    <xf numFmtId="0" fontId="70" fillId="0" borderId="0" xfId="2" applyFont="1" applyAlignment="1">
      <alignment horizontal="left" vertical="top" wrapText="1" indent="2"/>
    </xf>
    <xf numFmtId="170" fontId="122" fillId="0" borderId="0" xfId="2" applyNumberFormat="1" applyFont="1" applyAlignment="1">
      <alignment vertical="top"/>
    </xf>
    <xf numFmtId="170" fontId="18" fillId="0" borderId="0" xfId="1" applyNumberFormat="1" applyFont="1"/>
    <xf numFmtId="0" fontId="18" fillId="0" borderId="0" xfId="6" applyFont="1" applyAlignment="1">
      <alignment horizontal="center"/>
    </xf>
    <xf numFmtId="167" fontId="69" fillId="0" borderId="0" xfId="8" applyNumberFormat="1" applyFont="1" applyAlignment="1">
      <alignment wrapText="1"/>
    </xf>
    <xf numFmtId="0" fontId="98" fillId="0" borderId="0" xfId="6" applyFont="1" applyAlignment="1">
      <alignment vertical="center"/>
    </xf>
    <xf numFmtId="4" fontId="48" fillId="0" borderId="0" xfId="8" applyNumberFormat="1" applyFont="1"/>
    <xf numFmtId="166" fontId="70" fillId="7" borderId="0" xfId="2" applyNumberFormat="1" applyFont="1" applyFill="1" applyAlignment="1" applyProtection="1">
      <alignment horizontal="left" vertical="top" indent="1"/>
      <protection locked="0"/>
    </xf>
    <xf numFmtId="166" fontId="70" fillId="7" borderId="0" xfId="2" applyNumberFormat="1" applyFont="1" applyFill="1" applyAlignment="1" applyProtection="1">
      <alignment horizontal="left" vertical="center" indent="1"/>
      <protection locked="0"/>
    </xf>
    <xf numFmtId="4" fontId="48" fillId="0" borderId="0" xfId="8" applyNumberFormat="1" applyFont="1" applyAlignment="1">
      <alignment wrapText="1"/>
    </xf>
    <xf numFmtId="0" fontId="18" fillId="0" borderId="0" xfId="6" applyFont="1" applyAlignment="1" applyProtection="1">
      <alignment horizontal="left"/>
      <protection locked="0"/>
    </xf>
    <xf numFmtId="4" fontId="18" fillId="0" borderId="0" xfId="8" applyNumberFormat="1" applyFont="1" applyAlignment="1" applyProtection="1">
      <alignment horizontal="left" wrapText="1"/>
      <protection locked="0"/>
    </xf>
    <xf numFmtId="0" fontId="18" fillId="0" borderId="0" xfId="6" applyFont="1" applyAlignment="1" applyProtection="1">
      <alignment horizontal="center"/>
      <protection locked="0"/>
    </xf>
    <xf numFmtId="4" fontId="18" fillId="0" borderId="0" xfId="8" applyNumberFormat="1" applyFont="1" applyAlignment="1" applyProtection="1">
      <alignment wrapText="1"/>
      <protection locked="0"/>
    </xf>
    <xf numFmtId="167" fontId="18" fillId="0" borderId="0" xfId="1" applyNumberFormat="1" applyFont="1"/>
    <xf numFmtId="0" fontId="18" fillId="0" borderId="0" xfId="6" applyFont="1" applyAlignment="1">
      <alignment wrapText="1"/>
    </xf>
    <xf numFmtId="0" fontId="18" fillId="0" borderId="0" xfId="6" applyFont="1" applyAlignment="1">
      <alignment horizontal="justify" vertical="top" wrapText="1"/>
    </xf>
    <xf numFmtId="0" fontId="18" fillId="0" borderId="0" xfId="6" applyFont="1" applyAlignment="1">
      <alignment vertical="center" wrapText="1"/>
    </xf>
    <xf numFmtId="166" fontId="70" fillId="0" borderId="0" xfId="2" applyNumberFormat="1" applyFont="1" applyAlignment="1">
      <alignment vertical="center" wrapText="1"/>
    </xf>
    <xf numFmtId="166" fontId="70" fillId="7" borderId="0" xfId="2" applyNumberFormat="1" applyFont="1" applyFill="1" applyAlignment="1">
      <alignment vertical="center" wrapText="1"/>
    </xf>
    <xf numFmtId="0" fontId="18" fillId="0" borderId="0" xfId="6" applyFont="1" applyAlignment="1">
      <alignment horizontal="justify" vertical="justify" wrapText="1"/>
    </xf>
    <xf numFmtId="166" fontId="38" fillId="0" borderId="0" xfId="2" applyNumberFormat="1" applyFont="1"/>
    <xf numFmtId="170" fontId="73" fillId="0" borderId="0" xfId="2" applyNumberFormat="1" applyFont="1" applyAlignment="1">
      <alignment horizontal="center"/>
    </xf>
    <xf numFmtId="167" fontId="69" fillId="0" borderId="0" xfId="11" applyNumberFormat="1" applyFont="1"/>
    <xf numFmtId="167" fontId="18" fillId="0" borderId="0" xfId="11" applyNumberFormat="1" applyFont="1" applyAlignment="1">
      <alignment wrapText="1"/>
    </xf>
    <xf numFmtId="167" fontId="18" fillId="0" borderId="0" xfId="11" applyNumberFormat="1" applyFont="1"/>
    <xf numFmtId="167" fontId="98" fillId="0" borderId="0" xfId="11" applyNumberFormat="1" applyFont="1"/>
    <xf numFmtId="167" fontId="18" fillId="0" borderId="0" xfId="11" applyNumberFormat="1" applyFont="1" applyAlignment="1">
      <alignment vertical="center"/>
    </xf>
    <xf numFmtId="167" fontId="98" fillId="0" borderId="0" xfId="11" applyNumberFormat="1" applyFont="1" applyAlignment="1">
      <alignment vertical="center"/>
    </xf>
    <xf numFmtId="0" fontId="29" fillId="0" borderId="0" xfId="11" applyFont="1" applyAlignment="1">
      <alignment horizontal="center"/>
    </xf>
    <xf numFmtId="167" fontId="29" fillId="0" borderId="0" xfId="11" applyNumberFormat="1" applyFont="1"/>
    <xf numFmtId="167" fontId="99" fillId="0" borderId="0" xfId="11" applyNumberFormat="1" applyFont="1"/>
    <xf numFmtId="0" fontId="69" fillId="0" borderId="0" xfId="11" applyFont="1" applyAlignment="1">
      <alignment horizontal="center" wrapText="1"/>
    </xf>
    <xf numFmtId="167" fontId="69" fillId="0" borderId="0" xfId="11" applyNumberFormat="1" applyFont="1" applyAlignment="1">
      <alignment horizontal="center" wrapText="1"/>
    </xf>
    <xf numFmtId="167" fontId="48" fillId="0" borderId="0" xfId="11" applyNumberFormat="1" applyFont="1" applyAlignment="1">
      <alignment horizontal="left" vertical="top"/>
    </xf>
    <xf numFmtId="170" fontId="29" fillId="0" borderId="0" xfId="2" applyNumberFormat="1" applyFont="1" applyAlignment="1">
      <alignment horizontal="center"/>
    </xf>
    <xf numFmtId="167" fontId="48" fillId="0" borderId="0" xfId="11" applyNumberFormat="1" applyFont="1"/>
    <xf numFmtId="167" fontId="120" fillId="0" borderId="0" xfId="11" applyNumberFormat="1" applyFont="1"/>
    <xf numFmtId="167" fontId="18" fillId="0" borderId="0" xfId="11" applyNumberFormat="1" applyFont="1" applyAlignment="1">
      <alignment horizontal="left" indent="1"/>
    </xf>
    <xf numFmtId="49" fontId="29" fillId="0" borderId="0" xfId="11" applyNumberFormat="1" applyFont="1" applyAlignment="1">
      <alignment horizontal="center"/>
    </xf>
    <xf numFmtId="49" fontId="48" fillId="0" borderId="0" xfId="11" applyNumberFormat="1" applyFont="1" applyAlignment="1">
      <alignment horizontal="center"/>
    </xf>
    <xf numFmtId="0" fontId="48" fillId="0" borderId="0" xfId="11" applyFont="1" applyAlignment="1">
      <alignment horizontal="center"/>
    </xf>
    <xf numFmtId="0" fontId="18" fillId="0" borderId="0" xfId="11" applyFont="1" applyAlignment="1">
      <alignment horizontal="center"/>
    </xf>
    <xf numFmtId="167" fontId="29" fillId="0" borderId="0" xfId="11" applyNumberFormat="1" applyFont="1" applyAlignment="1">
      <alignment horizontal="left" indent="2"/>
    </xf>
    <xf numFmtId="167" fontId="130" fillId="0" borderId="0" xfId="11" applyNumberFormat="1" applyFont="1"/>
    <xf numFmtId="167" fontId="29" fillId="0" borderId="0" xfId="11" applyNumberFormat="1" applyFont="1" applyAlignment="1">
      <alignment horizontal="left" wrapText="1" indent="1"/>
    </xf>
    <xf numFmtId="167" fontId="48" fillId="0" borderId="0" xfId="11" applyNumberFormat="1" applyFont="1" applyAlignment="1">
      <alignment horizontal="left" indent="1"/>
    </xf>
    <xf numFmtId="167" fontId="18" fillId="0" borderId="0" xfId="11" applyNumberFormat="1" applyFont="1" applyAlignment="1">
      <alignment horizontal="left" indent="2"/>
    </xf>
    <xf numFmtId="167" fontId="18" fillId="0" borderId="0" xfId="11" applyNumberFormat="1" applyFont="1" applyAlignment="1">
      <alignment horizontal="left"/>
    </xf>
    <xf numFmtId="167" fontId="29" fillId="0" borderId="0" xfId="11" applyNumberFormat="1" applyFont="1" applyAlignment="1">
      <alignment horizontal="left" indent="1"/>
    </xf>
    <xf numFmtId="170" fontId="99" fillId="0" borderId="0" xfId="2" applyNumberFormat="1" applyFont="1" applyAlignment="1">
      <alignment horizontal="center"/>
    </xf>
    <xf numFmtId="170" fontId="73" fillId="0" borderId="0" xfId="2" applyNumberFormat="1" applyFont="1"/>
    <xf numFmtId="49" fontId="38" fillId="0" borderId="0" xfId="2" applyNumberFormat="1" applyFont="1" applyAlignment="1">
      <alignment horizontal="left" vertical="top" wrapText="1"/>
    </xf>
    <xf numFmtId="170" fontId="38" fillId="0" borderId="0" xfId="1" applyNumberFormat="1" applyFont="1" applyAlignment="1">
      <alignment vertical="center"/>
    </xf>
    <xf numFmtId="166" fontId="38" fillId="0" borderId="0" xfId="1" applyNumberFormat="1" applyFont="1" applyAlignment="1">
      <alignment vertical="center"/>
    </xf>
    <xf numFmtId="166" fontId="38" fillId="0" borderId="0" xfId="1" applyNumberFormat="1" applyFont="1" applyAlignment="1">
      <alignment vertical="center" wrapText="1"/>
    </xf>
    <xf numFmtId="166" fontId="53" fillId="0" borderId="0" xfId="2" applyNumberFormat="1" applyFont="1" applyAlignment="1">
      <alignment horizontal="right" vertical="top" wrapText="1"/>
    </xf>
    <xf numFmtId="167" fontId="69" fillId="0" borderId="0" xfId="3" applyNumberFormat="1" applyFont="1" applyAlignment="1">
      <alignment horizontal="left" wrapText="1"/>
    </xf>
    <xf numFmtId="170" fontId="38" fillId="0" borderId="0" xfId="2" applyNumberFormat="1" applyFont="1" applyAlignment="1">
      <alignment wrapText="1"/>
    </xf>
    <xf numFmtId="0" fontId="120" fillId="0" borderId="0" xfId="6" applyFont="1" applyAlignment="1">
      <alignment horizontal="justify" vertical="center" wrapText="1"/>
    </xf>
    <xf numFmtId="0" fontId="98" fillId="0" borderId="0" xfId="6" applyFont="1" applyAlignment="1">
      <alignment horizontal="justify" vertical="center" wrapText="1"/>
    </xf>
    <xf numFmtId="170" fontId="98" fillId="0" borderId="0" xfId="2" applyNumberFormat="1" applyFont="1" applyAlignment="1">
      <alignment vertical="top"/>
    </xf>
    <xf numFmtId="167" fontId="29" fillId="0" borderId="0" xfId="1" applyNumberFormat="1" applyFont="1"/>
    <xf numFmtId="0" fontId="131" fillId="0" borderId="0" xfId="14" applyFont="1" applyProtection="1"/>
    <xf numFmtId="0" fontId="119" fillId="0" borderId="0" xfId="0" applyFont="1"/>
    <xf numFmtId="0" fontId="123" fillId="0" borderId="0" xfId="2" applyFont="1"/>
    <xf numFmtId="0" fontId="123" fillId="0" borderId="0" xfId="2" applyFont="1" applyAlignment="1">
      <alignment horizontal="center" wrapText="1"/>
    </xf>
    <xf numFmtId="170" fontId="131" fillId="0" borderId="0" xfId="14" applyNumberFormat="1" applyFont="1" applyAlignment="1" applyProtection="1">
      <alignment horizontal="left"/>
    </xf>
    <xf numFmtId="0" fontId="75" fillId="0" borderId="0" xfId="2" quotePrefix="1" applyFont="1" applyAlignment="1">
      <alignment vertical="top"/>
    </xf>
    <xf numFmtId="0" fontId="122" fillId="0" borderId="0" xfId="2" applyFont="1" applyAlignment="1">
      <alignment horizontal="left"/>
    </xf>
    <xf numFmtId="0" fontId="74" fillId="0" borderId="0" xfId="2" applyFont="1" applyAlignment="1">
      <alignment wrapText="1"/>
    </xf>
    <xf numFmtId="170" fontId="131" fillId="0" borderId="0" xfId="14" applyNumberFormat="1" applyFont="1" applyProtection="1"/>
    <xf numFmtId="170" fontId="53" fillId="0" borderId="0" xfId="2" applyNumberFormat="1" applyFont="1" applyAlignment="1">
      <alignment horizontal="left" vertical="top"/>
    </xf>
    <xf numFmtId="170" fontId="123" fillId="0" borderId="0" xfId="2" applyNumberFormat="1" applyFont="1"/>
    <xf numFmtId="170" fontId="38" fillId="0" borderId="0" xfId="2" applyNumberFormat="1" applyFont="1" applyAlignment="1" applyProtection="1">
      <alignment horizontal="left"/>
      <protection locked="0"/>
    </xf>
    <xf numFmtId="0" fontId="18" fillId="9" borderId="0" xfId="2" applyFont="1" applyFill="1" applyAlignment="1">
      <alignment horizontal="center" wrapText="1"/>
    </xf>
    <xf numFmtId="167" fontId="131" fillId="0" borderId="0" xfId="14" applyNumberFormat="1" applyFont="1" applyProtection="1"/>
    <xf numFmtId="170" fontId="122" fillId="0" borderId="0" xfId="2" applyNumberFormat="1" applyFont="1" applyAlignment="1">
      <alignment horizontal="justify" vertical="top" wrapText="1"/>
    </xf>
    <xf numFmtId="170" fontId="53" fillId="0" borderId="0" xfId="2" applyNumberFormat="1" applyFont="1" applyAlignment="1">
      <alignment horizontal="justify" vertical="top" wrapText="1"/>
    </xf>
    <xf numFmtId="0" fontId="48" fillId="0" borderId="0" xfId="2" applyFont="1" applyAlignment="1">
      <alignment vertical="center"/>
    </xf>
    <xf numFmtId="166" fontId="53" fillId="0" borderId="0" xfId="2" applyNumberFormat="1" applyFont="1" applyAlignment="1">
      <alignment horizontal="right" vertical="center" wrapText="1"/>
    </xf>
    <xf numFmtId="0" fontId="65" fillId="0" borderId="0" xfId="2" applyFont="1" applyAlignment="1">
      <alignment wrapText="1"/>
    </xf>
    <xf numFmtId="172" fontId="53" fillId="0" borderId="5" xfId="2" applyNumberFormat="1" applyFont="1" applyBorder="1" applyAlignment="1">
      <alignment horizontal="right" wrapText="1"/>
    </xf>
    <xf numFmtId="169" fontId="48" fillId="0" borderId="0" xfId="2" applyNumberFormat="1" applyFont="1" applyAlignment="1">
      <alignment horizontal="right"/>
    </xf>
    <xf numFmtId="169" fontId="69" fillId="0" borderId="0" xfId="2" applyNumberFormat="1" applyFont="1" applyAlignment="1">
      <alignment horizontal="right"/>
    </xf>
    <xf numFmtId="1" fontId="48" fillId="0" borderId="0" xfId="2" applyNumberFormat="1" applyFont="1" applyAlignment="1">
      <alignment horizontal="right"/>
    </xf>
    <xf numFmtId="173" fontId="48" fillId="0" borderId="0" xfId="2" applyNumberFormat="1" applyFont="1" applyAlignment="1">
      <alignment horizontal="right"/>
    </xf>
    <xf numFmtId="169" fontId="125" fillId="0" borderId="0" xfId="2" applyNumberFormat="1" applyFont="1" applyAlignment="1">
      <alignment horizontal="right"/>
    </xf>
    <xf numFmtId="169" fontId="122" fillId="0" borderId="0" xfId="2" applyNumberFormat="1" applyFont="1" applyAlignment="1">
      <alignment horizontal="right"/>
    </xf>
    <xf numFmtId="169" fontId="69" fillId="0" borderId="0" xfId="5" applyNumberFormat="1" applyFont="1" applyAlignment="1">
      <alignment wrapText="1"/>
    </xf>
    <xf numFmtId="169" fontId="128" fillId="0" borderId="0" xfId="2" applyNumberFormat="1" applyFont="1" applyAlignment="1">
      <alignment horizontal="right"/>
    </xf>
    <xf numFmtId="0" fontId="48" fillId="0" borderId="0" xfId="6" applyFont="1" applyAlignment="1">
      <alignment horizontal="justify" wrapText="1"/>
    </xf>
    <xf numFmtId="169" fontId="48" fillId="0" borderId="0" xfId="2" applyNumberFormat="1" applyFont="1"/>
    <xf numFmtId="169" fontId="72" fillId="0" borderId="0" xfId="2" applyNumberFormat="1" applyFont="1" applyAlignment="1">
      <alignment horizontal="right"/>
    </xf>
    <xf numFmtId="0" fontId="18" fillId="0" borderId="0" xfId="2" quotePrefix="1" applyFont="1"/>
    <xf numFmtId="1" fontId="48" fillId="0" borderId="0" xfId="2" applyNumberFormat="1" applyFont="1" applyAlignment="1">
      <alignment horizontal="left"/>
    </xf>
    <xf numFmtId="49" fontId="48" fillId="0" borderId="0" xfId="4" applyNumberFormat="1" applyFont="1" applyAlignment="1">
      <alignment horizontal="center"/>
    </xf>
    <xf numFmtId="49" fontId="18" fillId="0" borderId="0" xfId="4" applyNumberFormat="1" applyFont="1" applyAlignment="1">
      <alignment horizontal="center"/>
    </xf>
    <xf numFmtId="1" fontId="122" fillId="0" borderId="0" xfId="2" applyNumberFormat="1" applyFont="1" applyAlignment="1">
      <alignment horizontal="left"/>
    </xf>
    <xf numFmtId="49" fontId="48" fillId="0" borderId="0" xfId="1" applyNumberFormat="1" applyFont="1" applyAlignment="1">
      <alignment horizontal="center"/>
    </xf>
    <xf numFmtId="0" fontId="18" fillId="0" borderId="0" xfId="6" applyFont="1" applyProtection="1">
      <protection locked="0"/>
    </xf>
    <xf numFmtId="1" fontId="18" fillId="0" borderId="0" xfId="2" applyNumberFormat="1" applyFont="1" applyAlignment="1">
      <alignment wrapText="1"/>
    </xf>
    <xf numFmtId="49" fontId="48" fillId="0" borderId="0" xfId="5" applyNumberFormat="1" applyFont="1" applyAlignment="1">
      <alignment horizontal="center" wrapText="1"/>
    </xf>
    <xf numFmtId="49" fontId="48" fillId="0" borderId="0" xfId="5" applyNumberFormat="1" applyFont="1" applyAlignment="1">
      <alignment horizontal="center"/>
    </xf>
    <xf numFmtId="49" fontId="18" fillId="0" borderId="0" xfId="5" applyNumberFormat="1" applyFont="1" applyAlignment="1">
      <alignment horizontal="center"/>
    </xf>
    <xf numFmtId="1" fontId="133" fillId="0" borderId="0" xfId="2" applyNumberFormat="1" applyFont="1" applyAlignment="1">
      <alignment horizontal="left"/>
    </xf>
    <xf numFmtId="1" fontId="48" fillId="0" borderId="0" xfId="2" applyNumberFormat="1" applyFont="1"/>
    <xf numFmtId="1" fontId="65" fillId="0" borderId="0" xfId="2" applyNumberFormat="1" applyFont="1" applyAlignment="1">
      <alignment horizontal="left"/>
    </xf>
    <xf numFmtId="1" fontId="18" fillId="0" borderId="0" xfId="2" applyNumberFormat="1" applyFont="1" applyAlignment="1">
      <alignment horizontal="left"/>
    </xf>
    <xf numFmtId="0" fontId="29" fillId="0" borderId="0" xfId="2" applyFont="1" applyAlignment="1">
      <alignment horizontal="left"/>
    </xf>
    <xf numFmtId="0" fontId="75" fillId="0" borderId="0" xfId="2" quotePrefix="1" applyFont="1"/>
    <xf numFmtId="0" fontId="125" fillId="0" borderId="0" xfId="2" applyFont="1"/>
    <xf numFmtId="0" fontId="53" fillId="0" borderId="0" xfId="2" applyFont="1" applyAlignment="1">
      <alignment wrapText="1"/>
    </xf>
    <xf numFmtId="0" fontId="38" fillId="0" borderId="0" xfId="2" applyFont="1" applyAlignment="1">
      <alignment horizontal="right" wrapText="1"/>
    </xf>
    <xf numFmtId="170" fontId="18" fillId="0" borderId="0" xfId="2" applyNumberFormat="1" applyFont="1" applyAlignment="1">
      <alignment horizontal="left" indent="2"/>
    </xf>
    <xf numFmtId="0" fontId="132" fillId="0" borderId="0" xfId="0" applyFont="1"/>
    <xf numFmtId="170" fontId="38" fillId="0" borderId="0" xfId="2" quotePrefix="1" applyNumberFormat="1" applyFont="1" applyAlignment="1">
      <alignment horizontal="left"/>
    </xf>
    <xf numFmtId="170" fontId="65" fillId="0" borderId="0" xfId="2" quotePrefix="1" applyNumberFormat="1" applyFont="1" applyAlignment="1">
      <alignment horizontal="left"/>
    </xf>
    <xf numFmtId="170" fontId="48" fillId="0" borderId="0" xfId="2" applyNumberFormat="1" applyFont="1"/>
    <xf numFmtId="170" fontId="38" fillId="0" borderId="0" xfId="2" applyNumberFormat="1" applyFont="1" applyAlignment="1">
      <alignment horizontal="right"/>
    </xf>
    <xf numFmtId="167" fontId="48" fillId="0" borderId="0" xfId="9" applyNumberFormat="1" applyFont="1" applyAlignment="1">
      <alignment horizontal="left"/>
    </xf>
    <xf numFmtId="0" fontId="77" fillId="7" borderId="0" xfId="2" applyFont="1" applyFill="1" applyAlignment="1">
      <alignment horizontal="left"/>
    </xf>
    <xf numFmtId="4" fontId="48" fillId="0" borderId="0" xfId="8" applyNumberFormat="1" applyFont="1" applyAlignment="1">
      <alignment horizontal="left"/>
    </xf>
    <xf numFmtId="166" fontId="70" fillId="7" borderId="0" xfId="2" applyNumberFormat="1" applyFont="1" applyFill="1" applyAlignment="1" applyProtection="1">
      <alignment wrapText="1"/>
      <protection locked="0"/>
    </xf>
    <xf numFmtId="166" fontId="38" fillId="0" borderId="0" xfId="2" applyNumberFormat="1" applyFont="1" applyAlignment="1">
      <alignment horizontal="right"/>
    </xf>
    <xf numFmtId="167" fontId="48" fillId="0" borderId="0" xfId="1" applyNumberFormat="1" applyFont="1" applyAlignment="1">
      <alignment horizontal="left"/>
    </xf>
    <xf numFmtId="167" fontId="77" fillId="0" borderId="0" xfId="1" applyNumberFormat="1" applyFont="1"/>
    <xf numFmtId="167" fontId="18" fillId="0" borderId="0" xfId="1" applyNumberFormat="1" applyFont="1" applyAlignment="1">
      <alignment horizontal="left"/>
    </xf>
    <xf numFmtId="167" fontId="48" fillId="0" borderId="0" xfId="11" applyNumberFormat="1" applyFont="1" applyAlignment="1">
      <alignment horizontal="left"/>
    </xf>
    <xf numFmtId="167" fontId="29" fillId="0" borderId="0" xfId="11" applyNumberFormat="1" applyFont="1" applyAlignment="1">
      <alignment horizontal="left" wrapText="1"/>
    </xf>
    <xf numFmtId="0" fontId="29" fillId="0" borderId="0" xfId="11" applyFont="1" applyAlignment="1">
      <alignment horizontal="left"/>
    </xf>
    <xf numFmtId="167" fontId="48" fillId="0" borderId="0" xfId="11" applyNumberFormat="1" applyFont="1" applyAlignment="1">
      <alignment horizontal="center"/>
    </xf>
    <xf numFmtId="170" fontId="126" fillId="0" borderId="0" xfId="2" applyNumberFormat="1" applyFont="1" applyAlignment="1">
      <alignment wrapText="1"/>
    </xf>
    <xf numFmtId="0" fontId="53" fillId="0" borderId="0" xfId="2" applyFont="1" applyAlignment="1">
      <alignment horizontal="left"/>
    </xf>
    <xf numFmtId="0" fontId="48" fillId="0" borderId="0" xfId="1" applyFont="1"/>
    <xf numFmtId="166" fontId="38" fillId="0" borderId="0" xfId="1" applyNumberFormat="1" applyFont="1" applyAlignment="1">
      <alignment horizontal="right" wrapText="1"/>
    </xf>
    <xf numFmtId="166" fontId="38" fillId="0" borderId="0" xfId="2" applyNumberFormat="1" applyFont="1" applyAlignment="1">
      <alignment horizontal="right" wrapText="1"/>
    </xf>
    <xf numFmtId="49" fontId="38" fillId="0" borderId="0" xfId="2" applyNumberFormat="1" applyFont="1" applyAlignment="1">
      <alignment horizontal="left" wrapText="1"/>
    </xf>
    <xf numFmtId="170" fontId="38" fillId="0" borderId="0" xfId="2" applyNumberFormat="1" applyFont="1" applyAlignment="1">
      <alignment horizontal="right" wrapText="1"/>
    </xf>
    <xf numFmtId="49" fontId="48" fillId="0" borderId="0" xfId="1" applyNumberFormat="1" applyFont="1"/>
    <xf numFmtId="170" fontId="65" fillId="0" borderId="0" xfId="2" applyNumberFormat="1" applyFont="1" applyProtection="1">
      <protection locked="0"/>
    </xf>
    <xf numFmtId="170" fontId="65" fillId="0" borderId="0" xfId="2" applyNumberFormat="1" applyFont="1" applyAlignment="1">
      <alignment horizontal="justify" wrapText="1"/>
    </xf>
    <xf numFmtId="170" fontId="72" fillId="0" borderId="0" xfId="2" applyNumberFormat="1" applyFont="1"/>
    <xf numFmtId="170" fontId="38" fillId="0" borderId="1" xfId="2" applyNumberFormat="1" applyFont="1" applyBorder="1" applyAlignment="1">
      <alignment horizontal="center"/>
    </xf>
    <xf numFmtId="0" fontId="75" fillId="0" borderId="0" xfId="2" applyFont="1" applyAlignment="1">
      <alignment horizontal="left"/>
    </xf>
    <xf numFmtId="170" fontId="76" fillId="0" borderId="0" xfId="2" applyNumberFormat="1" applyFont="1"/>
    <xf numFmtId="167" fontId="48" fillId="0" borderId="0" xfId="5" applyNumberFormat="1" applyFont="1" applyAlignment="1">
      <alignment horizontal="center"/>
    </xf>
    <xf numFmtId="167" fontId="48" fillId="0" borderId="0" xfId="9" applyNumberFormat="1" applyFont="1" applyAlignment="1">
      <alignment horizontal="center" wrapText="1"/>
    </xf>
    <xf numFmtId="0" fontId="29" fillId="9" borderId="0" xfId="2" applyFont="1" applyFill="1" applyAlignment="1">
      <alignment horizontal="left" wrapText="1"/>
    </xf>
    <xf numFmtId="0" fontId="77" fillId="0" borderId="0" xfId="0" applyFont="1"/>
    <xf numFmtId="0" fontId="77" fillId="0" borderId="0" xfId="0" applyFont="1" applyAlignment="1">
      <alignment horizontal="left"/>
    </xf>
    <xf numFmtId="167" fontId="48" fillId="0" borderId="0" xfId="8" applyNumberFormat="1" applyFont="1" applyAlignment="1">
      <alignment horizontal="center" vertical="center" wrapText="1"/>
    </xf>
    <xf numFmtId="167" fontId="18" fillId="0" borderId="0" xfId="8" applyNumberFormat="1" applyFont="1"/>
    <xf numFmtId="167" fontId="69" fillId="0" borderId="0" xfId="0" applyNumberFormat="1" applyFont="1" applyAlignment="1">
      <alignment horizontal="center" vertical="top" wrapText="1"/>
    </xf>
    <xf numFmtId="170" fontId="18" fillId="0" borderId="0" xfId="0" applyNumberFormat="1" applyFont="1"/>
    <xf numFmtId="170" fontId="73" fillId="0" borderId="0" xfId="2" applyNumberFormat="1" applyFont="1" applyAlignment="1" applyProtection="1">
      <alignment horizontal="center"/>
      <protection locked="0"/>
    </xf>
    <xf numFmtId="0" fontId="38" fillId="0" borderId="0" xfId="0" applyFont="1"/>
    <xf numFmtId="167" fontId="18" fillId="0" borderId="0" xfId="0" quotePrefix="1" applyNumberFormat="1" applyFont="1" applyAlignment="1">
      <alignment horizontal="justify" vertical="center"/>
    </xf>
    <xf numFmtId="167" fontId="18" fillId="0" borderId="0" xfId="0" applyNumberFormat="1" applyFont="1" applyAlignment="1">
      <alignment horizontal="justify" vertical="center" wrapText="1"/>
    </xf>
    <xf numFmtId="170" fontId="38" fillId="0" borderId="0" xfId="2" applyNumberFormat="1" applyFont="1" applyAlignment="1">
      <alignment horizontal="justify" vertical="top" wrapText="1"/>
    </xf>
    <xf numFmtId="0" fontId="119" fillId="0" borderId="14" xfId="0" applyFont="1" applyBorder="1"/>
    <xf numFmtId="0" fontId="29" fillId="0" borderId="0" xfId="2" applyFont="1" applyAlignment="1">
      <alignment horizontal="left" wrapText="1"/>
    </xf>
    <xf numFmtId="167" fontId="18" fillId="0" borderId="0" xfId="3" applyNumberFormat="1" applyFont="1" applyAlignment="1">
      <alignment wrapText="1"/>
    </xf>
    <xf numFmtId="167" fontId="48" fillId="0" borderId="0" xfId="3" applyNumberFormat="1" applyFont="1" applyAlignment="1">
      <alignment wrapText="1"/>
    </xf>
    <xf numFmtId="167" fontId="48" fillId="0" borderId="0" xfId="3" applyNumberFormat="1" applyFont="1" applyAlignment="1">
      <alignment horizontal="center" wrapText="1"/>
    </xf>
    <xf numFmtId="0" fontId="131" fillId="9" borderId="0" xfId="14" applyFont="1" applyFill="1" applyAlignment="1" applyProtection="1">
      <alignment horizontal="left" wrapText="1"/>
    </xf>
    <xf numFmtId="0" fontId="131" fillId="0" borderId="0" xfId="14" applyFont="1" applyAlignment="1" applyProtection="1">
      <alignment horizontal="left"/>
    </xf>
    <xf numFmtId="0" fontId="77" fillId="10" borderId="0" xfId="2" applyFont="1" applyFill="1"/>
    <xf numFmtId="0" fontId="77" fillId="10" borderId="0" xfId="2" applyFont="1" applyFill="1" applyAlignment="1">
      <alignment horizontal="left"/>
    </xf>
    <xf numFmtId="0" fontId="119" fillId="0" borderId="0" xfId="0" applyFont="1" applyAlignment="1">
      <alignment horizontal="left"/>
    </xf>
    <xf numFmtId="0" fontId="123" fillId="9" borderId="0" xfId="2" applyFont="1" applyFill="1" applyAlignment="1">
      <alignment horizontal="left" wrapText="1"/>
    </xf>
    <xf numFmtId="170" fontId="29" fillId="0" borderId="0" xfId="2" applyNumberFormat="1" applyFont="1" applyAlignment="1">
      <alignment horizontal="center" wrapText="1"/>
    </xf>
    <xf numFmtId="0" fontId="48" fillId="0" borderId="0" xfId="2" quotePrefix="1" applyFont="1" applyAlignment="1">
      <alignment horizontal="left"/>
    </xf>
    <xf numFmtId="170" fontId="53" fillId="0" borderId="0" xfId="2" applyNumberFormat="1" applyFont="1" applyAlignment="1">
      <alignment horizontal="center"/>
    </xf>
    <xf numFmtId="0" fontId="79" fillId="13" borderId="0" xfId="1" applyFont="1" applyFill="1" applyProtection="1">
      <protection locked="0"/>
    </xf>
    <xf numFmtId="0" fontId="53" fillId="0" borderId="0" xfId="1" applyFont="1" applyAlignment="1">
      <alignment horizontal="left"/>
    </xf>
    <xf numFmtId="0" fontId="53" fillId="0" borderId="0" xfId="1" applyFont="1"/>
    <xf numFmtId="0" fontId="70" fillId="7" borderId="0" xfId="1" applyFont="1" applyFill="1" applyProtection="1">
      <protection locked="0"/>
    </xf>
    <xf numFmtId="0" fontId="9" fillId="0" borderId="0" xfId="2" applyFont="1" applyAlignment="1" applyProtection="1">
      <alignment horizontal="justify" vertical="top" wrapText="1"/>
      <protection locked="0"/>
    </xf>
    <xf numFmtId="14" fontId="34" fillId="0" borderId="0" xfId="2" applyNumberFormat="1" applyFont="1" applyAlignment="1">
      <alignment horizontal="center" vertical="center"/>
    </xf>
    <xf numFmtId="0" fontId="76" fillId="0" borderId="0" xfId="2" applyFont="1"/>
    <xf numFmtId="0" fontId="84" fillId="0" borderId="0" xfId="2" applyFont="1"/>
    <xf numFmtId="0" fontId="18" fillId="11" borderId="0" xfId="1" applyFont="1" applyFill="1" applyProtection="1">
      <protection locked="0"/>
    </xf>
    <xf numFmtId="0" fontId="38" fillId="0" borderId="0" xfId="1" applyFont="1" applyAlignment="1">
      <alignment horizontal="left"/>
    </xf>
    <xf numFmtId="164" fontId="38" fillId="0" borderId="0" xfId="2" applyNumberFormat="1" applyFont="1"/>
    <xf numFmtId="0" fontId="38" fillId="0" borderId="0" xfId="2" applyFont="1" applyProtection="1">
      <protection locked="0"/>
    </xf>
    <xf numFmtId="0" fontId="71" fillId="0" borderId="0" xfId="2" applyFont="1" applyAlignment="1">
      <alignment horizontal="center"/>
    </xf>
    <xf numFmtId="0" fontId="38" fillId="0" borderId="0" xfId="1" applyFont="1"/>
    <xf numFmtId="166" fontId="53" fillId="0" borderId="0" xfId="2" applyNumberFormat="1" applyFont="1" applyAlignment="1">
      <alignment vertical="center"/>
    </xf>
    <xf numFmtId="166" fontId="53" fillId="0" borderId="0" xfId="2" applyNumberFormat="1" applyFont="1" applyAlignment="1">
      <alignment horizontal="center" vertical="center"/>
    </xf>
    <xf numFmtId="166" fontId="38" fillId="0" borderId="0" xfId="2" applyNumberFormat="1" applyFont="1" applyAlignment="1">
      <alignment horizontal="center" vertical="center"/>
    </xf>
    <xf numFmtId="0" fontId="73" fillId="0" borderId="0" xfId="2" applyFont="1" applyAlignment="1">
      <alignment horizontal="left"/>
    </xf>
    <xf numFmtId="166" fontId="53" fillId="0" borderId="0" xfId="2" applyNumberFormat="1" applyFont="1"/>
    <xf numFmtId="172" fontId="53" fillId="0" borderId="0" xfId="2" applyNumberFormat="1" applyFont="1" applyAlignment="1">
      <alignment horizontal="left"/>
    </xf>
    <xf numFmtId="166" fontId="38" fillId="3" borderId="2" xfId="2" applyNumberFormat="1" applyFont="1" applyFill="1" applyBorder="1" applyAlignment="1" applyProtection="1">
      <alignment wrapText="1"/>
      <protection locked="0"/>
    </xf>
    <xf numFmtId="167" fontId="71" fillId="0" borderId="0" xfId="8" applyNumberFormat="1" applyFont="1" applyAlignment="1">
      <alignment horizontal="left" vertical="top" wrapText="1"/>
    </xf>
    <xf numFmtId="167" fontId="53" fillId="12" borderId="18" xfId="8" applyNumberFormat="1" applyFont="1" applyFill="1" applyBorder="1" applyAlignment="1">
      <alignment horizontal="center" wrapText="1"/>
    </xf>
    <xf numFmtId="166" fontId="38" fillId="12" borderId="18" xfId="2" applyNumberFormat="1" applyFont="1" applyFill="1" applyBorder="1" applyProtection="1">
      <protection locked="0"/>
    </xf>
    <xf numFmtId="166" fontId="38" fillId="12" borderId="18" xfId="2" applyNumberFormat="1" applyFont="1" applyFill="1" applyBorder="1" applyAlignment="1" applyProtection="1">
      <alignment horizontal="right"/>
      <protection locked="0"/>
    </xf>
    <xf numFmtId="167" fontId="53" fillId="0" borderId="0" xfId="8" applyNumberFormat="1" applyFont="1" applyAlignment="1">
      <alignment horizontal="center" wrapText="1"/>
    </xf>
    <xf numFmtId="0" fontId="38" fillId="0" borderId="0" xfId="0" applyFont="1" applyAlignment="1">
      <alignment horizontal="right"/>
    </xf>
    <xf numFmtId="166" fontId="53" fillId="7" borderId="16" xfId="2" applyNumberFormat="1" applyFont="1" applyFill="1" applyBorder="1" applyProtection="1">
      <protection locked="0"/>
    </xf>
    <xf numFmtId="166" fontId="53" fillId="7" borderId="16" xfId="2" applyNumberFormat="1" applyFont="1" applyFill="1" applyBorder="1" applyAlignment="1" applyProtection="1">
      <alignment horizontal="right"/>
      <protection locked="0"/>
    </xf>
    <xf numFmtId="166" fontId="53" fillId="12" borderId="15" xfId="2" applyNumberFormat="1" applyFont="1" applyFill="1" applyBorder="1" applyProtection="1">
      <protection locked="0"/>
    </xf>
    <xf numFmtId="166" fontId="53" fillId="12" borderId="15" xfId="2" applyNumberFormat="1" applyFont="1" applyFill="1" applyBorder="1" applyAlignment="1" applyProtection="1">
      <alignment horizontal="right"/>
      <protection locked="0"/>
    </xf>
    <xf numFmtId="167" fontId="53" fillId="0" borderId="0" xfId="8" applyNumberFormat="1" applyFont="1"/>
    <xf numFmtId="167" fontId="53" fillId="11" borderId="13" xfId="8" applyNumberFormat="1" applyFont="1" applyFill="1" applyBorder="1" applyAlignment="1">
      <alignment horizontal="center" wrapText="1"/>
    </xf>
    <xf numFmtId="166" fontId="53" fillId="11" borderId="13" xfId="2" applyNumberFormat="1" applyFont="1" applyFill="1" applyBorder="1" applyAlignment="1">
      <alignment horizontal="center" wrapText="1"/>
    </xf>
    <xf numFmtId="167" fontId="53" fillId="12" borderId="15" xfId="8" applyNumberFormat="1" applyFont="1" applyFill="1" applyBorder="1" applyAlignment="1">
      <alignment horizontal="center" wrapText="1"/>
    </xf>
    <xf numFmtId="0" fontId="38" fillId="0" borderId="0" xfId="6" applyFont="1"/>
    <xf numFmtId="167" fontId="71" fillId="0" borderId="0" xfId="1" applyNumberFormat="1" applyFont="1" applyAlignment="1">
      <alignment horizontal="center" vertical="top" wrapText="1"/>
    </xf>
    <xf numFmtId="167" fontId="53" fillId="0" borderId="0" xfId="1" applyNumberFormat="1" applyFont="1" applyAlignment="1">
      <alignment horizontal="center" wrapText="1"/>
    </xf>
    <xf numFmtId="0" fontId="53" fillId="0" borderId="0" xfId="1" applyFont="1" applyAlignment="1">
      <alignment horizontal="center" wrapText="1"/>
    </xf>
    <xf numFmtId="166" fontId="38" fillId="7" borderId="0" xfId="2" applyNumberFormat="1" applyFont="1" applyFill="1" applyAlignment="1" applyProtection="1">
      <alignment horizontal="right"/>
      <protection locked="0"/>
    </xf>
    <xf numFmtId="166" fontId="38" fillId="5" borderId="0" xfId="2" applyNumberFormat="1" applyFont="1" applyFill="1" applyAlignment="1" applyProtection="1">
      <alignment horizontal="right" wrapText="1"/>
      <protection locked="0"/>
    </xf>
    <xf numFmtId="167" fontId="53" fillId="0" borderId="0" xfId="1" applyNumberFormat="1" applyFont="1" applyAlignment="1">
      <alignment horizontal="right" wrapText="1"/>
    </xf>
    <xf numFmtId="167" fontId="53" fillId="0" borderId="0" xfId="1" applyNumberFormat="1" applyFont="1" applyAlignment="1">
      <alignment horizontal="right"/>
    </xf>
    <xf numFmtId="166" fontId="38" fillId="3" borderId="2" xfId="2" applyNumberFormat="1" applyFont="1" applyFill="1" applyBorder="1" applyAlignment="1">
      <alignment horizontal="right" vertical="center" wrapText="1"/>
    </xf>
    <xf numFmtId="166" fontId="38" fillId="11" borderId="0" xfId="2" applyNumberFormat="1" applyFont="1" applyFill="1" applyAlignment="1" applyProtection="1">
      <alignment horizontal="right" wrapText="1"/>
      <protection locked="0"/>
    </xf>
    <xf numFmtId="1" fontId="38" fillId="0" borderId="0" xfId="2" applyNumberFormat="1" applyFont="1" applyAlignment="1">
      <alignment horizontal="justify" vertical="top" wrapText="1"/>
    </xf>
    <xf numFmtId="167" fontId="71" fillId="0" borderId="0" xfId="5" applyNumberFormat="1" applyFont="1" applyAlignment="1">
      <alignment vertical="top" wrapText="1"/>
    </xf>
    <xf numFmtId="167" fontId="71" fillId="0" borderId="0" xfId="5" applyNumberFormat="1" applyFont="1" applyAlignment="1">
      <alignment horizontal="left" vertical="top" wrapText="1"/>
    </xf>
    <xf numFmtId="166" fontId="38" fillId="0" borderId="0" xfId="5" applyNumberFormat="1" applyFont="1" applyAlignment="1">
      <alignment horizontal="right"/>
    </xf>
    <xf numFmtId="166" fontId="73" fillId="0" borderId="0" xfId="5" applyNumberFormat="1" applyFont="1" applyAlignment="1">
      <alignment horizontal="right"/>
    </xf>
    <xf numFmtId="167" fontId="53" fillId="0" borderId="0" xfId="5" applyNumberFormat="1" applyFont="1" applyAlignment="1">
      <alignment vertical="top"/>
    </xf>
    <xf numFmtId="167" fontId="53" fillId="0" borderId="0" xfId="5" applyNumberFormat="1" applyFont="1" applyAlignment="1">
      <alignment vertical="top" wrapText="1"/>
    </xf>
    <xf numFmtId="167" fontId="38" fillId="0" borderId="0" xfId="5" applyNumberFormat="1" applyFont="1"/>
    <xf numFmtId="167" fontId="38" fillId="0" borderId="0" xfId="5" applyNumberFormat="1" applyFont="1" applyAlignment="1">
      <alignment vertical="top"/>
    </xf>
    <xf numFmtId="167" fontId="38" fillId="0" borderId="0" xfId="5" applyNumberFormat="1" applyFont="1" applyAlignment="1">
      <alignment horizontal="left" wrapText="1"/>
    </xf>
    <xf numFmtId="167" fontId="38" fillId="0" borderId="0" xfId="5" applyNumberFormat="1" applyFont="1" applyAlignment="1">
      <alignment horizontal="left"/>
    </xf>
    <xf numFmtId="166" fontId="38" fillId="7" borderId="0" xfId="7" applyNumberFormat="1" applyFont="1" applyFill="1" applyAlignment="1" applyProtection="1">
      <alignment horizontal="right"/>
      <protection locked="0"/>
    </xf>
    <xf numFmtId="166" fontId="38" fillId="7" borderId="0" xfId="7" applyNumberFormat="1" applyFont="1" applyFill="1" applyAlignment="1" applyProtection="1">
      <alignment horizontal="right" wrapText="1"/>
      <protection locked="0"/>
    </xf>
    <xf numFmtId="167" fontId="38" fillId="0" borderId="0" xfId="5" applyNumberFormat="1" applyFont="1" applyAlignment="1">
      <alignment horizontal="left" indent="1"/>
    </xf>
    <xf numFmtId="167" fontId="53" fillId="0" borderId="0" xfId="5" applyNumberFormat="1" applyFont="1" applyAlignment="1">
      <alignment horizontal="left"/>
    </xf>
    <xf numFmtId="167" fontId="38" fillId="0" borderId="0" xfId="5" applyNumberFormat="1" applyFont="1" applyAlignment="1">
      <alignment wrapText="1"/>
    </xf>
    <xf numFmtId="167" fontId="53" fillId="0" borderId="0" xfId="5" applyNumberFormat="1" applyFont="1" applyAlignment="1">
      <alignment wrapText="1"/>
    </xf>
    <xf numFmtId="167" fontId="53" fillId="0" borderId="0" xfId="5" applyNumberFormat="1" applyFont="1"/>
    <xf numFmtId="167" fontId="53" fillId="0" borderId="0" xfId="5" applyNumberFormat="1" applyFont="1" applyAlignment="1">
      <alignment horizontal="center" vertical="center" wrapText="1"/>
    </xf>
    <xf numFmtId="167" fontId="73" fillId="0" borderId="0" xfId="5" applyNumberFormat="1" applyFont="1"/>
    <xf numFmtId="0" fontId="53" fillId="0" borderId="0" xfId="2" applyFont="1" applyAlignment="1">
      <alignment horizontal="left" indent="1"/>
    </xf>
    <xf numFmtId="167" fontId="53" fillId="0" borderId="0" xfId="5" applyNumberFormat="1" applyFont="1" applyAlignment="1">
      <alignment vertical="center" wrapText="1"/>
    </xf>
    <xf numFmtId="167" fontId="71" fillId="0" borderId="0" xfId="5" applyNumberFormat="1" applyFont="1" applyAlignment="1">
      <alignment horizontal="center" wrapText="1"/>
    </xf>
    <xf numFmtId="166" fontId="38" fillId="0" borderId="0" xfId="5" applyNumberFormat="1" applyFont="1"/>
    <xf numFmtId="166" fontId="73" fillId="0" borderId="0" xfId="5" applyNumberFormat="1" applyFont="1"/>
    <xf numFmtId="0" fontId="73" fillId="0" borderId="0" xfId="0" applyFont="1" applyAlignment="1">
      <alignment vertical="center" wrapText="1"/>
    </xf>
    <xf numFmtId="166" fontId="38" fillId="7" borderId="0" xfId="2" applyNumberFormat="1" applyFont="1" applyFill="1" applyProtection="1">
      <protection locked="0"/>
    </xf>
    <xf numFmtId="174" fontId="38" fillId="3" borderId="0" xfId="2" applyNumberFormat="1" applyFont="1" applyFill="1" applyAlignment="1" applyProtection="1">
      <alignment wrapText="1"/>
      <protection locked="0"/>
    </xf>
    <xf numFmtId="174" fontId="38" fillId="3" borderId="2" xfId="16" applyNumberFormat="1" applyFont="1" applyFill="1" applyBorder="1" applyAlignment="1" applyProtection="1">
      <alignment wrapText="1"/>
      <protection locked="0"/>
    </xf>
    <xf numFmtId="0" fontId="38" fillId="0" borderId="0" xfId="1" applyFont="1" applyAlignment="1">
      <alignment wrapText="1"/>
    </xf>
    <xf numFmtId="166" fontId="38" fillId="5" borderId="0" xfId="2" applyNumberFormat="1" applyFont="1" applyFill="1" applyAlignment="1" applyProtection="1">
      <alignment horizontal="right" vertical="center" wrapText="1"/>
      <protection locked="0"/>
    </xf>
    <xf numFmtId="166" fontId="38" fillId="7" borderId="0" xfId="2" applyNumberFormat="1" applyFont="1" applyFill="1" applyAlignment="1" applyProtection="1">
      <alignment horizontal="right" vertical="center" wrapText="1"/>
      <protection locked="0"/>
    </xf>
    <xf numFmtId="166" fontId="38" fillId="3" borderId="0" xfId="2" applyNumberFormat="1" applyFont="1" applyFill="1" applyAlignment="1" applyProtection="1">
      <alignment horizontal="right" vertical="center" wrapText="1"/>
      <protection locked="0"/>
    </xf>
    <xf numFmtId="166" fontId="38" fillId="7" borderId="1" xfId="2" applyNumberFormat="1" applyFont="1" applyFill="1" applyBorder="1" applyAlignment="1" applyProtection="1">
      <alignment horizontal="right" vertical="center" wrapText="1"/>
      <protection locked="0"/>
    </xf>
    <xf numFmtId="0" fontId="71" fillId="7" borderId="1" xfId="2" applyFont="1" applyFill="1" applyBorder="1" applyAlignment="1" applyProtection="1">
      <alignment horizontal="center" wrapText="1"/>
      <protection locked="0"/>
    </xf>
    <xf numFmtId="166" fontId="53" fillId="0" borderId="0" xfId="2" applyNumberFormat="1" applyFont="1" applyAlignment="1">
      <alignment horizontal="right"/>
    </xf>
    <xf numFmtId="167" fontId="38" fillId="0" borderId="0" xfId="9" applyNumberFormat="1" applyFont="1" applyAlignment="1" applyProtection="1">
      <alignment wrapText="1"/>
      <protection locked="0"/>
    </xf>
    <xf numFmtId="167" fontId="38" fillId="0" borderId="0" xfId="9" applyNumberFormat="1" applyFont="1" applyAlignment="1" applyProtection="1">
      <alignment horizontal="center"/>
      <protection locked="0"/>
    </xf>
    <xf numFmtId="170" fontId="73" fillId="0" borderId="0" xfId="2" applyNumberFormat="1" applyFont="1" applyAlignment="1">
      <alignment vertical="center"/>
    </xf>
    <xf numFmtId="170" fontId="71" fillId="0" borderId="0" xfId="2" applyNumberFormat="1" applyFont="1" applyAlignment="1">
      <alignment horizontal="right" vertical="center"/>
    </xf>
    <xf numFmtId="170" fontId="53" fillId="0" borderId="0" xfId="2" applyNumberFormat="1" applyFont="1" applyAlignment="1" applyProtection="1">
      <alignment vertical="top"/>
      <protection locked="0"/>
    </xf>
    <xf numFmtId="170" fontId="73" fillId="0" borderId="0" xfId="2" applyNumberFormat="1" applyFont="1" applyAlignment="1" applyProtection="1">
      <alignment vertical="center"/>
      <protection locked="0"/>
    </xf>
    <xf numFmtId="170" fontId="71" fillId="0" borderId="0" xfId="2" applyNumberFormat="1" applyFont="1" applyAlignment="1" applyProtection="1">
      <alignment horizontal="right" vertical="center"/>
      <protection locked="0"/>
    </xf>
    <xf numFmtId="170" fontId="71" fillId="0" borderId="0" xfId="2" applyNumberFormat="1" applyFont="1" applyAlignment="1" applyProtection="1">
      <alignment horizontal="right"/>
      <protection locked="0"/>
    </xf>
    <xf numFmtId="0" fontId="38" fillId="0" borderId="0" xfId="2" applyFont="1" applyAlignment="1">
      <alignment horizontal="left" vertical="top" wrapText="1" indent="2"/>
    </xf>
    <xf numFmtId="170" fontId="53" fillId="0" borderId="0" xfId="2" applyNumberFormat="1" applyFont="1" applyAlignment="1">
      <alignment horizontal="center" wrapText="1"/>
    </xf>
    <xf numFmtId="167" fontId="71" fillId="0" borderId="0" xfId="8" applyNumberFormat="1" applyFont="1" applyAlignment="1">
      <alignment wrapText="1"/>
    </xf>
    <xf numFmtId="167" fontId="71" fillId="0" borderId="0" xfId="8" applyNumberFormat="1" applyFont="1" applyAlignment="1">
      <alignment horizontal="left" wrapText="1"/>
    </xf>
    <xf numFmtId="0" fontId="38" fillId="0" borderId="0" xfId="6" applyFont="1" applyAlignment="1">
      <alignment vertical="center"/>
    </xf>
    <xf numFmtId="4" fontId="53" fillId="0" borderId="0" xfId="8" applyNumberFormat="1" applyFont="1" applyAlignment="1">
      <alignment wrapText="1"/>
    </xf>
    <xf numFmtId="4" fontId="53" fillId="0" borderId="0" xfId="8" applyNumberFormat="1" applyFont="1" applyAlignment="1">
      <alignment horizontal="center" wrapText="1"/>
    </xf>
    <xf numFmtId="4" fontId="53" fillId="0" borderId="0" xfId="8" applyNumberFormat="1" applyFont="1" applyAlignment="1">
      <alignment horizontal="right" wrapText="1"/>
    </xf>
    <xf numFmtId="166" fontId="53" fillId="0" borderId="0" xfId="8" applyNumberFormat="1" applyFont="1" applyAlignment="1">
      <alignment horizontal="right" wrapText="1"/>
    </xf>
    <xf numFmtId="0" fontId="53" fillId="0" borderId="0" xfId="6" applyFont="1"/>
    <xf numFmtId="167" fontId="38" fillId="0" borderId="0" xfId="1" applyNumberFormat="1" applyFont="1"/>
    <xf numFmtId="167" fontId="53" fillId="0" borderId="1" xfId="1" applyNumberFormat="1" applyFont="1" applyBorder="1" applyAlignment="1">
      <alignment horizontal="center" wrapText="1"/>
    </xf>
    <xf numFmtId="167" fontId="53" fillId="0" borderId="0" xfId="1" applyNumberFormat="1" applyFont="1" applyAlignment="1">
      <alignment vertical="center" wrapText="1"/>
    </xf>
    <xf numFmtId="167" fontId="53" fillId="0" borderId="0" xfId="1" applyNumberFormat="1" applyFont="1" applyAlignment="1">
      <alignment horizontal="center" vertical="center" wrapText="1"/>
    </xf>
    <xf numFmtId="166" fontId="38" fillId="3" borderId="0" xfId="2" applyNumberFormat="1" applyFont="1" applyFill="1" applyAlignment="1" applyProtection="1">
      <alignment wrapText="1"/>
      <protection locked="0"/>
    </xf>
    <xf numFmtId="166" fontId="38" fillId="7" borderId="0" xfId="2" applyNumberFormat="1" applyFont="1" applyFill="1" applyAlignment="1" applyProtection="1">
      <alignment wrapText="1"/>
      <protection locked="0"/>
    </xf>
    <xf numFmtId="0" fontId="71" fillId="0" borderId="0" xfId="6" applyFont="1" applyAlignment="1">
      <alignment horizontal="left" wrapText="1"/>
    </xf>
    <xf numFmtId="0" fontId="38" fillId="0" borderId="0" xfId="11" applyFont="1" applyAlignment="1">
      <alignment horizontal="justify" wrapText="1"/>
    </xf>
    <xf numFmtId="0" fontId="38" fillId="0" borderId="0" xfId="11" applyFont="1" applyAlignment="1">
      <alignment wrapText="1"/>
    </xf>
    <xf numFmtId="0" fontId="38" fillId="0" borderId="0" xfId="11" applyFont="1" applyAlignment="1">
      <alignment horizontal="justify" vertical="top" wrapText="1"/>
    </xf>
    <xf numFmtId="167" fontId="53" fillId="0" borderId="0" xfId="1" applyNumberFormat="1" applyFont="1" applyAlignment="1">
      <alignment horizontal="left" vertical="top"/>
    </xf>
    <xf numFmtId="167" fontId="53" fillId="0" borderId="0" xfId="1" applyNumberFormat="1" applyFont="1"/>
    <xf numFmtId="166" fontId="53" fillId="0" borderId="0" xfId="1" applyNumberFormat="1" applyFont="1" applyAlignment="1">
      <alignment horizontal="right"/>
    </xf>
    <xf numFmtId="166" fontId="53" fillId="0" borderId="0" xfId="12" applyNumberFormat="1" applyFont="1" applyAlignment="1">
      <alignment horizontal="right"/>
    </xf>
    <xf numFmtId="166" fontId="38" fillId="0" borderId="0" xfId="1" applyNumberFormat="1" applyFont="1" applyAlignment="1">
      <alignment horizontal="right"/>
    </xf>
    <xf numFmtId="167" fontId="38" fillId="0" borderId="0" xfId="1" applyNumberFormat="1" applyFont="1" applyAlignment="1">
      <alignment wrapText="1"/>
    </xf>
    <xf numFmtId="167" fontId="38" fillId="0" borderId="0" xfId="11" applyNumberFormat="1" applyFont="1"/>
    <xf numFmtId="167" fontId="71" fillId="0" borderId="0" xfId="11" applyNumberFormat="1" applyFont="1" applyAlignment="1">
      <alignment wrapText="1"/>
    </xf>
    <xf numFmtId="167" fontId="38" fillId="0" borderId="0" xfId="11" applyNumberFormat="1" applyFont="1" applyAlignment="1">
      <alignment wrapText="1"/>
    </xf>
    <xf numFmtId="167" fontId="53" fillId="0" borderId="0" xfId="11" applyNumberFormat="1" applyFont="1" applyAlignment="1">
      <alignment horizontal="center" wrapText="1"/>
    </xf>
    <xf numFmtId="166" fontId="53" fillId="0" borderId="0" xfId="11" applyNumberFormat="1" applyFont="1" applyAlignment="1">
      <alignment horizontal="right"/>
    </xf>
    <xf numFmtId="166" fontId="38" fillId="0" borderId="0" xfId="11" applyNumberFormat="1" applyFont="1"/>
    <xf numFmtId="167" fontId="53" fillId="0" borderId="0" xfId="11" applyNumberFormat="1" applyFont="1"/>
    <xf numFmtId="166" fontId="53" fillId="0" borderId="0" xfId="11" applyNumberFormat="1" applyFont="1"/>
    <xf numFmtId="167" fontId="38" fillId="0" borderId="0" xfId="11" applyNumberFormat="1" applyFont="1" applyAlignment="1">
      <alignment horizontal="left" wrapText="1" indent="1"/>
    </xf>
    <xf numFmtId="167" fontId="53" fillId="0" borderId="0" xfId="11" applyNumberFormat="1" applyFont="1" applyAlignment="1">
      <alignment vertical="top"/>
    </xf>
    <xf numFmtId="166" fontId="38" fillId="0" borderId="0" xfId="11" applyNumberFormat="1" applyFont="1" applyAlignment="1">
      <alignment horizontal="right"/>
    </xf>
    <xf numFmtId="167" fontId="38" fillId="0" borderId="0" xfId="11" applyNumberFormat="1" applyFont="1" applyAlignment="1">
      <alignment horizontal="left" wrapText="1"/>
    </xf>
    <xf numFmtId="167" fontId="71" fillId="0" borderId="0" xfId="11" applyNumberFormat="1" applyFont="1"/>
    <xf numFmtId="167" fontId="73" fillId="0" borderId="0" xfId="11" applyNumberFormat="1" applyFont="1" applyAlignment="1">
      <alignment horizontal="left" wrapText="1" indent="1"/>
    </xf>
    <xf numFmtId="0" fontId="73" fillId="0" borderId="0" xfId="2" applyFont="1" applyAlignment="1">
      <alignment horizontal="center" wrapText="1"/>
    </xf>
    <xf numFmtId="167" fontId="53" fillId="0" borderId="0" xfId="12" applyNumberFormat="1" applyFont="1" applyAlignment="1">
      <alignment horizontal="right"/>
    </xf>
    <xf numFmtId="167" fontId="38" fillId="0" borderId="0" xfId="11" applyNumberFormat="1" applyFont="1" applyAlignment="1">
      <alignment horizontal="left" indent="1"/>
    </xf>
    <xf numFmtId="167" fontId="38" fillId="0" borderId="0" xfId="11" applyNumberFormat="1" applyFont="1" applyAlignment="1">
      <alignment horizontal="left"/>
    </xf>
    <xf numFmtId="167" fontId="73" fillId="0" borderId="0" xfId="11" applyNumberFormat="1" applyFont="1"/>
    <xf numFmtId="170" fontId="71" fillId="0" borderId="0" xfId="2" applyNumberFormat="1" applyFont="1" applyAlignment="1">
      <alignment vertical="top" wrapText="1"/>
    </xf>
    <xf numFmtId="166" fontId="38" fillId="3" borderId="4" xfId="2" applyNumberFormat="1" applyFont="1" applyFill="1" applyBorder="1" applyAlignment="1" applyProtection="1">
      <alignment horizontal="right" wrapText="1"/>
      <protection locked="0"/>
    </xf>
    <xf numFmtId="0" fontId="38" fillId="0" borderId="0" xfId="1" applyFont="1" applyAlignment="1">
      <alignment vertical="top"/>
    </xf>
    <xf numFmtId="0" fontId="38" fillId="0" borderId="0" xfId="1" applyFont="1" applyAlignment="1">
      <alignment vertical="top" wrapText="1"/>
    </xf>
    <xf numFmtId="0" fontId="38" fillId="0" borderId="0" xfId="1" applyFont="1" applyAlignment="1">
      <alignment horizontal="left" indent="1"/>
    </xf>
    <xf numFmtId="166" fontId="38" fillId="7" borderId="0" xfId="1" applyNumberFormat="1" applyFont="1" applyFill="1" applyAlignment="1" applyProtection="1">
      <alignment horizontal="right" wrapText="1"/>
      <protection locked="0"/>
    </xf>
    <xf numFmtId="166" fontId="38" fillId="7" borderId="1" xfId="1" applyNumberFormat="1" applyFont="1" applyFill="1" applyBorder="1" applyAlignment="1" applyProtection="1">
      <alignment horizontal="right" wrapText="1"/>
      <protection locked="0"/>
    </xf>
    <xf numFmtId="0" fontId="38" fillId="0" borderId="0" xfId="1" applyFont="1" applyAlignment="1">
      <alignment horizontal="left" vertical="top" indent="1"/>
    </xf>
    <xf numFmtId="0" fontId="53" fillId="0" borderId="0" xfId="1" applyFont="1" applyAlignment="1">
      <alignment vertical="top"/>
    </xf>
    <xf numFmtId="167" fontId="71" fillId="0" borderId="0" xfId="3" applyNumberFormat="1" applyFont="1" applyAlignment="1">
      <alignment horizontal="left" wrapText="1"/>
    </xf>
    <xf numFmtId="49" fontId="53" fillId="0" borderId="0" xfId="1" applyNumberFormat="1" applyFont="1" applyAlignment="1">
      <alignment vertical="center"/>
    </xf>
    <xf numFmtId="0" fontId="53" fillId="0" borderId="0" xfId="6" applyFont="1" applyAlignment="1">
      <alignment horizontal="justify" vertical="center" wrapText="1"/>
    </xf>
    <xf numFmtId="167" fontId="53" fillId="0" borderId="0" xfId="1" applyNumberFormat="1" applyFont="1" applyAlignment="1">
      <alignment horizontal="right" vertical="center" wrapText="1"/>
    </xf>
    <xf numFmtId="0" fontId="38" fillId="0" borderId="0" xfId="6" applyFont="1" applyAlignment="1">
      <alignment horizontal="justify" vertical="center" wrapText="1"/>
    </xf>
    <xf numFmtId="166" fontId="38" fillId="0" borderId="0" xfId="2" applyNumberFormat="1" applyFont="1" applyAlignment="1">
      <alignment wrapText="1"/>
    </xf>
    <xf numFmtId="166" fontId="38" fillId="3" borderId="4" xfId="2" applyNumberFormat="1" applyFont="1" applyFill="1" applyBorder="1" applyAlignment="1" applyProtection="1">
      <alignment horizontal="right" vertical="center" wrapText="1"/>
      <protection locked="0"/>
    </xf>
    <xf numFmtId="0" fontId="73" fillId="0" borderId="0" xfId="2" applyFont="1" applyAlignment="1">
      <alignment wrapText="1"/>
    </xf>
    <xf numFmtId="0" fontId="38" fillId="0" borderId="0" xfId="2" quotePrefix="1" applyFont="1" applyAlignment="1">
      <alignment vertical="top" wrapText="1"/>
    </xf>
    <xf numFmtId="166" fontId="38" fillId="5" borderId="0" xfId="2" applyNumberFormat="1" applyFont="1" applyFill="1" applyAlignment="1" applyProtection="1">
      <alignment wrapText="1"/>
      <protection locked="0"/>
    </xf>
    <xf numFmtId="170" fontId="53" fillId="0" borderId="1" xfId="2" applyNumberFormat="1" applyFont="1" applyBorder="1" applyAlignment="1">
      <alignment horizontal="justify" wrapText="1"/>
    </xf>
    <xf numFmtId="170" fontId="38" fillId="7" borderId="0" xfId="2" applyNumberFormat="1" applyFont="1" applyFill="1" applyAlignment="1" applyProtection="1">
      <alignment horizontal="center"/>
      <protection locked="0"/>
    </xf>
    <xf numFmtId="0" fontId="38" fillId="0" borderId="0" xfId="1" applyFont="1" applyAlignment="1">
      <alignment horizontal="right" wrapText="1"/>
    </xf>
    <xf numFmtId="166" fontId="38" fillId="0" borderId="0" xfId="2" applyNumberFormat="1" applyFont="1" applyAlignment="1">
      <alignment horizontal="center" wrapText="1"/>
    </xf>
    <xf numFmtId="0" fontId="38" fillId="0" borderId="0" xfId="6" applyFont="1" applyAlignment="1">
      <alignment horizontal="left"/>
    </xf>
    <xf numFmtId="0" fontId="38" fillId="0" borderId="0" xfId="1" applyFont="1" applyAlignment="1">
      <alignment horizontal="left" wrapText="1"/>
    </xf>
    <xf numFmtId="167" fontId="53" fillId="0" borderId="0" xfId="1" applyNumberFormat="1" applyFont="1" applyAlignment="1">
      <alignment vertical="center"/>
    </xf>
    <xf numFmtId="167" fontId="53" fillId="0" borderId="0" xfId="1" applyNumberFormat="1" applyFont="1" applyAlignment="1">
      <alignment horizontal="center"/>
    </xf>
    <xf numFmtId="166" fontId="38" fillId="13" borderId="0" xfId="2" applyNumberFormat="1" applyFont="1" applyFill="1" applyAlignment="1" applyProtection="1">
      <alignment wrapText="1"/>
      <protection locked="0"/>
    </xf>
    <xf numFmtId="0" fontId="38" fillId="0" borderId="0" xfId="0" applyFont="1" applyProtection="1">
      <protection locked="0"/>
    </xf>
    <xf numFmtId="0" fontId="38" fillId="0" borderId="0" xfId="6" applyFont="1" applyProtection="1">
      <protection locked="0"/>
    </xf>
    <xf numFmtId="166" fontId="12" fillId="3" borderId="2" xfId="2" applyNumberFormat="1" applyFont="1" applyFill="1" applyBorder="1" applyAlignment="1" applyProtection="1">
      <alignment vertical="center" wrapText="1"/>
      <protection locked="0"/>
    </xf>
    <xf numFmtId="166" fontId="12" fillId="5" borderId="4" xfId="2" applyNumberFormat="1" applyFont="1" applyFill="1" applyBorder="1" applyAlignment="1" applyProtection="1">
      <alignment vertical="center" wrapText="1"/>
      <protection locked="0"/>
    </xf>
    <xf numFmtId="166" fontId="12" fillId="5" borderId="2" xfId="2" applyNumberFormat="1" applyFont="1" applyFill="1" applyBorder="1" applyAlignment="1" applyProtection="1">
      <alignment vertical="center" wrapText="1"/>
      <protection locked="0"/>
    </xf>
    <xf numFmtId="166" fontId="26" fillId="3" borderId="2" xfId="2" applyNumberFormat="1" applyFont="1" applyFill="1" applyBorder="1" applyAlignment="1" applyProtection="1">
      <alignment vertical="center" wrapText="1"/>
      <protection locked="0"/>
    </xf>
    <xf numFmtId="166" fontId="12" fillId="3" borderId="1" xfId="2" applyNumberFormat="1" applyFont="1" applyFill="1" applyBorder="1" applyAlignment="1" applyProtection="1">
      <alignment vertical="center" wrapText="1"/>
      <protection locked="0"/>
    </xf>
    <xf numFmtId="0" fontId="135" fillId="7" borderId="0" xfId="10" applyNumberFormat="1" applyFont="1" applyFill="1" applyAlignment="1" applyProtection="1">
      <alignment horizontal="left"/>
      <protection locked="0"/>
    </xf>
    <xf numFmtId="49" fontId="135" fillId="7" borderId="0" xfId="10" quotePrefix="1" applyNumberFormat="1" applyFont="1" applyFill="1" applyAlignment="1" applyProtection="1">
      <alignment horizontal="left"/>
      <protection locked="0"/>
    </xf>
    <xf numFmtId="179" fontId="135" fillId="7" borderId="0" xfId="10" quotePrefix="1" applyNumberFormat="1" applyFont="1" applyFill="1" applyAlignment="1" applyProtection="1">
      <alignment horizontal="left"/>
      <protection locked="0"/>
    </xf>
    <xf numFmtId="0" fontId="1" fillId="7" borderId="0" xfId="13" applyFill="1" applyProtection="1">
      <protection locked="0"/>
    </xf>
    <xf numFmtId="164" fontId="44" fillId="0" borderId="0" xfId="2" applyNumberFormat="1" applyFont="1" applyAlignment="1">
      <alignment horizontal="right" vertical="center" wrapText="1"/>
    </xf>
    <xf numFmtId="0" fontId="9" fillId="0" borderId="0" xfId="1" applyFont="1"/>
    <xf numFmtId="0" fontId="10" fillId="0" borderId="0" xfId="1" applyFont="1" applyAlignment="1">
      <alignment horizontal="left"/>
    </xf>
    <xf numFmtId="0" fontId="10" fillId="0" borderId="0" xfId="1" applyFont="1"/>
    <xf numFmtId="0" fontId="8" fillId="0" borderId="0" xfId="1" applyFont="1"/>
    <xf numFmtId="4" fontId="0" fillId="0" borderId="0" xfId="0" quotePrefix="1" applyNumberFormat="1"/>
    <xf numFmtId="10" fontId="9" fillId="7" borderId="0" xfId="2" applyNumberFormat="1" applyFont="1" applyFill="1" applyAlignment="1" applyProtection="1">
      <alignment horizontal="justify" vertical="center"/>
      <protection locked="0"/>
    </xf>
    <xf numFmtId="10" fontId="15" fillId="7" borderId="0" xfId="2" applyNumberFormat="1" applyFont="1" applyFill="1" applyAlignment="1" applyProtection="1">
      <alignment horizontal="justify" vertical="center" wrapText="1"/>
      <protection locked="0"/>
    </xf>
    <xf numFmtId="0" fontId="34" fillId="11" borderId="0" xfId="2" applyFont="1" applyFill="1" applyAlignment="1" applyProtection="1">
      <alignment vertical="center" wrapText="1"/>
      <protection locked="0"/>
    </xf>
    <xf numFmtId="166" fontId="14" fillId="5" borderId="0" xfId="2" applyNumberFormat="1" applyFont="1" applyFill="1" applyAlignment="1" applyProtection="1">
      <alignment vertical="center"/>
      <protection locked="0"/>
    </xf>
    <xf numFmtId="166" fontId="14" fillId="11" borderId="0" xfId="2" applyNumberFormat="1" applyFont="1" applyFill="1" applyAlignment="1" applyProtection="1">
      <alignment vertical="center" wrapText="1"/>
      <protection locked="0"/>
    </xf>
    <xf numFmtId="166" fontId="9" fillId="3" borderId="2" xfId="2" applyNumberFormat="1" applyFont="1" applyFill="1" applyBorder="1" applyAlignment="1" applyProtection="1">
      <alignment vertical="center" wrapText="1"/>
      <protection locked="0"/>
    </xf>
    <xf numFmtId="166" fontId="9" fillId="3" borderId="0" xfId="2" applyNumberFormat="1" applyFont="1" applyFill="1" applyAlignment="1" applyProtection="1">
      <alignment vertical="center" wrapText="1"/>
      <protection locked="0"/>
    </xf>
    <xf numFmtId="166" fontId="9" fillId="3" borderId="4" xfId="2" applyNumberFormat="1" applyFont="1" applyFill="1" applyBorder="1" applyAlignment="1" applyProtection="1">
      <alignment vertical="center" wrapText="1"/>
      <protection locked="0"/>
    </xf>
    <xf numFmtId="166" fontId="21" fillId="3" borderId="0" xfId="2" applyNumberFormat="1" applyFont="1" applyFill="1" applyAlignment="1" applyProtection="1">
      <alignment vertical="center" wrapText="1"/>
      <protection locked="0"/>
    </xf>
    <xf numFmtId="0" fontId="40" fillId="0" borderId="0" xfId="2" applyFont="1" applyAlignment="1" applyProtection="1">
      <alignment horizontal="justify" vertical="center"/>
      <protection locked="0"/>
    </xf>
    <xf numFmtId="0" fontId="9" fillId="0" borderId="0" xfId="2" applyFont="1" applyAlignment="1">
      <alignment horizontal="justify" vertical="center"/>
    </xf>
    <xf numFmtId="0" fontId="40" fillId="0" borderId="0" xfId="2" applyFont="1" applyAlignment="1">
      <alignment horizontal="justify" vertical="center"/>
    </xf>
    <xf numFmtId="0" fontId="34" fillId="0" borderId="0" xfId="2" applyFont="1" applyAlignment="1">
      <alignment horizontal="justify" vertical="center" wrapText="1"/>
    </xf>
    <xf numFmtId="0" fontId="9" fillId="0" borderId="0" xfId="2" applyFont="1" applyAlignment="1">
      <alignment horizontal="left" vertical="center"/>
    </xf>
    <xf numFmtId="0" fontId="9" fillId="0" borderId="0" xfId="2" applyFont="1" applyAlignment="1">
      <alignment horizontal="justify" vertical="center" wrapText="1"/>
    </xf>
    <xf numFmtId="0" fontId="2" fillId="0" borderId="0" xfId="15" applyAlignment="1">
      <alignment horizontal="justify" vertical="center" wrapText="1"/>
    </xf>
    <xf numFmtId="0" fontId="2" fillId="0" borderId="0" xfId="15" applyAlignment="1" applyProtection="1">
      <alignment horizontal="justify" vertical="center"/>
      <protection locked="0"/>
    </xf>
    <xf numFmtId="0" fontId="34" fillId="0" borderId="0" xfId="2" applyFont="1" applyAlignment="1">
      <alignment horizontal="left" vertical="center"/>
    </xf>
    <xf numFmtId="0" fontId="15" fillId="0" borderId="0" xfId="2" applyFont="1" applyAlignment="1">
      <alignment horizontal="justify" vertical="center"/>
    </xf>
    <xf numFmtId="0" fontId="2" fillId="0" borderId="0" xfId="2" applyFont="1" applyAlignment="1">
      <alignment horizontal="justify" vertical="center"/>
    </xf>
    <xf numFmtId="0" fontId="9" fillId="0" borderId="0" xfId="2" applyFont="1" applyAlignment="1">
      <alignment horizontal="left" wrapText="1"/>
    </xf>
    <xf numFmtId="0" fontId="9" fillId="0" borderId="0" xfId="2" applyFont="1" applyAlignment="1">
      <alignment vertical="center"/>
    </xf>
    <xf numFmtId="166" fontId="38" fillId="3" borderId="0" xfId="2" applyNumberFormat="1" applyFont="1" applyFill="1" applyAlignment="1" applyProtection="1">
      <alignment horizontal="right" wrapText="1"/>
      <protection locked="0"/>
    </xf>
    <xf numFmtId="0" fontId="53" fillId="0" borderId="1" xfId="2" applyFont="1" applyBorder="1" applyAlignment="1">
      <alignment horizontal="center" wrapText="1"/>
    </xf>
    <xf numFmtId="166" fontId="38" fillId="7" borderId="0" xfId="2" applyNumberFormat="1" applyFont="1" applyFill="1" applyAlignment="1" applyProtection="1">
      <alignment horizontal="right" wrapText="1"/>
      <protection locked="0"/>
    </xf>
    <xf numFmtId="166" fontId="38" fillId="3" borderId="2" xfId="2" applyNumberFormat="1" applyFont="1" applyFill="1" applyBorder="1" applyAlignment="1" applyProtection="1">
      <alignment horizontal="right" wrapText="1"/>
      <protection locked="0"/>
    </xf>
    <xf numFmtId="166" fontId="38" fillId="7" borderId="1" xfId="2" applyNumberFormat="1" applyFont="1" applyFill="1" applyBorder="1" applyAlignment="1" applyProtection="1">
      <alignment horizontal="right" wrapText="1"/>
      <protection locked="0"/>
    </xf>
    <xf numFmtId="0" fontId="18" fillId="0" borderId="0" xfId="2" applyFont="1" applyAlignment="1">
      <alignment horizontal="left" wrapText="1"/>
    </xf>
    <xf numFmtId="0" fontId="18" fillId="0" borderId="0" xfId="2" applyFont="1" applyAlignment="1">
      <alignment horizontal="left"/>
    </xf>
    <xf numFmtId="0" fontId="38" fillId="11" borderId="0" xfId="2" applyFont="1" applyFill="1" applyAlignment="1" applyProtection="1">
      <alignment horizontal="right" wrapText="1"/>
      <protection locked="0"/>
    </xf>
    <xf numFmtId="0" fontId="18" fillId="0" borderId="0" xfId="2" applyFont="1" applyAlignment="1">
      <alignment horizontal="justify" wrapText="1"/>
    </xf>
    <xf numFmtId="167" fontId="18" fillId="0" borderId="0" xfId="5" applyNumberFormat="1" applyFont="1" applyAlignment="1">
      <alignment wrapText="1"/>
    </xf>
    <xf numFmtId="167" fontId="48" fillId="0" borderId="0" xfId="5" applyNumberFormat="1" applyFont="1" applyAlignment="1">
      <alignment wrapText="1"/>
    </xf>
    <xf numFmtId="0" fontId="48" fillId="0" borderId="0" xfId="2" applyFont="1" applyAlignment="1">
      <alignment horizontal="center" wrapText="1"/>
    </xf>
    <xf numFmtId="0" fontId="18" fillId="0" borderId="0" xfId="2" applyFont="1" applyAlignment="1">
      <alignment wrapText="1"/>
    </xf>
    <xf numFmtId="167" fontId="18" fillId="0" borderId="0" xfId="8" applyNumberFormat="1" applyFont="1" applyAlignment="1">
      <alignment horizontal="left" wrapText="1" indent="1"/>
    </xf>
    <xf numFmtId="167" fontId="53" fillId="0" borderId="0" xfId="9" applyNumberFormat="1" applyFont="1" applyAlignment="1">
      <alignment horizontal="center"/>
    </xf>
    <xf numFmtId="166" fontId="38" fillId="5" borderId="2" xfId="2" applyNumberFormat="1" applyFont="1" applyFill="1" applyBorder="1" applyAlignment="1" applyProtection="1">
      <alignment horizontal="right" wrapText="1"/>
      <protection locked="0"/>
    </xf>
    <xf numFmtId="167" fontId="53" fillId="0" borderId="0" xfId="5" applyNumberFormat="1" applyFont="1" applyAlignment="1">
      <alignment horizontal="center" wrapText="1"/>
    </xf>
    <xf numFmtId="167" fontId="48" fillId="0" borderId="0" xfId="5" applyNumberFormat="1" applyFont="1" applyAlignment="1">
      <alignment horizontal="center" wrapText="1"/>
    </xf>
    <xf numFmtId="167" fontId="53" fillId="0" borderId="0" xfId="5" applyNumberFormat="1" applyFont="1" applyAlignment="1">
      <alignment horizontal="center"/>
    </xf>
    <xf numFmtId="167" fontId="48" fillId="0" borderId="0" xfId="5" applyNumberFormat="1" applyFont="1" applyAlignment="1">
      <alignment horizontal="left" wrapText="1"/>
    </xf>
    <xf numFmtId="167" fontId="18" fillId="0" borderId="0" xfId="5" applyNumberFormat="1" applyFont="1" applyAlignment="1">
      <alignment horizontal="left" wrapText="1"/>
    </xf>
    <xf numFmtId="0" fontId="48" fillId="0" borderId="0" xfId="2" applyFont="1" applyAlignment="1">
      <alignment horizontal="left" wrapText="1"/>
    </xf>
    <xf numFmtId="0" fontId="38" fillId="0" borderId="0" xfId="2" applyFont="1" applyAlignment="1">
      <alignment wrapText="1"/>
    </xf>
    <xf numFmtId="167" fontId="53" fillId="0" borderId="0" xfId="9" applyNumberFormat="1" applyFont="1" applyAlignment="1">
      <alignment horizontal="center" wrapText="1"/>
    </xf>
    <xf numFmtId="167" fontId="18" fillId="0" borderId="0" xfId="9" applyNumberFormat="1" applyFont="1" applyAlignment="1">
      <alignment horizontal="left" wrapText="1"/>
    </xf>
    <xf numFmtId="170" fontId="53" fillId="0" borderId="1" xfId="2" applyNumberFormat="1" applyFont="1" applyBorder="1" applyAlignment="1">
      <alignment horizontal="center" wrapText="1"/>
    </xf>
    <xf numFmtId="0" fontId="18" fillId="0" borderId="0" xfId="6" applyFont="1" applyAlignment="1">
      <alignment horizontal="justify" wrapText="1"/>
    </xf>
    <xf numFmtId="0" fontId="53" fillId="0" borderId="0" xfId="11" applyFont="1" applyAlignment="1">
      <alignment horizontal="center" wrapText="1"/>
    </xf>
    <xf numFmtId="0" fontId="48" fillId="0" borderId="0" xfId="11" applyFont="1" applyAlignment="1">
      <alignment horizontal="center" wrapText="1"/>
    </xf>
    <xf numFmtId="0" fontId="48" fillId="0" borderId="0" xfId="11" applyFont="1" applyAlignment="1">
      <alignment horizontal="left" wrapText="1"/>
    </xf>
    <xf numFmtId="0" fontId="53" fillId="0" borderId="0" xfId="11" applyFont="1" applyAlignment="1">
      <alignment horizontal="left" wrapText="1"/>
    </xf>
    <xf numFmtId="0" fontId="53" fillId="0" borderId="0" xfId="2" applyFont="1" applyAlignment="1">
      <alignment horizontal="left" wrapText="1"/>
    </xf>
    <xf numFmtId="49" fontId="69" fillId="0" borderId="0" xfId="11" applyNumberFormat="1" applyFont="1" applyAlignment="1">
      <alignment horizontal="center"/>
    </xf>
    <xf numFmtId="167" fontId="18" fillId="0" borderId="0" xfId="11" applyNumberFormat="1" applyFont="1" applyAlignment="1">
      <alignment horizontal="left" wrapText="1"/>
    </xf>
    <xf numFmtId="0" fontId="38" fillId="0" borderId="0" xfId="2" applyFont="1" applyAlignment="1">
      <alignment horizontal="justify" wrapText="1"/>
    </xf>
    <xf numFmtId="170" fontId="38" fillId="7" borderId="0" xfId="2" applyNumberFormat="1" applyFont="1" applyFill="1" applyAlignment="1" applyProtection="1">
      <alignment horizontal="right" wrapText="1"/>
      <protection locked="0"/>
    </xf>
    <xf numFmtId="166" fontId="38" fillId="3" borderId="2" xfId="2" applyNumberFormat="1" applyFont="1" applyFill="1" applyBorder="1" applyAlignment="1" applyProtection="1">
      <alignment horizontal="right" vertical="center" wrapText="1"/>
      <protection locked="0"/>
    </xf>
    <xf numFmtId="0" fontId="48" fillId="0" borderId="0" xfId="1" applyFont="1" applyAlignment="1">
      <alignment horizontal="center" wrapText="1"/>
    </xf>
    <xf numFmtId="167" fontId="38" fillId="0" borderId="0" xfId="9" applyNumberFormat="1" applyFont="1" applyAlignment="1">
      <alignment horizontal="left" wrapText="1"/>
    </xf>
    <xf numFmtId="167" fontId="18" fillId="0" borderId="0" xfId="5" applyNumberFormat="1" applyFont="1" applyAlignment="1">
      <alignment horizontal="left"/>
    </xf>
    <xf numFmtId="0" fontId="18" fillId="0" borderId="0" xfId="2" applyFont="1" applyAlignment="1">
      <alignment horizontal="center"/>
    </xf>
    <xf numFmtId="0" fontId="38" fillId="0" borderId="0" xfId="2" applyFont="1" applyAlignment="1">
      <alignment vertical="top" wrapText="1"/>
    </xf>
    <xf numFmtId="0" fontId="4" fillId="0" borderId="0" xfId="2" applyFont="1" applyAlignment="1">
      <alignment horizontal="left" vertical="center"/>
    </xf>
    <xf numFmtId="0" fontId="8" fillId="0" borderId="0" xfId="2" applyFont="1" applyAlignment="1">
      <alignment vertical="center"/>
    </xf>
    <xf numFmtId="164" fontId="18" fillId="0" borderId="0" xfId="2" applyNumberFormat="1" applyFont="1" applyAlignment="1">
      <alignment vertical="center"/>
    </xf>
    <xf numFmtId="165" fontId="8" fillId="0" borderId="1" xfId="2" applyNumberFormat="1" applyFont="1" applyBorder="1" applyAlignment="1">
      <alignment horizontal="right" vertical="center" wrapText="1"/>
    </xf>
    <xf numFmtId="165" fontId="8" fillId="0" borderId="0" xfId="2" applyNumberFormat="1" applyFont="1" applyAlignment="1">
      <alignment horizontal="right" vertical="center" wrapText="1"/>
    </xf>
    <xf numFmtId="0" fontId="8" fillId="0" borderId="0" xfId="2" applyFont="1" applyAlignment="1">
      <alignment horizontal="left" vertical="center" indent="1"/>
    </xf>
    <xf numFmtId="0" fontId="9" fillId="0" borderId="0" xfId="2" applyFont="1" applyAlignment="1">
      <alignment horizontal="left" vertical="center" indent="2"/>
    </xf>
    <xf numFmtId="0" fontId="9" fillId="0" borderId="0" xfId="2" applyFont="1" applyAlignment="1">
      <alignment horizontal="left" vertical="center" indent="1"/>
    </xf>
    <xf numFmtId="0" fontId="9" fillId="0" borderId="0" xfId="2" applyFont="1" applyAlignment="1">
      <alignment horizontal="left" vertical="center" wrapText="1" indent="3"/>
    </xf>
    <xf numFmtId="0" fontId="9" fillId="0" borderId="0" xfId="2" applyFont="1" applyAlignment="1">
      <alignment horizontal="left" vertical="center" indent="3"/>
    </xf>
    <xf numFmtId="0" fontId="15" fillId="0" borderId="0" xfId="2" applyFont="1" applyAlignment="1">
      <alignment horizontal="left" vertical="center" indent="2"/>
    </xf>
    <xf numFmtId="0" fontId="9" fillId="0" borderId="0" xfId="2" applyFont="1" applyAlignment="1">
      <alignment horizontal="left" vertical="center" wrapText="1" indent="2"/>
    </xf>
    <xf numFmtId="0" fontId="15" fillId="0" borderId="0" xfId="2" quotePrefix="1" applyFont="1" applyAlignment="1">
      <alignment horizontal="left" vertical="center" indent="4"/>
    </xf>
    <xf numFmtId="0" fontId="15" fillId="0" borderId="0" xfId="2" applyFont="1" applyAlignment="1">
      <alignment horizontal="left" vertical="center" indent="4"/>
    </xf>
    <xf numFmtId="167" fontId="9" fillId="0" borderId="0" xfId="1" quotePrefix="1" applyNumberFormat="1" applyFont="1" applyAlignment="1">
      <alignment horizontal="left" vertical="center" indent="4"/>
    </xf>
    <xf numFmtId="167" fontId="9" fillId="0" borderId="0" xfId="1" applyNumberFormat="1" applyFont="1" applyAlignment="1">
      <alignment horizontal="left" vertical="center" indent="4"/>
    </xf>
    <xf numFmtId="0" fontId="11" fillId="0" borderId="0" xfId="2" applyFont="1" applyAlignment="1">
      <alignment horizontal="left" vertical="top"/>
    </xf>
    <xf numFmtId="0" fontId="20" fillId="0" borderId="0" xfId="2" applyFont="1" applyAlignment="1">
      <alignment horizontal="left" vertical="center"/>
    </xf>
    <xf numFmtId="0" fontId="9" fillId="6" borderId="0" xfId="2" applyFont="1" applyFill="1" applyAlignment="1">
      <alignment horizontal="left" vertical="center"/>
    </xf>
    <xf numFmtId="164" fontId="22" fillId="0" borderId="0" xfId="2" applyNumberFormat="1" applyFont="1" applyAlignment="1">
      <alignment vertical="center"/>
    </xf>
    <xf numFmtId="0" fontId="25" fillId="0" borderId="0" xfId="2" applyFont="1" applyAlignment="1">
      <alignment vertical="center"/>
    </xf>
    <xf numFmtId="0" fontId="8" fillId="0" borderId="0" xfId="2" applyFont="1" applyAlignment="1">
      <alignment vertical="top" wrapText="1"/>
    </xf>
    <xf numFmtId="0" fontId="15" fillId="0" borderId="0" xfId="2" applyFont="1" applyAlignment="1">
      <alignment horizontal="left" vertical="center" indent="1"/>
    </xf>
    <xf numFmtId="0" fontId="28" fillId="0" borderId="0" xfId="2" applyFont="1" applyAlignment="1">
      <alignment horizontal="left" vertical="center" indent="1"/>
    </xf>
    <xf numFmtId="0" fontId="28" fillId="0" borderId="0" xfId="2" quotePrefix="1" applyFont="1" applyAlignment="1">
      <alignment horizontal="left" vertical="center" wrapText="1" indent="2"/>
    </xf>
    <xf numFmtId="0" fontId="28" fillId="0" borderId="0" xfId="2" applyFont="1" applyAlignment="1">
      <alignment horizontal="left" vertical="center" wrapText="1" indent="2"/>
    </xf>
    <xf numFmtId="0" fontId="28" fillId="0" borderId="0" xfId="2" quotePrefix="1" applyFont="1" applyAlignment="1">
      <alignment horizontal="left" vertical="center" indent="2"/>
    </xf>
    <xf numFmtId="0" fontId="28" fillId="0" borderId="0" xfId="2" applyFont="1" applyAlignment="1">
      <alignment horizontal="left" vertical="center" indent="2"/>
    </xf>
    <xf numFmtId="0" fontId="15" fillId="0" borderId="0" xfId="2" applyFont="1" applyAlignment="1">
      <alignment horizontal="left" vertical="center" wrapText="1" indent="1"/>
    </xf>
    <xf numFmtId="0" fontId="25" fillId="0" borderId="0" xfId="2" applyFont="1" applyAlignment="1">
      <alignment horizontal="left" vertical="center" indent="1"/>
    </xf>
    <xf numFmtId="0" fontId="9" fillId="0" borderId="0" xfId="2" quotePrefix="1" applyFont="1" applyAlignment="1">
      <alignment horizontal="left" vertical="center" wrapText="1" indent="3"/>
    </xf>
    <xf numFmtId="0" fontId="15" fillId="0" borderId="0" xfId="2" quotePrefix="1" applyFont="1" applyAlignment="1">
      <alignment horizontal="left" vertical="center" indent="3"/>
    </xf>
    <xf numFmtId="0" fontId="15" fillId="0" borderId="0" xfId="2" applyFont="1" applyAlignment="1">
      <alignment horizontal="left" vertical="center" indent="3"/>
    </xf>
    <xf numFmtId="0" fontId="28" fillId="0" borderId="0" xfId="2" applyFont="1" applyAlignment="1">
      <alignment horizontal="left" vertical="center" indent="3"/>
    </xf>
    <xf numFmtId="167" fontId="9" fillId="0" borderId="0" xfId="1" quotePrefix="1" applyNumberFormat="1" applyFont="1" applyAlignment="1">
      <alignment horizontal="left" vertical="center" wrapText="1" indent="4"/>
    </xf>
    <xf numFmtId="167" fontId="9" fillId="0" borderId="0" xfId="1" applyNumberFormat="1" applyFont="1" applyAlignment="1">
      <alignment horizontal="left" vertical="center" wrapText="1" indent="4"/>
    </xf>
    <xf numFmtId="0" fontId="9" fillId="0" borderId="0" xfId="2" quotePrefix="1" applyFont="1" applyAlignment="1">
      <alignment horizontal="left" vertical="center" wrapText="1" indent="2"/>
    </xf>
    <xf numFmtId="0" fontId="15" fillId="0" borderId="0" xfId="2" quotePrefix="1" applyFont="1" applyAlignment="1">
      <alignment horizontal="left" vertical="center" indent="2"/>
    </xf>
    <xf numFmtId="0" fontId="11" fillId="0" borderId="0" xfId="2" applyFont="1" applyAlignment="1">
      <alignment vertical="center"/>
    </xf>
    <xf numFmtId="0" fontId="11" fillId="0" borderId="0" xfId="2" applyFont="1" applyAlignment="1">
      <alignment horizontal="center" vertical="center"/>
    </xf>
    <xf numFmtId="164" fontId="44" fillId="0" borderId="1" xfId="2" applyNumberFormat="1" applyFont="1" applyBorder="1" applyAlignment="1">
      <alignment horizontal="right" vertical="center" wrapText="1"/>
    </xf>
    <xf numFmtId="0" fontId="0" fillId="0" borderId="0" xfId="0" applyAlignment="1">
      <alignment horizontal="right"/>
    </xf>
    <xf numFmtId="164" fontId="10" fillId="0" borderId="1" xfId="2" applyNumberFormat="1" applyFont="1" applyBorder="1" applyAlignment="1">
      <alignment horizontal="right" vertical="center" wrapText="1"/>
    </xf>
    <xf numFmtId="0" fontId="25" fillId="0" borderId="0" xfId="2" applyFont="1" applyAlignment="1">
      <alignment vertical="center" wrapText="1"/>
    </xf>
    <xf numFmtId="164" fontId="8" fillId="0" borderId="1" xfId="2" applyNumberFormat="1" applyFont="1" applyBorder="1" applyAlignment="1">
      <alignment horizontal="right" vertical="center" wrapText="1"/>
    </xf>
    <xf numFmtId="164" fontId="8" fillId="0" borderId="0" xfId="2" applyNumberFormat="1" applyFont="1" applyAlignment="1">
      <alignment horizontal="right" vertical="center" wrapText="1"/>
    </xf>
    <xf numFmtId="0" fontId="15" fillId="0" borderId="0" xfId="2" quotePrefix="1" applyFont="1" applyAlignment="1">
      <alignment horizontal="left" vertical="top" indent="1"/>
    </xf>
    <xf numFmtId="166" fontId="5" fillId="0" borderId="0" xfId="2" applyNumberFormat="1" applyFont="1" applyAlignment="1">
      <alignment vertical="center"/>
    </xf>
    <xf numFmtId="0" fontId="9" fillId="0" borderId="0" xfId="2" quotePrefix="1" applyFont="1" applyAlignment="1">
      <alignment horizontal="left" vertical="top" indent="3"/>
    </xf>
    <xf numFmtId="0" fontId="15" fillId="0" borderId="0" xfId="2" applyFont="1" applyAlignment="1">
      <alignment vertical="top"/>
    </xf>
    <xf numFmtId="0" fontId="9" fillId="0" borderId="0" xfId="2" quotePrefix="1" applyFont="1" applyAlignment="1">
      <alignment horizontal="left" indent="2"/>
    </xf>
    <xf numFmtId="0" fontId="25" fillId="0" borderId="0" xfId="2" applyFont="1" applyAlignment="1">
      <alignment horizontal="left" vertical="top" indent="1"/>
    </xf>
    <xf numFmtId="0" fontId="25" fillId="0" borderId="0" xfId="2" applyFont="1" applyAlignment="1">
      <alignment horizontal="left" vertical="top" wrapText="1" indent="1"/>
    </xf>
    <xf numFmtId="0" fontId="9" fillId="0" borderId="0" xfId="2" quotePrefix="1" applyFont="1" applyAlignment="1">
      <alignment horizontal="left" vertical="top" indent="2"/>
    </xf>
    <xf numFmtId="0" fontId="25" fillId="0" borderId="0" xfId="2" applyFont="1" applyAlignment="1">
      <alignment horizontal="left" vertical="top" wrapText="1"/>
    </xf>
    <xf numFmtId="0" fontId="3" fillId="0" borderId="0" xfId="2" applyAlignment="1">
      <alignment wrapText="1"/>
    </xf>
    <xf numFmtId="0" fontId="7" fillId="0" borderId="0" xfId="2" applyFont="1" applyAlignment="1">
      <alignment vertical="top" wrapText="1"/>
    </xf>
    <xf numFmtId="168" fontId="10" fillId="0" borderId="1" xfId="2" applyNumberFormat="1" applyFont="1" applyBorder="1" applyAlignment="1">
      <alignment horizontal="right" vertical="center" wrapText="1"/>
    </xf>
    <xf numFmtId="170" fontId="62" fillId="0" borderId="0" xfId="2" applyNumberFormat="1" applyFont="1" applyAlignment="1">
      <alignment horizontal="center" vertical="center"/>
    </xf>
    <xf numFmtId="170" fontId="62" fillId="0" borderId="0" xfId="2" applyNumberFormat="1" applyFont="1" applyAlignment="1">
      <alignment horizontal="center"/>
    </xf>
    <xf numFmtId="170" fontId="39" fillId="0" borderId="0" xfId="2" applyNumberFormat="1" applyFont="1"/>
    <xf numFmtId="170" fontId="64" fillId="0" borderId="0" xfId="2" applyNumberFormat="1" applyFont="1" applyAlignment="1">
      <alignment horizontal="left" vertical="center" wrapText="1"/>
    </xf>
    <xf numFmtId="172" fontId="53" fillId="0" borderId="5" xfId="2" applyNumberFormat="1" applyFont="1" applyBorder="1" applyAlignment="1">
      <alignment horizontal="right" vertical="center" wrapText="1"/>
    </xf>
    <xf numFmtId="170" fontId="57" fillId="0" borderId="0" xfId="2" applyNumberFormat="1" applyFont="1"/>
    <xf numFmtId="0" fontId="53" fillId="0" borderId="0" xfId="2" applyFont="1" applyAlignment="1">
      <alignment vertical="center"/>
    </xf>
    <xf numFmtId="166" fontId="11" fillId="0" borderId="0" xfId="2" applyNumberFormat="1" applyFont="1" applyAlignment="1">
      <alignment horizontal="left" vertical="center" wrapText="1"/>
    </xf>
    <xf numFmtId="0" fontId="34" fillId="0" borderId="0" xfId="2" applyFont="1"/>
    <xf numFmtId="169" fontId="9" fillId="0" borderId="0" xfId="2" applyNumberFormat="1" applyFont="1" applyAlignment="1">
      <alignment horizontal="right" vertical="top"/>
    </xf>
    <xf numFmtId="170" fontId="21" fillId="0" borderId="0" xfId="2" applyNumberFormat="1" applyFont="1" applyAlignment="1" applyProtection="1">
      <alignment horizontal="left" vertical="center" wrapText="1"/>
      <protection locked="0"/>
    </xf>
    <xf numFmtId="1" fontId="11" fillId="0" borderId="0" xfId="2" applyNumberFormat="1" applyFont="1" applyAlignment="1" applyProtection="1">
      <alignment vertical="top" wrapText="1"/>
      <protection locked="0"/>
    </xf>
    <xf numFmtId="0" fontId="25" fillId="0" borderId="0" xfId="2" applyFont="1" applyAlignment="1" applyProtection="1">
      <alignment vertical="top" wrapText="1"/>
      <protection locked="0"/>
    </xf>
    <xf numFmtId="166" fontId="9" fillId="0" borderId="0" xfId="2" applyNumberFormat="1" applyFont="1" applyAlignment="1" applyProtection="1">
      <alignment vertical="center" wrapText="1"/>
      <protection locked="0"/>
    </xf>
    <xf numFmtId="1" fontId="11" fillId="0" borderId="0" xfId="2" applyNumberFormat="1" applyFont="1" applyAlignment="1" applyProtection="1">
      <alignment horizontal="left" vertical="top" wrapText="1"/>
      <protection locked="0"/>
    </xf>
    <xf numFmtId="0" fontId="53" fillId="0" borderId="0" xfId="2" applyFont="1" applyAlignment="1" applyProtection="1">
      <alignment vertical="top"/>
      <protection locked="0"/>
    </xf>
    <xf numFmtId="166" fontId="33" fillId="0" borderId="0" xfId="2" applyNumberFormat="1" applyFont="1" applyAlignment="1" applyProtection="1">
      <alignment vertical="center" wrapText="1"/>
      <protection locked="0"/>
    </xf>
    <xf numFmtId="1" fontId="8" fillId="0" borderId="0" xfId="2" applyNumberFormat="1" applyFont="1" applyAlignment="1" applyProtection="1">
      <alignment vertical="top"/>
      <protection locked="0"/>
    </xf>
    <xf numFmtId="166" fontId="21" fillId="4" borderId="2" xfId="2" applyNumberFormat="1" applyFont="1" applyFill="1" applyBorder="1" applyAlignment="1" applyProtection="1">
      <alignment vertical="center" wrapText="1"/>
      <protection locked="0"/>
    </xf>
    <xf numFmtId="0" fontId="31" fillId="0" borderId="0" xfId="1" applyFont="1" applyAlignment="1">
      <alignment wrapText="1"/>
    </xf>
    <xf numFmtId="0" fontId="85" fillId="0" borderId="0" xfId="14" applyFill="1" applyProtection="1"/>
    <xf numFmtId="0" fontId="31" fillId="13" borderId="0" xfId="1" applyFont="1" applyFill="1" applyAlignment="1">
      <alignment wrapText="1"/>
    </xf>
    <xf numFmtId="0" fontId="2" fillId="8" borderId="0" xfId="1" applyFill="1" applyAlignment="1">
      <alignment horizontal="right"/>
    </xf>
    <xf numFmtId="0" fontId="2" fillId="0" borderId="0" xfId="1" applyAlignment="1">
      <alignment horizontal="left" vertical="top" wrapText="1"/>
    </xf>
    <xf numFmtId="0" fontId="0" fillId="0" borderId="7" xfId="0" applyBorder="1"/>
    <xf numFmtId="0" fontId="2" fillId="0" borderId="4" xfId="1" applyBorder="1"/>
    <xf numFmtId="0" fontId="2" fillId="0" borderId="8" xfId="1" applyBorder="1" applyAlignment="1">
      <alignment horizontal="right"/>
    </xf>
    <xf numFmtId="0" fontId="85" fillId="0" borderId="11" xfId="14" applyFill="1" applyBorder="1" applyAlignment="1" applyProtection="1">
      <alignment horizontal="left" vertical="top" wrapText="1"/>
    </xf>
    <xf numFmtId="0" fontId="85" fillId="0" borderId="0" xfId="14" applyBorder="1" applyAlignment="1" applyProtection="1">
      <alignment horizontal="left" vertical="top" wrapText="1"/>
    </xf>
    <xf numFmtId="164" fontId="18" fillId="0" borderId="0" xfId="2" applyNumberFormat="1" applyFont="1"/>
    <xf numFmtId="166" fontId="18" fillId="0" borderId="0" xfId="2" applyNumberFormat="1" applyFont="1"/>
    <xf numFmtId="166" fontId="18" fillId="0" borderId="0" xfId="2" applyNumberFormat="1" applyFont="1" applyAlignment="1">
      <alignment vertical="center" wrapText="1"/>
    </xf>
    <xf numFmtId="167" fontId="18" fillId="0" borderId="0" xfId="8" applyNumberFormat="1" applyFont="1" applyAlignment="1">
      <alignment vertical="top"/>
    </xf>
    <xf numFmtId="167" fontId="18" fillId="0" borderId="0" xfId="1" applyNumberFormat="1" applyFont="1" applyAlignment="1">
      <alignment vertical="top"/>
    </xf>
    <xf numFmtId="167" fontId="18" fillId="0" borderId="0" xfId="5" applyNumberFormat="1" applyFont="1" applyAlignment="1">
      <alignment vertical="top" wrapText="1"/>
    </xf>
    <xf numFmtId="167" fontId="18" fillId="0" borderId="0" xfId="5" applyNumberFormat="1" applyFont="1" applyAlignment="1">
      <alignment vertical="top"/>
    </xf>
    <xf numFmtId="167" fontId="18" fillId="0" borderId="0" xfId="5" applyNumberFormat="1" applyFont="1" applyAlignment="1">
      <alignment horizontal="left" vertical="top"/>
    </xf>
    <xf numFmtId="170" fontId="38" fillId="0" borderId="0" xfId="2" applyNumberFormat="1" applyFont="1" applyAlignment="1">
      <alignment horizontal="right" vertical="center"/>
    </xf>
    <xf numFmtId="166" fontId="38" fillId="0" borderId="0" xfId="2" applyNumberFormat="1" applyFont="1" applyAlignment="1">
      <alignment horizontal="right" vertical="center"/>
    </xf>
    <xf numFmtId="170" fontId="18" fillId="0" borderId="0" xfId="2" applyNumberFormat="1" applyFont="1" applyAlignment="1">
      <alignment vertical="top" wrapText="1"/>
    </xf>
    <xf numFmtId="1" fontId="85" fillId="0" borderId="11" xfId="14" applyNumberFormat="1" applyFill="1" applyBorder="1" applyAlignment="1" applyProtection="1">
      <alignment horizontal="left" vertical="top" wrapText="1"/>
    </xf>
    <xf numFmtId="1" fontId="85" fillId="0" borderId="0" xfId="14" applyNumberFormat="1" applyBorder="1" applyAlignment="1" applyProtection="1">
      <alignment horizontal="left" vertical="top" wrapText="1"/>
    </xf>
    <xf numFmtId="170" fontId="18" fillId="0" borderId="0" xfId="2" applyNumberFormat="1" applyFont="1" applyAlignment="1">
      <alignment vertical="center"/>
    </xf>
    <xf numFmtId="170" fontId="18" fillId="0" borderId="0" xfId="2" applyNumberFormat="1" applyFont="1" applyAlignment="1">
      <alignment horizontal="right" vertical="center"/>
    </xf>
    <xf numFmtId="167" fontId="18" fillId="0" borderId="0" xfId="8" applyNumberFormat="1" applyFont="1" applyAlignment="1">
      <alignment wrapText="1"/>
    </xf>
    <xf numFmtId="170" fontId="38" fillId="0" borderId="0" xfId="2" applyNumberFormat="1" applyFont="1" applyAlignment="1">
      <alignment horizontal="right" vertical="center" wrapText="1"/>
    </xf>
    <xf numFmtId="170" fontId="38" fillId="0" borderId="0" xfId="2" applyNumberFormat="1" applyFont="1" applyAlignment="1">
      <alignment vertical="top" wrapText="1"/>
    </xf>
    <xf numFmtId="0" fontId="85" fillId="0" borderId="11" xfId="14" applyBorder="1" applyProtection="1"/>
    <xf numFmtId="0" fontId="85" fillId="0" borderId="0" xfId="14" applyBorder="1" applyAlignment="1" applyProtection="1">
      <alignment horizontal="left" vertical="top"/>
    </xf>
    <xf numFmtId="0" fontId="85" fillId="0" borderId="9" xfId="14" applyBorder="1" applyAlignment="1" applyProtection="1">
      <alignment horizontal="left" vertical="top" wrapText="1"/>
    </xf>
    <xf numFmtId="0" fontId="85" fillId="0" borderId="1" xfId="14" applyBorder="1" applyAlignment="1" applyProtection="1">
      <alignment horizontal="left" vertical="top" wrapText="1"/>
    </xf>
    <xf numFmtId="0" fontId="11" fillId="0" borderId="0" xfId="2" applyFont="1" applyAlignment="1">
      <alignment vertical="top" wrapText="1"/>
    </xf>
    <xf numFmtId="0" fontId="11" fillId="0" borderId="0" xfId="2" applyFont="1" applyAlignment="1">
      <alignment horizontal="left" vertical="top" wrapText="1"/>
    </xf>
    <xf numFmtId="0" fontId="91" fillId="13" borderId="0" xfId="2" applyFont="1" applyFill="1"/>
    <xf numFmtId="0" fontId="0" fillId="0" borderId="0" xfId="0" applyAlignment="1">
      <alignment vertical="center"/>
    </xf>
    <xf numFmtId="0" fontId="34" fillId="0" borderId="0" xfId="2" applyFont="1" applyAlignment="1">
      <alignment horizontal="justify" vertical="center"/>
    </xf>
    <xf numFmtId="0" fontId="97" fillId="0" borderId="0" xfId="2" quotePrefix="1" applyFont="1" applyAlignment="1">
      <alignment horizontal="justify" vertical="center" wrapText="1"/>
    </xf>
    <xf numFmtId="0" fontId="9" fillId="13" borderId="0" xfId="2" applyFont="1" applyFill="1" applyAlignment="1" applyProtection="1">
      <alignment horizontal="left" vertical="center"/>
      <protection locked="0"/>
    </xf>
    <xf numFmtId="0" fontId="2" fillId="0" borderId="0" xfId="15" applyAlignment="1" applyProtection="1">
      <alignment vertical="center"/>
      <protection locked="0"/>
    </xf>
    <xf numFmtId="0" fontId="9" fillId="0" borderId="0" xfId="2" applyFont="1" applyAlignment="1" applyProtection="1">
      <alignment horizontal="justify" vertical="center"/>
      <protection locked="0"/>
    </xf>
    <xf numFmtId="0" fontId="8" fillId="0" borderId="0" xfId="2" applyFont="1" applyAlignment="1" applyProtection="1">
      <alignment horizontal="justify" vertical="center"/>
      <protection locked="0"/>
    </xf>
    <xf numFmtId="0" fontId="9" fillId="0" borderId="0" xfId="2" applyFont="1" applyAlignment="1" applyProtection="1">
      <alignment vertical="center"/>
      <protection locked="0"/>
    </xf>
    <xf numFmtId="0" fontId="40" fillId="0" borderId="0" xfId="2" applyFont="1" applyAlignment="1" applyProtection="1">
      <alignment horizontal="left" vertical="center"/>
      <protection locked="0"/>
    </xf>
    <xf numFmtId="0" fontId="8" fillId="0" borderId="0" xfId="2" applyFont="1" applyAlignment="1" applyProtection="1">
      <alignment horizontal="left" vertical="center"/>
      <protection locked="0"/>
    </xf>
    <xf numFmtId="0" fontId="118" fillId="0" borderId="0" xfId="0" applyFont="1" applyAlignment="1" applyProtection="1">
      <alignment horizontal="justify" vertical="center"/>
      <protection locked="0"/>
    </xf>
    <xf numFmtId="166" fontId="53" fillId="0" borderId="5" xfId="2" applyNumberFormat="1" applyFont="1" applyBorder="1" applyAlignment="1">
      <alignment horizontal="center" wrapText="1"/>
    </xf>
    <xf numFmtId="170" fontId="71" fillId="0" borderId="0" xfId="2" applyNumberFormat="1" applyFont="1" applyAlignment="1">
      <alignment horizontal="right"/>
    </xf>
    <xf numFmtId="166" fontId="70" fillId="7" borderId="0" xfId="2" applyNumberFormat="1" applyFont="1" applyFill="1"/>
    <xf numFmtId="167" fontId="69" fillId="0" borderId="0" xfId="11" applyNumberFormat="1" applyFont="1" applyAlignment="1">
      <alignment vertical="top"/>
    </xf>
    <xf numFmtId="170" fontId="38" fillId="0" borderId="0" xfId="2" applyNumberFormat="1" applyFont="1" applyAlignment="1">
      <alignment horizontal="justify" wrapText="1"/>
    </xf>
    <xf numFmtId="170" fontId="18" fillId="0" borderId="0" xfId="2" applyNumberFormat="1" applyFont="1" applyAlignment="1">
      <alignment horizontal="left"/>
    </xf>
    <xf numFmtId="170" fontId="38" fillId="0" borderId="0" xfId="2" applyNumberFormat="1" applyFont="1" applyAlignment="1">
      <alignment horizontal="left"/>
    </xf>
    <xf numFmtId="0" fontId="38" fillId="11" borderId="0" xfId="2" applyFont="1" applyFill="1" applyAlignment="1" applyProtection="1">
      <alignment horizontal="right"/>
      <protection locked="0"/>
    </xf>
    <xf numFmtId="0" fontId="78" fillId="0" borderId="0" xfId="2" applyFont="1" applyProtection="1">
      <protection locked="0"/>
    </xf>
    <xf numFmtId="166" fontId="53" fillId="0" borderId="0" xfId="2" applyNumberFormat="1" applyFont="1" applyAlignment="1" applyProtection="1">
      <alignment vertical="center" wrapText="1"/>
      <protection locked="0"/>
    </xf>
    <xf numFmtId="166" fontId="53" fillId="0" borderId="0" xfId="2" applyNumberFormat="1" applyFont="1" applyAlignment="1" applyProtection="1">
      <alignment vertical="center"/>
      <protection locked="0"/>
    </xf>
    <xf numFmtId="167" fontId="18" fillId="0" borderId="0" xfId="9" applyNumberFormat="1" applyFont="1" applyProtection="1">
      <protection locked="0"/>
    </xf>
    <xf numFmtId="167" fontId="18" fillId="0" borderId="0" xfId="9" applyNumberFormat="1" applyFont="1" applyAlignment="1" applyProtection="1">
      <alignment horizontal="left"/>
      <protection locked="0"/>
    </xf>
    <xf numFmtId="0" fontId="18" fillId="0" borderId="0" xfId="1" applyFont="1" applyAlignment="1" applyProtection="1">
      <alignment horizontal="left" indent="1"/>
      <protection locked="0"/>
    </xf>
    <xf numFmtId="0" fontId="18" fillId="0" borderId="0" xfId="1" applyFont="1" applyProtection="1">
      <protection locked="0"/>
    </xf>
    <xf numFmtId="166" fontId="70" fillId="7" borderId="0" xfId="2" applyNumberFormat="1" applyFont="1" applyFill="1" applyAlignment="1" applyProtection="1">
      <alignment horizontal="left" wrapText="1" indent="1"/>
      <protection locked="0"/>
    </xf>
    <xf numFmtId="0" fontId="48" fillId="0" borderId="0" xfId="1" applyFont="1" applyProtection="1">
      <protection locked="0"/>
    </xf>
    <xf numFmtId="0" fontId="74" fillId="0" borderId="0" xfId="2" applyFont="1" applyProtection="1">
      <protection locked="0"/>
    </xf>
    <xf numFmtId="170" fontId="38" fillId="0" borderId="0" xfId="2" quotePrefix="1" applyNumberFormat="1" applyFont="1" applyAlignment="1" applyProtection="1">
      <alignment horizontal="left"/>
      <protection locked="0"/>
    </xf>
    <xf numFmtId="4" fontId="6" fillId="2" borderId="0" xfId="2" applyNumberFormat="1" applyFont="1" applyFill="1" applyAlignment="1" applyProtection="1">
      <alignment vertical="center"/>
      <protection locked="0"/>
    </xf>
    <xf numFmtId="0" fontId="5" fillId="0" borderId="0" xfId="2" applyFont="1" applyAlignment="1" applyProtection="1">
      <alignment vertical="center"/>
      <protection locked="0"/>
    </xf>
    <xf numFmtId="4" fontId="6" fillId="2" borderId="0" xfId="2" applyNumberFormat="1" applyFont="1" applyFill="1" applyProtection="1">
      <protection locked="0"/>
    </xf>
    <xf numFmtId="0" fontId="7" fillId="2" borderId="0" xfId="2" applyFont="1" applyFill="1" applyProtection="1">
      <protection locked="0"/>
    </xf>
    <xf numFmtId="0" fontId="7" fillId="0" borderId="0" xfId="2" applyFont="1" applyAlignment="1" applyProtection="1">
      <alignment vertical="top" wrapText="1"/>
      <protection locked="0"/>
    </xf>
    <xf numFmtId="4" fontId="7" fillId="2" borderId="0" xfId="2" applyNumberFormat="1" applyFont="1" applyFill="1" applyProtection="1">
      <protection locked="0"/>
    </xf>
    <xf numFmtId="170" fontId="56" fillId="0" borderId="0" xfId="2" applyNumberFormat="1" applyFont="1" applyAlignment="1" applyProtection="1">
      <alignment horizontal="left"/>
      <protection locked="0"/>
    </xf>
    <xf numFmtId="1" fontId="78" fillId="0" borderId="0" xfId="2" applyNumberFormat="1" applyFont="1" applyAlignment="1" applyProtection="1">
      <alignment horizontal="left" wrapText="1"/>
      <protection locked="0"/>
    </xf>
    <xf numFmtId="167" fontId="48" fillId="0" borderId="0" xfId="9" applyNumberFormat="1" applyFont="1" applyAlignment="1">
      <alignment horizontal="left" wrapText="1"/>
    </xf>
    <xf numFmtId="49" fontId="38" fillId="0" borderId="0" xfId="2" applyNumberFormat="1" applyFont="1" applyAlignment="1" applyProtection="1">
      <alignment horizontal="left" wrapText="1"/>
      <protection locked="0"/>
    </xf>
    <xf numFmtId="167" fontId="18" fillId="0" borderId="0" xfId="1" quotePrefix="1" applyNumberFormat="1" applyFont="1" applyAlignment="1" applyProtection="1">
      <alignment horizontal="left" wrapText="1"/>
      <protection locked="0"/>
    </xf>
    <xf numFmtId="0" fontId="18" fillId="0" borderId="0" xfId="2" applyFont="1" applyAlignment="1" applyProtection="1">
      <alignment horizontal="left" wrapText="1"/>
      <protection locked="0"/>
    </xf>
    <xf numFmtId="0" fontId="9" fillId="0" borderId="0" xfId="2" applyFont="1" applyAlignment="1" applyProtection="1">
      <alignment horizontal="left" vertical="center"/>
      <protection locked="0"/>
    </xf>
    <xf numFmtId="0" fontId="34" fillId="0" borderId="0" xfId="2" applyFont="1" applyAlignment="1" applyProtection="1">
      <alignment horizontal="justify" vertical="center" wrapText="1"/>
      <protection locked="0"/>
    </xf>
    <xf numFmtId="0" fontId="34" fillId="0" borderId="0" xfId="2" applyFont="1" applyAlignment="1" applyProtection="1">
      <alignment horizontal="left" vertical="center"/>
      <protection locked="0"/>
    </xf>
    <xf numFmtId="172" fontId="53" fillId="0" borderId="5" xfId="2" applyNumberFormat="1" applyFont="1" applyBorder="1" applyAlignment="1" applyProtection="1">
      <alignment horizontal="right" wrapText="1"/>
      <protection locked="0"/>
    </xf>
    <xf numFmtId="14" fontId="53" fillId="0" borderId="5" xfId="2" applyNumberFormat="1" applyFont="1" applyBorder="1" applyAlignment="1" applyProtection="1">
      <alignment horizontal="right" wrapText="1"/>
      <protection locked="0"/>
    </xf>
    <xf numFmtId="166" fontId="70" fillId="0" borderId="0" xfId="2" applyNumberFormat="1" applyFont="1" applyAlignment="1" applyProtection="1">
      <alignment horizontal="left" wrapText="1"/>
      <protection locked="0"/>
    </xf>
    <xf numFmtId="0" fontId="70" fillId="0" borderId="0" xfId="2" applyFont="1" applyAlignment="1" applyProtection="1">
      <alignment horizontal="left"/>
      <protection locked="0"/>
    </xf>
    <xf numFmtId="0" fontId="70" fillId="0" borderId="0" xfId="2" applyFont="1" applyAlignment="1">
      <alignment horizontal="left" wrapText="1"/>
    </xf>
    <xf numFmtId="0" fontId="73" fillId="0" borderId="0" xfId="0" applyFont="1" applyAlignment="1" applyProtection="1">
      <alignment vertical="center" wrapText="1"/>
      <protection locked="0"/>
    </xf>
    <xf numFmtId="170" fontId="53" fillId="0" borderId="0" xfId="2" applyNumberFormat="1" applyFont="1" applyProtection="1">
      <protection locked="0"/>
    </xf>
    <xf numFmtId="167" fontId="48" fillId="0" borderId="0" xfId="9" applyNumberFormat="1" applyFont="1" applyAlignment="1" applyProtection="1">
      <alignment horizontal="left" wrapText="1"/>
      <protection locked="0"/>
    </xf>
    <xf numFmtId="167" fontId="38" fillId="0" borderId="0" xfId="9" applyNumberFormat="1" applyFont="1" applyAlignment="1" applyProtection="1">
      <alignment horizontal="right" wrapText="1"/>
      <protection locked="0"/>
    </xf>
    <xf numFmtId="0" fontId="70" fillId="0" borderId="0" xfId="2" applyFont="1" applyAlignment="1" applyProtection="1">
      <alignment horizontal="left" wrapText="1"/>
      <protection locked="0"/>
    </xf>
    <xf numFmtId="172" fontId="53" fillId="0" borderId="1" xfId="2" applyNumberFormat="1" applyFont="1" applyBorder="1" applyAlignment="1" applyProtection="1">
      <alignment horizontal="right" wrapText="1"/>
      <protection locked="0"/>
    </xf>
    <xf numFmtId="0" fontId="38" fillId="0" borderId="0" xfId="6" applyFont="1" applyAlignment="1" applyProtection="1">
      <alignment vertical="center"/>
      <protection locked="0"/>
    </xf>
    <xf numFmtId="166" fontId="70" fillId="0" borderId="0" xfId="2" applyNumberFormat="1" applyFont="1" applyAlignment="1" applyProtection="1">
      <alignment horizontal="left"/>
      <protection locked="0"/>
    </xf>
    <xf numFmtId="167" fontId="38" fillId="0" borderId="0" xfId="11" applyNumberFormat="1" applyFont="1" applyProtection="1">
      <protection locked="0"/>
    </xf>
    <xf numFmtId="172" fontId="53" fillId="0" borderId="5" xfId="2" applyNumberFormat="1" applyFont="1" applyBorder="1" applyAlignment="1" applyProtection="1">
      <alignment horizontal="center" wrapText="1"/>
      <protection locked="0"/>
    </xf>
    <xf numFmtId="167" fontId="18" fillId="0" borderId="0" xfId="11" applyNumberFormat="1" applyFont="1" applyAlignment="1" applyProtection="1">
      <alignment horizontal="left" wrapText="1"/>
      <protection locked="0"/>
    </xf>
    <xf numFmtId="167" fontId="38" fillId="0" borderId="0" xfId="11" applyNumberFormat="1" applyFont="1" applyAlignment="1" applyProtection="1">
      <alignment horizontal="left" wrapText="1"/>
      <protection locked="0"/>
    </xf>
    <xf numFmtId="167" fontId="71" fillId="0" borderId="0" xfId="11" applyNumberFormat="1" applyFont="1" applyProtection="1">
      <protection locked="0"/>
    </xf>
    <xf numFmtId="167" fontId="38" fillId="0" borderId="0" xfId="11" applyNumberFormat="1" applyFont="1" applyAlignment="1" applyProtection="1">
      <alignment vertical="top" wrapText="1"/>
      <protection locked="0"/>
    </xf>
    <xf numFmtId="167" fontId="73" fillId="0" borderId="0" xfId="11" applyNumberFormat="1" applyFont="1" applyProtection="1">
      <protection locked="0"/>
    </xf>
    <xf numFmtId="166" fontId="53" fillId="0" borderId="5" xfId="2" applyNumberFormat="1" applyFont="1" applyBorder="1" applyAlignment="1" applyProtection="1">
      <alignment horizontal="right" wrapText="1"/>
      <protection locked="0"/>
    </xf>
    <xf numFmtId="170" fontId="38" fillId="0" borderId="0" xfId="1" applyNumberFormat="1" applyFont="1" applyAlignment="1" applyProtection="1">
      <alignment vertical="center"/>
      <protection locked="0"/>
    </xf>
    <xf numFmtId="170" fontId="38" fillId="0" borderId="0" xfId="2" applyNumberFormat="1" applyFont="1" applyAlignment="1" applyProtection="1">
      <alignment wrapText="1"/>
      <protection locked="0"/>
    </xf>
    <xf numFmtId="0" fontId="38" fillId="0" borderId="0" xfId="2" applyFont="1" applyAlignment="1" applyProtection="1">
      <alignment horizontal="justify" wrapText="1"/>
      <protection locked="0"/>
    </xf>
    <xf numFmtId="170" fontId="38" fillId="0" borderId="0" xfId="2" applyNumberFormat="1" applyFont="1" applyAlignment="1" applyProtection="1">
      <alignment vertical="center" wrapText="1"/>
      <protection locked="0"/>
    </xf>
    <xf numFmtId="0" fontId="38" fillId="0" borderId="0" xfId="6" applyFont="1" applyAlignment="1" applyProtection="1">
      <alignment horizontal="justify" vertical="center" wrapText="1"/>
      <protection locked="0"/>
    </xf>
    <xf numFmtId="0" fontId="38" fillId="0" borderId="0" xfId="2" quotePrefix="1" applyFont="1" applyAlignment="1" applyProtection="1">
      <alignment vertical="top" wrapText="1"/>
      <protection locked="0"/>
    </xf>
    <xf numFmtId="0" fontId="53" fillId="0" borderId="1" xfId="2" applyFont="1" applyBorder="1" applyAlignment="1" applyProtection="1">
      <alignment horizontal="center" wrapText="1"/>
      <protection locked="0"/>
    </xf>
    <xf numFmtId="0" fontId="13" fillId="0" borderId="0" xfId="2" applyFont="1" applyAlignment="1" applyProtection="1">
      <alignment vertical="center"/>
      <protection locked="0"/>
    </xf>
    <xf numFmtId="0" fontId="5" fillId="2" borderId="0" xfId="2" applyFont="1" applyFill="1" applyAlignment="1" applyProtection="1">
      <alignment vertical="top" wrapText="1"/>
      <protection locked="0"/>
    </xf>
    <xf numFmtId="0" fontId="5" fillId="0" borderId="0" xfId="2" applyFont="1" applyProtection="1">
      <protection locked="0"/>
    </xf>
    <xf numFmtId="0" fontId="5" fillId="2" borderId="0" xfId="2" applyFont="1" applyFill="1" applyProtection="1">
      <protection locked="0"/>
    </xf>
    <xf numFmtId="0" fontId="4" fillId="0" borderId="0" xfId="2" applyFont="1" applyProtection="1">
      <protection locked="0"/>
    </xf>
    <xf numFmtId="0" fontId="4" fillId="2" borderId="0" xfId="2" applyFont="1" applyFill="1" applyProtection="1">
      <protection locked="0"/>
    </xf>
    <xf numFmtId="0" fontId="9" fillId="2" borderId="0" xfId="2" applyFont="1" applyFill="1" applyAlignment="1" applyProtection="1">
      <alignment vertical="top" wrapText="1"/>
      <protection locked="0"/>
    </xf>
    <xf numFmtId="0" fontId="13" fillId="0" borderId="0" xfId="2" applyFont="1" applyProtection="1">
      <protection locked="0"/>
    </xf>
    <xf numFmtId="0" fontId="35" fillId="0" borderId="0" xfId="2" applyFont="1" applyProtection="1">
      <protection locked="0"/>
    </xf>
    <xf numFmtId="0" fontId="18" fillId="0" borderId="0" xfId="2" applyFont="1" applyProtection="1">
      <protection locked="0"/>
    </xf>
    <xf numFmtId="170" fontId="21" fillId="0" borderId="0" xfId="2" applyNumberFormat="1" applyFont="1" applyAlignment="1" applyProtection="1">
      <alignment horizontal="justify" vertical="center"/>
      <protection locked="0"/>
    </xf>
    <xf numFmtId="0" fontId="18" fillId="0" borderId="0" xfId="2" applyFont="1" applyAlignment="1" applyProtection="1">
      <alignment horizontal="justify" vertical="center"/>
      <protection locked="0"/>
    </xf>
    <xf numFmtId="0" fontId="18" fillId="10" borderId="0" xfId="15" applyFont="1" applyFill="1" applyAlignment="1">
      <alignment vertical="center" wrapText="1"/>
    </xf>
    <xf numFmtId="0" fontId="9" fillId="10" borderId="0" xfId="2" applyFont="1" applyFill="1" applyAlignment="1" applyProtection="1">
      <alignment horizontal="justify" vertical="center"/>
      <protection locked="0"/>
    </xf>
    <xf numFmtId="0" fontId="18" fillId="10" borderId="0" xfId="15" applyFont="1" applyFill="1" applyAlignment="1" applyProtection="1">
      <alignment vertical="center" wrapText="1"/>
      <protection locked="0"/>
    </xf>
    <xf numFmtId="0" fontId="9" fillId="0" borderId="0" xfId="2" applyFont="1" applyProtection="1">
      <protection locked="0"/>
    </xf>
    <xf numFmtId="170" fontId="21" fillId="0" borderId="0" xfId="2" applyNumberFormat="1" applyFont="1" applyAlignment="1" applyProtection="1">
      <alignment vertical="center"/>
      <protection locked="0"/>
    </xf>
    <xf numFmtId="170" fontId="21" fillId="0" borderId="0" xfId="2" applyNumberFormat="1" applyFont="1" applyProtection="1">
      <protection locked="0"/>
    </xf>
    <xf numFmtId="0" fontId="28" fillId="0" borderId="0" xfId="2" applyFont="1" applyAlignment="1" applyProtection="1">
      <alignment horizontal="left"/>
      <protection locked="0"/>
    </xf>
    <xf numFmtId="0" fontId="9" fillId="0" borderId="0" xfId="2" applyFont="1" applyAlignment="1" applyProtection="1">
      <alignment horizontal="left"/>
      <protection locked="0"/>
    </xf>
    <xf numFmtId="0" fontId="67" fillId="0" borderId="0" xfId="2" applyFont="1" applyAlignment="1" applyProtection="1">
      <alignment horizontal="justify" vertical="top"/>
      <protection locked="0"/>
    </xf>
    <xf numFmtId="0" fontId="8" fillId="0" borderId="0" xfId="2" applyFont="1" applyAlignment="1" applyProtection="1">
      <alignment horizontal="justify" vertical="top"/>
      <protection locked="0"/>
    </xf>
    <xf numFmtId="0" fontId="9" fillId="0" borderId="0" xfId="2" applyFont="1" applyAlignment="1" applyProtection="1">
      <alignment horizontal="justify" vertical="top"/>
      <protection locked="0"/>
    </xf>
    <xf numFmtId="0" fontId="18" fillId="0" borderId="0" xfId="1" applyFont="1" applyAlignment="1" applyProtection="1">
      <alignment horizontal="justify"/>
      <protection locked="0"/>
    </xf>
    <xf numFmtId="0" fontId="68" fillId="0" borderId="0" xfId="1" applyFont="1" applyAlignment="1" applyProtection="1">
      <alignment horizontal="justify"/>
      <protection locked="0"/>
    </xf>
    <xf numFmtId="170" fontId="64" fillId="0" borderId="0" xfId="2" applyNumberFormat="1" applyFont="1" applyAlignment="1" applyProtection="1">
      <alignment vertical="center"/>
      <protection locked="0"/>
    </xf>
    <xf numFmtId="0" fontId="9" fillId="0" borderId="0" xfId="2" applyFont="1" applyAlignment="1" applyProtection="1">
      <alignment horizontal="right"/>
      <protection locked="0"/>
    </xf>
    <xf numFmtId="0" fontId="34" fillId="0" borderId="0" xfId="2" applyFont="1" applyAlignment="1" applyProtection="1">
      <alignment vertical="center" wrapText="1"/>
      <protection locked="0"/>
    </xf>
    <xf numFmtId="0" fontId="34" fillId="0" borderId="0" xfId="2" applyFont="1" applyAlignment="1" applyProtection="1">
      <alignment vertical="top" wrapText="1"/>
      <protection locked="0"/>
    </xf>
    <xf numFmtId="0" fontId="40" fillId="0" borderId="0" xfId="2" applyFont="1" applyAlignment="1" applyProtection="1">
      <alignment horizontal="left"/>
      <protection locked="0"/>
    </xf>
    <xf numFmtId="0" fontId="18" fillId="0" borderId="0" xfId="1" applyFont="1" applyAlignment="1" applyProtection="1">
      <alignment vertical="center" wrapText="1"/>
      <protection locked="0"/>
    </xf>
    <xf numFmtId="0" fontId="18" fillId="0" borderId="0" xfId="1" applyFont="1" applyAlignment="1" applyProtection="1">
      <alignment wrapText="1"/>
      <protection locked="0"/>
    </xf>
    <xf numFmtId="0" fontId="34" fillId="0" borderId="0" xfId="2" applyFont="1" applyAlignment="1" applyProtection="1">
      <alignment wrapText="1"/>
      <protection locked="0"/>
    </xf>
    <xf numFmtId="0" fontId="34" fillId="0" borderId="0" xfId="2" applyFont="1" applyAlignment="1" applyProtection="1">
      <alignment horizontal="justify" wrapText="1"/>
      <protection locked="0"/>
    </xf>
    <xf numFmtId="0" fontId="9" fillId="10" borderId="0" xfId="2" applyFont="1" applyFill="1" applyAlignment="1" applyProtection="1">
      <alignment horizontal="justify" vertical="top"/>
      <protection locked="0"/>
    </xf>
    <xf numFmtId="0" fontId="102" fillId="0" borderId="0" xfId="1" applyFont="1" applyAlignment="1" applyProtection="1">
      <alignment horizontal="left" vertical="center"/>
      <protection locked="0"/>
    </xf>
    <xf numFmtId="0" fontId="42" fillId="0" borderId="0" xfId="1" applyFont="1" applyAlignment="1" applyProtection="1">
      <alignment horizontal="left" vertical="center"/>
      <protection locked="0"/>
    </xf>
    <xf numFmtId="0" fontId="102" fillId="0" borderId="0" xfId="1" applyFont="1" applyAlignment="1" applyProtection="1">
      <alignment horizontal="left"/>
      <protection locked="0"/>
    </xf>
    <xf numFmtId="0" fontId="28" fillId="0" borderId="0" xfId="1" applyFont="1" applyProtection="1">
      <protection locked="0"/>
    </xf>
    <xf numFmtId="0" fontId="63" fillId="0" borderId="0" xfId="2" applyFont="1" applyAlignment="1" applyProtection="1">
      <alignment vertical="center"/>
      <protection locked="0"/>
    </xf>
    <xf numFmtId="0" fontId="33" fillId="0" borderId="0" xfId="2" applyFont="1" applyAlignment="1" applyProtection="1">
      <alignment vertical="center"/>
      <protection locked="0"/>
    </xf>
    <xf numFmtId="0" fontId="33" fillId="0" borderId="0" xfId="2" applyFont="1" applyProtection="1">
      <protection locked="0"/>
    </xf>
    <xf numFmtId="0" fontId="48" fillId="0" borderId="0" xfId="2" applyFont="1" applyAlignment="1">
      <alignment horizontal="center" vertical="center" wrapText="1"/>
    </xf>
    <xf numFmtId="0" fontId="131" fillId="0" borderId="0" xfId="14" applyFont="1" applyAlignment="1" applyProtection="1">
      <alignment horizontal="center" vertical="center" wrapText="1"/>
      <protection locked="0"/>
    </xf>
    <xf numFmtId="0" fontId="131" fillId="0" borderId="0" xfId="14" applyFont="1" applyAlignment="1" applyProtection="1">
      <alignment horizontal="center" vertical="center"/>
      <protection locked="0"/>
    </xf>
    <xf numFmtId="0" fontId="131" fillId="0" borderId="0" xfId="14" applyFont="1" applyAlignment="1" applyProtection="1">
      <alignment horizontal="center" vertical="center"/>
    </xf>
    <xf numFmtId="0" fontId="119" fillId="0" borderId="0" xfId="0" applyFont="1" applyAlignment="1" applyProtection="1">
      <alignment horizontal="center" vertical="center"/>
      <protection locked="0"/>
    </xf>
    <xf numFmtId="0" fontId="119" fillId="0" borderId="0" xfId="0" applyFont="1" applyAlignment="1">
      <alignment horizontal="center" vertical="center"/>
    </xf>
    <xf numFmtId="0" fontId="48" fillId="0" borderId="0" xfId="2" applyFont="1" applyAlignment="1">
      <alignment horizontal="center" vertical="top" wrapText="1"/>
    </xf>
    <xf numFmtId="0" fontId="131" fillId="0" borderId="0" xfId="14" applyFont="1" applyAlignment="1" applyProtection="1">
      <alignment horizontal="center" vertical="top" wrapText="1"/>
      <protection locked="0"/>
    </xf>
    <xf numFmtId="0" fontId="131" fillId="0" borderId="0" xfId="14" applyFont="1" applyAlignment="1" applyProtection="1">
      <alignment horizontal="center"/>
      <protection locked="0"/>
    </xf>
    <xf numFmtId="0" fontId="131" fillId="0" borderId="0" xfId="14" applyFont="1" applyAlignment="1" applyProtection="1">
      <alignment horizontal="center"/>
    </xf>
    <xf numFmtId="0" fontId="119" fillId="0" borderId="0" xfId="0" applyFont="1" applyAlignment="1" applyProtection="1">
      <alignment horizontal="center"/>
      <protection locked="0"/>
    </xf>
    <xf numFmtId="0" fontId="119" fillId="0" borderId="0" xfId="0" applyFont="1" applyAlignment="1">
      <alignment horizontal="center"/>
    </xf>
    <xf numFmtId="0" fontId="48" fillId="0" borderId="0" xfId="2" applyFont="1" applyAlignment="1">
      <alignment horizontal="center"/>
    </xf>
    <xf numFmtId="173" fontId="57" fillId="0" borderId="0" xfId="2" quotePrefix="1" applyNumberFormat="1" applyFont="1" applyAlignment="1" applyProtection="1">
      <alignment horizontal="justify" vertical="center"/>
      <protection locked="0"/>
    </xf>
    <xf numFmtId="173" fontId="64" fillId="0" borderId="0" xfId="2" applyNumberFormat="1" applyFont="1" applyAlignment="1" applyProtection="1">
      <alignment horizontal="justify" vertical="center"/>
      <protection locked="0"/>
    </xf>
    <xf numFmtId="0" fontId="48" fillId="0" borderId="1" xfId="2" applyFont="1" applyBorder="1" applyAlignment="1">
      <alignment horizontal="center" vertical="center"/>
    </xf>
    <xf numFmtId="0" fontId="48" fillId="0" borderId="0" xfId="2" applyFont="1" applyAlignment="1">
      <alignment horizontal="center" vertical="center"/>
    </xf>
    <xf numFmtId="0" fontId="18" fillId="0" borderId="0" xfId="2" applyFont="1" applyAlignment="1">
      <alignment horizontal="center" vertical="center" wrapText="1"/>
    </xf>
    <xf numFmtId="0" fontId="18" fillId="6" borderId="0" xfId="2" applyFont="1" applyFill="1" applyAlignment="1">
      <alignment horizontal="center" vertical="center"/>
    </xf>
    <xf numFmtId="0" fontId="18" fillId="0" borderId="0" xfId="2" applyFont="1" applyAlignment="1">
      <alignment horizontal="center" vertical="center"/>
    </xf>
    <xf numFmtId="0" fontId="18" fillId="0" borderId="0" xfId="2" applyFont="1" applyAlignment="1">
      <alignment horizontal="center" vertical="top" wrapText="1"/>
    </xf>
    <xf numFmtId="0" fontId="18" fillId="6" borderId="0" xfId="2" applyFont="1" applyFill="1" applyAlignment="1">
      <alignment horizontal="center" vertical="top" wrapText="1"/>
    </xf>
    <xf numFmtId="0" fontId="18" fillId="6" borderId="0" xfId="2" applyFont="1" applyFill="1" applyAlignment="1">
      <alignment horizontal="center" vertical="top"/>
    </xf>
    <xf numFmtId="0" fontId="48" fillId="0" borderId="1" xfId="2" applyFont="1" applyBorder="1" applyAlignment="1">
      <alignment horizontal="center"/>
    </xf>
    <xf numFmtId="0" fontId="18" fillId="0" borderId="0" xfId="2" applyFont="1" applyAlignment="1" applyProtection="1">
      <alignment horizontal="center"/>
      <protection locked="0"/>
    </xf>
    <xf numFmtId="0" fontId="48" fillId="0" borderId="0" xfId="0" applyFont="1" applyAlignment="1" applyProtection="1">
      <alignment wrapText="1"/>
      <protection locked="0" hidden="1"/>
    </xf>
    <xf numFmtId="0" fontId="48" fillId="0" borderId="0" xfId="0" applyFont="1" applyAlignment="1" applyProtection="1">
      <alignment wrapText="1"/>
      <protection hidden="1"/>
    </xf>
    <xf numFmtId="0" fontId="38" fillId="0" borderId="0" xfId="2" applyFont="1" applyAlignment="1" applyProtection="1">
      <alignment vertical="center" wrapText="1"/>
      <protection locked="0"/>
    </xf>
    <xf numFmtId="0" fontId="18" fillId="0" borderId="0" xfId="0" applyFont="1" applyAlignment="1" applyProtection="1">
      <alignment wrapText="1"/>
      <protection locked="0" hidden="1"/>
    </xf>
    <xf numFmtId="0" fontId="18" fillId="0" borderId="0" xfId="0" applyFont="1" applyAlignment="1" applyProtection="1">
      <alignment wrapText="1"/>
      <protection hidden="1"/>
    </xf>
    <xf numFmtId="0" fontId="28" fillId="0" borderId="0" xfId="2" applyFont="1" applyAlignment="1">
      <alignment horizontal="left" vertical="center" wrapText="1" indent="3"/>
    </xf>
    <xf numFmtId="0" fontId="37" fillId="0" borderId="0" xfId="2" applyFont="1" applyAlignment="1" applyProtection="1">
      <alignment horizontal="left"/>
      <protection locked="0"/>
    </xf>
    <xf numFmtId="0" fontId="85" fillId="0" borderId="0" xfId="14" applyProtection="1"/>
    <xf numFmtId="167" fontId="53" fillId="0" borderId="0" xfId="12" applyNumberFormat="1" applyFont="1" applyAlignment="1">
      <alignment horizontal="center" wrapText="1"/>
    </xf>
    <xf numFmtId="166" fontId="38" fillId="13" borderId="0" xfId="2" applyNumberFormat="1" applyFont="1" applyFill="1" applyAlignment="1" applyProtection="1">
      <alignment horizontal="right" wrapText="1"/>
      <protection locked="0"/>
    </xf>
    <xf numFmtId="0" fontId="38" fillId="13" borderId="0" xfId="2" applyFont="1" applyFill="1" applyAlignment="1" applyProtection="1">
      <alignment horizontal="right"/>
      <protection locked="0"/>
    </xf>
    <xf numFmtId="0" fontId="2" fillId="11" borderId="0" xfId="1" applyFill="1" applyProtection="1">
      <protection locked="0"/>
    </xf>
    <xf numFmtId="9" fontId="80" fillId="0" borderId="0" xfId="10" applyFont="1" applyFill="1" applyAlignment="1" applyProtection="1">
      <alignment horizontal="left"/>
      <protection locked="0"/>
    </xf>
    <xf numFmtId="0" fontId="136" fillId="7" borderId="0" xfId="1" applyFont="1" applyFill="1" applyProtection="1">
      <protection locked="0"/>
    </xf>
    <xf numFmtId="0" fontId="0" fillId="11" borderId="0" xfId="0" applyFill="1" applyProtection="1">
      <protection locked="0"/>
    </xf>
    <xf numFmtId="0" fontId="119" fillId="0" borderId="29" xfId="0" applyFont="1" applyBorder="1"/>
    <xf numFmtId="0" fontId="138" fillId="0" borderId="0" xfId="2" applyFont="1" applyAlignment="1" applyProtection="1">
      <alignment horizontal="justify" vertical="center"/>
      <protection locked="0"/>
    </xf>
    <xf numFmtId="0" fontId="26" fillId="0" borderId="0" xfId="2" applyFont="1" applyAlignment="1">
      <alignment horizontal="justify" vertical="center"/>
    </xf>
    <xf numFmtId="0" fontId="14" fillId="0" borderId="0" xfId="2" applyFont="1" applyAlignment="1" applyProtection="1">
      <alignment horizontal="justify" vertical="center"/>
      <protection locked="0"/>
    </xf>
    <xf numFmtId="0" fontId="14" fillId="0" borderId="0" xfId="2" applyFont="1" applyAlignment="1">
      <alignment horizontal="justify" vertical="center"/>
    </xf>
    <xf numFmtId="0" fontId="134" fillId="0" borderId="0" xfId="2" applyFont="1" applyAlignment="1">
      <alignment vertical="center"/>
    </xf>
    <xf numFmtId="0" fontId="134" fillId="0" borderId="0" xfId="2" applyFont="1" applyAlignment="1">
      <alignment horizontal="left" vertical="center"/>
    </xf>
    <xf numFmtId="0" fontId="139" fillId="0" borderId="0" xfId="0" applyFont="1" applyAlignment="1">
      <alignment vertical="center"/>
    </xf>
    <xf numFmtId="0" fontId="137" fillId="0" borderId="0" xfId="0" applyFont="1"/>
    <xf numFmtId="164" fontId="16" fillId="0" borderId="0" xfId="2" applyNumberFormat="1" applyFont="1" applyAlignment="1">
      <alignment vertical="center" wrapText="1"/>
    </xf>
    <xf numFmtId="0" fontId="84" fillId="0" borderId="0" xfId="0" applyFont="1" applyAlignment="1">
      <alignment horizontal="left" vertical="center" indent="2"/>
    </xf>
    <xf numFmtId="0" fontId="84" fillId="0" borderId="0" xfId="0" applyFont="1" applyAlignment="1">
      <alignment horizontal="left" vertical="center" indent="1"/>
    </xf>
    <xf numFmtId="0" fontId="140" fillId="0" borderId="0" xfId="2" applyFont="1" applyAlignment="1">
      <alignment horizontal="left" vertical="center" indent="1"/>
    </xf>
    <xf numFmtId="0" fontId="84" fillId="0" borderId="0" xfId="0" applyFont="1" applyAlignment="1">
      <alignment vertical="center"/>
    </xf>
    <xf numFmtId="0" fontId="84" fillId="0" borderId="0" xfId="0" applyFont="1" applyAlignment="1">
      <alignment horizontal="left" vertical="center" indent="3"/>
    </xf>
    <xf numFmtId="0" fontId="48" fillId="0" borderId="0" xfId="2" applyFont="1" applyAlignment="1">
      <alignment wrapText="1"/>
    </xf>
    <xf numFmtId="166" fontId="38" fillId="13" borderId="1" xfId="2" applyNumberFormat="1" applyFont="1" applyFill="1" applyBorder="1" applyAlignment="1" applyProtection="1">
      <alignment horizontal="right" wrapText="1"/>
      <protection locked="0"/>
    </xf>
    <xf numFmtId="0" fontId="48" fillId="0" borderId="0" xfId="8" applyFont="1" applyAlignment="1">
      <alignment horizontal="left"/>
    </xf>
    <xf numFmtId="166" fontId="53" fillId="3" borderId="2" xfId="2" applyNumberFormat="1" applyFont="1" applyFill="1" applyBorder="1" applyAlignment="1" applyProtection="1">
      <alignment horizontal="right" wrapText="1"/>
      <protection locked="0"/>
    </xf>
    <xf numFmtId="169" fontId="139" fillId="0" borderId="0" xfId="2" applyNumberFormat="1" applyFont="1" applyAlignment="1">
      <alignment horizontal="right"/>
    </xf>
    <xf numFmtId="1" fontId="139" fillId="0" borderId="0" xfId="2" applyNumberFormat="1" applyFont="1" applyAlignment="1">
      <alignment horizontal="left"/>
    </xf>
    <xf numFmtId="170" fontId="84" fillId="0" borderId="0" xfId="2" applyNumberFormat="1" applyFont="1" applyAlignment="1">
      <alignment horizontal="left"/>
    </xf>
    <xf numFmtId="0" fontId="85" fillId="0" borderId="11" xfId="14" applyFill="1" applyBorder="1" applyAlignment="1" applyProtection="1">
      <alignment wrapText="1"/>
    </xf>
    <xf numFmtId="0" fontId="85" fillId="0" borderId="0" xfId="14" applyFill="1" applyBorder="1" applyAlignment="1" applyProtection="1">
      <alignment horizontal="left" vertical="top" wrapText="1"/>
    </xf>
    <xf numFmtId="170" fontId="139" fillId="0" borderId="1" xfId="2" applyNumberFormat="1" applyFont="1" applyBorder="1" applyAlignment="1">
      <alignment horizontal="right" wrapText="1"/>
    </xf>
    <xf numFmtId="170" fontId="84" fillId="11" borderId="0" xfId="2" applyNumberFormat="1" applyFont="1" applyFill="1" applyAlignment="1">
      <alignment horizontal="left"/>
    </xf>
    <xf numFmtId="170" fontId="84" fillId="0" borderId="0" xfId="2" applyNumberFormat="1" applyFont="1" applyAlignment="1" applyProtection="1">
      <alignment horizontal="left"/>
      <protection locked="0"/>
    </xf>
    <xf numFmtId="170" fontId="84" fillId="13" borderId="0" xfId="2" applyNumberFormat="1" applyFont="1" applyFill="1" applyAlignment="1">
      <alignment horizontal="left"/>
    </xf>
    <xf numFmtId="0" fontId="119" fillId="0" borderId="29" xfId="0" applyFont="1" applyBorder="1" applyAlignment="1">
      <alignment horizontal="center"/>
    </xf>
    <xf numFmtId="170" fontId="85" fillId="0" borderId="0" xfId="14" applyNumberFormat="1" applyAlignment="1" applyProtection="1">
      <alignment horizontal="left"/>
    </xf>
    <xf numFmtId="0" fontId="45" fillId="0" borderId="0" xfId="1" applyFont="1" applyAlignment="1">
      <alignment horizontal="center"/>
    </xf>
    <xf numFmtId="0" fontId="137" fillId="0" borderId="0" xfId="0" applyFont="1" applyProtection="1">
      <protection locked="0"/>
    </xf>
    <xf numFmtId="166" fontId="38" fillId="13" borderId="0" xfId="2" applyNumberFormat="1" applyFont="1" applyFill="1" applyAlignment="1" applyProtection="1">
      <alignment horizontal="right"/>
      <protection locked="0"/>
    </xf>
    <xf numFmtId="0" fontId="38" fillId="13" borderId="0" xfId="2" applyFont="1" applyFill="1" applyAlignment="1" applyProtection="1">
      <alignment horizontal="right" wrapText="1"/>
      <protection locked="0"/>
    </xf>
    <xf numFmtId="166" fontId="38" fillId="13" borderId="18" xfId="2" applyNumberFormat="1" applyFont="1" applyFill="1" applyBorder="1" applyProtection="1">
      <protection locked="0"/>
    </xf>
    <xf numFmtId="166" fontId="38" fillId="13" borderId="18" xfId="2" applyNumberFormat="1" applyFont="1" applyFill="1" applyBorder="1" applyAlignment="1" applyProtection="1">
      <alignment horizontal="right"/>
      <protection locked="0"/>
    </xf>
    <xf numFmtId="166" fontId="53" fillId="13" borderId="16" xfId="2" applyNumberFormat="1" applyFont="1" applyFill="1" applyBorder="1" applyProtection="1">
      <protection locked="0"/>
    </xf>
    <xf numFmtId="166" fontId="53" fillId="13" borderId="16" xfId="2" applyNumberFormat="1" applyFont="1" applyFill="1" applyBorder="1" applyAlignment="1" applyProtection="1">
      <alignment horizontal="right"/>
      <protection locked="0"/>
    </xf>
    <xf numFmtId="166" fontId="53" fillId="13" borderId="15" xfId="2" applyNumberFormat="1" applyFont="1" applyFill="1" applyBorder="1" applyProtection="1">
      <protection locked="0"/>
    </xf>
    <xf numFmtId="166" fontId="53" fillId="13" borderId="15" xfId="2" applyNumberFormat="1" applyFont="1" applyFill="1" applyBorder="1" applyAlignment="1" applyProtection="1">
      <alignment horizontal="right"/>
      <protection locked="0"/>
    </xf>
    <xf numFmtId="166" fontId="38" fillId="13" borderId="0" xfId="7" applyNumberFormat="1" applyFont="1" applyFill="1" applyAlignment="1" applyProtection="1">
      <alignment horizontal="right"/>
      <protection locked="0"/>
    </xf>
    <xf numFmtId="166" fontId="38" fillId="13" borderId="0" xfId="7" applyNumberFormat="1" applyFont="1" applyFill="1" applyAlignment="1" applyProtection="1">
      <alignment horizontal="right" wrapText="1"/>
      <protection locked="0"/>
    </xf>
    <xf numFmtId="166" fontId="38" fillId="13" borderId="0" xfId="2" applyNumberFormat="1" applyFont="1" applyFill="1" applyProtection="1">
      <protection locked="0"/>
    </xf>
    <xf numFmtId="166" fontId="38" fillId="13" borderId="0" xfId="2" applyNumberFormat="1" applyFont="1" applyFill="1" applyAlignment="1" applyProtection="1">
      <alignment horizontal="right" vertical="center" wrapText="1"/>
      <protection locked="0"/>
    </xf>
    <xf numFmtId="166" fontId="38" fillId="13" borderId="1" xfId="2" applyNumberFormat="1" applyFont="1" applyFill="1" applyBorder="1" applyAlignment="1" applyProtection="1">
      <alignment horizontal="right" vertical="center" wrapText="1"/>
      <protection locked="0"/>
    </xf>
    <xf numFmtId="166" fontId="70" fillId="13" borderId="0" xfId="2" applyNumberFormat="1" applyFont="1" applyFill="1" applyAlignment="1" applyProtection="1">
      <alignment wrapText="1"/>
      <protection locked="0"/>
    </xf>
    <xf numFmtId="166" fontId="38" fillId="13" borderId="0" xfId="1" applyNumberFormat="1" applyFont="1" applyFill="1" applyAlignment="1" applyProtection="1">
      <alignment horizontal="right" wrapText="1"/>
      <protection locked="0"/>
    </xf>
    <xf numFmtId="166" fontId="38" fillId="13" borderId="1" xfId="1" applyNumberFormat="1" applyFont="1" applyFill="1" applyBorder="1" applyAlignment="1" applyProtection="1">
      <alignment horizontal="right" wrapText="1"/>
      <protection locked="0"/>
    </xf>
    <xf numFmtId="170" fontId="38" fillId="13" borderId="0" xfId="2" applyNumberFormat="1" applyFont="1" applyFill="1" applyAlignment="1" applyProtection="1">
      <alignment horizontal="right" wrapText="1"/>
      <protection locked="0"/>
    </xf>
    <xf numFmtId="170" fontId="38" fillId="13" borderId="0" xfId="2" applyNumberFormat="1" applyFont="1" applyFill="1" applyAlignment="1" applyProtection="1">
      <alignment horizontal="center"/>
      <protection locked="0"/>
    </xf>
    <xf numFmtId="0" fontId="61" fillId="0" borderId="0" xfId="2" applyFont="1" applyAlignment="1">
      <alignment horizontal="justify" vertical="center" wrapText="1"/>
    </xf>
    <xf numFmtId="0" fontId="105" fillId="0" borderId="0" xfId="2" applyFont="1" applyAlignment="1" applyProtection="1">
      <alignment vertical="center"/>
      <protection locked="0"/>
    </xf>
    <xf numFmtId="0" fontId="142" fillId="0" borderId="0" xfId="2" applyFont="1" applyAlignment="1" applyProtection="1">
      <alignment vertical="center"/>
      <protection locked="0"/>
    </xf>
    <xf numFmtId="0" fontId="143" fillId="0" borderId="0" xfId="2" applyFont="1" applyAlignment="1" applyProtection="1">
      <alignment vertical="center"/>
      <protection locked="0"/>
    </xf>
    <xf numFmtId="0" fontId="105" fillId="0" borderId="0" xfId="2" applyFont="1" applyProtection="1">
      <protection locked="0"/>
    </xf>
    <xf numFmtId="0" fontId="143" fillId="0" borderId="0" xfId="2" applyFont="1" applyProtection="1">
      <protection locked="0"/>
    </xf>
    <xf numFmtId="0" fontId="142" fillId="0" borderId="0" xfId="2" applyFont="1" applyProtection="1">
      <protection locked="0"/>
    </xf>
    <xf numFmtId="0" fontId="105" fillId="0" borderId="0" xfId="2" applyFont="1" applyAlignment="1" applyProtection="1">
      <alignment vertical="top" wrapText="1"/>
      <protection locked="0"/>
    </xf>
    <xf numFmtId="0" fontId="144" fillId="0" borderId="0" xfId="2" applyFont="1" applyProtection="1">
      <protection locked="0"/>
    </xf>
    <xf numFmtId="9" fontId="82" fillId="13" borderId="0" xfId="10" applyFont="1" applyFill="1" applyAlignment="1" applyProtection="1">
      <alignment horizontal="left" wrapText="1"/>
    </xf>
    <xf numFmtId="0" fontId="145" fillId="0" borderId="0" xfId="1" applyFont="1"/>
    <xf numFmtId="177" fontId="18" fillId="11" borderId="0" xfId="2" applyNumberFormat="1" applyFont="1" applyFill="1" applyAlignment="1" applyProtection="1">
      <alignment horizontal="center" vertical="center"/>
      <protection locked="0"/>
    </xf>
    <xf numFmtId="177" fontId="18" fillId="13" borderId="0" xfId="2" applyNumberFormat="1" applyFont="1" applyFill="1" applyAlignment="1" applyProtection="1">
      <alignment horizontal="center" vertical="center"/>
      <protection locked="0"/>
    </xf>
    <xf numFmtId="0" fontId="18" fillId="11" borderId="0" xfId="2" applyFont="1" applyFill="1" applyAlignment="1" applyProtection="1">
      <alignment horizontal="center" vertical="center"/>
      <protection locked="0"/>
    </xf>
    <xf numFmtId="0" fontId="18" fillId="13" borderId="0" xfId="2" applyFont="1" applyFill="1" applyAlignment="1" applyProtection="1">
      <alignment horizontal="center" vertical="center"/>
      <protection locked="0"/>
    </xf>
    <xf numFmtId="166" fontId="21" fillId="13" borderId="0" xfId="2" applyNumberFormat="1" applyFont="1" applyFill="1" applyAlignment="1">
      <alignment vertical="center" wrapText="1"/>
    </xf>
    <xf numFmtId="166" fontId="9" fillId="3" borderId="0" xfId="2" applyNumberFormat="1" applyFont="1" applyFill="1" applyAlignment="1">
      <alignment vertical="center" wrapText="1"/>
    </xf>
    <xf numFmtId="166" fontId="14" fillId="3" borderId="0" xfId="2" applyNumberFormat="1" applyFont="1" applyFill="1" applyAlignment="1">
      <alignment vertical="center" wrapText="1"/>
    </xf>
    <xf numFmtId="170" fontId="56" fillId="0" borderId="0" xfId="2" applyNumberFormat="1" applyFont="1" applyAlignment="1">
      <alignment horizontal="left"/>
    </xf>
    <xf numFmtId="170" fontId="84" fillId="0" borderId="0" xfId="2" applyNumberFormat="1" applyFont="1" applyAlignment="1">
      <alignment horizontal="left" indent="1"/>
    </xf>
    <xf numFmtId="0" fontId="132" fillId="0" borderId="0" xfId="0" applyFont="1" applyAlignment="1">
      <alignment horizontal="left" indent="1"/>
    </xf>
    <xf numFmtId="169" fontId="48" fillId="0" borderId="0" xfId="2" applyNumberFormat="1" applyFont="1" applyAlignment="1">
      <alignment horizontal="right" vertical="top"/>
    </xf>
    <xf numFmtId="0" fontId="48" fillId="0" borderId="0" xfId="2" applyFont="1" applyAlignment="1">
      <alignment horizontal="left" vertical="top"/>
    </xf>
    <xf numFmtId="1" fontId="48" fillId="0" borderId="0" xfId="2" applyNumberFormat="1" applyFont="1" applyAlignment="1">
      <alignment horizontal="left" vertical="top"/>
    </xf>
    <xf numFmtId="169" fontId="69" fillId="0" borderId="0" xfId="2" applyNumberFormat="1" applyFont="1" applyAlignment="1">
      <alignment horizontal="right" vertical="top"/>
    </xf>
    <xf numFmtId="1" fontId="69" fillId="0" borderId="0" xfId="2" applyNumberFormat="1" applyFont="1" applyAlignment="1">
      <alignment horizontal="left" vertical="top"/>
    </xf>
    <xf numFmtId="170" fontId="53" fillId="0" borderId="0" xfId="2" applyNumberFormat="1" applyFont="1" applyAlignment="1">
      <alignment horizontal="right" vertical="top"/>
    </xf>
    <xf numFmtId="167" fontId="48" fillId="0" borderId="0" xfId="5" applyNumberFormat="1" applyFont="1" applyAlignment="1">
      <alignment horizontal="left" vertical="top" wrapText="1"/>
    </xf>
    <xf numFmtId="0" fontId="48" fillId="0" borderId="0" xfId="6" applyFont="1" applyAlignment="1">
      <alignment horizontal="left" vertical="top"/>
    </xf>
    <xf numFmtId="169" fontId="139" fillId="0" borderId="0" xfId="2" applyNumberFormat="1" applyFont="1" applyAlignment="1">
      <alignment horizontal="right" vertical="top"/>
    </xf>
    <xf numFmtId="1" fontId="139" fillId="0" borderId="0" xfId="2" applyNumberFormat="1" applyFont="1" applyAlignment="1">
      <alignment horizontal="left" vertical="top"/>
    </xf>
    <xf numFmtId="0" fontId="48" fillId="0" borderId="0" xfId="11" applyFont="1" applyAlignment="1">
      <alignment horizontal="left" vertical="top"/>
    </xf>
    <xf numFmtId="173" fontId="71" fillId="0" borderId="0" xfId="2" applyNumberFormat="1" applyFont="1" applyAlignment="1">
      <alignment horizontal="right" vertical="top"/>
    </xf>
    <xf numFmtId="173" fontId="71" fillId="0" borderId="0" xfId="2" applyNumberFormat="1" applyFont="1" applyAlignment="1">
      <alignment horizontal="left" vertical="top"/>
    </xf>
    <xf numFmtId="173" fontId="53" fillId="0" borderId="0" xfId="2" applyNumberFormat="1" applyFont="1" applyAlignment="1">
      <alignment horizontal="right" vertical="top"/>
    </xf>
    <xf numFmtId="173" fontId="53" fillId="0" borderId="0" xfId="2" applyNumberFormat="1" applyFont="1" applyAlignment="1">
      <alignment horizontal="left" vertical="top"/>
    </xf>
    <xf numFmtId="169" fontId="71" fillId="0" borderId="0" xfId="2" applyNumberFormat="1" applyFont="1" applyAlignment="1">
      <alignment horizontal="right" vertical="top"/>
    </xf>
    <xf numFmtId="173" fontId="69" fillId="0" borderId="0" xfId="2" applyNumberFormat="1" applyFont="1" applyAlignment="1">
      <alignment horizontal="right" vertical="top"/>
    </xf>
    <xf numFmtId="173" fontId="69" fillId="0" borderId="0" xfId="2" applyNumberFormat="1" applyFont="1" applyAlignment="1">
      <alignment horizontal="left" vertical="top"/>
    </xf>
    <xf numFmtId="169" fontId="141" fillId="0" borderId="0" xfId="2" applyNumberFormat="1" applyFont="1" applyAlignment="1">
      <alignment horizontal="right" vertical="top"/>
    </xf>
    <xf numFmtId="173" fontId="141" fillId="0" borderId="0" xfId="2" applyNumberFormat="1" applyFont="1" applyAlignment="1">
      <alignment horizontal="left" vertical="top"/>
    </xf>
    <xf numFmtId="170" fontId="139" fillId="0" borderId="0" xfId="2" applyNumberFormat="1" applyFont="1"/>
    <xf numFmtId="170" fontId="146" fillId="0" borderId="0" xfId="2" applyNumberFormat="1" applyFont="1" applyAlignment="1">
      <alignment horizontal="left"/>
    </xf>
    <xf numFmtId="170" fontId="147" fillId="0" borderId="0" xfId="2" applyNumberFormat="1" applyFont="1" applyAlignment="1">
      <alignment horizontal="left"/>
    </xf>
    <xf numFmtId="170" fontId="84" fillId="11" borderId="0" xfId="2" applyNumberFormat="1" applyFont="1" applyFill="1" applyAlignment="1">
      <alignment wrapText="1"/>
    </xf>
    <xf numFmtId="170" fontId="84" fillId="13" borderId="0" xfId="2" applyNumberFormat="1" applyFont="1" applyFill="1" applyAlignment="1">
      <alignment wrapText="1"/>
    </xf>
    <xf numFmtId="166" fontId="139" fillId="0" borderId="1" xfId="2" applyNumberFormat="1" applyFont="1" applyBorder="1" applyAlignment="1">
      <alignment horizontal="right" wrapText="1"/>
    </xf>
    <xf numFmtId="166" fontId="84" fillId="11" borderId="0" xfId="2" applyNumberFormat="1" applyFont="1" applyFill="1" applyAlignment="1">
      <alignment wrapText="1"/>
    </xf>
    <xf numFmtId="170" fontId="148" fillId="0" borderId="0" xfId="14" applyNumberFormat="1" applyFont="1" applyAlignment="1" applyProtection="1">
      <alignment horizontal="left"/>
    </xf>
    <xf numFmtId="166" fontId="84" fillId="13" borderId="0" xfId="2" applyNumberFormat="1" applyFont="1" applyFill="1" applyAlignment="1">
      <alignment wrapText="1"/>
    </xf>
    <xf numFmtId="170" fontId="38" fillId="0" borderId="30" xfId="2" applyNumberFormat="1" applyFont="1" applyBorder="1" applyAlignment="1">
      <alignment horizontal="center" vertical="center"/>
    </xf>
    <xf numFmtId="0" fontId="0" fillId="0" borderId="31" xfId="0" applyBorder="1"/>
    <xf numFmtId="0" fontId="0" fillId="0" borderId="32" xfId="0" applyBorder="1"/>
    <xf numFmtId="0" fontId="23" fillId="0" borderId="33" xfId="2" applyFont="1" applyBorder="1"/>
    <xf numFmtId="0" fontId="18" fillId="0" borderId="33" xfId="1" applyFont="1" applyBorder="1"/>
    <xf numFmtId="0" fontId="18" fillId="0" borderId="33" xfId="2" applyFont="1" applyBorder="1" applyAlignment="1">
      <alignment horizontal="left"/>
    </xf>
    <xf numFmtId="0" fontId="29" fillId="9" borderId="33" xfId="2" applyFont="1" applyFill="1" applyBorder="1" applyAlignment="1">
      <alignment horizontal="center" wrapText="1"/>
    </xf>
    <xf numFmtId="167" fontId="53" fillId="11" borderId="38" xfId="8" applyNumberFormat="1" applyFont="1" applyFill="1" applyBorder="1" applyAlignment="1">
      <alignment horizontal="center" wrapText="1"/>
    </xf>
    <xf numFmtId="166" fontId="53" fillId="11" borderId="38" xfId="2" applyNumberFormat="1" applyFont="1" applyFill="1" applyBorder="1" applyAlignment="1">
      <alignment horizontal="center" wrapText="1"/>
    </xf>
    <xf numFmtId="166" fontId="38" fillId="11" borderId="38" xfId="2" applyNumberFormat="1" applyFont="1" applyFill="1" applyBorder="1" applyProtection="1">
      <protection locked="0"/>
    </xf>
    <xf numFmtId="166" fontId="38" fillId="11" borderId="38" xfId="2" applyNumberFormat="1" applyFont="1" applyFill="1" applyBorder="1" applyAlignment="1" applyProtection="1">
      <alignment horizontal="right"/>
      <protection locked="0"/>
    </xf>
    <xf numFmtId="166" fontId="38" fillId="7" borderId="38" xfId="2" applyNumberFormat="1" applyFont="1" applyFill="1" applyBorder="1" applyProtection="1">
      <protection locked="0"/>
    </xf>
    <xf numFmtId="166" fontId="38" fillId="7" borderId="38" xfId="2" applyNumberFormat="1" applyFont="1" applyFill="1" applyBorder="1" applyAlignment="1" applyProtection="1">
      <alignment horizontal="right"/>
      <protection locked="0"/>
    </xf>
    <xf numFmtId="170" fontId="38" fillId="0" borderId="30" xfId="2" applyNumberFormat="1" applyFont="1" applyBorder="1"/>
    <xf numFmtId="170" fontId="38" fillId="0" borderId="30" xfId="2" applyNumberFormat="1" applyFont="1" applyBorder="1" applyAlignment="1">
      <alignment horizontal="center"/>
    </xf>
    <xf numFmtId="0" fontId="119" fillId="0" borderId="33" xfId="0" applyFont="1" applyBorder="1"/>
    <xf numFmtId="170" fontId="38" fillId="0" borderId="33" xfId="2" applyNumberFormat="1" applyFont="1" applyBorder="1" applyAlignment="1">
      <alignment horizontal="center" vertical="center"/>
    </xf>
    <xf numFmtId="0" fontId="18" fillId="9" borderId="33" xfId="2" applyFont="1" applyFill="1" applyBorder="1" applyAlignment="1">
      <alignment horizontal="center" vertical="center" wrapText="1"/>
    </xf>
    <xf numFmtId="0" fontId="119" fillId="0" borderId="30" xfId="0" applyFont="1" applyBorder="1" applyAlignment="1">
      <alignment horizontal="center"/>
    </xf>
    <xf numFmtId="166" fontId="38" fillId="13" borderId="38" xfId="2" applyNumberFormat="1" applyFont="1" applyFill="1" applyBorder="1" applyProtection="1">
      <protection locked="0"/>
    </xf>
    <xf numFmtId="166" fontId="38" fillId="13" borderId="38" xfId="2" applyNumberFormat="1" applyFont="1" applyFill="1" applyBorder="1" applyAlignment="1" applyProtection="1">
      <alignment horizontal="right"/>
      <protection locked="0"/>
    </xf>
    <xf numFmtId="0" fontId="119" fillId="0" borderId="40" xfId="0" applyFont="1" applyBorder="1"/>
    <xf numFmtId="0" fontId="107" fillId="0" borderId="0" xfId="0" applyFont="1" applyAlignment="1">
      <alignment horizontal="left" vertical="center"/>
    </xf>
    <xf numFmtId="0" fontId="18" fillId="0" borderId="0" xfId="6" applyFont="1" applyAlignment="1">
      <alignment horizontal="left" wrapText="1"/>
    </xf>
    <xf numFmtId="0" fontId="33" fillId="7" borderId="0" xfId="2" applyFont="1" applyFill="1" applyAlignment="1" applyProtection="1">
      <alignment horizontal="left" vertical="center"/>
      <protection locked="0"/>
    </xf>
    <xf numFmtId="0" fontId="34" fillId="0" borderId="0" xfId="2" applyFont="1" applyAlignment="1">
      <alignment horizontal="justify" vertical="center" wrapText="1"/>
    </xf>
    <xf numFmtId="0" fontId="69" fillId="0" borderId="0" xfId="2" applyFont="1" applyAlignment="1">
      <alignment horizontal="justify" vertical="top" wrapText="1"/>
    </xf>
    <xf numFmtId="0" fontId="61" fillId="0" borderId="0" xfId="2" applyFont="1" applyAlignment="1">
      <alignment horizontal="justify" vertical="center" wrapText="1"/>
    </xf>
    <xf numFmtId="0" fontId="103" fillId="0" borderId="0" xfId="2" applyFont="1" applyAlignment="1" applyProtection="1">
      <alignment horizontal="justify" vertical="center" wrapText="1"/>
      <protection locked="0"/>
    </xf>
    <xf numFmtId="0" fontId="91" fillId="0" borderId="0" xfId="2" applyFont="1" applyAlignment="1">
      <alignment horizontal="left" vertical="center" wrapText="1"/>
    </xf>
    <xf numFmtId="0" fontId="9" fillId="0" borderId="0" xfId="2" applyFont="1" applyAlignment="1">
      <alignment horizontal="left" vertical="center"/>
    </xf>
    <xf numFmtId="0" fontId="91" fillId="7" borderId="0" xfId="2" applyFont="1" applyFill="1" applyAlignment="1" applyProtection="1">
      <alignment horizontal="left" vertical="center"/>
      <protection locked="0"/>
    </xf>
    <xf numFmtId="0" fontId="91" fillId="7" borderId="0" xfId="2" applyFont="1" applyFill="1" applyAlignment="1">
      <alignment horizontal="left" vertical="center"/>
    </xf>
    <xf numFmtId="170" fontId="57" fillId="0" borderId="0" xfId="2" applyNumberFormat="1" applyFont="1" applyAlignment="1" applyProtection="1">
      <alignment horizontal="justify" vertical="center" wrapText="1"/>
      <protection locked="0"/>
    </xf>
    <xf numFmtId="170" fontId="134" fillId="0" borderId="0" xfId="2" applyNumberFormat="1" applyFont="1" applyAlignment="1" applyProtection="1">
      <alignment horizontal="justify" vertical="center" wrapText="1"/>
      <protection locked="0"/>
    </xf>
    <xf numFmtId="170" fontId="46" fillId="0" borderId="0" xfId="2" applyNumberFormat="1" applyFont="1" applyAlignment="1" applyProtection="1">
      <alignment horizontal="justify" vertical="center" wrapText="1"/>
      <protection locked="0"/>
    </xf>
    <xf numFmtId="0" fontId="34" fillId="0" borderId="0" xfId="2" applyFont="1" applyAlignment="1" applyProtection="1">
      <alignment horizontal="justify" vertical="center" wrapText="1"/>
      <protection locked="0"/>
    </xf>
    <xf numFmtId="0" fontId="47" fillId="0" borderId="0" xfId="2" applyFont="1" applyAlignment="1" applyProtection="1">
      <alignment horizontal="justify" vertical="center" wrapText="1"/>
      <protection locked="0"/>
    </xf>
    <xf numFmtId="170" fontId="62" fillId="0" borderId="0" xfId="2" applyNumberFormat="1" applyFont="1" applyAlignment="1">
      <alignment horizontal="left" vertical="center"/>
    </xf>
    <xf numFmtId="0" fontId="18" fillId="0" borderId="0" xfId="15" applyFont="1" applyAlignment="1" applyProtection="1">
      <alignment horizontal="justify" vertical="center"/>
      <protection locked="0"/>
    </xf>
    <xf numFmtId="0" fontId="18" fillId="0" borderId="0" xfId="15" applyFont="1" applyAlignment="1" applyProtection="1">
      <alignment horizontal="justify" vertical="center" wrapText="1"/>
      <protection locked="0"/>
    </xf>
    <xf numFmtId="0" fontId="141" fillId="0" borderId="0" xfId="2" applyFont="1" applyAlignment="1">
      <alignment horizontal="justify" vertical="top" wrapText="1"/>
    </xf>
    <xf numFmtId="0" fontId="9" fillId="0" borderId="0" xfId="2" applyFont="1" applyAlignment="1" applyProtection="1">
      <alignment horizontal="justify" vertical="center" wrapText="1"/>
      <protection locked="0"/>
    </xf>
    <xf numFmtId="0" fontId="97" fillId="0" borderId="0" xfId="2" applyFont="1" applyAlignment="1">
      <alignment horizontal="justify" vertical="center"/>
    </xf>
    <xf numFmtId="0" fontId="58" fillId="0" borderId="0" xfId="2" applyFont="1" applyAlignment="1">
      <alignment horizontal="left" vertical="center"/>
    </xf>
    <xf numFmtId="0" fontId="2" fillId="0" borderId="0" xfId="15" applyAlignment="1" applyProtection="1">
      <alignment horizontal="justify" vertical="center" wrapText="1"/>
      <protection locked="0"/>
    </xf>
    <xf numFmtId="0" fontId="9" fillId="0" borderId="0" xfId="2" applyFont="1" applyAlignment="1">
      <alignment horizontal="justify" vertical="center" wrapText="1"/>
    </xf>
    <xf numFmtId="0" fontId="2" fillId="0" borderId="0" xfId="15" applyAlignment="1">
      <alignment horizontal="justify" vertical="center" wrapText="1"/>
    </xf>
    <xf numFmtId="0" fontId="97" fillId="0" borderId="0" xfId="2" quotePrefix="1" applyFont="1" applyAlignment="1">
      <alignment horizontal="justify" vertical="center" wrapText="1"/>
    </xf>
    <xf numFmtId="0" fontId="34" fillId="0" borderId="0" xfId="2" applyFont="1" applyAlignment="1" applyProtection="1">
      <alignment horizontal="left" vertical="center"/>
      <protection locked="0"/>
    </xf>
    <xf numFmtId="0" fontId="34" fillId="0" borderId="0" xfId="2" applyFont="1" applyAlignment="1" applyProtection="1">
      <alignment horizontal="justify" vertical="center"/>
      <protection locked="0"/>
    </xf>
    <xf numFmtId="0" fontId="61" fillId="0" borderId="0" xfId="2" applyFont="1" applyAlignment="1" applyProtection="1">
      <alignment horizontal="justify" vertical="center" wrapText="1"/>
      <protection locked="0"/>
    </xf>
    <xf numFmtId="0" fontId="38" fillId="0" borderId="0" xfId="15" applyFont="1" applyAlignment="1" applyProtection="1">
      <alignment horizontal="justify" vertical="center"/>
      <protection locked="0"/>
    </xf>
    <xf numFmtId="0" fontId="2" fillId="0" borderId="0" xfId="15" applyAlignment="1" applyProtection="1">
      <alignment horizontal="justify" vertical="center"/>
      <protection locked="0"/>
    </xf>
    <xf numFmtId="0" fontId="22" fillId="0" borderId="0" xfId="2" applyFont="1" applyAlignment="1" applyProtection="1">
      <alignment horizontal="left" vertical="center" wrapText="1"/>
      <protection locked="0"/>
    </xf>
    <xf numFmtId="0" fontId="22" fillId="0" borderId="0" xfId="2" applyFont="1" applyAlignment="1" applyProtection="1">
      <alignment horizontal="justify" vertical="center" wrapText="1"/>
      <protection locked="0"/>
    </xf>
    <xf numFmtId="0" fontId="55" fillId="10" borderId="0" xfId="2" applyFont="1" applyFill="1" applyAlignment="1">
      <alignment horizontal="left" vertical="center"/>
    </xf>
    <xf numFmtId="0" fontId="65" fillId="0" borderId="0" xfId="15" applyFont="1" applyAlignment="1" applyProtection="1">
      <alignment horizontal="justify" vertical="center" wrapText="1"/>
      <protection locked="0"/>
    </xf>
    <xf numFmtId="0" fontId="94" fillId="0" borderId="0" xfId="15" applyFont="1" applyAlignment="1" applyProtection="1">
      <alignment horizontal="justify" vertical="center"/>
      <protection locked="0"/>
    </xf>
    <xf numFmtId="0" fontId="22" fillId="0" borderId="0" xfId="2" applyFont="1" applyAlignment="1" applyProtection="1">
      <alignment horizontal="left" vertical="center"/>
      <protection locked="0"/>
    </xf>
    <xf numFmtId="0" fontId="15" fillId="0" borderId="0" xfId="2" applyFont="1" applyAlignment="1">
      <alignment horizontal="left" vertical="center"/>
    </xf>
    <xf numFmtId="0" fontId="28" fillId="0" borderId="0" xfId="2" applyFont="1" applyAlignment="1">
      <alignment horizontal="left" vertical="center"/>
    </xf>
    <xf numFmtId="0" fontId="78" fillId="0" borderId="0" xfId="2" applyFont="1" applyAlignment="1" applyProtection="1">
      <alignment horizontal="justify" vertical="center" wrapText="1"/>
      <protection locked="0"/>
    </xf>
    <xf numFmtId="0" fontId="104" fillId="0" borderId="0" xfId="15" applyFont="1" applyAlignment="1" applyProtection="1">
      <alignment horizontal="justify" vertical="center"/>
      <protection locked="0"/>
    </xf>
    <xf numFmtId="0" fontId="15" fillId="0" borderId="0" xfId="2" applyFont="1" applyAlignment="1">
      <alignment horizontal="justify" vertical="center"/>
    </xf>
    <xf numFmtId="0" fontId="2" fillId="0" borderId="0" xfId="2" applyFont="1" applyAlignment="1">
      <alignment horizontal="justify" vertical="center"/>
    </xf>
    <xf numFmtId="0" fontId="78" fillId="0" borderId="0" xfId="15" applyFont="1" applyAlignment="1" applyProtection="1">
      <alignment horizontal="justify" vertical="center" wrapText="1"/>
      <protection locked="0"/>
    </xf>
    <xf numFmtId="0" fontId="9" fillId="0" borderId="0" xfId="2" applyFont="1" applyAlignment="1" applyProtection="1">
      <alignment horizontal="left" vertical="center"/>
      <protection locked="0"/>
    </xf>
    <xf numFmtId="0" fontId="34" fillId="0" borderId="0" xfId="2" applyFont="1" applyAlignment="1">
      <alignment horizontal="left" vertical="center" wrapText="1"/>
    </xf>
    <xf numFmtId="0" fontId="34" fillId="15" borderId="0" xfId="2" applyFont="1" applyFill="1" applyAlignment="1">
      <alignment horizontal="left" vertical="center" wrapText="1"/>
    </xf>
    <xf numFmtId="0" fontId="15" fillId="0" borderId="0" xfId="2" applyFont="1" applyAlignment="1" applyProtection="1">
      <alignment horizontal="left" vertical="center"/>
      <protection locked="0"/>
    </xf>
    <xf numFmtId="0" fontId="48" fillId="0" borderId="0" xfId="2" applyFont="1" applyAlignment="1">
      <alignment horizontal="justify" vertical="top" wrapText="1"/>
    </xf>
    <xf numFmtId="170" fontId="21" fillId="0" borderId="0" xfId="2" applyNumberFormat="1" applyFont="1" applyAlignment="1">
      <alignment horizontal="left" vertical="center"/>
    </xf>
    <xf numFmtId="170" fontId="69" fillId="0" borderId="0" xfId="2" applyNumberFormat="1" applyFont="1" applyAlignment="1">
      <alignment horizontal="justify" vertical="top" wrapText="1"/>
    </xf>
    <xf numFmtId="170" fontId="47" fillId="0" borderId="0" xfId="2" applyNumberFormat="1" applyFont="1" applyAlignment="1" applyProtection="1">
      <alignment horizontal="justify" vertical="center" wrapText="1"/>
      <protection locked="0"/>
    </xf>
    <xf numFmtId="0" fontId="9" fillId="13" borderId="0" xfId="2" applyFont="1" applyFill="1" applyAlignment="1">
      <alignment horizontal="left" vertical="center" wrapText="1"/>
    </xf>
    <xf numFmtId="0" fontId="34" fillId="0" borderId="0" xfId="2" applyFont="1" applyAlignment="1">
      <alignment horizontal="justify" vertical="center"/>
    </xf>
    <xf numFmtId="0" fontId="40" fillId="0" borderId="0" xfId="2" applyFont="1" applyAlignment="1">
      <alignment horizontal="justify" vertical="center"/>
    </xf>
    <xf numFmtId="0" fontId="134" fillId="0" borderId="0" xfId="2" applyFont="1" applyAlignment="1">
      <alignment horizontal="justify" vertical="center" wrapText="1"/>
    </xf>
    <xf numFmtId="0" fontId="46" fillId="0" borderId="0" xfId="2" applyFont="1" applyAlignment="1">
      <alignment horizontal="justify" vertical="center" wrapText="1"/>
    </xf>
    <xf numFmtId="0" fontId="28" fillId="0" borderId="0" xfId="2" applyFont="1" applyAlignment="1" applyProtection="1">
      <alignment horizontal="left"/>
      <protection locked="0"/>
    </xf>
    <xf numFmtId="0" fontId="9" fillId="0" borderId="0" xfId="2" applyFont="1" applyAlignment="1" applyProtection="1">
      <alignment horizontal="left" wrapText="1"/>
      <protection locked="0"/>
    </xf>
    <xf numFmtId="0" fontId="91" fillId="7" borderId="0" xfId="2" applyFont="1" applyFill="1" applyAlignment="1">
      <alignment horizontal="left" vertical="top"/>
    </xf>
    <xf numFmtId="170" fontId="76" fillId="11" borderId="0" xfId="2" applyNumberFormat="1" applyFont="1" applyFill="1"/>
    <xf numFmtId="170" fontId="84" fillId="0" borderId="0" xfId="2" applyNumberFormat="1" applyFont="1" applyAlignment="1">
      <alignment wrapText="1"/>
    </xf>
    <xf numFmtId="170" fontId="84" fillId="13" borderId="0" xfId="2" applyNumberFormat="1" applyFont="1" applyFill="1"/>
    <xf numFmtId="166" fontId="38" fillId="5" borderId="0" xfId="2" applyNumberFormat="1" applyFont="1" applyFill="1" applyAlignment="1" applyProtection="1">
      <alignment horizontal="right" wrapText="1"/>
      <protection locked="0"/>
    </xf>
    <xf numFmtId="166" fontId="38" fillId="3" borderId="0" xfId="2" applyNumberFormat="1" applyFont="1" applyFill="1" applyAlignment="1" applyProtection="1">
      <alignment horizontal="right" wrapText="1"/>
      <protection locked="0"/>
    </xf>
    <xf numFmtId="0" fontId="53" fillId="0" borderId="1" xfId="2" applyFont="1" applyBorder="1" applyAlignment="1">
      <alignment horizontal="center" wrapText="1"/>
    </xf>
    <xf numFmtId="166" fontId="38" fillId="7" borderId="0" xfId="2" applyNumberFormat="1" applyFont="1" applyFill="1" applyAlignment="1" applyProtection="1">
      <alignment horizontal="right" wrapText="1"/>
      <protection locked="0"/>
    </xf>
    <xf numFmtId="166" fontId="38" fillId="5" borderId="1" xfId="2" applyNumberFormat="1" applyFont="1" applyFill="1" applyBorder="1" applyAlignment="1" applyProtection="1">
      <alignment horizontal="right" wrapText="1"/>
      <protection locked="0"/>
    </xf>
    <xf numFmtId="166" fontId="38" fillId="3" borderId="2" xfId="2" applyNumberFormat="1" applyFont="1" applyFill="1" applyBorder="1" applyAlignment="1" applyProtection="1">
      <alignment horizontal="right" wrapText="1"/>
      <protection locked="0"/>
    </xf>
    <xf numFmtId="166" fontId="38" fillId="7" borderId="1" xfId="2" applyNumberFormat="1" applyFont="1" applyFill="1" applyBorder="1" applyAlignment="1" applyProtection="1">
      <alignment horizontal="right" wrapText="1"/>
      <protection locked="0"/>
    </xf>
    <xf numFmtId="166" fontId="53" fillId="3" borderId="2" xfId="2" applyNumberFormat="1" applyFont="1" applyFill="1" applyBorder="1" applyAlignment="1" applyProtection="1">
      <alignment horizontal="right" wrapText="1"/>
      <protection locked="0"/>
    </xf>
    <xf numFmtId="0" fontId="18" fillId="0" borderId="0" xfId="2" applyFont="1" applyAlignment="1">
      <alignment horizontal="justify" wrapText="1"/>
    </xf>
    <xf numFmtId="0" fontId="75" fillId="0" borderId="0" xfId="2" applyFont="1" applyAlignment="1" applyProtection="1">
      <alignment horizontal="left"/>
      <protection locked="0"/>
    </xf>
    <xf numFmtId="167" fontId="18" fillId="0" borderId="0" xfId="5" applyNumberFormat="1" applyFont="1" applyAlignment="1">
      <alignment wrapText="1"/>
    </xf>
    <xf numFmtId="167" fontId="48" fillId="0" borderId="0" xfId="5" applyNumberFormat="1" applyFont="1" applyAlignment="1">
      <alignment wrapText="1"/>
    </xf>
    <xf numFmtId="0" fontId="78" fillId="0" borderId="0" xfId="2" applyFont="1" applyAlignment="1" applyProtection="1">
      <alignment horizontal="left" wrapText="1"/>
      <protection locked="0"/>
    </xf>
    <xf numFmtId="0" fontId="18" fillId="0" borderId="0" xfId="2" applyFont="1" applyAlignment="1">
      <alignment horizontal="left" wrapText="1"/>
    </xf>
    <xf numFmtId="166" fontId="38" fillId="7" borderId="0" xfId="2" applyNumberFormat="1" applyFont="1" applyFill="1" applyAlignment="1" applyProtection="1">
      <alignment horizontal="right"/>
      <protection locked="0"/>
    </xf>
    <xf numFmtId="166" fontId="53" fillId="0" borderId="1" xfId="2" applyNumberFormat="1" applyFont="1" applyBorder="1" applyAlignment="1">
      <alignment horizontal="center" wrapText="1"/>
    </xf>
    <xf numFmtId="0" fontId="48" fillId="0" borderId="0" xfId="2" applyFont="1" applyAlignment="1">
      <alignment horizontal="center" wrapText="1"/>
    </xf>
    <xf numFmtId="166" fontId="38" fillId="7" borderId="1" xfId="2" applyNumberFormat="1" applyFont="1" applyFill="1" applyBorder="1" applyAlignment="1" applyProtection="1">
      <alignment horizontal="right"/>
      <protection locked="0"/>
    </xf>
    <xf numFmtId="0" fontId="69" fillId="0" borderId="0" xfId="2" applyFont="1" applyAlignment="1" applyProtection="1">
      <alignment horizontal="justify" vertical="top" wrapText="1"/>
      <protection locked="0"/>
    </xf>
    <xf numFmtId="0" fontId="18" fillId="0" borderId="0" xfId="2" applyFont="1" applyAlignment="1">
      <alignment wrapText="1"/>
    </xf>
    <xf numFmtId="167" fontId="18" fillId="0" borderId="0" xfId="8" applyNumberFormat="1" applyFont="1" applyAlignment="1">
      <alignment horizontal="left" wrapText="1" indent="1"/>
    </xf>
    <xf numFmtId="172" fontId="53" fillId="0" borderId="5" xfId="2" applyNumberFormat="1" applyFont="1" applyBorder="1" applyAlignment="1">
      <alignment horizontal="center" wrapText="1"/>
    </xf>
    <xf numFmtId="167" fontId="18" fillId="0" borderId="0" xfId="8" applyNumberFormat="1" applyFont="1" applyAlignment="1">
      <alignment horizontal="left" vertical="center" wrapText="1" indent="1"/>
    </xf>
    <xf numFmtId="166" fontId="38" fillId="7" borderId="6" xfId="2" applyNumberFormat="1" applyFont="1" applyFill="1" applyBorder="1" applyAlignment="1" applyProtection="1">
      <alignment horizontal="center" wrapText="1"/>
      <protection locked="0"/>
    </xf>
    <xf numFmtId="166" fontId="38" fillId="7" borderId="0" xfId="2" applyNumberFormat="1" applyFont="1" applyFill="1" applyAlignment="1" applyProtection="1">
      <alignment horizontal="center" wrapText="1"/>
      <protection locked="0"/>
    </xf>
    <xf numFmtId="166" fontId="38" fillId="7" borderId="1" xfId="2" applyNumberFormat="1" applyFont="1" applyFill="1" applyBorder="1" applyAlignment="1" applyProtection="1">
      <alignment horizontal="center" wrapText="1"/>
      <protection locked="0"/>
    </xf>
    <xf numFmtId="0" fontId="74" fillId="0" borderId="0" xfId="2" applyFont="1" applyAlignment="1" applyProtection="1">
      <alignment horizontal="left" vertical="top" wrapText="1"/>
      <protection locked="0"/>
    </xf>
    <xf numFmtId="166" fontId="70" fillId="11" borderId="34" xfId="2" applyNumberFormat="1" applyFont="1" applyFill="1" applyBorder="1" applyAlignment="1" applyProtection="1">
      <alignment horizontal="center"/>
      <protection locked="0"/>
    </xf>
    <xf numFmtId="166" fontId="70" fillId="11" borderId="23" xfId="2" applyNumberFormat="1" applyFont="1" applyFill="1" applyBorder="1" applyAlignment="1" applyProtection="1">
      <alignment horizontal="center"/>
      <protection locked="0"/>
    </xf>
    <xf numFmtId="166" fontId="70" fillId="11" borderId="35" xfId="2" applyNumberFormat="1" applyFont="1" applyFill="1" applyBorder="1" applyAlignment="1" applyProtection="1">
      <alignment horizontal="center"/>
      <protection locked="0"/>
    </xf>
    <xf numFmtId="166" fontId="70" fillId="11" borderId="24" xfId="2" applyNumberFormat="1" applyFont="1" applyFill="1" applyBorder="1" applyAlignment="1" applyProtection="1">
      <alignment horizontal="center"/>
      <protection locked="0"/>
    </xf>
    <xf numFmtId="166" fontId="38" fillId="11" borderId="36" xfId="2" applyNumberFormat="1" applyFont="1" applyFill="1" applyBorder="1" applyAlignment="1" applyProtection="1">
      <alignment horizontal="center"/>
      <protection locked="0"/>
    </xf>
    <xf numFmtId="166" fontId="38" fillId="11" borderId="37" xfId="2" applyNumberFormat="1" applyFont="1" applyFill="1" applyBorder="1" applyAlignment="1" applyProtection="1">
      <alignment horizontal="center"/>
      <protection locked="0"/>
    </xf>
    <xf numFmtId="166" fontId="38" fillId="11" borderId="36" xfId="2" applyNumberFormat="1" applyFont="1" applyFill="1" applyBorder="1" applyAlignment="1" applyProtection="1">
      <alignment horizontal="right"/>
      <protection locked="0"/>
    </xf>
    <xf numFmtId="166" fontId="38" fillId="11" borderId="39" xfId="2" applyNumberFormat="1" applyFont="1" applyFill="1" applyBorder="1" applyAlignment="1" applyProtection="1">
      <alignment horizontal="right"/>
      <protection locked="0"/>
    </xf>
    <xf numFmtId="166" fontId="38" fillId="12" borderId="19" xfId="2" applyNumberFormat="1" applyFont="1" applyFill="1" applyBorder="1" applyAlignment="1" applyProtection="1">
      <alignment horizontal="center"/>
      <protection locked="0"/>
    </xf>
    <xf numFmtId="166" fontId="38" fillId="12" borderId="20" xfId="2" applyNumberFormat="1" applyFont="1" applyFill="1" applyBorder="1" applyAlignment="1" applyProtection="1">
      <alignment horizontal="center"/>
      <protection locked="0"/>
    </xf>
    <xf numFmtId="166" fontId="38" fillId="12" borderId="19" xfId="2" applyNumberFormat="1" applyFont="1" applyFill="1" applyBorder="1" applyAlignment="1" applyProtection="1">
      <alignment horizontal="right"/>
      <protection locked="0"/>
    </xf>
    <xf numFmtId="166" fontId="38" fillId="12" borderId="21" xfId="2" applyNumberFormat="1" applyFont="1" applyFill="1" applyBorder="1" applyAlignment="1" applyProtection="1">
      <alignment horizontal="right"/>
      <protection locked="0"/>
    </xf>
    <xf numFmtId="166" fontId="48" fillId="11" borderId="34" xfId="2" applyNumberFormat="1" applyFont="1" applyFill="1" applyBorder="1" applyAlignment="1">
      <alignment horizontal="center" wrapText="1"/>
    </xf>
    <xf numFmtId="166" fontId="48" fillId="11" borderId="23" xfId="2" applyNumberFormat="1" applyFont="1" applyFill="1" applyBorder="1" applyAlignment="1">
      <alignment horizontal="center" wrapText="1"/>
    </xf>
    <xf numFmtId="166" fontId="48" fillId="11" borderId="35" xfId="2" applyNumberFormat="1" applyFont="1" applyFill="1" applyBorder="1" applyAlignment="1">
      <alignment horizontal="center" wrapText="1"/>
    </xf>
    <xf numFmtId="166" fontId="48" fillId="11" borderId="24" xfId="2" applyNumberFormat="1" applyFont="1" applyFill="1" applyBorder="1" applyAlignment="1">
      <alignment horizontal="center" wrapText="1"/>
    </xf>
    <xf numFmtId="166" fontId="53" fillId="11" borderId="36" xfId="2" applyNumberFormat="1" applyFont="1" applyFill="1" applyBorder="1" applyAlignment="1">
      <alignment horizontal="center" wrapText="1"/>
    </xf>
    <xf numFmtId="166" fontId="53" fillId="11" borderId="37" xfId="2" applyNumberFormat="1" applyFont="1" applyFill="1" applyBorder="1" applyAlignment="1">
      <alignment horizontal="center" wrapText="1"/>
    </xf>
    <xf numFmtId="166" fontId="53" fillId="11" borderId="39" xfId="2" applyNumberFormat="1" applyFont="1" applyFill="1" applyBorder="1" applyAlignment="1">
      <alignment horizontal="center" wrapText="1"/>
    </xf>
    <xf numFmtId="167" fontId="53" fillId="12" borderId="19" xfId="8" applyNumberFormat="1" applyFont="1" applyFill="1" applyBorder="1" applyAlignment="1">
      <alignment horizontal="center" wrapText="1"/>
    </xf>
    <xf numFmtId="167" fontId="53" fillId="12" borderId="20" xfId="8" applyNumberFormat="1" applyFont="1" applyFill="1" applyBorder="1" applyAlignment="1">
      <alignment horizontal="center" wrapText="1"/>
    </xf>
    <xf numFmtId="167" fontId="53" fillId="12" borderId="21" xfId="8" applyNumberFormat="1" applyFont="1" applyFill="1" applyBorder="1" applyAlignment="1">
      <alignment horizontal="center" wrapText="1"/>
    </xf>
    <xf numFmtId="166" fontId="70" fillId="7" borderId="34" xfId="2" applyNumberFormat="1" applyFont="1" applyFill="1" applyBorder="1" applyAlignment="1" applyProtection="1">
      <alignment horizontal="center"/>
      <protection locked="0"/>
    </xf>
    <xf numFmtId="166" fontId="70" fillId="7" borderId="23" xfId="2" applyNumberFormat="1" applyFont="1" applyFill="1" applyBorder="1" applyAlignment="1" applyProtection="1">
      <alignment horizontal="center"/>
      <protection locked="0"/>
    </xf>
    <xf numFmtId="166" fontId="70" fillId="7" borderId="35" xfId="2" applyNumberFormat="1" applyFont="1" applyFill="1" applyBorder="1" applyAlignment="1" applyProtection="1">
      <alignment horizontal="center"/>
      <protection locked="0"/>
    </xf>
    <xf numFmtId="166" fontId="70" fillId="7" borderId="24" xfId="2" applyNumberFormat="1" applyFont="1" applyFill="1" applyBorder="1" applyAlignment="1" applyProtection="1">
      <alignment horizontal="center"/>
      <protection locked="0"/>
    </xf>
    <xf numFmtId="166" fontId="38" fillId="7" borderId="36" xfId="2" applyNumberFormat="1" applyFont="1" applyFill="1" applyBorder="1" applyAlignment="1" applyProtection="1">
      <alignment horizontal="right"/>
      <protection locked="0"/>
    </xf>
    <xf numFmtId="166" fontId="38" fillId="7" borderId="37" xfId="2" applyNumberFormat="1" applyFont="1" applyFill="1" applyBorder="1" applyAlignment="1" applyProtection="1">
      <alignment horizontal="right"/>
      <protection locked="0"/>
    </xf>
    <xf numFmtId="166" fontId="124" fillId="7" borderId="35" xfId="2" applyNumberFormat="1" applyFont="1" applyFill="1" applyBorder="1" applyAlignment="1" applyProtection="1">
      <alignment horizontal="center"/>
      <protection locked="0"/>
    </xf>
    <xf numFmtId="166" fontId="124" fillId="7" borderId="24" xfId="2" applyNumberFormat="1" applyFont="1" applyFill="1" applyBorder="1" applyAlignment="1" applyProtection="1">
      <alignment horizontal="center"/>
      <protection locked="0"/>
    </xf>
    <xf numFmtId="166" fontId="53" fillId="11" borderId="36" xfId="2" applyNumberFormat="1" applyFont="1" applyFill="1" applyBorder="1" applyAlignment="1" applyProtection="1">
      <alignment horizontal="center"/>
      <protection locked="0"/>
    </xf>
    <xf numFmtId="166" fontId="53" fillId="11" borderId="37" xfId="2" applyNumberFormat="1" applyFont="1" applyFill="1" applyBorder="1" applyAlignment="1" applyProtection="1">
      <alignment horizontal="center"/>
      <protection locked="0"/>
    </xf>
    <xf numFmtId="166" fontId="53" fillId="11" borderId="36" xfId="2" applyNumberFormat="1" applyFont="1" applyFill="1" applyBorder="1" applyAlignment="1" applyProtection="1">
      <alignment horizontal="right"/>
      <protection locked="0"/>
    </xf>
    <xf numFmtId="166" fontId="53" fillId="11" borderId="37" xfId="2" applyNumberFormat="1" applyFont="1" applyFill="1" applyBorder="1" applyAlignment="1" applyProtection="1">
      <alignment horizontal="right"/>
      <protection locked="0"/>
    </xf>
    <xf numFmtId="166" fontId="53" fillId="12" borderId="19" xfId="2" applyNumberFormat="1" applyFont="1" applyFill="1" applyBorder="1" applyAlignment="1" applyProtection="1">
      <alignment horizontal="center"/>
      <protection locked="0"/>
    </xf>
    <xf numFmtId="166" fontId="53" fillId="12" borderId="20" xfId="2" applyNumberFormat="1" applyFont="1" applyFill="1" applyBorder="1" applyAlignment="1" applyProtection="1">
      <alignment horizontal="center"/>
      <protection locked="0"/>
    </xf>
    <xf numFmtId="166" fontId="53" fillId="12" borderId="19" xfId="2" applyNumberFormat="1" applyFont="1" applyFill="1" applyBorder="1" applyAlignment="1" applyProtection="1">
      <alignment horizontal="right"/>
      <protection locked="0"/>
    </xf>
    <xf numFmtId="166" fontId="53" fillId="12" borderId="20" xfId="2" applyNumberFormat="1" applyFont="1" applyFill="1" applyBorder="1" applyAlignment="1" applyProtection="1">
      <alignment horizontal="right"/>
      <protection locked="0"/>
    </xf>
    <xf numFmtId="166" fontId="48" fillId="11" borderId="15" xfId="2" applyNumberFormat="1" applyFont="1" applyFill="1" applyBorder="1" applyAlignment="1">
      <alignment horizontal="center" wrapText="1"/>
    </xf>
    <xf numFmtId="166" fontId="53" fillId="11" borderId="27" xfId="2" applyNumberFormat="1" applyFont="1" applyFill="1" applyBorder="1" applyAlignment="1">
      <alignment horizontal="center" wrapText="1"/>
    </xf>
    <xf numFmtId="166" fontId="53" fillId="11" borderId="28" xfId="2" applyNumberFormat="1" applyFont="1" applyFill="1" applyBorder="1" applyAlignment="1">
      <alignment horizontal="center" wrapText="1"/>
    </xf>
    <xf numFmtId="49" fontId="48" fillId="0" borderId="0" xfId="9" applyNumberFormat="1" applyFont="1" applyAlignment="1">
      <alignment horizontal="center"/>
    </xf>
    <xf numFmtId="167" fontId="48" fillId="0" borderId="0" xfId="9" applyNumberFormat="1" applyFont="1" applyAlignment="1">
      <alignment horizontal="center" vertical="center" wrapText="1"/>
    </xf>
    <xf numFmtId="167" fontId="53" fillId="0" borderId="0" xfId="9" applyNumberFormat="1" applyFont="1" applyAlignment="1">
      <alignment horizontal="center"/>
    </xf>
    <xf numFmtId="167" fontId="53" fillId="0" borderId="1" xfId="9" applyNumberFormat="1" applyFont="1" applyBorder="1" applyAlignment="1">
      <alignment horizontal="center" wrapText="1"/>
    </xf>
    <xf numFmtId="0" fontId="70" fillId="7" borderId="0" xfId="2" applyFont="1" applyFill="1" applyAlignment="1" applyProtection="1">
      <alignment horizontal="left"/>
      <protection locked="0"/>
    </xf>
    <xf numFmtId="0" fontId="70" fillId="7" borderId="0" xfId="2" applyFont="1" applyFill="1" applyAlignment="1">
      <alignment horizontal="left" wrapText="1"/>
    </xf>
    <xf numFmtId="167" fontId="69" fillId="0" borderId="0" xfId="5" applyNumberFormat="1" applyFont="1" applyAlignment="1">
      <alignment horizontal="justify" vertical="top" wrapText="1"/>
    </xf>
    <xf numFmtId="170" fontId="18" fillId="0" borderId="0" xfId="2" applyNumberFormat="1" applyFont="1" applyAlignment="1">
      <alignment horizontal="justify" wrapText="1"/>
    </xf>
    <xf numFmtId="166" fontId="38" fillId="5" borderId="2" xfId="2" applyNumberFormat="1" applyFont="1" applyFill="1" applyBorder="1" applyAlignment="1" applyProtection="1">
      <alignment horizontal="right" wrapText="1"/>
      <protection locked="0"/>
    </xf>
    <xf numFmtId="166" fontId="38" fillId="7" borderId="2" xfId="2" applyNumberFormat="1" applyFont="1" applyFill="1" applyBorder="1" applyAlignment="1" applyProtection="1">
      <alignment horizontal="right"/>
      <protection locked="0"/>
    </xf>
    <xf numFmtId="167" fontId="53" fillId="0" borderId="0" xfId="5" applyNumberFormat="1" applyFont="1" applyAlignment="1">
      <alignment horizontal="center" wrapText="1"/>
    </xf>
    <xf numFmtId="1" fontId="78" fillId="0" borderId="0" xfId="2" applyNumberFormat="1" applyFont="1" applyAlignment="1" applyProtection="1">
      <alignment horizontal="left" wrapText="1"/>
      <protection locked="0"/>
    </xf>
    <xf numFmtId="167" fontId="48" fillId="0" borderId="0" xfId="5" applyNumberFormat="1" applyFont="1" applyAlignment="1">
      <alignment horizontal="center" wrapText="1"/>
    </xf>
    <xf numFmtId="167" fontId="53" fillId="0" borderId="0" xfId="5" applyNumberFormat="1" applyFont="1" applyAlignment="1">
      <alignment horizontal="center"/>
    </xf>
    <xf numFmtId="167" fontId="48" fillId="0" borderId="0" xfId="5" applyNumberFormat="1" applyFont="1" applyAlignment="1">
      <alignment horizontal="left" wrapText="1"/>
    </xf>
    <xf numFmtId="167" fontId="18" fillId="0" borderId="0" xfId="5" applyNumberFormat="1" applyFont="1" applyAlignment="1">
      <alignment horizontal="left" wrapText="1"/>
    </xf>
    <xf numFmtId="167" fontId="18" fillId="0" borderId="0" xfId="5" applyNumberFormat="1" applyFont="1" applyAlignment="1">
      <alignment horizontal="left" wrapText="1" indent="1"/>
    </xf>
    <xf numFmtId="0" fontId="48" fillId="0" borderId="0" xfId="2" applyFont="1" applyAlignment="1">
      <alignment horizontal="justify" wrapText="1"/>
    </xf>
    <xf numFmtId="170" fontId="78" fillId="0" borderId="0" xfId="2" applyNumberFormat="1" applyFont="1" applyAlignment="1" applyProtection="1">
      <alignment horizontal="left"/>
      <protection locked="0"/>
    </xf>
    <xf numFmtId="170" fontId="126" fillId="0" borderId="0" xfId="2" applyNumberFormat="1" applyFont="1" applyAlignment="1" applyProtection="1">
      <alignment horizontal="left"/>
      <protection locked="0"/>
    </xf>
    <xf numFmtId="170" fontId="75" fillId="0" borderId="0" xfId="2" applyNumberFormat="1" applyFont="1" applyAlignment="1" applyProtection="1">
      <alignment horizontal="left"/>
      <protection locked="0"/>
    </xf>
    <xf numFmtId="170" fontId="75" fillId="0" borderId="0" xfId="2" applyNumberFormat="1" applyFont="1" applyAlignment="1" applyProtection="1">
      <alignment horizontal="justify" wrapText="1"/>
      <protection locked="0"/>
    </xf>
    <xf numFmtId="170" fontId="38" fillId="0" borderId="0" xfId="2" applyNumberFormat="1" applyFont="1" applyAlignment="1">
      <alignment horizontal="left" wrapText="1"/>
    </xf>
    <xf numFmtId="0" fontId="38" fillId="0" borderId="0" xfId="2" applyFont="1" applyAlignment="1">
      <alignment wrapText="1"/>
    </xf>
    <xf numFmtId="170" fontId="48" fillId="0" borderId="0" xfId="2" applyNumberFormat="1" applyFont="1" applyAlignment="1">
      <alignment horizontal="justify" vertical="top" wrapText="1"/>
    </xf>
    <xf numFmtId="170" fontId="53" fillId="0" borderId="0" xfId="2" applyNumberFormat="1" applyFont="1" applyAlignment="1">
      <alignment horizontal="justify" vertical="top" wrapText="1"/>
    </xf>
    <xf numFmtId="170" fontId="71" fillId="0" borderId="0" xfId="2" applyNumberFormat="1" applyFont="1" applyAlignment="1">
      <alignment horizontal="justify" vertical="top" wrapText="1"/>
    </xf>
    <xf numFmtId="170" fontId="126" fillId="0" borderId="0" xfId="2" quotePrefix="1" applyNumberFormat="1" applyFont="1" applyAlignment="1" applyProtection="1">
      <alignment horizontal="left" wrapText="1"/>
      <protection locked="0"/>
    </xf>
    <xf numFmtId="166" fontId="38" fillId="3" borderId="1" xfId="2" applyNumberFormat="1" applyFont="1" applyFill="1" applyBorder="1" applyAlignment="1" applyProtection="1">
      <alignment horizontal="right" wrapText="1"/>
      <protection locked="0"/>
    </xf>
    <xf numFmtId="0" fontId="70" fillId="7" borderId="0" xfId="2" applyFont="1" applyFill="1" applyAlignment="1" applyProtection="1">
      <alignment horizontal="left" wrapText="1"/>
      <protection locked="0"/>
    </xf>
    <xf numFmtId="0" fontId="77" fillId="7" borderId="0" xfId="2" applyFont="1" applyFill="1" applyAlignment="1" applyProtection="1">
      <alignment horizontal="left"/>
      <protection locked="0"/>
    </xf>
    <xf numFmtId="166" fontId="38" fillId="7" borderId="4" xfId="2" applyNumberFormat="1" applyFont="1" applyFill="1" applyBorder="1" applyAlignment="1" applyProtection="1">
      <alignment horizontal="right" wrapText="1"/>
      <protection locked="0"/>
    </xf>
    <xf numFmtId="170" fontId="53" fillId="0" borderId="1" xfId="2" applyNumberFormat="1" applyFont="1" applyBorder="1" applyAlignment="1">
      <alignment horizontal="center" wrapText="1"/>
    </xf>
    <xf numFmtId="170" fontId="53" fillId="0" borderId="2" xfId="2" applyNumberFormat="1" applyFont="1" applyBorder="1" applyAlignment="1">
      <alignment horizontal="center" wrapText="1"/>
    </xf>
    <xf numFmtId="166" fontId="18" fillId="0" borderId="0" xfId="2" applyNumberFormat="1" applyFont="1" applyAlignment="1">
      <alignment horizontal="left" wrapText="1"/>
    </xf>
    <xf numFmtId="166" fontId="70" fillId="7" borderId="0" xfId="2" applyNumberFormat="1" applyFont="1" applyFill="1" applyAlignment="1" applyProtection="1">
      <alignment horizontal="left" wrapText="1"/>
      <protection locked="0"/>
    </xf>
    <xf numFmtId="4" fontId="48" fillId="0" borderId="0" xfId="8" applyNumberFormat="1" applyFont="1" applyAlignment="1">
      <alignment horizontal="left" wrapText="1"/>
    </xf>
    <xf numFmtId="167" fontId="48" fillId="0" borderId="0" xfId="1" applyNumberFormat="1" applyFont="1" applyAlignment="1">
      <alignment horizontal="center" wrapText="1"/>
    </xf>
    <xf numFmtId="4" fontId="48" fillId="0" borderId="0" xfId="8" applyNumberFormat="1" applyFont="1" applyAlignment="1">
      <alignment horizontal="center" wrapText="1"/>
    </xf>
    <xf numFmtId="0" fontId="18" fillId="0" borderId="0" xfId="6" applyFont="1" applyAlignment="1" applyProtection="1">
      <alignment horizontal="justify" wrapText="1"/>
      <protection locked="0"/>
    </xf>
    <xf numFmtId="0" fontId="38" fillId="0" borderId="0" xfId="11" applyFont="1" applyAlignment="1">
      <alignment horizontal="center" wrapText="1"/>
    </xf>
    <xf numFmtId="0" fontId="53" fillId="0" borderId="0" xfId="11" applyFont="1" applyAlignment="1">
      <alignment horizontal="center" wrapText="1"/>
    </xf>
    <xf numFmtId="166" fontId="70" fillId="7" borderId="0" xfId="2" applyNumberFormat="1" applyFont="1" applyFill="1" applyAlignment="1" applyProtection="1">
      <alignment horizontal="center" wrapText="1"/>
      <protection locked="0"/>
    </xf>
    <xf numFmtId="0" fontId="18" fillId="0" borderId="0" xfId="6" applyFont="1" applyAlignment="1" applyProtection="1">
      <alignment horizontal="left" wrapText="1"/>
      <protection locked="0"/>
    </xf>
    <xf numFmtId="0" fontId="48" fillId="0" borderId="0" xfId="11" applyFont="1" applyAlignment="1">
      <alignment horizontal="center" wrapText="1"/>
    </xf>
    <xf numFmtId="166" fontId="70" fillId="7" borderId="0" xfId="2" applyNumberFormat="1" applyFont="1" applyFill="1" applyAlignment="1" applyProtection="1">
      <alignment horizontal="left"/>
      <protection locked="0"/>
    </xf>
    <xf numFmtId="49" fontId="69" fillId="0" borderId="0" xfId="11" applyNumberFormat="1" applyFont="1" applyAlignment="1">
      <alignment horizontal="center"/>
    </xf>
    <xf numFmtId="167" fontId="48" fillId="0" borderId="0" xfId="11" applyNumberFormat="1" applyFont="1" applyAlignment="1">
      <alignment horizontal="center" wrapText="1"/>
    </xf>
    <xf numFmtId="167" fontId="53" fillId="0" borderId="0" xfId="12" applyNumberFormat="1" applyFont="1" applyAlignment="1">
      <alignment horizontal="center"/>
    </xf>
    <xf numFmtId="167" fontId="53" fillId="0" borderId="0" xfId="12" applyNumberFormat="1" applyFont="1" applyAlignment="1">
      <alignment horizontal="center" wrapText="1"/>
    </xf>
    <xf numFmtId="170" fontId="76" fillId="0" borderId="0" xfId="2" applyNumberFormat="1" applyFont="1" applyAlignment="1" applyProtection="1">
      <alignment horizontal="left" wrapText="1"/>
      <protection locked="0"/>
    </xf>
    <xf numFmtId="170" fontId="126" fillId="0" borderId="0" xfId="2" applyNumberFormat="1" applyFont="1" applyAlignment="1">
      <alignment horizontal="left" wrapText="1"/>
    </xf>
    <xf numFmtId="170" fontId="139" fillId="0" borderId="0" xfId="2" applyNumberFormat="1" applyFont="1" applyAlignment="1">
      <alignment horizontal="justify" vertical="top" wrapText="1"/>
    </xf>
    <xf numFmtId="167" fontId="48" fillId="0" borderId="0" xfId="11" applyNumberFormat="1" applyFont="1" applyAlignment="1">
      <alignment horizontal="justify" vertical="top" wrapText="1"/>
    </xf>
    <xf numFmtId="167" fontId="69" fillId="0" borderId="0" xfId="11" applyNumberFormat="1" applyFont="1" applyAlignment="1">
      <alignment horizontal="justify" vertical="top" wrapText="1"/>
    </xf>
    <xf numFmtId="167" fontId="18" fillId="0" borderId="0" xfId="11" applyNumberFormat="1" applyFont="1" applyAlignment="1">
      <alignment horizontal="left" vertical="top" wrapText="1" indent="1"/>
    </xf>
    <xf numFmtId="167" fontId="18" fillId="0" borderId="0" xfId="11" applyNumberFormat="1" applyFont="1" applyAlignment="1">
      <alignment horizontal="left" wrapText="1"/>
    </xf>
    <xf numFmtId="170" fontId="126" fillId="0" borderId="0" xfId="2" applyNumberFormat="1" applyFont="1" applyAlignment="1">
      <alignment horizontal="center" wrapText="1"/>
    </xf>
    <xf numFmtId="0" fontId="53" fillId="0" borderId="0" xfId="2" applyFont="1" applyAlignment="1">
      <alignment wrapText="1"/>
    </xf>
    <xf numFmtId="170" fontId="38" fillId="11" borderId="0" xfId="2" applyNumberFormat="1" applyFont="1" applyFill="1" applyAlignment="1" applyProtection="1">
      <alignment horizontal="justify" wrapText="1"/>
      <protection locked="0"/>
    </xf>
    <xf numFmtId="167" fontId="121" fillId="0" borderId="0" xfId="3" applyNumberFormat="1" applyFont="1" applyAlignment="1" applyProtection="1">
      <alignment horizontal="justify" wrapText="1"/>
      <protection locked="0"/>
    </xf>
    <xf numFmtId="167" fontId="18" fillId="0" borderId="0" xfId="11" applyNumberFormat="1" applyFont="1" applyAlignment="1">
      <alignment horizontal="justify" wrapText="1"/>
    </xf>
    <xf numFmtId="170" fontId="126" fillId="0" borderId="0" xfId="2" applyNumberFormat="1" applyFont="1" applyAlignment="1" applyProtection="1">
      <alignment horizontal="left" wrapText="1"/>
      <protection locked="0"/>
    </xf>
    <xf numFmtId="0" fontId="18" fillId="0" borderId="0" xfId="6" applyFont="1" applyAlignment="1">
      <alignment horizontal="justify" wrapText="1"/>
    </xf>
    <xf numFmtId="0" fontId="53" fillId="0" borderId="0" xfId="2" applyFont="1" applyAlignment="1">
      <alignment horizontal="left" wrapText="1"/>
    </xf>
    <xf numFmtId="0" fontId="38" fillId="0" borderId="0" xfId="2" applyFont="1" applyAlignment="1">
      <alignment horizontal="justify" wrapText="1"/>
    </xf>
    <xf numFmtId="170" fontId="38" fillId="0" borderId="0" xfId="2" applyNumberFormat="1" applyFont="1" applyAlignment="1" applyProtection="1">
      <alignment horizontal="justify" wrapText="1"/>
      <protection locked="0"/>
    </xf>
    <xf numFmtId="170" fontId="65" fillId="0" borderId="0" xfId="2" applyNumberFormat="1" applyFont="1" applyAlignment="1" applyProtection="1">
      <alignment horizontal="left" wrapText="1"/>
      <protection locked="0"/>
    </xf>
    <xf numFmtId="167" fontId="18" fillId="0" borderId="0" xfId="1" quotePrefix="1" applyNumberFormat="1" applyFont="1" applyAlignment="1" applyProtection="1">
      <alignment horizontal="left" wrapText="1"/>
      <protection locked="0"/>
    </xf>
    <xf numFmtId="170" fontId="70" fillId="7" borderId="0" xfId="2" applyNumberFormat="1" applyFont="1" applyFill="1" applyAlignment="1" applyProtection="1">
      <alignment horizontal="left" wrapText="1"/>
      <protection locked="0"/>
    </xf>
    <xf numFmtId="170" fontId="38" fillId="0" borderId="0" xfId="2" applyNumberFormat="1" applyFont="1" applyAlignment="1">
      <alignment horizontal="left"/>
    </xf>
    <xf numFmtId="170" fontId="18" fillId="0" borderId="0" xfId="2" applyNumberFormat="1" applyFont="1" applyAlignment="1" applyProtection="1">
      <alignment horizontal="justify" wrapText="1"/>
      <protection locked="0"/>
    </xf>
    <xf numFmtId="170" fontId="38" fillId="0" borderId="0" xfId="2" applyNumberFormat="1" applyFont="1" applyAlignment="1" applyProtection="1">
      <alignment horizontal="justify"/>
      <protection locked="0"/>
    </xf>
    <xf numFmtId="170" fontId="38" fillId="7" borderId="0" xfId="2" applyNumberFormat="1" applyFont="1" applyFill="1" applyAlignment="1" applyProtection="1">
      <alignment horizontal="right" wrapText="1"/>
      <protection locked="0"/>
    </xf>
    <xf numFmtId="0" fontId="76" fillId="0" borderId="0" xfId="2" applyFont="1" applyAlignment="1" applyProtection="1">
      <alignment horizontal="justify" wrapText="1"/>
      <protection locked="0"/>
    </xf>
    <xf numFmtId="0" fontId="18" fillId="0" borderId="0" xfId="1" applyFont="1" applyAlignment="1">
      <alignment horizontal="justify" wrapText="1"/>
    </xf>
    <xf numFmtId="0" fontId="48" fillId="0" borderId="0" xfId="1" applyFont="1" applyAlignment="1">
      <alignment horizontal="center"/>
    </xf>
    <xf numFmtId="0" fontId="53" fillId="0" borderId="0" xfId="1" applyFont="1" applyAlignment="1">
      <alignment horizontal="center" wrapText="1"/>
    </xf>
    <xf numFmtId="170" fontId="48" fillId="0" borderId="1" xfId="2" applyNumberFormat="1" applyFont="1" applyBorder="1" applyAlignment="1">
      <alignment horizontal="center" wrapText="1"/>
    </xf>
    <xf numFmtId="170" fontId="70" fillId="7" borderId="4" xfId="2" applyNumberFormat="1" applyFont="1" applyFill="1" applyBorder="1" applyAlignment="1" applyProtection="1">
      <alignment horizontal="left" wrapText="1"/>
      <protection locked="0"/>
    </xf>
    <xf numFmtId="170" fontId="38" fillId="7" borderId="4" xfId="2" applyNumberFormat="1" applyFont="1" applyFill="1" applyBorder="1" applyAlignment="1" applyProtection="1">
      <alignment horizontal="center" wrapText="1"/>
      <protection locked="0"/>
    </xf>
    <xf numFmtId="170" fontId="38" fillId="7" borderId="0" xfId="2" applyNumberFormat="1" applyFont="1" applyFill="1" applyAlignment="1" applyProtection="1">
      <alignment horizontal="center" wrapText="1"/>
      <protection locked="0"/>
    </xf>
    <xf numFmtId="170" fontId="38" fillId="7" borderId="1" xfId="2" applyNumberFormat="1" applyFont="1" applyFill="1" applyBorder="1" applyAlignment="1" applyProtection="1">
      <alignment horizontal="right" wrapText="1"/>
      <protection locked="0"/>
    </xf>
    <xf numFmtId="166" fontId="38" fillId="3" borderId="2" xfId="2" applyNumberFormat="1" applyFont="1" applyFill="1" applyBorder="1" applyAlignment="1" applyProtection="1">
      <alignment horizontal="right" vertical="center" wrapText="1"/>
      <protection locked="0"/>
    </xf>
    <xf numFmtId="170" fontId="65" fillId="0" borderId="0" xfId="2" applyNumberFormat="1" applyFont="1" applyAlignment="1" applyProtection="1">
      <alignment horizontal="justify" wrapText="1"/>
      <protection locked="0"/>
    </xf>
    <xf numFmtId="170" fontId="78" fillId="0" borderId="0" xfId="2" quotePrefix="1" applyNumberFormat="1" applyFont="1" applyAlignment="1" applyProtection="1">
      <alignment horizontal="left"/>
      <protection locked="0"/>
    </xf>
    <xf numFmtId="170" fontId="65" fillId="0" borderId="0" xfId="2" applyNumberFormat="1" applyFont="1" applyAlignment="1" applyProtection="1">
      <alignment horizontal="left"/>
      <protection locked="0"/>
    </xf>
    <xf numFmtId="166" fontId="38" fillId="7" borderId="0" xfId="2" applyNumberFormat="1" applyFont="1" applyFill="1" applyAlignment="1" applyProtection="1">
      <alignment horizontal="left" wrapText="1"/>
      <protection locked="0"/>
    </xf>
    <xf numFmtId="170" fontId="78" fillId="0" borderId="0" xfId="2" applyNumberFormat="1" applyFont="1" applyAlignment="1" applyProtection="1">
      <alignment horizontal="left" wrapText="1"/>
      <protection locked="0"/>
    </xf>
    <xf numFmtId="0" fontId="48" fillId="0" borderId="0" xfId="1" applyFont="1" applyAlignment="1">
      <alignment horizontal="center" wrapText="1"/>
    </xf>
    <xf numFmtId="0" fontId="65" fillId="0" borderId="0" xfId="1" applyFont="1" applyAlignment="1" applyProtection="1">
      <alignment horizontal="justify" wrapText="1"/>
      <protection locked="0"/>
    </xf>
    <xf numFmtId="1" fontId="65" fillId="0" borderId="0" xfId="2" applyNumberFormat="1" applyFont="1" applyAlignment="1" applyProtection="1">
      <alignment horizontal="justify" wrapText="1"/>
      <protection locked="0"/>
    </xf>
    <xf numFmtId="170" fontId="78" fillId="0" borderId="0" xfId="2" applyNumberFormat="1" applyFont="1" applyAlignment="1">
      <alignment wrapText="1"/>
    </xf>
    <xf numFmtId="170" fontId="38" fillId="0" borderId="0" xfId="2" applyNumberFormat="1" applyFont="1" applyAlignment="1">
      <alignment wrapText="1"/>
    </xf>
    <xf numFmtId="166" fontId="70" fillId="11" borderId="0" xfId="2" applyNumberFormat="1" applyFont="1" applyFill="1" applyAlignment="1" applyProtection="1">
      <alignment horizontal="left" wrapText="1"/>
      <protection locked="0"/>
    </xf>
    <xf numFmtId="0" fontId="65" fillId="0" borderId="0" xfId="2" applyFont="1" applyAlignment="1" applyProtection="1">
      <alignment horizontal="left" wrapText="1"/>
      <protection locked="0"/>
    </xf>
    <xf numFmtId="0" fontId="38" fillId="11" borderId="0" xfId="2" applyFont="1" applyFill="1" applyAlignment="1" applyProtection="1">
      <alignment horizontal="right"/>
      <protection locked="0"/>
    </xf>
    <xf numFmtId="0" fontId="18" fillId="0" borderId="0" xfId="2" applyFont="1" applyAlignment="1">
      <alignment horizontal="left"/>
    </xf>
    <xf numFmtId="0" fontId="38" fillId="11" borderId="0" xfId="2" applyFont="1" applyFill="1" applyAlignment="1" applyProtection="1">
      <alignment horizontal="right" wrapText="1"/>
      <protection locked="0"/>
    </xf>
    <xf numFmtId="167" fontId="69" fillId="0" borderId="0" xfId="8" applyNumberFormat="1" applyFont="1" applyAlignment="1">
      <alignment horizontal="justify" vertical="top" wrapText="1"/>
    </xf>
    <xf numFmtId="167" fontId="69" fillId="0" borderId="0" xfId="1" applyNumberFormat="1" applyFont="1" applyAlignment="1">
      <alignment horizontal="justify" vertical="top" wrapText="1"/>
    </xf>
    <xf numFmtId="1" fontId="75" fillId="0" borderId="0" xfId="2" applyNumberFormat="1" applyFont="1" applyAlignment="1">
      <alignment horizontal="center" wrapText="1"/>
    </xf>
    <xf numFmtId="167" fontId="48" fillId="0" borderId="0" xfId="5" applyNumberFormat="1" applyFont="1" applyAlignment="1">
      <alignment horizontal="justify" vertical="top" wrapText="1"/>
    </xf>
    <xf numFmtId="0" fontId="48" fillId="0" borderId="0" xfId="2" applyFont="1" applyAlignment="1">
      <alignment horizontal="left" wrapText="1"/>
    </xf>
    <xf numFmtId="1" fontId="48" fillId="0" borderId="0" xfId="2" applyNumberFormat="1" applyFont="1" applyAlignment="1">
      <alignment horizontal="justify" vertical="top" wrapText="1"/>
    </xf>
    <xf numFmtId="0" fontId="71" fillId="0" borderId="0" xfId="2" applyFont="1" applyAlignment="1">
      <alignment horizontal="justify" vertical="top" wrapText="1"/>
    </xf>
    <xf numFmtId="167" fontId="53" fillId="0" borderId="0" xfId="9" applyNumberFormat="1" applyFont="1" applyAlignment="1" applyProtection="1">
      <alignment horizontal="center" wrapText="1"/>
      <protection locked="0"/>
    </xf>
    <xf numFmtId="167" fontId="18" fillId="0" borderId="0" xfId="9" applyNumberFormat="1" applyFont="1" applyAlignment="1">
      <alignment horizontal="left" wrapText="1"/>
    </xf>
    <xf numFmtId="167" fontId="48" fillId="0" borderId="0" xfId="8" applyNumberFormat="1" applyFont="1" applyAlignment="1">
      <alignment horizontal="justify" vertical="top" wrapText="1"/>
    </xf>
    <xf numFmtId="0" fontId="69" fillId="0" borderId="0" xfId="6" applyFont="1" applyAlignment="1">
      <alignment horizontal="justify" vertical="top" wrapText="1"/>
    </xf>
    <xf numFmtId="0" fontId="38" fillId="0" borderId="0" xfId="11" applyFont="1" applyAlignment="1">
      <alignment horizontal="center" vertical="top" wrapText="1"/>
    </xf>
    <xf numFmtId="0" fontId="48" fillId="0" borderId="0" xfId="11" applyFont="1" applyAlignment="1">
      <alignment horizontal="left" wrapText="1"/>
    </xf>
    <xf numFmtId="0" fontId="53" fillId="0" borderId="0" xfId="11" applyFont="1" applyAlignment="1">
      <alignment horizontal="left" wrapText="1"/>
    </xf>
    <xf numFmtId="49" fontId="38" fillId="0" borderId="0" xfId="2" applyNumberFormat="1" applyFont="1" applyAlignment="1" applyProtection="1">
      <alignment horizontal="left" wrapText="1"/>
      <protection locked="0"/>
    </xf>
    <xf numFmtId="167" fontId="121" fillId="0" borderId="0" xfId="3" applyNumberFormat="1" applyFont="1" applyAlignment="1">
      <alignment horizontal="left" wrapText="1"/>
    </xf>
    <xf numFmtId="170" fontId="38" fillId="0" borderId="0" xfId="2" applyNumberFormat="1" applyFont="1" applyAlignment="1" applyProtection="1">
      <alignment horizontal="left" wrapText="1"/>
      <protection locked="0"/>
    </xf>
    <xf numFmtId="167" fontId="18" fillId="0" borderId="0" xfId="11" applyNumberFormat="1" applyFont="1" applyAlignment="1">
      <alignment horizontal="left" wrapText="1" indent="2"/>
    </xf>
    <xf numFmtId="170" fontId="18" fillId="0" borderId="0" xfId="2" applyNumberFormat="1" applyFont="1" applyAlignment="1">
      <alignment horizontal="left"/>
    </xf>
    <xf numFmtId="0" fontId="74" fillId="0" borderId="0" xfId="2" applyFont="1" applyAlignment="1" applyProtection="1">
      <alignment horizontal="left" wrapText="1"/>
      <protection locked="0"/>
    </xf>
    <xf numFmtId="0" fontId="76" fillId="0" borderId="0" xfId="2" applyFont="1" applyAlignment="1" applyProtection="1">
      <alignment horizontal="left" wrapText="1"/>
      <protection locked="0"/>
    </xf>
    <xf numFmtId="170" fontId="38" fillId="0" borderId="0" xfId="2" applyNumberFormat="1" applyFont="1" applyAlignment="1">
      <alignment horizontal="justify" wrapText="1"/>
    </xf>
    <xf numFmtId="170" fontId="38" fillId="0" borderId="0" xfId="2" applyNumberFormat="1" applyFont="1" applyAlignment="1" applyProtection="1">
      <alignment horizontal="left"/>
      <protection locked="0"/>
    </xf>
    <xf numFmtId="170" fontId="38" fillId="0" borderId="0" xfId="2" quotePrefix="1" applyNumberFormat="1" applyFont="1" applyAlignment="1" applyProtection="1">
      <alignment horizontal="left" wrapText="1"/>
      <protection locked="0"/>
    </xf>
    <xf numFmtId="170" fontId="38" fillId="11" borderId="0" xfId="2" applyNumberFormat="1" applyFont="1" applyFill="1" applyAlignment="1" applyProtection="1">
      <alignment horizontal="left" wrapText="1"/>
      <protection locked="0"/>
    </xf>
    <xf numFmtId="166" fontId="38" fillId="13" borderId="0" xfId="2" applyNumberFormat="1" applyFont="1" applyFill="1" applyAlignment="1" applyProtection="1">
      <alignment horizontal="right" wrapText="1"/>
      <protection locked="0"/>
    </xf>
    <xf numFmtId="166" fontId="70" fillId="13" borderId="35" xfId="2" applyNumberFormat="1" applyFont="1" applyFill="1" applyBorder="1" applyAlignment="1" applyProtection="1">
      <alignment horizontal="center"/>
      <protection locked="0"/>
    </xf>
    <xf numFmtId="166" fontId="38" fillId="13" borderId="36" xfId="2" applyNumberFormat="1" applyFont="1" applyFill="1" applyBorder="1" applyAlignment="1" applyProtection="1">
      <alignment horizontal="center"/>
      <protection locked="0"/>
    </xf>
    <xf numFmtId="166" fontId="38" fillId="13" borderId="2" xfId="2" applyNumberFormat="1" applyFont="1" applyFill="1" applyBorder="1" applyAlignment="1" applyProtection="1">
      <alignment horizontal="right"/>
      <protection locked="0"/>
    </xf>
    <xf numFmtId="166" fontId="38" fillId="13" borderId="36" xfId="2" applyNumberFormat="1" applyFont="1" applyFill="1" applyBorder="1" applyAlignment="1" applyProtection="1">
      <alignment horizontal="right"/>
      <protection locked="0"/>
    </xf>
    <xf numFmtId="166" fontId="38" fillId="13" borderId="19" xfId="2" applyNumberFormat="1" applyFont="1" applyFill="1" applyBorder="1" applyAlignment="1" applyProtection="1">
      <alignment horizontal="center"/>
      <protection locked="0"/>
    </xf>
    <xf numFmtId="166" fontId="38" fillId="13" borderId="19" xfId="2" applyNumberFormat="1" applyFont="1" applyFill="1" applyBorder="1" applyAlignment="1" applyProtection="1">
      <alignment horizontal="right"/>
      <protection locked="0"/>
    </xf>
    <xf numFmtId="166" fontId="53" fillId="13" borderId="36" xfId="2" applyNumberFormat="1" applyFont="1" applyFill="1" applyBorder="1" applyAlignment="1" applyProtection="1">
      <alignment horizontal="right"/>
      <protection locked="0"/>
    </xf>
    <xf numFmtId="166" fontId="53" fillId="13" borderId="19" xfId="2" applyNumberFormat="1" applyFont="1" applyFill="1" applyBorder="1" applyAlignment="1" applyProtection="1">
      <alignment horizontal="right"/>
      <protection locked="0"/>
    </xf>
    <xf numFmtId="166" fontId="53" fillId="13" borderId="36" xfId="2" applyNumberFormat="1" applyFont="1" applyFill="1" applyBorder="1" applyAlignment="1" applyProtection="1">
      <alignment horizontal="center"/>
      <protection locked="0"/>
    </xf>
    <xf numFmtId="166" fontId="53" fillId="13" borderId="19" xfId="2" applyNumberFormat="1" applyFont="1" applyFill="1" applyBorder="1" applyAlignment="1" applyProtection="1">
      <alignment horizontal="center"/>
      <protection locked="0"/>
    </xf>
    <xf numFmtId="0" fontId="38" fillId="13" borderId="0" xfId="2" applyFont="1" applyFill="1" applyAlignment="1" applyProtection="1">
      <alignment horizontal="right"/>
      <protection locked="0"/>
    </xf>
    <xf numFmtId="166" fontId="38" fillId="13" borderId="0" xfId="2" applyNumberFormat="1" applyFont="1" applyFill="1" applyAlignment="1" applyProtection="1">
      <alignment horizontal="right"/>
      <protection locked="0"/>
    </xf>
    <xf numFmtId="166" fontId="38" fillId="13" borderId="1" xfId="2" applyNumberFormat="1" applyFont="1" applyFill="1" applyBorder="1" applyAlignment="1" applyProtection="1">
      <alignment horizontal="right"/>
      <protection locked="0"/>
    </xf>
    <xf numFmtId="166" fontId="38" fillId="13" borderId="1" xfId="2" applyNumberFormat="1" applyFont="1" applyFill="1" applyBorder="1" applyAlignment="1" applyProtection="1">
      <alignment horizontal="right" wrapText="1"/>
      <protection locked="0"/>
    </xf>
    <xf numFmtId="166" fontId="124" fillId="13" borderId="35" xfId="2" applyNumberFormat="1" applyFont="1" applyFill="1" applyBorder="1" applyAlignment="1" applyProtection="1">
      <alignment horizontal="center"/>
      <protection locked="0"/>
    </xf>
    <xf numFmtId="166" fontId="70" fillId="13" borderId="34" xfId="2" applyNumberFormat="1" applyFont="1" applyFill="1" applyBorder="1" applyAlignment="1" applyProtection="1">
      <alignment horizontal="center"/>
      <protection locked="0"/>
    </xf>
    <xf numFmtId="170" fontId="70" fillId="13" borderId="0" xfId="2" applyNumberFormat="1" applyFont="1" applyFill="1" applyAlignment="1" applyProtection="1">
      <alignment horizontal="left" wrapText="1"/>
      <protection locked="0"/>
    </xf>
    <xf numFmtId="166" fontId="70" fillId="13" borderId="0" xfId="2" applyNumberFormat="1" applyFont="1" applyFill="1" applyAlignment="1" applyProtection="1">
      <alignment horizontal="left" wrapText="1"/>
      <protection locked="0"/>
    </xf>
    <xf numFmtId="170" fontId="38" fillId="13" borderId="0" xfId="2" applyNumberFormat="1" applyFont="1" applyFill="1" applyAlignment="1" applyProtection="1">
      <alignment horizontal="center" wrapText="1"/>
      <protection locked="0"/>
    </xf>
    <xf numFmtId="170" fontId="38" fillId="13" borderId="0" xfId="2" applyNumberFormat="1" applyFont="1" applyFill="1" applyAlignment="1" applyProtection="1">
      <alignment horizontal="right" wrapText="1"/>
      <protection locked="0"/>
    </xf>
    <xf numFmtId="170" fontId="38" fillId="13" borderId="1" xfId="2" applyNumberFormat="1" applyFont="1" applyFill="1" applyBorder="1" applyAlignment="1" applyProtection="1">
      <alignment horizontal="right" wrapText="1"/>
      <protection locked="0"/>
    </xf>
    <xf numFmtId="170" fontId="70" fillId="13" borderId="4" xfId="2" applyNumberFormat="1" applyFont="1" applyFill="1" applyBorder="1" applyAlignment="1" applyProtection="1">
      <alignment horizontal="left" wrapText="1"/>
      <protection locked="0"/>
    </xf>
    <xf numFmtId="170" fontId="38" fillId="13" borderId="4" xfId="2" applyNumberFormat="1" applyFont="1" applyFill="1" applyBorder="1" applyAlignment="1" applyProtection="1">
      <alignment horizontal="center" wrapText="1"/>
      <protection locked="0"/>
    </xf>
    <xf numFmtId="0" fontId="70" fillId="13" borderId="0" xfId="2" applyFont="1" applyFill="1" applyAlignment="1" applyProtection="1">
      <alignment horizontal="left"/>
      <protection locked="0"/>
    </xf>
    <xf numFmtId="166" fontId="38" fillId="13" borderId="4" xfId="2" applyNumberFormat="1" applyFont="1" applyFill="1" applyBorder="1" applyAlignment="1" applyProtection="1">
      <alignment horizontal="right" wrapText="1"/>
      <protection locked="0"/>
    </xf>
    <xf numFmtId="166" fontId="38" fillId="13" borderId="0" xfId="2" applyNumberFormat="1" applyFont="1" applyFill="1" applyAlignment="1" applyProtection="1">
      <alignment horizontal="center" wrapText="1"/>
      <protection locked="0"/>
    </xf>
    <xf numFmtId="166" fontId="38" fillId="13" borderId="0" xfId="2" applyNumberFormat="1" applyFont="1" applyFill="1" applyAlignment="1" applyProtection="1">
      <alignment horizontal="left" wrapText="1"/>
      <protection locked="0"/>
    </xf>
    <xf numFmtId="0" fontId="18" fillId="13" borderId="0" xfId="2" applyFont="1" applyFill="1" applyAlignment="1">
      <alignment horizontal="left"/>
    </xf>
    <xf numFmtId="0" fontId="38" fillId="13" borderId="0" xfId="2" applyFont="1" applyFill="1" applyAlignment="1" applyProtection="1">
      <alignment horizontal="right" wrapText="1"/>
      <protection locked="0"/>
    </xf>
    <xf numFmtId="0" fontId="0" fillId="14" borderId="11" xfId="0" applyFill="1" applyBorder="1" applyAlignment="1" applyProtection="1">
      <alignment horizontal="center"/>
      <protection locked="0"/>
    </xf>
    <xf numFmtId="0" fontId="0" fillId="14" borderId="0" xfId="0" applyFill="1" applyAlignment="1" applyProtection="1">
      <alignment horizontal="center"/>
      <protection locked="0"/>
    </xf>
    <xf numFmtId="0" fontId="0" fillId="14" borderId="12" xfId="0" applyFill="1" applyBorder="1" applyAlignment="1" applyProtection="1">
      <alignment horizontal="center"/>
      <protection locked="0"/>
    </xf>
  </cellXfs>
  <cellStyles count="18">
    <cellStyle name="Comma 2" xfId="7" xr:uid="{00000000-0005-0000-0000-000000000000}"/>
    <cellStyle name="Comma 3" xfId="17" xr:uid="{00000000-0005-0000-0000-000001000000}"/>
    <cellStyle name="Hiperłącze" xfId="14" builtinId="8"/>
    <cellStyle name="Normal 2" xfId="1" xr:uid="{00000000-0005-0000-0000-000004000000}"/>
    <cellStyle name="Normal 2 2" xfId="13" xr:uid="{00000000-0005-0000-0000-000005000000}"/>
    <cellStyle name="Normal 2 2 2" xfId="15" xr:uid="{00000000-0005-0000-0000-000006000000}"/>
    <cellStyle name="Normal_Financial Statements PL ver 11 10 2006" xfId="2" xr:uid="{00000000-0005-0000-0000-000007000000}"/>
    <cellStyle name="Normal_Nota Nr 1" xfId="3" xr:uid="{00000000-0005-0000-0000-000008000000}"/>
    <cellStyle name="Normal_Nota Nr 2" xfId="4" xr:uid="{00000000-0005-0000-0000-000009000000}"/>
    <cellStyle name="Normal_Nota Nr 4" xfId="8" xr:uid="{00000000-0005-0000-0000-00000A000000}"/>
    <cellStyle name="Normal_Nota Nr 5" xfId="9" xr:uid="{00000000-0005-0000-0000-00000B000000}"/>
    <cellStyle name="Normal_SHEET" xfId="6" xr:uid="{00000000-0005-0000-0000-00000C000000}"/>
    <cellStyle name="Normalny" xfId="0" builtinId="0"/>
    <cellStyle name="Normalny 2" xfId="11" xr:uid="{00000000-0005-0000-0000-00000D000000}"/>
    <cellStyle name="Normalny_Nota Nr 15" xfId="12" xr:uid="{00000000-0005-0000-0000-00000E000000}"/>
    <cellStyle name="Normalny_Nota Nr 6_1" xfId="5" xr:uid="{00000000-0005-0000-0000-00000F000000}"/>
    <cellStyle name="Percent 2" xfId="10" xr:uid="{00000000-0005-0000-0000-000011000000}"/>
    <cellStyle name="Procentowy" xfId="16" builtinId="5"/>
  </cellStyles>
  <dxfs count="37">
    <dxf>
      <numFmt numFmtId="4" formatCode="#,##0.00"/>
    </dxf>
    <dxf>
      <numFmt numFmtId="4" formatCode="#,##0.00"/>
    </dxf>
    <dxf>
      <numFmt numFmtId="4" formatCode="#,##0.00"/>
    </dxf>
    <dxf>
      <numFmt numFmtId="4" formatCode="#,##0.00"/>
    </dxf>
    <dxf>
      <numFmt numFmtId="0" formatCode="General"/>
    </dxf>
    <dxf>
      <numFmt numFmtId="4" formatCode="#,##0.00"/>
    </dxf>
    <dxf>
      <numFmt numFmtId="4" formatCode="#,##0.00"/>
    </dxf>
    <dxf>
      <numFmt numFmtId="4" formatCode="#,##0.00"/>
    </dxf>
    <dxf>
      <numFmt numFmtId="4" formatCode="#,##0.00"/>
    </dxf>
    <dxf>
      <fill>
        <patternFill patternType="solid">
          <fgColor indexed="64"/>
          <bgColor theme="0" tint="-0.34998626667073579"/>
        </patternFill>
      </fill>
    </dxf>
    <dxf>
      <fill>
        <patternFill patternType="solid">
          <fgColor indexed="64"/>
          <bgColor theme="0" tint="-0.34998626667073579"/>
        </patternFill>
      </fill>
    </dxf>
    <dxf>
      <fill>
        <patternFill>
          <bgColor theme="0" tint="-0.34998626667073579"/>
        </patternFill>
      </fill>
    </dxf>
    <dxf>
      <fill>
        <patternFill>
          <fgColor indexed="64"/>
          <bgColor theme="0" tint="-0.34998626667073579"/>
        </patternFill>
      </fill>
    </dxf>
    <dxf>
      <fill>
        <patternFill>
          <fgColor indexed="64"/>
          <bgColor rgb="FFCCFFCC"/>
        </patternFill>
      </fill>
    </dxf>
    <dxf>
      <font>
        <color auto="1"/>
      </font>
      <fill>
        <patternFill>
          <fgColor indexed="64"/>
          <bgColor rgb="FF99CCFF"/>
        </patternFill>
      </fill>
    </dxf>
    <dxf>
      <fill>
        <patternFill>
          <fgColor indexed="64"/>
          <bgColor theme="0" tint="-0.34998626667073579"/>
        </patternFill>
      </fill>
    </dxf>
    <dxf>
      <fill>
        <patternFill>
          <fgColor indexed="64"/>
          <bgColor rgb="FFCCFFCC"/>
        </patternFill>
      </fill>
    </dxf>
    <dxf>
      <font>
        <color auto="1"/>
      </font>
      <fill>
        <patternFill>
          <fgColor indexed="64"/>
          <bgColor rgb="FF99CCFF"/>
        </patternFill>
      </fill>
    </dxf>
    <dxf>
      <fill>
        <patternFill>
          <fgColor indexed="64"/>
          <bgColor theme="0" tint="-0.34998626667073579"/>
        </patternFill>
      </fill>
    </dxf>
    <dxf>
      <fill>
        <patternFill>
          <fgColor indexed="64"/>
          <bgColor rgb="FFCCFFCC"/>
        </patternFill>
      </fill>
    </dxf>
    <dxf>
      <font>
        <color auto="1"/>
      </font>
      <fill>
        <patternFill>
          <fgColor indexed="64"/>
          <bgColor rgb="FF99CCFF"/>
        </patternFill>
      </fill>
    </dxf>
    <dxf>
      <fill>
        <patternFill>
          <fgColor indexed="64"/>
          <bgColor theme="0" tint="-0.34998626667073579"/>
        </patternFill>
      </fill>
    </dxf>
    <dxf>
      <fill>
        <patternFill>
          <fgColor indexed="64"/>
          <bgColor rgb="FFCCFFCC"/>
        </patternFill>
      </fill>
    </dxf>
    <dxf>
      <font>
        <color auto="1"/>
      </font>
      <fill>
        <patternFill>
          <fgColor indexed="64"/>
          <bgColor rgb="FF99CCFF"/>
        </patternFill>
      </fill>
    </dxf>
    <dxf>
      <fill>
        <patternFill>
          <fgColor indexed="64"/>
          <bgColor theme="0" tint="-0.34998626667073579"/>
        </patternFill>
      </fill>
    </dxf>
    <dxf>
      <fill>
        <patternFill>
          <fgColor indexed="64"/>
          <bgColor rgb="FFCCFFCC"/>
        </patternFill>
      </fill>
    </dxf>
    <dxf>
      <font>
        <color auto="1"/>
      </font>
      <fill>
        <patternFill>
          <fgColor indexed="64"/>
          <bgColor rgb="FF99CCFF"/>
        </patternFill>
      </fill>
    </dxf>
    <dxf>
      <fill>
        <patternFill patternType="solid">
          <fgColor indexed="64"/>
          <bgColor theme="0" tint="-0.34998626667073579"/>
        </patternFill>
      </fill>
    </dxf>
    <dxf>
      <fill>
        <patternFill patternType="solid">
          <fgColor indexed="64"/>
          <bgColor theme="0" tint="-0.34998626667073579"/>
        </patternFill>
      </fill>
    </dxf>
    <dxf>
      <fill>
        <patternFill>
          <bgColor rgb="FF33C933"/>
        </patternFill>
      </fill>
    </dxf>
    <dxf>
      <fill>
        <patternFill>
          <bgColor rgb="FF33C933"/>
        </patternFill>
      </fill>
    </dxf>
    <dxf>
      <fill>
        <patternFill>
          <fgColor indexed="64"/>
          <bgColor rgb="FF92D050"/>
        </patternFill>
      </fill>
    </dxf>
    <dxf>
      <fill>
        <patternFill>
          <fgColor indexed="64"/>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CC"/>
      <color rgb="FF99CCFF"/>
      <color rgb="FF71B8FF"/>
      <color rgb="FF47A3FF"/>
      <color rgb="FFCFBEDA"/>
      <color rgb="FF3366FF"/>
      <color rgb="FFD07C30"/>
      <color rgb="FFDCBCC7"/>
      <color rgb="FFFFE5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22" fmlaLink="$P$63" fmlaRange="definicje!$N$9:$N$11" noThreeD="1" sel="3" val="0"/>
</file>

<file path=xl/ctrlProps/ctrlProp2.xml><?xml version="1.0" encoding="utf-8"?>
<formControlPr xmlns="http://schemas.microsoft.com/office/spreadsheetml/2009/9/main" objectType="Drop" dropStyle="combo" dx="22" fmlaLink="$P$65" fmlaRange="definicje!$N$3:$N$4" noThreeD="1" sel="2" val="0"/>
</file>

<file path=xl/ctrlProps/ctrlProp3.xml><?xml version="1.0" encoding="utf-8"?>
<formControlPr xmlns="http://schemas.microsoft.com/office/spreadsheetml/2009/9/main" objectType="Drop" dropStyle="combo" dx="22" fmlaLink="$P$61" fmlaRange="definicje!$P$9:$P$10" noThreeD="1" sel="1" val="0"/>
</file>

<file path=xl/ctrlProps/ctrlProp4.xml><?xml version="1.0" encoding="utf-8"?>
<formControlPr xmlns="http://schemas.microsoft.com/office/spreadsheetml/2009/9/main" objectType="Drop" dropStyle="combo" dx="22" fmlaLink="$P$67" fmlaRange="definicje!$N$3:$N$4" noThreeD="1" sel="1" val="0"/>
</file>

<file path=xl/ctrlProps/ctrlProp5.xml><?xml version="1.0" encoding="utf-8"?>
<formControlPr xmlns="http://schemas.microsoft.com/office/spreadsheetml/2009/9/main" objectType="Drop" dropStyle="combo" dx="22" fmlaLink="$P$69" fmlaRange="definicje!$N$3:$N$4" noThreeD="1" sel="1" val="0"/>
</file>

<file path=xl/ctrlProps/ctrlProp6.xml><?xml version="1.0" encoding="utf-8"?>
<formControlPr xmlns="http://schemas.microsoft.com/office/spreadsheetml/2009/9/main" objectType="Drop" dropStyle="combo" dx="22" fmlaLink="$P$71" fmlaRange="definicje!$N$3:$N$4" noThreeD="1" sel="1" val="0"/>
</file>

<file path=xl/ctrlProps/ctrlProp7.xml><?xml version="1.0" encoding="utf-8"?>
<formControlPr xmlns="http://schemas.microsoft.com/office/spreadsheetml/2009/9/main" objectType="Drop" dropStyle="combo" dx="22" fmlaLink="$P$73" fmlaRange="definicje!$N$3:$N$4" noThreeD="1" sel="2" val="0"/>
</file>

<file path=xl/ctrlProps/ctrlProp8.xml><?xml version="1.0" encoding="utf-8"?>
<formControlPr xmlns="http://schemas.microsoft.com/office/spreadsheetml/2009/9/main" objectType="Drop" dropStyle="combo" dx="22" fmlaLink="$P$75" fmlaRange="definicje!$R$9:$R$10"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8</xdr:col>
      <xdr:colOff>638175</xdr:colOff>
      <xdr:row>3</xdr:row>
      <xdr:rowOff>0</xdr:rowOff>
    </xdr:from>
    <xdr:ext cx="184731" cy="264560"/>
    <xdr:sp macro="" textlink="">
      <xdr:nvSpPr>
        <xdr:cNvPr id="2" name="pole tekstowe 4">
          <a:extLst>
            <a:ext uri="{FF2B5EF4-FFF2-40B4-BE49-F238E27FC236}">
              <a16:creationId xmlns:a16="http://schemas.microsoft.com/office/drawing/2014/main" id="{00000000-0008-0000-0100-000002000000}"/>
            </a:ext>
          </a:extLst>
        </xdr:cNvPr>
        <xdr:cNvSpPr txBox="1"/>
      </xdr:nvSpPr>
      <xdr:spPr>
        <a:xfrm>
          <a:off x="5486400" y="57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l-PL" sz="1100"/>
        </a:p>
      </xdr:txBody>
    </xdr:sp>
    <xdr:clientData/>
  </xdr:oneCellAnchor>
  <xdr:twoCellAnchor>
    <xdr:from>
      <xdr:col>1</xdr:col>
      <xdr:colOff>1609725</xdr:colOff>
      <xdr:row>1</xdr:row>
      <xdr:rowOff>95251</xdr:rowOff>
    </xdr:from>
    <xdr:to>
      <xdr:col>1</xdr:col>
      <xdr:colOff>2667000</xdr:colOff>
      <xdr:row>1</xdr:row>
      <xdr:rowOff>419101</xdr:rowOff>
    </xdr:to>
    <xdr:sp macro="[0]!IKOR_Appl.Wczytanie_XML" textlink="">
      <xdr:nvSpPr>
        <xdr:cNvPr id="3" name="Elipsa 1">
          <a:extLst>
            <a:ext uri="{FF2B5EF4-FFF2-40B4-BE49-F238E27FC236}">
              <a16:creationId xmlns:a16="http://schemas.microsoft.com/office/drawing/2014/main" id="{00000000-0008-0000-0100-000003000000}"/>
            </a:ext>
          </a:extLst>
        </xdr:cNvPr>
        <xdr:cNvSpPr/>
      </xdr:nvSpPr>
      <xdr:spPr>
        <a:xfrm>
          <a:off x="1219200" y="285751"/>
          <a:ext cx="0" cy="952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pl-PL" sz="1100"/>
            <a:t>Wczytaj</a:t>
          </a:r>
        </a:p>
        <a:p>
          <a:pPr algn="l"/>
          <a:endParaRPr lang="pl-PL" sz="1100"/>
        </a:p>
      </xdr:txBody>
    </xdr:sp>
    <xdr:clientData/>
  </xdr:twoCellAnchor>
  <xdr:twoCellAnchor>
    <xdr:from>
      <xdr:col>0</xdr:col>
      <xdr:colOff>95250</xdr:colOff>
      <xdr:row>0</xdr:row>
      <xdr:rowOff>133351</xdr:rowOff>
    </xdr:from>
    <xdr:to>
      <xdr:col>0</xdr:col>
      <xdr:colOff>571500</xdr:colOff>
      <xdr:row>0</xdr:row>
      <xdr:rowOff>304801</xdr:rowOff>
    </xdr:to>
    <xdr:sp macro="[0]!WybierzPlik" textlink="">
      <xdr:nvSpPr>
        <xdr:cNvPr id="4" name="Prostokąt zaokrąglony 2">
          <a:extLst>
            <a:ext uri="{FF2B5EF4-FFF2-40B4-BE49-F238E27FC236}">
              <a16:creationId xmlns:a16="http://schemas.microsoft.com/office/drawing/2014/main" id="{00000000-0008-0000-0100-000004000000}"/>
            </a:ext>
          </a:extLst>
        </xdr:cNvPr>
        <xdr:cNvSpPr/>
      </xdr:nvSpPr>
      <xdr:spPr>
        <a:xfrm>
          <a:off x="95250" y="133351"/>
          <a:ext cx="476250" cy="571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rtlCol="0" anchor="ctr" anchorCtr="1"/>
        <a:lstStyle/>
        <a:p>
          <a:pPr algn="l"/>
          <a:r>
            <a:rPr lang="pl-PL" sz="1100"/>
            <a:t>...</a:t>
          </a:r>
        </a:p>
      </xdr:txBody>
    </xdr:sp>
    <xdr:clientData/>
  </xdr:twoCellAnchor>
  <xdr:oneCellAnchor>
    <xdr:from>
      <xdr:col>53</xdr:col>
      <xdr:colOff>638175</xdr:colOff>
      <xdr:row>3</xdr:row>
      <xdr:rowOff>0</xdr:rowOff>
    </xdr:from>
    <xdr:ext cx="184731" cy="264560"/>
    <xdr:sp macro="" textlink="">
      <xdr:nvSpPr>
        <xdr:cNvPr id="5" name="pole tekstowe 4">
          <a:extLst>
            <a:ext uri="{FF2B5EF4-FFF2-40B4-BE49-F238E27FC236}">
              <a16:creationId xmlns:a16="http://schemas.microsoft.com/office/drawing/2014/main" id="{00000000-0008-0000-0100-000005000000}"/>
            </a:ext>
          </a:extLst>
        </xdr:cNvPr>
        <xdr:cNvSpPr txBox="1"/>
      </xdr:nvSpPr>
      <xdr:spPr>
        <a:xfrm>
          <a:off x="32918400" y="57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l-PL"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16625</xdr:colOff>
          <xdr:row>10</xdr:row>
          <xdr:rowOff>33251</xdr:rowOff>
        </xdr:from>
        <xdr:to>
          <xdr:col>5</xdr:col>
          <xdr:colOff>980902</xdr:colOff>
          <xdr:row>14</xdr:row>
          <xdr:rowOff>49876</xdr:rowOff>
        </xdr:to>
        <xdr:sp macro="" textlink="">
          <xdr:nvSpPr>
            <xdr:cNvPr id="160769" name="Object 1" hidden="1">
              <a:extLst>
                <a:ext uri="{63B3BB69-23CF-44E3-9099-C40C66FF867C}">
                  <a14:compatExt spid="_x0000_s160769"/>
                </a:ext>
                <a:ext uri="{FF2B5EF4-FFF2-40B4-BE49-F238E27FC236}">
                  <a16:creationId xmlns:a16="http://schemas.microsoft.com/office/drawing/2014/main" id="{00000000-0008-0000-0600-00000174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33251</xdr:colOff>
          <xdr:row>62</xdr:row>
          <xdr:rowOff>0</xdr:rowOff>
        </xdr:from>
        <xdr:to>
          <xdr:col>8</xdr:col>
          <xdr:colOff>432262</xdr:colOff>
          <xdr:row>63</xdr:row>
          <xdr:rowOff>41564</xdr:rowOff>
        </xdr:to>
        <xdr:sp macro="" textlink="">
          <xdr:nvSpPr>
            <xdr:cNvPr id="58382" name="WersjaJezykowa" hidden="1">
              <a:extLst>
                <a:ext uri="{63B3BB69-23CF-44E3-9099-C40C66FF867C}">
                  <a14:compatExt spid="_x0000_s58382"/>
                </a:ext>
                <a:ext uri="{FF2B5EF4-FFF2-40B4-BE49-F238E27FC236}">
                  <a16:creationId xmlns:a16="http://schemas.microsoft.com/office/drawing/2014/main" id="{00000000-0008-0000-0700-00000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33251</xdr:colOff>
          <xdr:row>64</xdr:row>
          <xdr:rowOff>0</xdr:rowOff>
        </xdr:from>
        <xdr:to>
          <xdr:col>8</xdr:col>
          <xdr:colOff>432262</xdr:colOff>
          <xdr:row>65</xdr:row>
          <xdr:rowOff>41564</xdr:rowOff>
        </xdr:to>
        <xdr:sp macro="" textlink="">
          <xdr:nvSpPr>
            <xdr:cNvPr id="58383" name="DanePrzeksztalcone1" hidden="1">
              <a:extLst>
                <a:ext uri="{63B3BB69-23CF-44E3-9099-C40C66FF867C}">
                  <a14:compatExt spid="_x0000_s58383"/>
                </a:ext>
                <a:ext uri="{FF2B5EF4-FFF2-40B4-BE49-F238E27FC236}">
                  <a16:creationId xmlns:a16="http://schemas.microsoft.com/office/drawing/2014/main" id="{00000000-0008-0000-0700-00000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33251</xdr:colOff>
          <xdr:row>60</xdr:row>
          <xdr:rowOff>0</xdr:rowOff>
        </xdr:from>
        <xdr:to>
          <xdr:col>8</xdr:col>
          <xdr:colOff>432262</xdr:colOff>
          <xdr:row>61</xdr:row>
          <xdr:rowOff>41564</xdr:rowOff>
        </xdr:to>
        <xdr:sp macro="" textlink="">
          <xdr:nvSpPr>
            <xdr:cNvPr id="58384" name="KwotyWZlotych" hidden="1">
              <a:extLst>
                <a:ext uri="{63B3BB69-23CF-44E3-9099-C40C66FF867C}">
                  <a14:compatExt spid="_x0000_s58384"/>
                </a:ext>
                <a:ext uri="{FF2B5EF4-FFF2-40B4-BE49-F238E27FC236}">
                  <a16:creationId xmlns:a16="http://schemas.microsoft.com/office/drawing/2014/main" id="{00000000-0008-0000-0700-00001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596900</xdr:colOff>
      <xdr:row>23</xdr:row>
      <xdr:rowOff>0</xdr:rowOff>
    </xdr:from>
    <xdr:to>
      <xdr:col>11</xdr:col>
      <xdr:colOff>82550</xdr:colOff>
      <xdr:row>29</xdr:row>
      <xdr:rowOff>66675</xdr:rowOff>
    </xdr:to>
    <xdr:sp macro="[0]!FS.FS" textlink="">
      <xdr:nvSpPr>
        <xdr:cNvPr id="2" name="Wygeneruj plik e_Sprawozdania">
          <a:extLst>
            <a:ext uri="{FF2B5EF4-FFF2-40B4-BE49-F238E27FC236}">
              <a16:creationId xmlns:a16="http://schemas.microsoft.com/office/drawing/2014/main" id="{00000000-0008-0000-0700-000002000000}"/>
            </a:ext>
          </a:extLst>
        </xdr:cNvPr>
        <xdr:cNvSpPr/>
      </xdr:nvSpPr>
      <xdr:spPr>
        <a:xfrm>
          <a:off x="12903200" y="480060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Wygeneruj plik e_Sprawozdania</a:t>
          </a:r>
        </a:p>
      </xdr:txBody>
    </xdr:sp>
    <xdr:clientData fPrintsWithSheet="0"/>
  </xdr:twoCellAnchor>
  <xdr:twoCellAnchor editAs="absolute">
    <xdr:from>
      <xdr:col>11</xdr:col>
      <xdr:colOff>120650</xdr:colOff>
      <xdr:row>10</xdr:row>
      <xdr:rowOff>6350</xdr:rowOff>
    </xdr:from>
    <xdr:to>
      <xdr:col>13</xdr:col>
      <xdr:colOff>447675</xdr:colOff>
      <xdr:row>16</xdr:row>
      <xdr:rowOff>28575</xdr:rowOff>
    </xdr:to>
    <xdr:sp macro="[0]!Wezwij_PDF_bez_xml" textlink="">
      <xdr:nvSpPr>
        <xdr:cNvPr id="9" name="Wygeneruj pliki PDF">
          <a:extLst>
            <a:ext uri="{FF2B5EF4-FFF2-40B4-BE49-F238E27FC236}">
              <a16:creationId xmlns:a16="http://schemas.microsoft.com/office/drawing/2014/main" id="{00000000-0008-0000-0700-000009000000}"/>
            </a:ext>
          </a:extLst>
        </xdr:cNvPr>
        <xdr:cNvSpPr/>
      </xdr:nvSpPr>
      <xdr:spPr>
        <a:xfrm>
          <a:off x="14719300" y="210820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Wygeneruj pliki PDF (załączniki do xml)</a:t>
          </a:r>
        </a:p>
      </xdr:txBody>
    </xdr:sp>
    <xdr:clientData fPrintsWithSheet="0"/>
  </xdr:twoCellAnchor>
  <xdr:twoCellAnchor editAs="absolute">
    <xdr:from>
      <xdr:col>11</xdr:col>
      <xdr:colOff>120650</xdr:colOff>
      <xdr:row>32</xdr:row>
      <xdr:rowOff>6350</xdr:rowOff>
    </xdr:from>
    <xdr:to>
      <xdr:col>13</xdr:col>
      <xdr:colOff>447675</xdr:colOff>
      <xdr:row>37</xdr:row>
      <xdr:rowOff>85725</xdr:rowOff>
    </xdr:to>
    <xdr:sp macro="[0]!Mail.Mail" textlink="">
      <xdr:nvSpPr>
        <xdr:cNvPr id="11" name="Wyślij maila z lokalizacją błędnego pliku do działu wsparcia">
          <a:extLst>
            <a:ext uri="{FF2B5EF4-FFF2-40B4-BE49-F238E27FC236}">
              <a16:creationId xmlns:a16="http://schemas.microsoft.com/office/drawing/2014/main" id="{00000000-0008-0000-0700-00000B000000}"/>
            </a:ext>
          </a:extLst>
        </xdr:cNvPr>
        <xdr:cNvSpPr/>
      </xdr:nvSpPr>
      <xdr:spPr>
        <a:xfrm>
          <a:off x="14719300" y="6403975"/>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Wyślij</a:t>
          </a:r>
          <a:r>
            <a:rPr lang="pl-PL" sz="1400" b="1" baseline="0"/>
            <a:t> maila z lokalizacją błędnego pliku do działu wsparcia</a:t>
          </a:r>
          <a:endParaRPr lang="pl-PL" sz="1400" b="1"/>
        </a:p>
      </xdr:txBody>
    </xdr:sp>
    <xdr:clientData fPrintsWithSheet="0"/>
  </xdr:twoCellAnchor>
  <xdr:twoCellAnchor editAs="absolute">
    <xdr:from>
      <xdr:col>6</xdr:col>
      <xdr:colOff>0</xdr:colOff>
      <xdr:row>2</xdr:row>
      <xdr:rowOff>0</xdr:rowOff>
    </xdr:from>
    <xdr:to>
      <xdr:col>8</xdr:col>
      <xdr:colOff>558800</xdr:colOff>
      <xdr:row>6</xdr:row>
      <xdr:rowOff>76200</xdr:rowOff>
    </xdr:to>
    <xdr:sp macro="[0]!WybierzPlik" textlink="">
      <xdr:nvSpPr>
        <xdr:cNvPr id="12" name="Wczytaj dane porównawcze">
          <a:extLst>
            <a:ext uri="{FF2B5EF4-FFF2-40B4-BE49-F238E27FC236}">
              <a16:creationId xmlns:a16="http://schemas.microsoft.com/office/drawing/2014/main" id="{00000000-0008-0000-0700-00000C000000}"/>
            </a:ext>
          </a:extLst>
        </xdr:cNvPr>
        <xdr:cNvSpPr/>
      </xdr:nvSpPr>
      <xdr:spPr>
        <a:xfrm>
          <a:off x="11087100" y="40005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Wczytaj dane</a:t>
          </a:r>
          <a:r>
            <a:rPr lang="pl-PL" sz="1400" b="1" baseline="0"/>
            <a:t> porównawcze </a:t>
          </a:r>
          <a:endParaRPr lang="pl-PL" sz="1400" b="1"/>
        </a:p>
      </xdr:txBody>
    </xdr:sp>
    <xdr:clientData/>
  </xdr:twoCellAnchor>
  <mc:AlternateContent xmlns:mc="http://schemas.openxmlformats.org/markup-compatibility/2006">
    <mc:Choice xmlns:a14="http://schemas.microsoft.com/office/drawing/2010/main" Requires="a14">
      <xdr:twoCellAnchor editAs="oneCell">
        <xdr:from>
          <xdr:col>3</xdr:col>
          <xdr:colOff>224444</xdr:colOff>
          <xdr:row>43</xdr:row>
          <xdr:rowOff>0</xdr:rowOff>
        </xdr:from>
        <xdr:to>
          <xdr:col>3</xdr:col>
          <xdr:colOff>432262</xdr:colOff>
          <xdr:row>53</xdr:row>
          <xdr:rowOff>58189</xdr:rowOff>
        </xdr:to>
        <xdr:sp macro="" textlink="">
          <xdr:nvSpPr>
            <xdr:cNvPr id="58387" name="CommandButton1" hidden="1">
              <a:extLst>
                <a:ext uri="{63B3BB69-23CF-44E3-9099-C40C66FF867C}">
                  <a14:compatExt spid="_x0000_s58387"/>
                </a:ext>
                <a:ext uri="{FF2B5EF4-FFF2-40B4-BE49-F238E27FC236}">
                  <a16:creationId xmlns:a16="http://schemas.microsoft.com/office/drawing/2014/main" id="{00000000-0008-0000-0700-00001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548640</xdr:colOff>
          <xdr:row>43</xdr:row>
          <xdr:rowOff>0</xdr:rowOff>
        </xdr:from>
        <xdr:to>
          <xdr:col>3</xdr:col>
          <xdr:colOff>756458</xdr:colOff>
          <xdr:row>53</xdr:row>
          <xdr:rowOff>58189</xdr:rowOff>
        </xdr:to>
        <xdr:sp macro="" textlink="">
          <xdr:nvSpPr>
            <xdr:cNvPr id="58388" name="CommandButton2" hidden="1">
              <a:extLst>
                <a:ext uri="{63B3BB69-23CF-44E3-9099-C40C66FF867C}">
                  <a14:compatExt spid="_x0000_s58388"/>
                </a:ext>
                <a:ext uri="{FF2B5EF4-FFF2-40B4-BE49-F238E27FC236}">
                  <a16:creationId xmlns:a16="http://schemas.microsoft.com/office/drawing/2014/main" id="{00000000-0008-0000-0700-00001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33251</xdr:colOff>
          <xdr:row>66</xdr:row>
          <xdr:rowOff>0</xdr:rowOff>
        </xdr:from>
        <xdr:to>
          <xdr:col>8</xdr:col>
          <xdr:colOff>432262</xdr:colOff>
          <xdr:row>67</xdr:row>
          <xdr:rowOff>41564</xdr:rowOff>
        </xdr:to>
        <xdr:sp macro="" textlink="">
          <xdr:nvSpPr>
            <xdr:cNvPr id="58392" name="NotaPodatkowa1" hidden="1">
              <a:extLst>
                <a:ext uri="{63B3BB69-23CF-44E3-9099-C40C66FF867C}">
                  <a14:compatExt spid="_x0000_s58392"/>
                </a:ext>
                <a:ext uri="{FF2B5EF4-FFF2-40B4-BE49-F238E27FC236}">
                  <a16:creationId xmlns:a16="http://schemas.microsoft.com/office/drawing/2014/main" id="{00000000-0008-0000-0700-00001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33251</xdr:colOff>
          <xdr:row>68</xdr:row>
          <xdr:rowOff>0</xdr:rowOff>
        </xdr:from>
        <xdr:to>
          <xdr:col>8</xdr:col>
          <xdr:colOff>432262</xdr:colOff>
          <xdr:row>69</xdr:row>
          <xdr:rowOff>41564</xdr:rowOff>
        </xdr:to>
        <xdr:sp macro="" textlink="">
          <xdr:nvSpPr>
            <xdr:cNvPr id="58393" name="RPP" hidden="1">
              <a:extLst>
                <a:ext uri="{63B3BB69-23CF-44E3-9099-C40C66FF867C}">
                  <a14:compatExt spid="_x0000_s58393"/>
                </a:ext>
                <a:ext uri="{FF2B5EF4-FFF2-40B4-BE49-F238E27FC236}">
                  <a16:creationId xmlns:a16="http://schemas.microsoft.com/office/drawing/2014/main" id="{00000000-0008-0000-0700-00001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33251</xdr:colOff>
          <xdr:row>70</xdr:row>
          <xdr:rowOff>0</xdr:rowOff>
        </xdr:from>
        <xdr:to>
          <xdr:col>8</xdr:col>
          <xdr:colOff>432262</xdr:colOff>
          <xdr:row>71</xdr:row>
          <xdr:rowOff>33251</xdr:rowOff>
        </xdr:to>
        <xdr:sp macro="" textlink="">
          <xdr:nvSpPr>
            <xdr:cNvPr id="58394" name="ZZwKW" hidden="1">
              <a:extLst>
                <a:ext uri="{63B3BB69-23CF-44E3-9099-C40C66FF867C}">
                  <a14:compatExt spid="_x0000_s58394"/>
                </a:ext>
                <a:ext uri="{FF2B5EF4-FFF2-40B4-BE49-F238E27FC236}">
                  <a16:creationId xmlns:a16="http://schemas.microsoft.com/office/drawing/2014/main" id="{00000000-0008-0000-0700-00001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596900</xdr:colOff>
      <xdr:row>2</xdr:row>
      <xdr:rowOff>0</xdr:rowOff>
    </xdr:from>
    <xdr:to>
      <xdr:col>11</xdr:col>
      <xdr:colOff>82550</xdr:colOff>
      <xdr:row>6</xdr:row>
      <xdr:rowOff>76200</xdr:rowOff>
    </xdr:to>
    <xdr:sp macro="[0]!Exact_TB" textlink="">
      <xdr:nvSpPr>
        <xdr:cNvPr id="15" name="Pobierz dane z Exact">
          <a:extLst>
            <a:ext uri="{FF2B5EF4-FFF2-40B4-BE49-F238E27FC236}">
              <a16:creationId xmlns:a16="http://schemas.microsoft.com/office/drawing/2014/main" id="{00000000-0008-0000-0700-00000F000000}"/>
            </a:ext>
          </a:extLst>
        </xdr:cNvPr>
        <xdr:cNvSpPr/>
      </xdr:nvSpPr>
      <xdr:spPr>
        <a:xfrm>
          <a:off x="12903200" y="40005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Pobierz dane z Exact</a:t>
          </a:r>
        </a:p>
      </xdr:txBody>
    </xdr:sp>
    <xdr:clientData/>
  </xdr:twoCellAnchor>
  <xdr:twoCellAnchor editAs="absolute">
    <xdr:from>
      <xdr:col>6</xdr:col>
      <xdr:colOff>0</xdr:colOff>
      <xdr:row>10</xdr:row>
      <xdr:rowOff>6350</xdr:rowOff>
    </xdr:from>
    <xdr:to>
      <xdr:col>8</xdr:col>
      <xdr:colOff>558800</xdr:colOff>
      <xdr:row>16</xdr:row>
      <xdr:rowOff>28575</xdr:rowOff>
    </xdr:to>
    <xdr:sp macro="[0]!filtr_Ukryj" textlink="">
      <xdr:nvSpPr>
        <xdr:cNvPr id="17" name="Ukryj wszystkie niepotrzebne wiersze">
          <a:extLst>
            <a:ext uri="{FF2B5EF4-FFF2-40B4-BE49-F238E27FC236}">
              <a16:creationId xmlns:a16="http://schemas.microsoft.com/office/drawing/2014/main" id="{00000000-0008-0000-0700-000011000000}"/>
            </a:ext>
          </a:extLst>
        </xdr:cNvPr>
        <xdr:cNvSpPr/>
      </xdr:nvSpPr>
      <xdr:spPr>
        <a:xfrm>
          <a:off x="11087100" y="210820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Ukryj</a:t>
          </a:r>
          <a:r>
            <a:rPr lang="pl-PL" sz="1400" b="1" baseline="0"/>
            <a:t> wszystkie niepotrzebne wiersze</a:t>
          </a:r>
          <a:endParaRPr lang="pl-PL" sz="1400" b="1"/>
        </a:p>
      </xdr:txBody>
    </xdr:sp>
    <xdr:clientData fPrintsWithSheet="0"/>
  </xdr:twoCellAnchor>
  <xdr:twoCellAnchor editAs="absolute">
    <xdr:from>
      <xdr:col>8</xdr:col>
      <xdr:colOff>596900</xdr:colOff>
      <xdr:row>10</xdr:row>
      <xdr:rowOff>6350</xdr:rowOff>
    </xdr:from>
    <xdr:to>
      <xdr:col>11</xdr:col>
      <xdr:colOff>82550</xdr:colOff>
      <xdr:row>16</xdr:row>
      <xdr:rowOff>28575</xdr:rowOff>
    </xdr:to>
    <xdr:sp macro="[0]!WydrukKlient" textlink="">
      <xdr:nvSpPr>
        <xdr:cNvPr id="18" name="Przygotuj wydruk dla klienta">
          <a:extLst>
            <a:ext uri="{FF2B5EF4-FFF2-40B4-BE49-F238E27FC236}">
              <a16:creationId xmlns:a16="http://schemas.microsoft.com/office/drawing/2014/main" id="{00000000-0008-0000-0700-000012000000}"/>
            </a:ext>
          </a:extLst>
        </xdr:cNvPr>
        <xdr:cNvSpPr/>
      </xdr:nvSpPr>
      <xdr:spPr>
        <a:xfrm>
          <a:off x="12903200" y="210820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Przygotuj wydruk dla klienta</a:t>
          </a:r>
        </a:p>
      </xdr:txBody>
    </xdr:sp>
    <xdr:clientData fPrintsWithSheet="0"/>
  </xdr:twoCellAnchor>
  <xdr:twoCellAnchor editAs="absolute">
    <xdr:from>
      <xdr:col>11</xdr:col>
      <xdr:colOff>120650</xdr:colOff>
      <xdr:row>2</xdr:row>
      <xdr:rowOff>0</xdr:rowOff>
    </xdr:from>
    <xdr:to>
      <xdr:col>13</xdr:col>
      <xdr:colOff>447675</xdr:colOff>
      <xdr:row>6</xdr:row>
      <xdr:rowOff>76200</xdr:rowOff>
    </xdr:to>
    <xdr:sp macro="[0]!TB_Wymiary" textlink="">
      <xdr:nvSpPr>
        <xdr:cNvPr id="19" name="Pobierz dane z Exact według wybranych wymiarów">
          <a:extLst>
            <a:ext uri="{FF2B5EF4-FFF2-40B4-BE49-F238E27FC236}">
              <a16:creationId xmlns:a16="http://schemas.microsoft.com/office/drawing/2014/main" id="{00000000-0008-0000-0700-000013000000}"/>
            </a:ext>
          </a:extLst>
        </xdr:cNvPr>
        <xdr:cNvSpPr/>
      </xdr:nvSpPr>
      <xdr:spPr>
        <a:xfrm>
          <a:off x="14719300" y="40005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Pobierz dane z Exact według wybranych parametrów</a:t>
          </a:r>
        </a:p>
      </xdr:txBody>
    </xdr:sp>
    <xdr:clientData/>
  </xdr:twoCellAnchor>
  <xdr:twoCellAnchor editAs="absolute">
    <xdr:from>
      <xdr:col>8</xdr:col>
      <xdr:colOff>596900</xdr:colOff>
      <xdr:row>32</xdr:row>
      <xdr:rowOff>6350</xdr:rowOff>
    </xdr:from>
    <xdr:to>
      <xdr:col>11</xdr:col>
      <xdr:colOff>82550</xdr:colOff>
      <xdr:row>37</xdr:row>
      <xdr:rowOff>85725</xdr:rowOff>
    </xdr:to>
    <xdr:sp macro="[0]!Wezwij_sumowanie" textlink="">
      <xdr:nvSpPr>
        <xdr:cNvPr id="20" name="Przywróć ustawienia fabryczne">
          <a:extLst>
            <a:ext uri="{FF2B5EF4-FFF2-40B4-BE49-F238E27FC236}">
              <a16:creationId xmlns:a16="http://schemas.microsoft.com/office/drawing/2014/main" id="{00000000-0008-0000-0700-000014000000}"/>
            </a:ext>
          </a:extLst>
        </xdr:cNvPr>
        <xdr:cNvSpPr/>
      </xdr:nvSpPr>
      <xdr:spPr>
        <a:xfrm>
          <a:off x="12903200" y="6403975"/>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Dodatkowe ustawienia</a:t>
          </a:r>
        </a:p>
      </xdr:txBody>
    </xdr:sp>
    <xdr:clientData fPrintsWithSheet="0"/>
  </xdr:twoCellAnchor>
  <xdr:twoCellAnchor editAs="absolute">
    <xdr:from>
      <xdr:col>6</xdr:col>
      <xdr:colOff>0</xdr:colOff>
      <xdr:row>32</xdr:row>
      <xdr:rowOff>6350</xdr:rowOff>
    </xdr:from>
    <xdr:to>
      <xdr:col>8</xdr:col>
      <xdr:colOff>558800</xdr:colOff>
      <xdr:row>37</xdr:row>
      <xdr:rowOff>85725</xdr:rowOff>
    </xdr:to>
    <xdr:sp macro="[0]!call_hiperlacza" textlink="">
      <xdr:nvSpPr>
        <xdr:cNvPr id="21" name="Wstaw ponownie hiperłącza">
          <a:extLst>
            <a:ext uri="{FF2B5EF4-FFF2-40B4-BE49-F238E27FC236}">
              <a16:creationId xmlns:a16="http://schemas.microsoft.com/office/drawing/2014/main" id="{00000000-0008-0000-0700-000015000000}"/>
            </a:ext>
          </a:extLst>
        </xdr:cNvPr>
        <xdr:cNvSpPr/>
      </xdr:nvSpPr>
      <xdr:spPr>
        <a:xfrm>
          <a:off x="11087100" y="6403975"/>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Wstaw ponownie</a:t>
          </a:r>
          <a:r>
            <a:rPr lang="pl-PL" sz="1400" b="1" baseline="0"/>
            <a:t> hiperłącza</a:t>
          </a:r>
          <a:endParaRPr lang="pl-PL" sz="1400" b="1"/>
        </a:p>
      </xdr:txBody>
    </xdr:sp>
    <xdr:clientData fPrintsWithSheet="0"/>
  </xdr:twoCellAnchor>
  <xdr:twoCellAnchor editAs="absolute">
    <xdr:from>
      <xdr:col>6</xdr:col>
      <xdr:colOff>539750</xdr:colOff>
      <xdr:row>0</xdr:row>
      <xdr:rowOff>82550</xdr:rowOff>
    </xdr:from>
    <xdr:to>
      <xdr:col>12</xdr:col>
      <xdr:colOff>749300</xdr:colOff>
      <xdr:row>1</xdr:row>
      <xdr:rowOff>85725</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1633200" y="82550"/>
          <a:ext cx="4318000" cy="20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a:t>Przyciski służące wczytywaniu danych do tego pliku</a:t>
          </a:r>
          <a:endParaRPr lang="en-US" sz="1100"/>
        </a:p>
      </xdr:txBody>
    </xdr:sp>
    <xdr:clientData fPrintsWithSheet="0"/>
  </xdr:twoCellAnchor>
  <xdr:twoCellAnchor editAs="absolute">
    <xdr:from>
      <xdr:col>6</xdr:col>
      <xdr:colOff>539750</xdr:colOff>
      <xdr:row>8</xdr:row>
      <xdr:rowOff>47625</xdr:rowOff>
    </xdr:from>
    <xdr:to>
      <xdr:col>12</xdr:col>
      <xdr:colOff>749300</xdr:colOff>
      <xdr:row>9</xdr:row>
      <xdr:rowOff>82550</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11633200" y="1790700"/>
          <a:ext cx="4318000" cy="20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a:t>Przyciski służące przygotowaniu wydruku</a:t>
          </a:r>
          <a:endParaRPr lang="en-US" sz="1100"/>
        </a:p>
      </xdr:txBody>
    </xdr:sp>
    <xdr:clientData fPrintsWithSheet="0"/>
  </xdr:twoCellAnchor>
  <xdr:twoCellAnchor editAs="absolute">
    <xdr:from>
      <xdr:col>6</xdr:col>
      <xdr:colOff>539750</xdr:colOff>
      <xdr:row>30</xdr:row>
      <xdr:rowOff>95250</xdr:rowOff>
    </xdr:from>
    <xdr:to>
      <xdr:col>12</xdr:col>
      <xdr:colOff>749300</xdr:colOff>
      <xdr:row>31</xdr:row>
      <xdr:rowOff>104775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11633200" y="6086475"/>
          <a:ext cx="4318000" cy="20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a:t>Przyciski pomocnicze</a:t>
          </a:r>
          <a:endParaRPr lang="en-US" sz="1100"/>
        </a:p>
      </xdr:txBody>
    </xdr:sp>
    <xdr:clientData fPrintsWithSheet="0"/>
  </xdr:twoCellAnchor>
  <xdr:twoCellAnchor editAs="absolute">
    <xdr:from>
      <xdr:col>6</xdr:col>
      <xdr:colOff>539750</xdr:colOff>
      <xdr:row>21</xdr:row>
      <xdr:rowOff>34925</xdr:rowOff>
    </xdr:from>
    <xdr:to>
      <xdr:col>12</xdr:col>
      <xdr:colOff>749300</xdr:colOff>
      <xdr:row>22</xdr:row>
      <xdr:rowOff>47625</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11633200" y="4483100"/>
          <a:ext cx="4318000" cy="20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a:t>Generacja</a:t>
          </a:r>
          <a:r>
            <a:rPr lang="pl-PL" sz="1100" baseline="0"/>
            <a:t> e-sprawozdania w formie xml (wraz z generacją załączników)</a:t>
          </a:r>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33251</xdr:colOff>
          <xdr:row>72</xdr:row>
          <xdr:rowOff>0</xdr:rowOff>
        </xdr:from>
        <xdr:to>
          <xdr:col>8</xdr:col>
          <xdr:colOff>432262</xdr:colOff>
          <xdr:row>73</xdr:row>
          <xdr:rowOff>33251</xdr:rowOff>
        </xdr:to>
        <xdr:sp macro="" textlink="">
          <xdr:nvSpPr>
            <xdr:cNvPr id="58395" name="RokObrotowy" hidden="1">
              <a:extLst>
                <a:ext uri="{63B3BB69-23CF-44E3-9099-C40C66FF867C}">
                  <a14:compatExt spid="_x0000_s58395"/>
                </a:ext>
                <a:ext uri="{FF2B5EF4-FFF2-40B4-BE49-F238E27FC236}">
                  <a16:creationId xmlns:a16="http://schemas.microsoft.com/office/drawing/2014/main" id="{00000000-0008-0000-0700-00001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596900</xdr:colOff>
      <xdr:row>16</xdr:row>
      <xdr:rowOff>66675</xdr:rowOff>
    </xdr:from>
    <xdr:to>
      <xdr:col>11</xdr:col>
      <xdr:colOff>82550</xdr:colOff>
      <xdr:row>20</xdr:row>
      <xdr:rowOff>311150</xdr:rowOff>
    </xdr:to>
    <xdr:sp macro="[0]!GenerujExcela" textlink="">
      <xdr:nvSpPr>
        <xdr:cNvPr id="25" name="Przygotuj plik Excel dla audytu">
          <a:extLst>
            <a:ext uri="{FF2B5EF4-FFF2-40B4-BE49-F238E27FC236}">
              <a16:creationId xmlns:a16="http://schemas.microsoft.com/office/drawing/2014/main" id="{00000000-0008-0000-0700-000019000000}"/>
            </a:ext>
          </a:extLst>
        </xdr:cNvPr>
        <xdr:cNvSpPr/>
      </xdr:nvSpPr>
      <xdr:spPr>
        <a:xfrm>
          <a:off x="12903200" y="3213100"/>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Przygotuj plik</a:t>
          </a:r>
          <a:r>
            <a:rPr lang="pl-PL" sz="1400" b="1" baseline="0"/>
            <a:t> Excel dla audytu</a:t>
          </a:r>
          <a:endParaRPr lang="pl-PL" sz="1400" b="1"/>
        </a:p>
      </xdr:txBody>
    </xdr:sp>
    <xdr:clientData fPrintsWithSheet="0"/>
  </xdr:twoCellAnchor>
  <xdr:twoCellAnchor editAs="absolute">
    <xdr:from>
      <xdr:col>8</xdr:col>
      <xdr:colOff>596900</xdr:colOff>
      <xdr:row>37</xdr:row>
      <xdr:rowOff>123825</xdr:rowOff>
    </xdr:from>
    <xdr:to>
      <xdr:col>11</xdr:col>
      <xdr:colOff>82550</xdr:colOff>
      <xdr:row>42</xdr:row>
      <xdr:rowOff>177800</xdr:rowOff>
    </xdr:to>
    <xdr:sp macro="[0]!Wezwij_WariantNot" textlink="">
      <xdr:nvSpPr>
        <xdr:cNvPr id="26" name="Wybierz wariant not zgodnie z typem działalności">
          <a:extLst>
            <a:ext uri="{FF2B5EF4-FFF2-40B4-BE49-F238E27FC236}">
              <a16:creationId xmlns:a16="http://schemas.microsoft.com/office/drawing/2014/main" id="{00000000-0008-0000-0700-00001A000000}"/>
            </a:ext>
          </a:extLst>
        </xdr:cNvPr>
        <xdr:cNvSpPr/>
      </xdr:nvSpPr>
      <xdr:spPr>
        <a:xfrm>
          <a:off x="12903200" y="7508875"/>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Wybierz</a:t>
          </a:r>
          <a:r>
            <a:rPr lang="pl-PL" sz="1400" b="1" baseline="0"/>
            <a:t> wariant not zgodnie z typem działalności</a:t>
          </a:r>
          <a:endParaRPr lang="pl-PL" sz="1400" b="1"/>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33251</xdr:colOff>
          <xdr:row>74</xdr:row>
          <xdr:rowOff>0</xdr:rowOff>
        </xdr:from>
        <xdr:to>
          <xdr:col>8</xdr:col>
          <xdr:colOff>415636</xdr:colOff>
          <xdr:row>75</xdr:row>
          <xdr:rowOff>33251</xdr:rowOff>
        </xdr:to>
        <xdr:sp macro="" textlink="">
          <xdr:nvSpPr>
            <xdr:cNvPr id="58410" name="WariantRZIS" hidden="1">
              <a:extLst>
                <a:ext uri="{63B3BB69-23CF-44E3-9099-C40C66FF867C}">
                  <a14:compatExt spid="_x0000_s58410"/>
                </a:ext>
                <a:ext uri="{FF2B5EF4-FFF2-40B4-BE49-F238E27FC236}">
                  <a16:creationId xmlns:a16="http://schemas.microsoft.com/office/drawing/2014/main" id="{00000000-0008-0000-0700-00002A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6</xdr:col>
      <xdr:colOff>0</xdr:colOff>
      <xdr:row>37</xdr:row>
      <xdr:rowOff>123825</xdr:rowOff>
    </xdr:from>
    <xdr:to>
      <xdr:col>8</xdr:col>
      <xdr:colOff>495300</xdr:colOff>
      <xdr:row>43</xdr:row>
      <xdr:rowOff>9525</xdr:rowOff>
    </xdr:to>
    <xdr:sp macro="Wezwij_Standard_Opis" textlink="">
      <xdr:nvSpPr>
        <xdr:cNvPr id="28" name="Standard">
          <a:extLst>
            <a:ext uri="{FF2B5EF4-FFF2-40B4-BE49-F238E27FC236}">
              <a16:creationId xmlns:a16="http://schemas.microsoft.com/office/drawing/2014/main" id="{00000000-0008-0000-0700-00001C000000}"/>
            </a:ext>
          </a:extLst>
        </xdr:cNvPr>
        <xdr:cNvSpPr/>
      </xdr:nvSpPr>
      <xdr:spPr>
        <a:xfrm>
          <a:off x="11614150" y="7458075"/>
          <a:ext cx="1778000"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Standardowe opisy dla pliku</a:t>
          </a:r>
        </a:p>
      </xdr:txBody>
    </xdr:sp>
    <xdr:clientData fPrintsWithSheet="0"/>
  </xdr:twoCellAnchor>
  <xdr:twoCellAnchor editAs="absolute">
    <xdr:from>
      <xdr:col>11</xdr:col>
      <xdr:colOff>120650</xdr:colOff>
      <xdr:row>37</xdr:row>
      <xdr:rowOff>120650</xdr:rowOff>
    </xdr:from>
    <xdr:to>
      <xdr:col>13</xdr:col>
      <xdr:colOff>377825</xdr:colOff>
      <xdr:row>42</xdr:row>
      <xdr:rowOff>187325</xdr:rowOff>
    </xdr:to>
    <xdr:sp macro="Backup" textlink="">
      <xdr:nvSpPr>
        <xdr:cNvPr id="30" name="Backup">
          <a:extLst>
            <a:ext uri="{FF2B5EF4-FFF2-40B4-BE49-F238E27FC236}">
              <a16:creationId xmlns:a16="http://schemas.microsoft.com/office/drawing/2014/main" id="{00000000-0008-0000-0700-00001E000000}"/>
            </a:ext>
          </a:extLst>
        </xdr:cNvPr>
        <xdr:cNvSpPr/>
      </xdr:nvSpPr>
      <xdr:spPr>
        <a:xfrm>
          <a:off x="15398750" y="7540625"/>
          <a:ext cx="1781175" cy="10668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Stwórz kopię bezpieczeństwa dla tego pliku</a:t>
          </a:r>
        </a:p>
      </xdr:txBody>
    </xdr:sp>
    <xdr:clientData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415636</xdr:colOff>
          <xdr:row>3</xdr:row>
          <xdr:rowOff>756458</xdr:rowOff>
        </xdr:from>
        <xdr:to>
          <xdr:col>11</xdr:col>
          <xdr:colOff>307571</xdr:colOff>
          <xdr:row>3</xdr:row>
          <xdr:rowOff>1197033</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900-000003E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21</xdr:row>
      <xdr:rowOff>9525</xdr:rowOff>
    </xdr:from>
    <xdr:to>
      <xdr:col>0</xdr:col>
      <xdr:colOff>3476625</xdr:colOff>
      <xdr:row>21</xdr:row>
      <xdr:rowOff>9525</xdr:rowOff>
    </xdr:to>
    <xdr:sp macro="" textlink="">
      <xdr:nvSpPr>
        <xdr:cNvPr id="2" name="Line 6">
          <a:extLst>
            <a:ext uri="{FF2B5EF4-FFF2-40B4-BE49-F238E27FC236}">
              <a16:creationId xmlns:a16="http://schemas.microsoft.com/office/drawing/2014/main" id="{00000000-0008-0000-0A00-000002000000}"/>
            </a:ext>
          </a:extLst>
        </xdr:cNvPr>
        <xdr:cNvSpPr>
          <a:spLocks noChangeShapeType="1"/>
        </xdr:cNvSpPr>
      </xdr:nvSpPr>
      <xdr:spPr bwMode="auto">
        <a:xfrm>
          <a:off x="0" y="5353050"/>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180975</xdr:rowOff>
    </xdr:from>
    <xdr:to>
      <xdr:col>0</xdr:col>
      <xdr:colOff>3609976</xdr:colOff>
      <xdr:row>25</xdr:row>
      <xdr:rowOff>180975</xdr:rowOff>
    </xdr:to>
    <xdr:sp macro="" textlink="">
      <xdr:nvSpPr>
        <xdr:cNvPr id="3" name="Line 6">
          <a:extLst>
            <a:ext uri="{FF2B5EF4-FFF2-40B4-BE49-F238E27FC236}">
              <a16:creationId xmlns:a16="http://schemas.microsoft.com/office/drawing/2014/main" id="{00000000-0008-0000-0A00-000003000000}"/>
            </a:ext>
          </a:extLst>
        </xdr:cNvPr>
        <xdr:cNvSpPr>
          <a:spLocks noChangeShapeType="1"/>
        </xdr:cNvSpPr>
      </xdr:nvSpPr>
      <xdr:spPr bwMode="auto">
        <a:xfrm>
          <a:off x="0" y="6324600"/>
          <a:ext cx="360997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30</xdr:row>
      <xdr:rowOff>190500</xdr:rowOff>
    </xdr:from>
    <xdr:to>
      <xdr:col>0</xdr:col>
      <xdr:colOff>3638550</xdr:colOff>
      <xdr:row>30</xdr:row>
      <xdr:rowOff>190500</xdr:rowOff>
    </xdr:to>
    <xdr:sp macro="" textlink="">
      <xdr:nvSpPr>
        <xdr:cNvPr id="4" name="Line 6">
          <a:extLst>
            <a:ext uri="{FF2B5EF4-FFF2-40B4-BE49-F238E27FC236}">
              <a16:creationId xmlns:a16="http://schemas.microsoft.com/office/drawing/2014/main" id="{00000000-0008-0000-0A00-000004000000}"/>
            </a:ext>
          </a:extLst>
        </xdr:cNvPr>
        <xdr:cNvSpPr>
          <a:spLocks noChangeShapeType="1"/>
        </xdr:cNvSpPr>
      </xdr:nvSpPr>
      <xdr:spPr bwMode="auto">
        <a:xfrm>
          <a:off x="180975" y="7953375"/>
          <a:ext cx="3629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6</xdr:col>
          <xdr:colOff>822960</xdr:colOff>
          <xdr:row>0</xdr:row>
          <xdr:rowOff>74815</xdr:rowOff>
        </xdr:from>
        <xdr:to>
          <xdr:col>6</xdr:col>
          <xdr:colOff>1878676</xdr:colOff>
          <xdr:row>2</xdr:row>
          <xdr:rowOff>124691</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A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xdr:twoCellAnchor>
    <xdr:from>
      <xdr:col>1</xdr:col>
      <xdr:colOff>0</xdr:colOff>
      <xdr:row>21</xdr:row>
      <xdr:rowOff>9525</xdr:rowOff>
    </xdr:from>
    <xdr:to>
      <xdr:col>1</xdr:col>
      <xdr:colOff>3476625</xdr:colOff>
      <xdr:row>21</xdr:row>
      <xdr:rowOff>9525</xdr:rowOff>
    </xdr:to>
    <xdr:sp macro="" textlink="">
      <xdr:nvSpPr>
        <xdr:cNvPr id="6" name="Line 6">
          <a:extLst>
            <a:ext uri="{FF2B5EF4-FFF2-40B4-BE49-F238E27FC236}">
              <a16:creationId xmlns:a16="http://schemas.microsoft.com/office/drawing/2014/main" id="{00000000-0008-0000-0A00-000006000000}"/>
            </a:ext>
          </a:extLst>
        </xdr:cNvPr>
        <xdr:cNvSpPr>
          <a:spLocks noChangeShapeType="1"/>
        </xdr:cNvSpPr>
      </xdr:nvSpPr>
      <xdr:spPr bwMode="auto">
        <a:xfrm>
          <a:off x="0" y="5667375"/>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35</xdr:row>
      <xdr:rowOff>180975</xdr:rowOff>
    </xdr:from>
    <xdr:to>
      <xdr:col>0</xdr:col>
      <xdr:colOff>3609976</xdr:colOff>
      <xdr:row>35</xdr:row>
      <xdr:rowOff>180975</xdr:rowOff>
    </xdr:to>
    <xdr:sp macro="" textlink="">
      <xdr:nvSpPr>
        <xdr:cNvPr id="9" name="Line 6">
          <a:extLst>
            <a:ext uri="{FF2B5EF4-FFF2-40B4-BE49-F238E27FC236}">
              <a16:creationId xmlns:a16="http://schemas.microsoft.com/office/drawing/2014/main" id="{00000000-0008-0000-0A00-000009000000}"/>
            </a:ext>
          </a:extLst>
        </xdr:cNvPr>
        <xdr:cNvSpPr>
          <a:spLocks noChangeShapeType="1"/>
        </xdr:cNvSpPr>
      </xdr:nvSpPr>
      <xdr:spPr bwMode="auto">
        <a:xfrm>
          <a:off x="0" y="6591300"/>
          <a:ext cx="360997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40</xdr:row>
      <xdr:rowOff>190500</xdr:rowOff>
    </xdr:from>
    <xdr:to>
      <xdr:col>0</xdr:col>
      <xdr:colOff>3638550</xdr:colOff>
      <xdr:row>40</xdr:row>
      <xdr:rowOff>190500</xdr:rowOff>
    </xdr:to>
    <xdr:sp macro="" textlink="">
      <xdr:nvSpPr>
        <xdr:cNvPr id="10" name="Line 6">
          <a:extLst>
            <a:ext uri="{FF2B5EF4-FFF2-40B4-BE49-F238E27FC236}">
              <a16:creationId xmlns:a16="http://schemas.microsoft.com/office/drawing/2014/main" id="{00000000-0008-0000-0A00-00000A000000}"/>
            </a:ext>
          </a:extLst>
        </xdr:cNvPr>
        <xdr:cNvSpPr>
          <a:spLocks noChangeShapeType="1"/>
        </xdr:cNvSpPr>
      </xdr:nvSpPr>
      <xdr:spPr bwMode="auto">
        <a:xfrm>
          <a:off x="9525" y="7600950"/>
          <a:ext cx="3629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45</xdr:row>
      <xdr:rowOff>190500</xdr:rowOff>
    </xdr:from>
    <xdr:to>
      <xdr:col>0</xdr:col>
      <xdr:colOff>3638550</xdr:colOff>
      <xdr:row>45</xdr:row>
      <xdr:rowOff>190500</xdr:rowOff>
    </xdr:to>
    <xdr:sp macro="" textlink="">
      <xdr:nvSpPr>
        <xdr:cNvPr id="13" name="Line 6">
          <a:extLst>
            <a:ext uri="{FF2B5EF4-FFF2-40B4-BE49-F238E27FC236}">
              <a16:creationId xmlns:a16="http://schemas.microsoft.com/office/drawing/2014/main" id="{00000000-0008-0000-0A00-00000D000000}"/>
            </a:ext>
          </a:extLst>
        </xdr:cNvPr>
        <xdr:cNvSpPr>
          <a:spLocks noChangeShapeType="1"/>
        </xdr:cNvSpPr>
      </xdr:nvSpPr>
      <xdr:spPr bwMode="auto">
        <a:xfrm>
          <a:off x="9525" y="9601200"/>
          <a:ext cx="3629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26</xdr:row>
      <xdr:rowOff>9525</xdr:rowOff>
    </xdr:from>
    <xdr:to>
      <xdr:col>1</xdr:col>
      <xdr:colOff>3476625</xdr:colOff>
      <xdr:row>26</xdr:row>
      <xdr:rowOff>9525</xdr:rowOff>
    </xdr:to>
    <xdr:sp macro="" textlink="">
      <xdr:nvSpPr>
        <xdr:cNvPr id="15" name="Line 6">
          <a:extLst>
            <a:ext uri="{FF2B5EF4-FFF2-40B4-BE49-F238E27FC236}">
              <a16:creationId xmlns:a16="http://schemas.microsoft.com/office/drawing/2014/main" id="{00000000-0008-0000-0A00-00000F000000}"/>
            </a:ext>
          </a:extLst>
        </xdr:cNvPr>
        <xdr:cNvSpPr>
          <a:spLocks noChangeShapeType="1"/>
        </xdr:cNvSpPr>
      </xdr:nvSpPr>
      <xdr:spPr bwMode="auto">
        <a:xfrm>
          <a:off x="6134100" y="5619750"/>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31</xdr:row>
      <xdr:rowOff>9525</xdr:rowOff>
    </xdr:from>
    <xdr:to>
      <xdr:col>1</xdr:col>
      <xdr:colOff>3476625</xdr:colOff>
      <xdr:row>31</xdr:row>
      <xdr:rowOff>9525</xdr:rowOff>
    </xdr:to>
    <xdr:sp macro="" textlink="">
      <xdr:nvSpPr>
        <xdr:cNvPr id="16" name="Line 6">
          <a:extLst>
            <a:ext uri="{FF2B5EF4-FFF2-40B4-BE49-F238E27FC236}">
              <a16:creationId xmlns:a16="http://schemas.microsoft.com/office/drawing/2014/main" id="{00000000-0008-0000-0A00-000010000000}"/>
            </a:ext>
          </a:extLst>
        </xdr:cNvPr>
        <xdr:cNvSpPr>
          <a:spLocks noChangeShapeType="1"/>
        </xdr:cNvSpPr>
      </xdr:nvSpPr>
      <xdr:spPr bwMode="auto">
        <a:xfrm>
          <a:off x="6134100" y="5619750"/>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36</xdr:row>
      <xdr:rowOff>9525</xdr:rowOff>
    </xdr:from>
    <xdr:to>
      <xdr:col>1</xdr:col>
      <xdr:colOff>3476625</xdr:colOff>
      <xdr:row>36</xdr:row>
      <xdr:rowOff>9525</xdr:rowOff>
    </xdr:to>
    <xdr:sp macro="" textlink="">
      <xdr:nvSpPr>
        <xdr:cNvPr id="17" name="Line 6">
          <a:extLst>
            <a:ext uri="{FF2B5EF4-FFF2-40B4-BE49-F238E27FC236}">
              <a16:creationId xmlns:a16="http://schemas.microsoft.com/office/drawing/2014/main" id="{00000000-0008-0000-0A00-000011000000}"/>
            </a:ext>
          </a:extLst>
        </xdr:cNvPr>
        <xdr:cNvSpPr>
          <a:spLocks noChangeShapeType="1"/>
        </xdr:cNvSpPr>
      </xdr:nvSpPr>
      <xdr:spPr bwMode="auto">
        <a:xfrm>
          <a:off x="6134100" y="5619750"/>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41</xdr:row>
      <xdr:rowOff>9525</xdr:rowOff>
    </xdr:from>
    <xdr:to>
      <xdr:col>1</xdr:col>
      <xdr:colOff>3476625</xdr:colOff>
      <xdr:row>41</xdr:row>
      <xdr:rowOff>9525</xdr:rowOff>
    </xdr:to>
    <xdr:sp macro="" textlink="">
      <xdr:nvSpPr>
        <xdr:cNvPr id="18" name="Line 6">
          <a:extLst>
            <a:ext uri="{FF2B5EF4-FFF2-40B4-BE49-F238E27FC236}">
              <a16:creationId xmlns:a16="http://schemas.microsoft.com/office/drawing/2014/main" id="{00000000-0008-0000-0A00-000012000000}"/>
            </a:ext>
          </a:extLst>
        </xdr:cNvPr>
        <xdr:cNvSpPr>
          <a:spLocks noChangeShapeType="1"/>
        </xdr:cNvSpPr>
      </xdr:nvSpPr>
      <xdr:spPr bwMode="auto">
        <a:xfrm>
          <a:off x="6134100" y="5619750"/>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46</xdr:row>
      <xdr:rowOff>9525</xdr:rowOff>
    </xdr:from>
    <xdr:to>
      <xdr:col>1</xdr:col>
      <xdr:colOff>3476625</xdr:colOff>
      <xdr:row>46</xdr:row>
      <xdr:rowOff>9525</xdr:rowOff>
    </xdr:to>
    <xdr:sp macro="" textlink="">
      <xdr:nvSpPr>
        <xdr:cNvPr id="19" name="Line 6">
          <a:extLst>
            <a:ext uri="{FF2B5EF4-FFF2-40B4-BE49-F238E27FC236}">
              <a16:creationId xmlns:a16="http://schemas.microsoft.com/office/drawing/2014/main" id="{00000000-0008-0000-0A00-000013000000}"/>
            </a:ext>
          </a:extLst>
        </xdr:cNvPr>
        <xdr:cNvSpPr>
          <a:spLocks noChangeShapeType="1"/>
        </xdr:cNvSpPr>
      </xdr:nvSpPr>
      <xdr:spPr bwMode="auto">
        <a:xfrm>
          <a:off x="6134100" y="5619750"/>
          <a:ext cx="3476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282633</xdr:colOff>
          <xdr:row>0</xdr:row>
          <xdr:rowOff>41564</xdr:rowOff>
        </xdr:from>
        <xdr:to>
          <xdr:col>6</xdr:col>
          <xdr:colOff>299258</xdr:colOff>
          <xdr:row>0</xdr:row>
          <xdr:rowOff>507076</xdr:rowOff>
        </xdr:to>
        <xdr:sp macro="" textlink="">
          <xdr:nvSpPr>
            <xdr:cNvPr id="43013" name="Dodaj wiersze" hidden="1">
              <a:extLst>
                <a:ext uri="{63B3BB69-23CF-44E3-9099-C40C66FF867C}">
                  <a14:compatExt spid="_x0000_s43013"/>
                </a:ext>
                <a:ext uri="{FF2B5EF4-FFF2-40B4-BE49-F238E27FC236}">
                  <a16:creationId xmlns:a16="http://schemas.microsoft.com/office/drawing/2014/main" id="{00000000-0008-0000-0B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315884</xdr:colOff>
          <xdr:row>0</xdr:row>
          <xdr:rowOff>41564</xdr:rowOff>
        </xdr:from>
        <xdr:to>
          <xdr:col>7</xdr:col>
          <xdr:colOff>207818</xdr:colOff>
          <xdr:row>0</xdr:row>
          <xdr:rowOff>507076</xdr:rowOff>
        </xdr:to>
        <xdr:sp macro="" textlink="">
          <xdr:nvSpPr>
            <xdr:cNvPr id="43015" name="Usuń dodane wiersze" hidden="1">
              <a:extLst>
                <a:ext uri="{63B3BB69-23CF-44E3-9099-C40C66FF867C}">
                  <a14:compatExt spid="_x0000_s43015"/>
                </a:ext>
                <a:ext uri="{FF2B5EF4-FFF2-40B4-BE49-F238E27FC236}">
                  <a16:creationId xmlns:a16="http://schemas.microsoft.com/office/drawing/2014/main" id="{00000000-0008-0000-0B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dodane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365760</xdr:colOff>
          <xdr:row>0</xdr:row>
          <xdr:rowOff>41564</xdr:rowOff>
        </xdr:from>
        <xdr:to>
          <xdr:col>12</xdr:col>
          <xdr:colOff>656705</xdr:colOff>
          <xdr:row>0</xdr:row>
          <xdr:rowOff>507076</xdr:rowOff>
        </xdr:to>
        <xdr:sp macro="" textlink="">
          <xdr:nvSpPr>
            <xdr:cNvPr id="43017" name="Odkryj wszystkie wiersze" hidden="1">
              <a:extLst>
                <a:ext uri="{63B3BB69-23CF-44E3-9099-C40C66FF867C}">
                  <a14:compatExt spid="_x0000_s43017"/>
                </a:ext>
                <a:ext uri="{FF2B5EF4-FFF2-40B4-BE49-F238E27FC236}">
                  <a16:creationId xmlns:a16="http://schemas.microsoft.com/office/drawing/2014/main" id="{00000000-0008-0000-0B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0</xdr:colOff>
          <xdr:row>0</xdr:row>
          <xdr:rowOff>41564</xdr:rowOff>
        </xdr:from>
        <xdr:to>
          <xdr:col>11</xdr:col>
          <xdr:colOff>340822</xdr:colOff>
          <xdr:row>0</xdr:row>
          <xdr:rowOff>507076</xdr:rowOff>
        </xdr:to>
        <xdr:sp macro="" textlink="">
          <xdr:nvSpPr>
            <xdr:cNvPr id="43019" name="Ukryj wszystkie wiersze" hidden="1">
              <a:extLst>
                <a:ext uri="{63B3BB69-23CF-44E3-9099-C40C66FF867C}">
                  <a14:compatExt spid="_x0000_s43019"/>
                </a:ext>
                <a:ext uri="{FF2B5EF4-FFF2-40B4-BE49-F238E27FC236}">
                  <a16:creationId xmlns:a16="http://schemas.microsoft.com/office/drawing/2014/main" id="{00000000-0008-0000-0B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340822</xdr:colOff>
          <xdr:row>0</xdr:row>
          <xdr:rowOff>41564</xdr:rowOff>
        </xdr:from>
        <xdr:to>
          <xdr:col>9</xdr:col>
          <xdr:colOff>149629</xdr:colOff>
          <xdr:row>0</xdr:row>
          <xdr:rowOff>507076</xdr:rowOff>
        </xdr:to>
        <xdr:sp macro="" textlink="">
          <xdr:nvSpPr>
            <xdr:cNvPr id="43021" name="Scal/rozdziel komórki" hidden="1">
              <a:extLst>
                <a:ext uri="{63B3BB69-23CF-44E3-9099-C40C66FF867C}">
                  <a14:compatExt spid="_x0000_s43021"/>
                </a:ext>
                <a:ext uri="{FF2B5EF4-FFF2-40B4-BE49-F238E27FC236}">
                  <a16:creationId xmlns:a16="http://schemas.microsoft.com/office/drawing/2014/main" id="{00000000-0008-0000-0B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Scal/rozdziel komórki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4</xdr:col>
          <xdr:colOff>149629</xdr:colOff>
          <xdr:row>0</xdr:row>
          <xdr:rowOff>507076</xdr:rowOff>
        </xdr:to>
        <xdr:sp macro="" textlink="">
          <xdr:nvSpPr>
            <xdr:cNvPr id="43022" name="Dodaj notę" hidden="1">
              <a:extLst>
                <a:ext uri="{63B3BB69-23CF-44E3-9099-C40C66FF867C}">
                  <a14:compatExt spid="_x0000_s43022"/>
                </a:ext>
                <a:ext uri="{FF2B5EF4-FFF2-40B4-BE49-F238E27FC236}">
                  <a16:creationId xmlns:a16="http://schemas.microsoft.com/office/drawing/2014/main" id="{00000000-0008-0000-0B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notę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174567</xdr:colOff>
          <xdr:row>0</xdr:row>
          <xdr:rowOff>41564</xdr:rowOff>
        </xdr:from>
        <xdr:to>
          <xdr:col>5</xdr:col>
          <xdr:colOff>149629</xdr:colOff>
          <xdr:row>0</xdr:row>
          <xdr:rowOff>507076</xdr:rowOff>
        </xdr:to>
        <xdr:sp macro="" textlink="">
          <xdr:nvSpPr>
            <xdr:cNvPr id="43023" name="Usuń dodaną notę" hidden="1">
              <a:extLst>
                <a:ext uri="{63B3BB69-23CF-44E3-9099-C40C66FF867C}">
                  <a14:compatExt spid="_x0000_s43023"/>
                </a:ext>
                <a:ext uri="{FF2B5EF4-FFF2-40B4-BE49-F238E27FC236}">
                  <a16:creationId xmlns:a16="http://schemas.microsoft.com/office/drawing/2014/main" id="{00000000-0008-0000-0B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dodaną notę</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307571</xdr:colOff>
          <xdr:row>0</xdr:row>
          <xdr:rowOff>41564</xdr:rowOff>
        </xdr:from>
        <xdr:to>
          <xdr:col>12</xdr:col>
          <xdr:colOff>872836</xdr:colOff>
          <xdr:row>0</xdr:row>
          <xdr:rowOff>507076</xdr:rowOff>
        </xdr:to>
        <xdr:sp macro="" textlink="">
          <xdr:nvSpPr>
            <xdr:cNvPr id="147457" name="Odkryj wszystkie wiersze" hidden="1">
              <a:extLst>
                <a:ext uri="{63B3BB69-23CF-44E3-9099-C40C66FF867C}">
                  <a14:compatExt spid="_x0000_s147457"/>
                </a:ext>
                <a:ext uri="{FF2B5EF4-FFF2-40B4-BE49-F238E27FC236}">
                  <a16:creationId xmlns:a16="http://schemas.microsoft.com/office/drawing/2014/main" id="{00000000-0008-0000-0C00-0000014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0</xdr:colOff>
          <xdr:row>0</xdr:row>
          <xdr:rowOff>41564</xdr:rowOff>
        </xdr:from>
        <xdr:to>
          <xdr:col>11</xdr:col>
          <xdr:colOff>282633</xdr:colOff>
          <xdr:row>0</xdr:row>
          <xdr:rowOff>507076</xdr:rowOff>
        </xdr:to>
        <xdr:sp macro="" textlink="">
          <xdr:nvSpPr>
            <xdr:cNvPr id="147458" name="Ukryj wszystkie wiersze" hidden="1">
              <a:extLst>
                <a:ext uri="{63B3BB69-23CF-44E3-9099-C40C66FF867C}">
                  <a14:compatExt spid="_x0000_s147458"/>
                </a:ext>
                <a:ext uri="{FF2B5EF4-FFF2-40B4-BE49-F238E27FC236}">
                  <a16:creationId xmlns:a16="http://schemas.microsoft.com/office/drawing/2014/main" id="{00000000-0008-0000-0C00-0000024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0</xdr:col>
          <xdr:colOff>1064029</xdr:colOff>
          <xdr:row>0</xdr:row>
          <xdr:rowOff>507076</xdr:rowOff>
        </xdr:to>
        <xdr:sp macro="" textlink="">
          <xdr:nvSpPr>
            <xdr:cNvPr id="115714" name="Dodaj pozycję użytkownika" hidden="1">
              <a:extLst>
                <a:ext uri="{63B3BB69-23CF-44E3-9099-C40C66FF867C}">
                  <a14:compatExt spid="_x0000_s115714"/>
                </a:ext>
                <a:ext uri="{FF2B5EF4-FFF2-40B4-BE49-F238E27FC236}">
                  <a16:creationId xmlns:a16="http://schemas.microsoft.com/office/drawing/2014/main" id="{00000000-0008-0000-0D00-00000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1080655</xdr:colOff>
          <xdr:row>0</xdr:row>
          <xdr:rowOff>41564</xdr:rowOff>
        </xdr:from>
        <xdr:to>
          <xdr:col>0</xdr:col>
          <xdr:colOff>2094807</xdr:colOff>
          <xdr:row>0</xdr:row>
          <xdr:rowOff>507076</xdr:rowOff>
        </xdr:to>
        <xdr:sp macro="" textlink="">
          <xdr:nvSpPr>
            <xdr:cNvPr id="115716" name="Usuń pozycję użytkownika" hidden="1">
              <a:extLst>
                <a:ext uri="{63B3BB69-23CF-44E3-9099-C40C66FF867C}">
                  <a14:compatExt spid="_x0000_s115716"/>
                </a:ext>
                <a:ext uri="{FF2B5EF4-FFF2-40B4-BE49-F238E27FC236}">
                  <a16:creationId xmlns:a16="http://schemas.microsoft.com/office/drawing/2014/main" id="{00000000-0008-0000-0D00-000004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282633</xdr:colOff>
          <xdr:row>0</xdr:row>
          <xdr:rowOff>41564</xdr:rowOff>
        </xdr:from>
        <xdr:to>
          <xdr:col>27</xdr:col>
          <xdr:colOff>257695</xdr:colOff>
          <xdr:row>0</xdr:row>
          <xdr:rowOff>507076</xdr:rowOff>
        </xdr:to>
        <xdr:sp macro="" textlink="">
          <xdr:nvSpPr>
            <xdr:cNvPr id="115717" name="Odkryj wszystkie wiersze" hidden="1">
              <a:extLst>
                <a:ext uri="{63B3BB69-23CF-44E3-9099-C40C66FF867C}">
                  <a14:compatExt spid="_x0000_s115717"/>
                </a:ext>
                <a:ext uri="{FF2B5EF4-FFF2-40B4-BE49-F238E27FC236}">
                  <a16:creationId xmlns:a16="http://schemas.microsoft.com/office/drawing/2014/main" id="{00000000-0008-0000-0D00-000005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41564</xdr:rowOff>
        </xdr:from>
        <xdr:to>
          <xdr:col>9</xdr:col>
          <xdr:colOff>1064029</xdr:colOff>
          <xdr:row>0</xdr:row>
          <xdr:rowOff>507076</xdr:rowOff>
        </xdr:to>
        <xdr:sp macro="" textlink="">
          <xdr:nvSpPr>
            <xdr:cNvPr id="115718" name="Ukryj wszystkie wiersze" hidden="1">
              <a:extLst>
                <a:ext uri="{63B3BB69-23CF-44E3-9099-C40C66FF867C}">
                  <a14:compatExt spid="_x0000_s115718"/>
                </a:ext>
                <a:ext uri="{FF2B5EF4-FFF2-40B4-BE49-F238E27FC236}">
                  <a16:creationId xmlns:a16="http://schemas.microsoft.com/office/drawing/2014/main" id="{00000000-0008-0000-0D00-000006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0</xdr:col>
          <xdr:colOff>1064029</xdr:colOff>
          <xdr:row>0</xdr:row>
          <xdr:rowOff>507076</xdr:rowOff>
        </xdr:to>
        <xdr:sp macro="" textlink="">
          <xdr:nvSpPr>
            <xdr:cNvPr id="116739" name="Dodaj pozycję użytkownika" hidden="1">
              <a:extLst>
                <a:ext uri="{63B3BB69-23CF-44E3-9099-C40C66FF867C}">
                  <a14:compatExt spid="_x0000_s116739"/>
                </a:ext>
                <a:ext uri="{FF2B5EF4-FFF2-40B4-BE49-F238E27FC236}">
                  <a16:creationId xmlns:a16="http://schemas.microsoft.com/office/drawing/2014/main" id="{00000000-0008-0000-0E00-000003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1080655</xdr:colOff>
          <xdr:row>0</xdr:row>
          <xdr:rowOff>41564</xdr:rowOff>
        </xdr:from>
        <xdr:to>
          <xdr:col>0</xdr:col>
          <xdr:colOff>2094807</xdr:colOff>
          <xdr:row>0</xdr:row>
          <xdr:rowOff>507076</xdr:rowOff>
        </xdr:to>
        <xdr:sp macro="" textlink="">
          <xdr:nvSpPr>
            <xdr:cNvPr id="116740" name="Usuń pozycję użytkownika" hidden="1">
              <a:extLst>
                <a:ext uri="{63B3BB69-23CF-44E3-9099-C40C66FF867C}">
                  <a14:compatExt spid="_x0000_s116740"/>
                </a:ext>
                <a:ext uri="{FF2B5EF4-FFF2-40B4-BE49-F238E27FC236}">
                  <a16:creationId xmlns:a16="http://schemas.microsoft.com/office/drawing/2014/main" id="{00000000-0008-0000-0E00-000004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282633</xdr:colOff>
          <xdr:row>0</xdr:row>
          <xdr:rowOff>41564</xdr:rowOff>
        </xdr:from>
        <xdr:to>
          <xdr:col>27</xdr:col>
          <xdr:colOff>257695</xdr:colOff>
          <xdr:row>0</xdr:row>
          <xdr:rowOff>507076</xdr:rowOff>
        </xdr:to>
        <xdr:sp macro="" textlink="">
          <xdr:nvSpPr>
            <xdr:cNvPr id="116741" name="Odkryj wszystkie wiersze" hidden="1">
              <a:extLst>
                <a:ext uri="{63B3BB69-23CF-44E3-9099-C40C66FF867C}">
                  <a14:compatExt spid="_x0000_s116741"/>
                </a:ext>
                <a:ext uri="{FF2B5EF4-FFF2-40B4-BE49-F238E27FC236}">
                  <a16:creationId xmlns:a16="http://schemas.microsoft.com/office/drawing/2014/main" id="{00000000-0008-0000-0E00-000005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41564</xdr:rowOff>
        </xdr:from>
        <xdr:to>
          <xdr:col>9</xdr:col>
          <xdr:colOff>1064029</xdr:colOff>
          <xdr:row>0</xdr:row>
          <xdr:rowOff>507076</xdr:rowOff>
        </xdr:to>
        <xdr:sp macro="" textlink="">
          <xdr:nvSpPr>
            <xdr:cNvPr id="116742" name="Ukryj wszystkie wiersze" hidden="1">
              <a:extLst>
                <a:ext uri="{63B3BB69-23CF-44E3-9099-C40C66FF867C}">
                  <a14:compatExt spid="_x0000_s116742"/>
                </a:ext>
                <a:ext uri="{FF2B5EF4-FFF2-40B4-BE49-F238E27FC236}">
                  <a16:creationId xmlns:a16="http://schemas.microsoft.com/office/drawing/2014/main" id="{00000000-0008-0000-0E00-000006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0</xdr:col>
          <xdr:colOff>1064029</xdr:colOff>
          <xdr:row>0</xdr:row>
          <xdr:rowOff>507076</xdr:rowOff>
        </xdr:to>
        <xdr:sp macro="" textlink="">
          <xdr:nvSpPr>
            <xdr:cNvPr id="88070" name="Dodaj pozycję użytkownika" hidden="1">
              <a:extLst>
                <a:ext uri="{63B3BB69-23CF-44E3-9099-C40C66FF867C}">
                  <a14:compatExt spid="_x0000_s88070"/>
                </a:ext>
                <a:ext uri="{FF2B5EF4-FFF2-40B4-BE49-F238E27FC236}">
                  <a16:creationId xmlns:a16="http://schemas.microsoft.com/office/drawing/2014/main" id="{00000000-0008-0000-0F00-000006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1080655</xdr:colOff>
          <xdr:row>0</xdr:row>
          <xdr:rowOff>41564</xdr:rowOff>
        </xdr:from>
        <xdr:to>
          <xdr:col>0</xdr:col>
          <xdr:colOff>2094807</xdr:colOff>
          <xdr:row>0</xdr:row>
          <xdr:rowOff>507076</xdr:rowOff>
        </xdr:to>
        <xdr:sp macro="" textlink="">
          <xdr:nvSpPr>
            <xdr:cNvPr id="88071" name="Usuń pozycję użytkownika" hidden="1">
              <a:extLst>
                <a:ext uri="{63B3BB69-23CF-44E3-9099-C40C66FF867C}">
                  <a14:compatExt spid="_x0000_s88071"/>
                </a:ext>
                <a:ext uri="{FF2B5EF4-FFF2-40B4-BE49-F238E27FC236}">
                  <a16:creationId xmlns:a16="http://schemas.microsoft.com/office/drawing/2014/main" id="{00000000-0008-0000-0F00-000007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241069</xdr:colOff>
          <xdr:row>0</xdr:row>
          <xdr:rowOff>41564</xdr:rowOff>
        </xdr:from>
        <xdr:to>
          <xdr:col>27</xdr:col>
          <xdr:colOff>257695</xdr:colOff>
          <xdr:row>0</xdr:row>
          <xdr:rowOff>507076</xdr:rowOff>
        </xdr:to>
        <xdr:sp macro="" textlink="">
          <xdr:nvSpPr>
            <xdr:cNvPr id="88072" name="Odkryj wszystkie wiersze" hidden="1">
              <a:extLst>
                <a:ext uri="{63B3BB69-23CF-44E3-9099-C40C66FF867C}">
                  <a14:compatExt spid="_x0000_s88072"/>
                </a:ext>
                <a:ext uri="{FF2B5EF4-FFF2-40B4-BE49-F238E27FC236}">
                  <a16:creationId xmlns:a16="http://schemas.microsoft.com/office/drawing/2014/main" id="{00000000-0008-0000-0F00-000008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41564</xdr:rowOff>
        </xdr:from>
        <xdr:to>
          <xdr:col>9</xdr:col>
          <xdr:colOff>1064029</xdr:colOff>
          <xdr:row>0</xdr:row>
          <xdr:rowOff>507076</xdr:rowOff>
        </xdr:to>
        <xdr:sp macro="" textlink="">
          <xdr:nvSpPr>
            <xdr:cNvPr id="88073" name="Ukryj wszystkie wiersze" hidden="1">
              <a:extLst>
                <a:ext uri="{63B3BB69-23CF-44E3-9099-C40C66FF867C}">
                  <a14:compatExt spid="_x0000_s88073"/>
                </a:ext>
                <a:ext uri="{FF2B5EF4-FFF2-40B4-BE49-F238E27FC236}">
                  <a16:creationId xmlns:a16="http://schemas.microsoft.com/office/drawing/2014/main" id="{00000000-0008-0000-0F00-000009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0</xdr:col>
          <xdr:colOff>1064029</xdr:colOff>
          <xdr:row>0</xdr:row>
          <xdr:rowOff>507076</xdr:rowOff>
        </xdr:to>
        <xdr:sp macro="" textlink="">
          <xdr:nvSpPr>
            <xdr:cNvPr id="89091" name="Dodaj pozycję użytkownika" hidden="1">
              <a:extLst>
                <a:ext uri="{63B3BB69-23CF-44E3-9099-C40C66FF867C}">
                  <a14:compatExt spid="_x0000_s89091"/>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1080655</xdr:colOff>
          <xdr:row>0</xdr:row>
          <xdr:rowOff>41564</xdr:rowOff>
        </xdr:from>
        <xdr:to>
          <xdr:col>0</xdr:col>
          <xdr:colOff>2094807</xdr:colOff>
          <xdr:row>0</xdr:row>
          <xdr:rowOff>507076</xdr:rowOff>
        </xdr:to>
        <xdr:sp macro="" textlink="">
          <xdr:nvSpPr>
            <xdr:cNvPr id="89092" name="Usuń pozycję użytkownika" hidden="1">
              <a:extLst>
                <a:ext uri="{63B3BB69-23CF-44E3-9099-C40C66FF867C}">
                  <a14:compatExt spid="_x0000_s89092"/>
                </a:ext>
                <a:ext uri="{FF2B5EF4-FFF2-40B4-BE49-F238E27FC236}">
                  <a16:creationId xmlns:a16="http://schemas.microsoft.com/office/drawing/2014/main" id="{00000000-0008-0000-1000-000004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532015</xdr:colOff>
          <xdr:row>0</xdr:row>
          <xdr:rowOff>41564</xdr:rowOff>
        </xdr:from>
        <xdr:to>
          <xdr:col>13</xdr:col>
          <xdr:colOff>58189</xdr:colOff>
          <xdr:row>0</xdr:row>
          <xdr:rowOff>507076</xdr:rowOff>
        </xdr:to>
        <xdr:sp macro="" textlink="">
          <xdr:nvSpPr>
            <xdr:cNvPr id="89093" name="Odkryj wszystkie wiersze" hidden="1">
              <a:extLst>
                <a:ext uri="{63B3BB69-23CF-44E3-9099-C40C66FF867C}">
                  <a14:compatExt spid="_x0000_s89093"/>
                </a:ext>
                <a:ext uri="{FF2B5EF4-FFF2-40B4-BE49-F238E27FC236}">
                  <a16:creationId xmlns:a16="http://schemas.microsoft.com/office/drawing/2014/main" id="{00000000-0008-0000-1000-000005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41564</xdr:rowOff>
        </xdr:from>
        <xdr:to>
          <xdr:col>11</xdr:col>
          <xdr:colOff>515389</xdr:colOff>
          <xdr:row>0</xdr:row>
          <xdr:rowOff>507076</xdr:rowOff>
        </xdr:to>
        <xdr:sp macro="" textlink="">
          <xdr:nvSpPr>
            <xdr:cNvPr id="89094" name="Ukryj wszystkie wiersze" hidden="1">
              <a:extLst>
                <a:ext uri="{63B3BB69-23CF-44E3-9099-C40C66FF867C}">
                  <a14:compatExt spid="_x0000_s89094"/>
                </a:ext>
                <a:ext uri="{FF2B5EF4-FFF2-40B4-BE49-F238E27FC236}">
                  <a16:creationId xmlns:a16="http://schemas.microsoft.com/office/drawing/2014/main" id="{00000000-0008-0000-1000-000006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0</xdr:col>
          <xdr:colOff>1064029</xdr:colOff>
          <xdr:row>0</xdr:row>
          <xdr:rowOff>507076</xdr:rowOff>
        </xdr:to>
        <xdr:sp macro="" textlink="">
          <xdr:nvSpPr>
            <xdr:cNvPr id="90115" name="Dodaj pozycję użytkownika" hidden="1">
              <a:extLst>
                <a:ext uri="{63B3BB69-23CF-44E3-9099-C40C66FF867C}">
                  <a14:compatExt spid="_x0000_s90115"/>
                </a:ext>
                <a:ext uri="{FF2B5EF4-FFF2-40B4-BE49-F238E27FC236}">
                  <a16:creationId xmlns:a16="http://schemas.microsoft.com/office/drawing/2014/main" id="{00000000-0008-0000-1100-000003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1080655</xdr:colOff>
          <xdr:row>0</xdr:row>
          <xdr:rowOff>41564</xdr:rowOff>
        </xdr:from>
        <xdr:to>
          <xdr:col>0</xdr:col>
          <xdr:colOff>2094807</xdr:colOff>
          <xdr:row>0</xdr:row>
          <xdr:rowOff>507076</xdr:rowOff>
        </xdr:to>
        <xdr:sp macro="" textlink="">
          <xdr:nvSpPr>
            <xdr:cNvPr id="90116" name="Usuń pozycję użytkownika" hidden="1">
              <a:extLst>
                <a:ext uri="{63B3BB69-23CF-44E3-9099-C40C66FF867C}">
                  <a14:compatExt spid="_x0000_s90116"/>
                </a:ext>
                <a:ext uri="{FF2B5EF4-FFF2-40B4-BE49-F238E27FC236}">
                  <a16:creationId xmlns:a16="http://schemas.microsoft.com/office/drawing/2014/main" id="{00000000-0008-0000-1100-000004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pozycję użytkownika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1039091</xdr:colOff>
          <xdr:row>0</xdr:row>
          <xdr:rowOff>41564</xdr:rowOff>
        </xdr:from>
        <xdr:to>
          <xdr:col>12</xdr:col>
          <xdr:colOff>191193</xdr:colOff>
          <xdr:row>0</xdr:row>
          <xdr:rowOff>507076</xdr:rowOff>
        </xdr:to>
        <xdr:sp macro="" textlink="">
          <xdr:nvSpPr>
            <xdr:cNvPr id="90117" name="Odkryj wszystkie wiersze" hidden="1">
              <a:extLst>
                <a:ext uri="{63B3BB69-23CF-44E3-9099-C40C66FF867C}">
                  <a14:compatExt spid="_x0000_s90117"/>
                </a:ext>
                <a:ext uri="{FF2B5EF4-FFF2-40B4-BE49-F238E27FC236}">
                  <a16:creationId xmlns:a16="http://schemas.microsoft.com/office/drawing/2014/main" id="{00000000-0008-0000-1100-000005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41564</xdr:rowOff>
        </xdr:from>
        <xdr:to>
          <xdr:col>10</xdr:col>
          <xdr:colOff>1022465</xdr:colOff>
          <xdr:row>0</xdr:row>
          <xdr:rowOff>507076</xdr:rowOff>
        </xdr:to>
        <xdr:sp macro="" textlink="">
          <xdr:nvSpPr>
            <xdr:cNvPr id="90118" name="Ukryj wszystkie wiersze" hidden="1">
              <a:extLst>
                <a:ext uri="{63B3BB69-23CF-44E3-9099-C40C66FF867C}">
                  <a14:compatExt spid="_x0000_s90118"/>
                </a:ext>
                <a:ext uri="{FF2B5EF4-FFF2-40B4-BE49-F238E27FC236}">
                  <a16:creationId xmlns:a16="http://schemas.microsoft.com/office/drawing/2014/main" id="{00000000-0008-0000-1100-000006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0</xdr:col>
          <xdr:colOff>1064029</xdr:colOff>
          <xdr:row>0</xdr:row>
          <xdr:rowOff>507076</xdr:rowOff>
        </xdr:to>
        <xdr:sp macro="" textlink="">
          <xdr:nvSpPr>
            <xdr:cNvPr id="117761" name="Dodaj pozycję użytkownika"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pozycję użytkownika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1080655</xdr:colOff>
          <xdr:row>0</xdr:row>
          <xdr:rowOff>41564</xdr:rowOff>
        </xdr:from>
        <xdr:to>
          <xdr:col>0</xdr:col>
          <xdr:colOff>2094807</xdr:colOff>
          <xdr:row>0</xdr:row>
          <xdr:rowOff>507076</xdr:rowOff>
        </xdr:to>
        <xdr:sp macro="" textlink="">
          <xdr:nvSpPr>
            <xdr:cNvPr id="117762" name="Usuń pozycję użytkownika"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pozycję użytkownika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432262</xdr:colOff>
          <xdr:row>0</xdr:row>
          <xdr:rowOff>41564</xdr:rowOff>
        </xdr:from>
        <xdr:to>
          <xdr:col>13</xdr:col>
          <xdr:colOff>1446415</xdr:colOff>
          <xdr:row>0</xdr:row>
          <xdr:rowOff>507076</xdr:rowOff>
        </xdr:to>
        <xdr:sp macro="" textlink="">
          <xdr:nvSpPr>
            <xdr:cNvPr id="117763" name="Odkryj wszystkie wiersze"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41564</xdr:rowOff>
        </xdr:from>
        <xdr:to>
          <xdr:col>13</xdr:col>
          <xdr:colOff>415636</xdr:colOff>
          <xdr:row>0</xdr:row>
          <xdr:rowOff>507076</xdr:rowOff>
        </xdr:to>
        <xdr:sp macro="" textlink="">
          <xdr:nvSpPr>
            <xdr:cNvPr id="117764" name="Ukryj wszystkie wiersze"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41564</xdr:colOff>
          <xdr:row>0</xdr:row>
          <xdr:rowOff>41564</xdr:rowOff>
        </xdr:from>
        <xdr:to>
          <xdr:col>2</xdr:col>
          <xdr:colOff>606829</xdr:colOff>
          <xdr:row>0</xdr:row>
          <xdr:rowOff>507076</xdr:rowOff>
        </xdr:to>
        <xdr:sp macro="" textlink="">
          <xdr:nvSpPr>
            <xdr:cNvPr id="157697" name="Dodaj notę" hidden="1">
              <a:extLst>
                <a:ext uri="{63B3BB69-23CF-44E3-9099-C40C66FF867C}">
                  <a14:compatExt spid="_x0000_s157697"/>
                </a:ext>
                <a:ext uri="{FF2B5EF4-FFF2-40B4-BE49-F238E27FC236}">
                  <a16:creationId xmlns:a16="http://schemas.microsoft.com/office/drawing/2014/main" id="{00000000-0008-0000-1300-000001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notę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631767</xdr:colOff>
          <xdr:row>0</xdr:row>
          <xdr:rowOff>41564</xdr:rowOff>
        </xdr:from>
        <xdr:to>
          <xdr:col>3</xdr:col>
          <xdr:colOff>507076</xdr:colOff>
          <xdr:row>0</xdr:row>
          <xdr:rowOff>507076</xdr:rowOff>
        </xdr:to>
        <xdr:sp macro="" textlink="">
          <xdr:nvSpPr>
            <xdr:cNvPr id="157698" name="Usuń dodaną notę" hidden="1">
              <a:extLst>
                <a:ext uri="{63B3BB69-23CF-44E3-9099-C40C66FF867C}">
                  <a14:compatExt spid="_x0000_s157698"/>
                </a:ext>
                <a:ext uri="{FF2B5EF4-FFF2-40B4-BE49-F238E27FC236}">
                  <a16:creationId xmlns:a16="http://schemas.microsoft.com/office/drawing/2014/main" id="{00000000-0008-0000-1300-000002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dodaną notę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41564</xdr:colOff>
          <xdr:row>0</xdr:row>
          <xdr:rowOff>41564</xdr:rowOff>
        </xdr:from>
        <xdr:to>
          <xdr:col>6</xdr:col>
          <xdr:colOff>241069</xdr:colOff>
          <xdr:row>0</xdr:row>
          <xdr:rowOff>507076</xdr:rowOff>
        </xdr:to>
        <xdr:sp macro="" textlink="">
          <xdr:nvSpPr>
            <xdr:cNvPr id="157699" name="Dodaj wiersz" hidden="1">
              <a:extLst>
                <a:ext uri="{63B3BB69-23CF-44E3-9099-C40C66FF867C}">
                  <a14:compatExt spid="_x0000_s157699"/>
                </a:ext>
                <a:ext uri="{FF2B5EF4-FFF2-40B4-BE49-F238E27FC236}">
                  <a16:creationId xmlns:a16="http://schemas.microsoft.com/office/drawing/2014/main" id="{00000000-0008-0000-1300-000003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wiersz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257695</xdr:colOff>
          <xdr:row>0</xdr:row>
          <xdr:rowOff>41564</xdr:rowOff>
        </xdr:from>
        <xdr:to>
          <xdr:col>7</xdr:col>
          <xdr:colOff>457200</xdr:colOff>
          <xdr:row>0</xdr:row>
          <xdr:rowOff>507076</xdr:rowOff>
        </xdr:to>
        <xdr:sp macro="" textlink="">
          <xdr:nvSpPr>
            <xdr:cNvPr id="157700" name="Usuń wybrane dodane wiersze" hidden="1">
              <a:extLst>
                <a:ext uri="{63B3BB69-23CF-44E3-9099-C40C66FF867C}">
                  <a14:compatExt spid="_x0000_s157700"/>
                </a:ext>
                <a:ext uri="{FF2B5EF4-FFF2-40B4-BE49-F238E27FC236}">
                  <a16:creationId xmlns:a16="http://schemas.microsoft.com/office/drawing/2014/main" id="{00000000-0008-0000-1300-000004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Usuń wybrane dodane wiersze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282633</xdr:colOff>
          <xdr:row>0</xdr:row>
          <xdr:rowOff>41564</xdr:rowOff>
        </xdr:from>
        <xdr:to>
          <xdr:col>12</xdr:col>
          <xdr:colOff>182880</xdr:colOff>
          <xdr:row>0</xdr:row>
          <xdr:rowOff>507076</xdr:rowOff>
        </xdr:to>
        <xdr:sp macro="" textlink="">
          <xdr:nvSpPr>
            <xdr:cNvPr id="157701" name="Odkryj wszystkie wiersze" hidden="1">
              <a:extLst>
                <a:ext uri="{63B3BB69-23CF-44E3-9099-C40C66FF867C}">
                  <a14:compatExt spid="_x0000_s157701"/>
                </a:ext>
                <a:ext uri="{FF2B5EF4-FFF2-40B4-BE49-F238E27FC236}">
                  <a16:creationId xmlns:a16="http://schemas.microsoft.com/office/drawing/2014/main" id="{00000000-0008-0000-1300-000005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41564</xdr:rowOff>
        </xdr:from>
        <xdr:to>
          <xdr:col>10</xdr:col>
          <xdr:colOff>257695</xdr:colOff>
          <xdr:row>0</xdr:row>
          <xdr:rowOff>507076</xdr:rowOff>
        </xdr:to>
        <xdr:sp macro="" textlink="">
          <xdr:nvSpPr>
            <xdr:cNvPr id="157703" name="Ukryj wszystkie wiersze" hidden="1">
              <a:extLst>
                <a:ext uri="{63B3BB69-23CF-44E3-9099-C40C66FF867C}">
                  <a14:compatExt spid="_x0000_s157703"/>
                </a:ext>
                <a:ext uri="{FF2B5EF4-FFF2-40B4-BE49-F238E27FC236}">
                  <a16:creationId xmlns:a16="http://schemas.microsoft.com/office/drawing/2014/main" id="{00000000-0008-0000-1300-000007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640080</xdr:colOff>
          <xdr:row>0</xdr:row>
          <xdr:rowOff>41564</xdr:rowOff>
        </xdr:from>
        <xdr:to>
          <xdr:col>5</xdr:col>
          <xdr:colOff>16625</xdr:colOff>
          <xdr:row>0</xdr:row>
          <xdr:rowOff>507076</xdr:rowOff>
        </xdr:to>
        <xdr:sp macro="" textlink="">
          <xdr:nvSpPr>
            <xdr:cNvPr id="157704" name="Dodaj fragment" hidden="1">
              <a:extLst>
                <a:ext uri="{63B3BB69-23CF-44E3-9099-C40C66FF867C}">
                  <a14:compatExt spid="_x0000_s157704"/>
                </a:ext>
                <a:ext uri="{FF2B5EF4-FFF2-40B4-BE49-F238E27FC236}">
                  <a16:creationId xmlns:a16="http://schemas.microsoft.com/office/drawing/2014/main" id="{00000000-0008-0000-1300-000008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Dodaj fragment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590204</xdr:colOff>
          <xdr:row>0</xdr:row>
          <xdr:rowOff>41564</xdr:rowOff>
        </xdr:from>
        <xdr:to>
          <xdr:col>8</xdr:col>
          <xdr:colOff>789709</xdr:colOff>
          <xdr:row>0</xdr:row>
          <xdr:rowOff>507076</xdr:rowOff>
        </xdr:to>
        <xdr:sp macro="" textlink="">
          <xdr:nvSpPr>
            <xdr:cNvPr id="157705" name="Scal/rozdziel komórki" hidden="1">
              <a:extLst>
                <a:ext uri="{63B3BB69-23CF-44E3-9099-C40C66FF867C}">
                  <a14:compatExt spid="_x0000_s157705"/>
                </a:ext>
                <a:ext uri="{FF2B5EF4-FFF2-40B4-BE49-F238E27FC236}">
                  <a16:creationId xmlns:a16="http://schemas.microsoft.com/office/drawing/2014/main" id="{00000000-0008-0000-1300-0000096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Scal/rozdziel komórki</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0</xdr:colOff>
      <xdr:row>617</xdr:row>
      <xdr:rowOff>0</xdr:rowOff>
    </xdr:from>
    <xdr:to>
      <xdr:col>10</xdr:col>
      <xdr:colOff>0</xdr:colOff>
      <xdr:row>617</xdr:row>
      <xdr:rowOff>0</xdr:rowOff>
    </xdr:to>
    <xdr:sp macro="" textlink="">
      <xdr:nvSpPr>
        <xdr:cNvPr id="2" name="Text 5">
          <a:extLst>
            <a:ext uri="{FF2B5EF4-FFF2-40B4-BE49-F238E27FC236}">
              <a16:creationId xmlns:a16="http://schemas.microsoft.com/office/drawing/2014/main" id="{00000000-0008-0000-1400-000002000000}"/>
            </a:ext>
          </a:extLst>
        </xdr:cNvPr>
        <xdr:cNvSpPr txBox="1">
          <a:spLocks noChangeArrowheads="1"/>
        </xdr:cNvSpPr>
      </xdr:nvSpPr>
      <xdr:spPr bwMode="auto">
        <a:xfrm>
          <a:off x="1524000" y="111442500"/>
          <a:ext cx="6096000" cy="0"/>
        </a:xfrm>
        <a:prstGeom prst="rect">
          <a:avLst/>
        </a:prstGeom>
        <a:solidFill>
          <a:srgbClr val="FFFFFF"/>
        </a:solidFill>
        <a:ln w="1">
          <a:noFill/>
          <a:miter lim="800000"/>
          <a:headEnd/>
          <a:tailEnd/>
        </a:ln>
      </xdr:spPr>
      <xdr:txBody>
        <a:bodyPr vertOverflow="clip" wrap="square" lIns="27432" tIns="27432" rIns="27432" bIns="0" anchor="t" upright="1"/>
        <a:lstStyle/>
        <a:p>
          <a:pPr algn="just" rtl="0">
            <a:defRPr sz="1000"/>
          </a:pPr>
          <a:r>
            <a:rPr lang="pl-PL" sz="1200" b="0" i="0" strike="noStrike">
              <a:solidFill>
                <a:srgbClr val="000000"/>
              </a:solidFill>
              <a:latin typeface="Times New Roman CE"/>
            </a:rPr>
            <a:t>Zarząd Spółki proponuje następujący podział zysku </a:t>
          </a:r>
          <a:r>
            <a:rPr lang="pl-PL" sz="1200" b="0" i="0" strike="noStrike">
              <a:solidFill>
                <a:srgbClr val="FF0000"/>
              </a:solidFill>
              <a:latin typeface="Times New Roman CE"/>
            </a:rPr>
            <a:t>[pokrycia straty] </a:t>
          </a:r>
          <a:r>
            <a:rPr lang="pl-PL" sz="1200" b="0" i="0" strike="noStrike">
              <a:solidFill>
                <a:srgbClr val="000000"/>
              </a:solidFill>
              <a:latin typeface="Times New Roman CE"/>
            </a:rPr>
            <a:t>za rok obrotowy: ………...</a:t>
          </a:r>
          <a:endParaRPr lang="pl-PL" sz="1200" b="1" i="1" strike="noStrike">
            <a:solidFill>
              <a:srgbClr val="000000"/>
            </a:solidFill>
            <a:latin typeface="Times New Roman CE"/>
          </a:endParaRPr>
        </a:p>
        <a:p>
          <a:pPr algn="just" rtl="0">
            <a:defRPr sz="1000"/>
          </a:pPr>
          <a:endParaRPr lang="pl-PL" sz="1200" b="1" i="1" strike="noStrike">
            <a:solidFill>
              <a:srgbClr val="000000"/>
            </a:solidFill>
            <a:latin typeface="Times New Roman CE"/>
          </a:endParaRPr>
        </a:p>
      </xdr:txBody>
    </xdr:sp>
    <xdr:clientData/>
  </xdr:twoCellAnchor>
  <mc:AlternateContent xmlns:mc="http://schemas.openxmlformats.org/markup-compatibility/2006">
    <mc:Choice xmlns:a14="http://schemas.microsoft.com/office/drawing/2010/main" Requires="a14">
      <xdr:twoCellAnchor editAs="absolute">
        <xdr:from>
          <xdr:col>10</xdr:col>
          <xdr:colOff>282633</xdr:colOff>
          <xdr:row>0</xdr:row>
          <xdr:rowOff>41564</xdr:rowOff>
        </xdr:from>
        <xdr:to>
          <xdr:col>12</xdr:col>
          <xdr:colOff>182880</xdr:colOff>
          <xdr:row>0</xdr:row>
          <xdr:rowOff>507076</xdr:rowOff>
        </xdr:to>
        <xdr:sp macro="" textlink="">
          <xdr:nvSpPr>
            <xdr:cNvPr id="110604" name="Odkryj wszystkie wiersze" hidden="1">
              <a:extLst>
                <a:ext uri="{63B3BB69-23CF-44E3-9099-C40C66FF867C}">
                  <a14:compatExt spid="_x0000_s110604"/>
                </a:ext>
                <a:ext uri="{FF2B5EF4-FFF2-40B4-BE49-F238E27FC236}">
                  <a16:creationId xmlns:a16="http://schemas.microsoft.com/office/drawing/2014/main" id="{00000000-0008-0000-1400-00000C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Odkryj wszystkie wiersze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41564</xdr:rowOff>
        </xdr:from>
        <xdr:to>
          <xdr:col>10</xdr:col>
          <xdr:colOff>257695</xdr:colOff>
          <xdr:row>0</xdr:row>
          <xdr:rowOff>507076</xdr:rowOff>
        </xdr:to>
        <xdr:sp macro="" textlink="">
          <xdr:nvSpPr>
            <xdr:cNvPr id="110606" name="Ukryj wszystkie wiersze" hidden="1">
              <a:extLst>
                <a:ext uri="{63B3BB69-23CF-44E3-9099-C40C66FF867C}">
                  <a14:compatExt spid="_x0000_s110606"/>
                </a:ext>
                <a:ext uri="{FF2B5EF4-FFF2-40B4-BE49-F238E27FC236}">
                  <a16:creationId xmlns:a16="http://schemas.microsoft.com/office/drawing/2014/main" id="{00000000-0008-0000-1400-00000E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Ukryj wszystkie wiersze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brotowka" displayName="Obrotowka" ref="B8:K442" insertRowShift="1" totalsRowShown="0">
  <autoFilter ref="B8:K442" xr:uid="{00000000-0009-0000-0100-000001000000}"/>
  <sortState xmlns:xlrd2="http://schemas.microsoft.com/office/spreadsheetml/2017/richdata2" ref="B9:J4506">
    <sortCondition ref="B8:B10"/>
    <sortCondition ref="B8:B440"/>
  </sortState>
  <tableColumns count="10">
    <tableColumn id="2" xr3:uid="{00000000-0010-0000-0000-000002000000}" name="GL_Account"/>
    <tableColumn id="3" xr3:uid="{00000000-0010-0000-0000-000003000000}" name="GL_Description"/>
    <tableColumn id="4" xr3:uid="{00000000-0010-0000-0000-000004000000}" name="Typ_Konta"/>
    <tableColumn id="5" xr3:uid="{00000000-0010-0000-0000-000005000000}" name="PodTyp_Konta"/>
    <tableColumn id="8" xr3:uid="{00000000-0010-0000-0000-000008000000}" name="BO" dataDxfId="8"/>
    <tableColumn id="6" xr3:uid="{00000000-0010-0000-0000-000006000000}" name="WN" dataDxfId="7"/>
    <tableColumn id="7" xr3:uid="{00000000-0010-0000-0000-000007000000}" name="MA" dataDxfId="6">
      <calculatedColumnFormula>SUMIFS(Bank[BZ],Bank[PodTyp_Konta],Obrotowka[[#This Row],[PodTyp_Konta]])</calculatedColumnFormula>
    </tableColumn>
    <tableColumn id="18" xr3:uid="{00000000-0010-0000-0000-000012000000}" name="BZ" dataDxfId="5">
      <calculatedColumnFormula>SUM(Obrotowka[[#This Row],[BO]:[MA]])</calculatedColumnFormula>
    </tableColumn>
    <tableColumn id="1" xr3:uid="{00000000-0010-0000-0000-000001000000}" name="Filtr" dataDxfId="4">
      <calculatedColumnFormula>IF(Obrotowka[[#This Row],[BZ]]=0,0,1)</calculatedColumnFormula>
    </tableColumn>
    <tableColumn id="9" xr3:uid="{00000000-0010-0000-0000-000009000000}" name="Komentarz"/>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Bank" displayName="Bank" ref="M8:Q9">
  <autoFilter ref="M8:Q9" xr:uid="{00000000-0009-0000-0100-000002000000}"/>
  <tableColumns count="5">
    <tableColumn id="1" xr3:uid="{00000000-0010-0000-0100-000001000000}" name="GL_Account" totalsRowLabel="Razem"/>
    <tableColumn id="3" xr3:uid="{00000000-0010-0000-0100-000003000000}" name="PodTyp_Konta"/>
    <tableColumn id="6" xr3:uid="{00000000-0010-0000-0100-000006000000}" name="BO" dataDxfId="3"/>
    <tableColumn id="5" xr3:uid="{00000000-0010-0000-0100-000005000000}" name="Obroty" dataDxfId="2"/>
    <tableColumn id="2" xr3:uid="{00000000-0010-0000-0100-000002000000}" name="BZ" totalsRowFunction="sum" dataDxfId="1" totalsRowDxfId="0">
      <calculatedColumnFormula>SUM(Bank[[#This Row],[BO]:[Obroty]])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trlProp" Target="../ctrlProps/ctrlProp5.xml"/><Relationship Id="rId2" Type="http://schemas.openxmlformats.org/officeDocument/2006/relationships/drawing" Target="../drawings/drawing3.xml"/><Relationship Id="rId16" Type="http://schemas.openxmlformats.org/officeDocument/2006/relationships/comments" Target="../comments1.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2.emf"/><Relationship Id="rId15" Type="http://schemas.openxmlformats.org/officeDocument/2006/relationships/ctrlProp" Target="../ctrlProps/ctrlProp8.xml"/><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11" Type="http://schemas.openxmlformats.org/officeDocument/2006/relationships/comments" Target="../comments2.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3.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1.x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39.x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3.x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3.vml"/><Relationship Id="rId7" Type="http://schemas.openxmlformats.org/officeDocument/2006/relationships/ctrlProp" Target="../ctrlProps/ctrlProp47.x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C657"/>
  <sheetViews>
    <sheetView workbookViewId="0">
      <selection activeCell="B11" sqref="B11"/>
    </sheetView>
  </sheetViews>
  <sheetFormatPr defaultRowHeight="15.05" x14ac:dyDescent="0.3"/>
  <cols>
    <col min="1" max="1" width="20.33203125" bestFit="1" customWidth="1"/>
    <col min="2" max="2" width="57" customWidth="1"/>
    <col min="3" max="3" width="94.109375" customWidth="1"/>
  </cols>
  <sheetData>
    <row r="1" spans="1:3" x14ac:dyDescent="0.3">
      <c r="A1" t="s">
        <v>0</v>
      </c>
      <c r="B1" t="s">
        <v>1</v>
      </c>
    </row>
    <row r="3" spans="1:3" x14ac:dyDescent="0.3">
      <c r="A3" s="20" t="s">
        <v>2</v>
      </c>
      <c r="B3" t="s">
        <v>3</v>
      </c>
      <c r="C3" t="s">
        <v>4</v>
      </c>
    </row>
    <row r="4" spans="1:3" x14ac:dyDescent="0.3">
      <c r="A4" t="s">
        <v>5</v>
      </c>
      <c r="B4" t="s">
        <v>6</v>
      </c>
      <c r="C4" t="s">
        <v>7</v>
      </c>
    </row>
    <row r="5" spans="1:3" x14ac:dyDescent="0.3">
      <c r="A5" t="s">
        <v>8</v>
      </c>
      <c r="B5" t="s">
        <v>9</v>
      </c>
      <c r="C5" t="s">
        <v>10</v>
      </c>
    </row>
    <row r="6" spans="1:3" x14ac:dyDescent="0.3">
      <c r="A6" t="s">
        <v>11</v>
      </c>
      <c r="B6" t="s">
        <v>12</v>
      </c>
      <c r="C6" t="s">
        <v>13</v>
      </c>
    </row>
    <row r="7" spans="1:3" x14ac:dyDescent="0.3">
      <c r="A7" t="s">
        <v>14</v>
      </c>
      <c r="B7" t="s">
        <v>15</v>
      </c>
      <c r="C7" t="s">
        <v>16</v>
      </c>
    </row>
    <row r="8" spans="1:3" x14ac:dyDescent="0.3">
      <c r="A8" t="s">
        <v>17</v>
      </c>
      <c r="B8" t="s">
        <v>18</v>
      </c>
      <c r="C8" t="s">
        <v>19</v>
      </c>
    </row>
    <row r="9" spans="1:3" x14ac:dyDescent="0.3">
      <c r="A9" t="s">
        <v>20</v>
      </c>
      <c r="B9" t="s">
        <v>21</v>
      </c>
      <c r="C9" t="s">
        <v>22</v>
      </c>
    </row>
    <row r="10" spans="1:3" x14ac:dyDescent="0.3">
      <c r="A10" t="s">
        <v>23</v>
      </c>
      <c r="B10" t="s">
        <v>24</v>
      </c>
      <c r="C10" t="s">
        <v>25</v>
      </c>
    </row>
    <row r="11" spans="1:3" x14ac:dyDescent="0.3">
      <c r="A11" t="s">
        <v>26</v>
      </c>
      <c r="B11" t="s">
        <v>27</v>
      </c>
      <c r="C11" t="s">
        <v>28</v>
      </c>
    </row>
    <row r="12" spans="1:3" x14ac:dyDescent="0.3">
      <c r="A12" t="s">
        <v>29</v>
      </c>
      <c r="B12" t="s">
        <v>30</v>
      </c>
      <c r="C12" t="s">
        <v>31</v>
      </c>
    </row>
    <row r="13" spans="1:3" x14ac:dyDescent="0.3">
      <c r="A13" t="s">
        <v>32</v>
      </c>
      <c r="B13" t="s">
        <v>33</v>
      </c>
      <c r="C13" t="s">
        <v>34</v>
      </c>
    </row>
    <row r="14" spans="1:3" x14ac:dyDescent="0.3">
      <c r="A14" t="s">
        <v>35</v>
      </c>
      <c r="B14" t="s">
        <v>36</v>
      </c>
      <c r="C14" t="s">
        <v>37</v>
      </c>
    </row>
    <row r="15" spans="1:3" x14ac:dyDescent="0.3">
      <c r="A15" t="s">
        <v>38</v>
      </c>
      <c r="B15" t="s">
        <v>39</v>
      </c>
      <c r="C15" t="s">
        <v>40</v>
      </c>
    </row>
    <row r="16" spans="1:3" x14ac:dyDescent="0.3">
      <c r="A16" t="s">
        <v>41</v>
      </c>
      <c r="B16" t="s">
        <v>42</v>
      </c>
      <c r="C16" t="s">
        <v>43</v>
      </c>
    </row>
    <row r="17" spans="1:3" x14ac:dyDescent="0.3">
      <c r="A17" t="s">
        <v>44</v>
      </c>
      <c r="B17" t="s">
        <v>45</v>
      </c>
      <c r="C17" t="s">
        <v>46</v>
      </c>
    </row>
    <row r="18" spans="1:3" x14ac:dyDescent="0.3">
      <c r="A18" t="s">
        <v>47</v>
      </c>
      <c r="B18" t="s">
        <v>48</v>
      </c>
      <c r="C18" t="s">
        <v>49</v>
      </c>
    </row>
    <row r="19" spans="1:3" x14ac:dyDescent="0.3">
      <c r="A19" t="s">
        <v>50</v>
      </c>
      <c r="B19" t="s">
        <v>51</v>
      </c>
      <c r="C19" t="s">
        <v>52</v>
      </c>
    </row>
    <row r="20" spans="1:3" x14ac:dyDescent="0.3">
      <c r="A20" t="s">
        <v>53</v>
      </c>
      <c r="B20" t="s">
        <v>54</v>
      </c>
      <c r="C20" t="s">
        <v>55</v>
      </c>
    </row>
    <row r="21" spans="1:3" x14ac:dyDescent="0.3">
      <c r="A21" t="s">
        <v>56</v>
      </c>
      <c r="B21" t="s">
        <v>57</v>
      </c>
      <c r="C21" t="s">
        <v>58</v>
      </c>
    </row>
    <row r="22" spans="1:3" x14ac:dyDescent="0.3">
      <c r="A22" t="s">
        <v>59</v>
      </c>
      <c r="B22" t="s">
        <v>60</v>
      </c>
      <c r="C22" t="s">
        <v>61</v>
      </c>
    </row>
    <row r="23" spans="1:3" x14ac:dyDescent="0.3">
      <c r="A23" t="s">
        <v>62</v>
      </c>
      <c r="B23" t="s">
        <v>63</v>
      </c>
      <c r="C23" t="s">
        <v>64</v>
      </c>
    </row>
    <row r="24" spans="1:3" x14ac:dyDescent="0.3">
      <c r="A24" t="s">
        <v>65</v>
      </c>
      <c r="B24" t="s">
        <v>66</v>
      </c>
      <c r="C24" t="s">
        <v>67</v>
      </c>
    </row>
    <row r="25" spans="1:3" x14ac:dyDescent="0.3">
      <c r="A25" t="s">
        <v>68</v>
      </c>
      <c r="B25" t="s">
        <v>69</v>
      </c>
      <c r="C25" t="s">
        <v>70</v>
      </c>
    </row>
    <row r="26" spans="1:3" x14ac:dyDescent="0.3">
      <c r="A26" t="s">
        <v>71</v>
      </c>
      <c r="B26" t="s">
        <v>72</v>
      </c>
      <c r="C26" t="s">
        <v>73</v>
      </c>
    </row>
    <row r="27" spans="1:3" x14ac:dyDescent="0.3">
      <c r="A27" t="s">
        <v>74</v>
      </c>
      <c r="B27" t="s">
        <v>75</v>
      </c>
      <c r="C27" t="s">
        <v>76</v>
      </c>
    </row>
    <row r="28" spans="1:3" x14ac:dyDescent="0.3">
      <c r="A28" t="s">
        <v>77</v>
      </c>
      <c r="B28" t="s">
        <v>78</v>
      </c>
      <c r="C28" t="s">
        <v>79</v>
      </c>
    </row>
    <row r="29" spans="1:3" x14ac:dyDescent="0.3">
      <c r="A29" t="s">
        <v>80</v>
      </c>
      <c r="B29" t="s">
        <v>81</v>
      </c>
      <c r="C29" t="s">
        <v>82</v>
      </c>
    </row>
    <row r="30" spans="1:3" x14ac:dyDescent="0.3">
      <c r="A30" t="s">
        <v>83</v>
      </c>
      <c r="B30" t="s">
        <v>84</v>
      </c>
      <c r="C30" t="s">
        <v>85</v>
      </c>
    </row>
    <row r="31" spans="1:3" x14ac:dyDescent="0.3">
      <c r="A31" t="s">
        <v>86</v>
      </c>
      <c r="B31" t="s">
        <v>87</v>
      </c>
      <c r="C31" t="s">
        <v>88</v>
      </c>
    </row>
    <row r="32" spans="1:3" x14ac:dyDescent="0.3">
      <c r="A32" t="s">
        <v>89</v>
      </c>
      <c r="B32" t="s">
        <v>90</v>
      </c>
      <c r="C32" t="s">
        <v>91</v>
      </c>
    </row>
    <row r="33" spans="1:3" x14ac:dyDescent="0.3">
      <c r="A33" t="s">
        <v>92</v>
      </c>
      <c r="B33" t="s">
        <v>93</v>
      </c>
      <c r="C33" t="s">
        <v>94</v>
      </c>
    </row>
    <row r="34" spans="1:3" x14ac:dyDescent="0.3">
      <c r="A34" t="s">
        <v>95</v>
      </c>
      <c r="B34" t="s">
        <v>96</v>
      </c>
      <c r="C34" t="s">
        <v>97</v>
      </c>
    </row>
    <row r="35" spans="1:3" x14ac:dyDescent="0.3">
      <c r="A35" t="s">
        <v>98</v>
      </c>
      <c r="B35" t="s">
        <v>99</v>
      </c>
      <c r="C35" t="s">
        <v>100</v>
      </c>
    </row>
    <row r="36" spans="1:3" x14ac:dyDescent="0.3">
      <c r="A36" t="s">
        <v>101</v>
      </c>
      <c r="B36" t="s">
        <v>102</v>
      </c>
      <c r="C36" t="s">
        <v>103</v>
      </c>
    </row>
    <row r="37" spans="1:3" x14ac:dyDescent="0.3">
      <c r="A37" t="s">
        <v>104</v>
      </c>
      <c r="B37" t="s">
        <v>105</v>
      </c>
      <c r="C37" t="s">
        <v>106</v>
      </c>
    </row>
    <row r="38" spans="1:3" x14ac:dyDescent="0.3">
      <c r="A38" t="s">
        <v>107</v>
      </c>
      <c r="B38" t="s">
        <v>108</v>
      </c>
      <c r="C38" t="s">
        <v>109</v>
      </c>
    </row>
    <row r="39" spans="1:3" x14ac:dyDescent="0.3">
      <c r="A39" t="s">
        <v>110</v>
      </c>
      <c r="B39" t="s">
        <v>111</v>
      </c>
      <c r="C39" t="s">
        <v>112</v>
      </c>
    </row>
    <row r="40" spans="1:3" x14ac:dyDescent="0.3">
      <c r="A40" t="s">
        <v>113</v>
      </c>
      <c r="B40" t="s">
        <v>114</v>
      </c>
      <c r="C40" t="s">
        <v>115</v>
      </c>
    </row>
    <row r="41" spans="1:3" x14ac:dyDescent="0.3">
      <c r="A41" t="s">
        <v>116</v>
      </c>
      <c r="B41" t="s">
        <v>117</v>
      </c>
      <c r="C41" t="s">
        <v>118</v>
      </c>
    </row>
    <row r="42" spans="1:3" x14ac:dyDescent="0.3">
      <c r="A42" t="s">
        <v>119</v>
      </c>
      <c r="B42" t="s">
        <v>120</v>
      </c>
      <c r="C42" t="s">
        <v>121</v>
      </c>
    </row>
    <row r="43" spans="1:3" x14ac:dyDescent="0.3">
      <c r="A43" t="s">
        <v>122</v>
      </c>
      <c r="B43" t="s">
        <v>123</v>
      </c>
      <c r="C43" t="s">
        <v>124</v>
      </c>
    </row>
    <row r="44" spans="1:3" x14ac:dyDescent="0.3">
      <c r="A44" t="s">
        <v>125</v>
      </c>
      <c r="B44" t="s">
        <v>126</v>
      </c>
      <c r="C44" t="s">
        <v>127</v>
      </c>
    </row>
    <row r="45" spans="1:3" x14ac:dyDescent="0.3">
      <c r="A45" t="s">
        <v>128</v>
      </c>
      <c r="B45" t="s">
        <v>129</v>
      </c>
      <c r="C45" t="s">
        <v>130</v>
      </c>
    </row>
    <row r="46" spans="1:3" x14ac:dyDescent="0.3">
      <c r="A46" t="s">
        <v>131</v>
      </c>
      <c r="B46" t="s">
        <v>132</v>
      </c>
      <c r="C46" t="s">
        <v>133</v>
      </c>
    </row>
    <row r="47" spans="1:3" x14ac:dyDescent="0.3">
      <c r="A47" t="s">
        <v>134</v>
      </c>
      <c r="B47" t="s">
        <v>135</v>
      </c>
      <c r="C47" t="s">
        <v>136</v>
      </c>
    </row>
    <row r="48" spans="1:3" x14ac:dyDescent="0.3">
      <c r="A48" t="s">
        <v>137</v>
      </c>
      <c r="B48" t="s">
        <v>138</v>
      </c>
      <c r="C48" t="s">
        <v>139</v>
      </c>
    </row>
    <row r="49" spans="1:3" x14ac:dyDescent="0.3">
      <c r="A49" t="s">
        <v>140</v>
      </c>
      <c r="B49" t="s">
        <v>141</v>
      </c>
      <c r="C49" t="s">
        <v>142</v>
      </c>
    </row>
    <row r="50" spans="1:3" x14ac:dyDescent="0.3">
      <c r="A50" t="s">
        <v>143</v>
      </c>
      <c r="B50" t="s">
        <v>144</v>
      </c>
      <c r="C50" t="s">
        <v>145</v>
      </c>
    </row>
    <row r="51" spans="1:3" x14ac:dyDescent="0.3">
      <c r="A51" t="s">
        <v>146</v>
      </c>
      <c r="B51" t="s">
        <v>147</v>
      </c>
      <c r="C51" t="s">
        <v>148</v>
      </c>
    </row>
    <row r="52" spans="1:3" x14ac:dyDescent="0.3">
      <c r="A52" t="s">
        <v>149</v>
      </c>
      <c r="B52" t="s">
        <v>150</v>
      </c>
      <c r="C52" t="s">
        <v>151</v>
      </c>
    </row>
    <row r="53" spans="1:3" x14ac:dyDescent="0.3">
      <c r="A53" t="s">
        <v>152</v>
      </c>
      <c r="B53" t="s">
        <v>153</v>
      </c>
      <c r="C53" t="s">
        <v>154</v>
      </c>
    </row>
    <row r="54" spans="1:3" x14ac:dyDescent="0.3">
      <c r="A54" t="s">
        <v>155</v>
      </c>
      <c r="B54" t="s">
        <v>156</v>
      </c>
      <c r="C54" t="s">
        <v>157</v>
      </c>
    </row>
    <row r="55" spans="1:3" x14ac:dyDescent="0.3">
      <c r="A55" t="s">
        <v>158</v>
      </c>
      <c r="B55" t="s">
        <v>159</v>
      </c>
      <c r="C55" t="s">
        <v>160</v>
      </c>
    </row>
    <row r="56" spans="1:3" x14ac:dyDescent="0.3">
      <c r="A56" t="s">
        <v>161</v>
      </c>
      <c r="B56" t="s">
        <v>162</v>
      </c>
      <c r="C56" t="s">
        <v>163</v>
      </c>
    </row>
    <row r="57" spans="1:3" x14ac:dyDescent="0.3">
      <c r="A57" t="s">
        <v>164</v>
      </c>
      <c r="B57" t="s">
        <v>165</v>
      </c>
      <c r="C57" t="s">
        <v>166</v>
      </c>
    </row>
    <row r="58" spans="1:3" x14ac:dyDescent="0.3">
      <c r="A58" t="s">
        <v>167</v>
      </c>
      <c r="B58" t="s">
        <v>168</v>
      </c>
      <c r="C58" t="s">
        <v>169</v>
      </c>
    </row>
    <row r="59" spans="1:3" x14ac:dyDescent="0.3">
      <c r="A59" t="s">
        <v>170</v>
      </c>
      <c r="B59" t="s">
        <v>171</v>
      </c>
      <c r="C59" t="s">
        <v>172</v>
      </c>
    </row>
    <row r="60" spans="1:3" x14ac:dyDescent="0.3">
      <c r="A60" t="s">
        <v>173</v>
      </c>
      <c r="B60" t="s">
        <v>174</v>
      </c>
      <c r="C60" t="s">
        <v>175</v>
      </c>
    </row>
    <row r="61" spans="1:3" x14ac:dyDescent="0.3">
      <c r="A61" t="s">
        <v>176</v>
      </c>
      <c r="B61" t="s">
        <v>177</v>
      </c>
      <c r="C61" t="s">
        <v>178</v>
      </c>
    </row>
    <row r="62" spans="1:3" x14ac:dyDescent="0.3">
      <c r="A62" t="s">
        <v>179</v>
      </c>
      <c r="B62" t="s">
        <v>180</v>
      </c>
      <c r="C62" t="s">
        <v>181</v>
      </c>
    </row>
    <row r="63" spans="1:3" x14ac:dyDescent="0.3">
      <c r="A63" t="s">
        <v>182</v>
      </c>
      <c r="B63" t="s">
        <v>183</v>
      </c>
      <c r="C63" t="s">
        <v>184</v>
      </c>
    </row>
    <row r="64" spans="1:3" x14ac:dyDescent="0.3">
      <c r="A64" t="s">
        <v>185</v>
      </c>
      <c r="B64" t="s">
        <v>186</v>
      </c>
      <c r="C64" t="s">
        <v>187</v>
      </c>
    </row>
    <row r="65" spans="1:3" x14ac:dyDescent="0.3">
      <c r="A65" t="s">
        <v>188</v>
      </c>
      <c r="B65" t="s">
        <v>189</v>
      </c>
      <c r="C65" t="s">
        <v>190</v>
      </c>
    </row>
    <row r="66" spans="1:3" x14ac:dyDescent="0.3">
      <c r="A66" t="s">
        <v>191</v>
      </c>
      <c r="B66" t="s">
        <v>192</v>
      </c>
      <c r="C66" t="s">
        <v>193</v>
      </c>
    </row>
    <row r="67" spans="1:3" x14ac:dyDescent="0.3">
      <c r="A67" t="s">
        <v>194</v>
      </c>
      <c r="B67" t="s">
        <v>195</v>
      </c>
      <c r="C67" t="s">
        <v>196</v>
      </c>
    </row>
    <row r="68" spans="1:3" x14ac:dyDescent="0.3">
      <c r="A68" t="s">
        <v>197</v>
      </c>
      <c r="B68" t="s">
        <v>198</v>
      </c>
      <c r="C68" t="s">
        <v>199</v>
      </c>
    </row>
    <row r="69" spans="1:3" x14ac:dyDescent="0.3">
      <c r="A69" t="s">
        <v>200</v>
      </c>
      <c r="B69" t="s">
        <v>201</v>
      </c>
      <c r="C69" t="s">
        <v>202</v>
      </c>
    </row>
    <row r="70" spans="1:3" x14ac:dyDescent="0.3">
      <c r="A70" t="s">
        <v>203</v>
      </c>
      <c r="B70" t="s">
        <v>204</v>
      </c>
      <c r="C70" t="s">
        <v>205</v>
      </c>
    </row>
    <row r="71" spans="1:3" x14ac:dyDescent="0.3">
      <c r="A71" t="s">
        <v>206</v>
      </c>
      <c r="B71" t="s">
        <v>207</v>
      </c>
      <c r="C71" t="s">
        <v>208</v>
      </c>
    </row>
    <row r="72" spans="1:3" x14ac:dyDescent="0.3">
      <c r="A72" t="s">
        <v>209</v>
      </c>
      <c r="B72" t="s">
        <v>210</v>
      </c>
      <c r="C72" t="s">
        <v>211</v>
      </c>
    </row>
    <row r="73" spans="1:3" x14ac:dyDescent="0.3">
      <c r="A73" t="s">
        <v>212</v>
      </c>
      <c r="B73" t="s">
        <v>213</v>
      </c>
      <c r="C73" t="s">
        <v>214</v>
      </c>
    </row>
    <row r="74" spans="1:3" x14ac:dyDescent="0.3">
      <c r="A74" t="s">
        <v>215</v>
      </c>
      <c r="B74" t="s">
        <v>216</v>
      </c>
      <c r="C74" t="s">
        <v>217</v>
      </c>
    </row>
    <row r="75" spans="1:3" x14ac:dyDescent="0.3">
      <c r="A75" t="s">
        <v>218</v>
      </c>
      <c r="B75" t="s">
        <v>219</v>
      </c>
      <c r="C75" t="s">
        <v>217</v>
      </c>
    </row>
    <row r="76" spans="1:3" x14ac:dyDescent="0.3">
      <c r="A76" t="s">
        <v>220</v>
      </c>
      <c r="B76" t="s">
        <v>221</v>
      </c>
      <c r="C76" t="s">
        <v>222</v>
      </c>
    </row>
    <row r="77" spans="1:3" x14ac:dyDescent="0.3">
      <c r="A77" t="s">
        <v>223</v>
      </c>
      <c r="B77" t="s">
        <v>224</v>
      </c>
      <c r="C77" t="s">
        <v>225</v>
      </c>
    </row>
    <row r="78" spans="1:3" x14ac:dyDescent="0.3">
      <c r="A78" t="s">
        <v>226</v>
      </c>
      <c r="B78" t="s">
        <v>227</v>
      </c>
      <c r="C78" t="s">
        <v>228</v>
      </c>
    </row>
    <row r="79" spans="1:3" x14ac:dyDescent="0.3">
      <c r="A79" t="s">
        <v>229</v>
      </c>
      <c r="B79" t="s">
        <v>230</v>
      </c>
      <c r="C79" t="s">
        <v>231</v>
      </c>
    </row>
    <row r="80" spans="1:3" x14ac:dyDescent="0.3">
      <c r="A80" t="s">
        <v>232</v>
      </c>
      <c r="B80" t="s">
        <v>233</v>
      </c>
      <c r="C80" t="s">
        <v>234</v>
      </c>
    </row>
    <row r="81" spans="1:3" x14ac:dyDescent="0.3">
      <c r="A81" t="s">
        <v>235</v>
      </c>
      <c r="B81" t="s">
        <v>236</v>
      </c>
      <c r="C81" t="s">
        <v>237</v>
      </c>
    </row>
    <row r="82" spans="1:3" x14ac:dyDescent="0.3">
      <c r="A82" t="s">
        <v>238</v>
      </c>
      <c r="B82" t="s">
        <v>239</v>
      </c>
      <c r="C82" t="s">
        <v>240</v>
      </c>
    </row>
    <row r="83" spans="1:3" x14ac:dyDescent="0.3">
      <c r="A83" t="s">
        <v>241</v>
      </c>
      <c r="B83" t="s">
        <v>242</v>
      </c>
      <c r="C83" t="s">
        <v>243</v>
      </c>
    </row>
    <row r="84" spans="1:3" x14ac:dyDescent="0.3">
      <c r="A84" t="s">
        <v>244</v>
      </c>
      <c r="B84" t="s">
        <v>245</v>
      </c>
      <c r="C84" t="s">
        <v>246</v>
      </c>
    </row>
    <row r="85" spans="1:3" x14ac:dyDescent="0.3">
      <c r="A85" t="s">
        <v>247</v>
      </c>
      <c r="B85" t="s">
        <v>248</v>
      </c>
      <c r="C85" t="s">
        <v>249</v>
      </c>
    </row>
    <row r="86" spans="1:3" x14ac:dyDescent="0.3">
      <c r="A86" t="s">
        <v>250</v>
      </c>
      <c r="B86" t="s">
        <v>251</v>
      </c>
      <c r="C86" t="s">
        <v>252</v>
      </c>
    </row>
    <row r="87" spans="1:3" x14ac:dyDescent="0.3">
      <c r="A87" t="s">
        <v>253</v>
      </c>
      <c r="B87" t="s">
        <v>254</v>
      </c>
      <c r="C87" t="s">
        <v>255</v>
      </c>
    </row>
    <row r="88" spans="1:3" x14ac:dyDescent="0.3">
      <c r="A88" t="s">
        <v>256</v>
      </c>
      <c r="B88" t="s">
        <v>257</v>
      </c>
      <c r="C88" t="s">
        <v>258</v>
      </c>
    </row>
    <row r="89" spans="1:3" x14ac:dyDescent="0.3">
      <c r="A89" t="s">
        <v>259</v>
      </c>
      <c r="B89" t="s">
        <v>260</v>
      </c>
      <c r="C89" t="s">
        <v>261</v>
      </c>
    </row>
    <row r="90" spans="1:3" x14ac:dyDescent="0.3">
      <c r="A90" t="s">
        <v>262</v>
      </c>
      <c r="B90" t="s">
        <v>263</v>
      </c>
      <c r="C90" t="s">
        <v>264</v>
      </c>
    </row>
    <row r="91" spans="1:3" x14ac:dyDescent="0.3">
      <c r="A91" t="s">
        <v>265</v>
      </c>
      <c r="B91" t="s">
        <v>266</v>
      </c>
      <c r="C91" t="s">
        <v>267</v>
      </c>
    </row>
    <row r="92" spans="1:3" x14ac:dyDescent="0.3">
      <c r="A92" t="s">
        <v>268</v>
      </c>
      <c r="B92" t="s">
        <v>269</v>
      </c>
      <c r="C92" t="s">
        <v>270</v>
      </c>
    </row>
    <row r="93" spans="1:3" x14ac:dyDescent="0.3">
      <c r="A93" t="s">
        <v>271</v>
      </c>
      <c r="B93" t="s">
        <v>272</v>
      </c>
      <c r="C93" t="s">
        <v>273</v>
      </c>
    </row>
    <row r="94" spans="1:3" x14ac:dyDescent="0.3">
      <c r="A94" t="s">
        <v>274</v>
      </c>
      <c r="B94" t="s">
        <v>275</v>
      </c>
      <c r="C94" t="s">
        <v>276</v>
      </c>
    </row>
    <row r="95" spans="1:3" x14ac:dyDescent="0.3">
      <c r="A95" t="s">
        <v>277</v>
      </c>
      <c r="B95" t="s">
        <v>278</v>
      </c>
      <c r="C95" t="s">
        <v>279</v>
      </c>
    </row>
    <row r="96" spans="1:3" x14ac:dyDescent="0.3">
      <c r="A96" t="s">
        <v>280</v>
      </c>
      <c r="B96" t="s">
        <v>281</v>
      </c>
      <c r="C96" t="s">
        <v>282</v>
      </c>
    </row>
    <row r="97" spans="1:3" x14ac:dyDescent="0.3">
      <c r="A97" t="s">
        <v>283</v>
      </c>
      <c r="B97" t="s">
        <v>284</v>
      </c>
      <c r="C97" t="s">
        <v>285</v>
      </c>
    </row>
    <row r="98" spans="1:3" x14ac:dyDescent="0.3">
      <c r="A98" t="s">
        <v>286</v>
      </c>
      <c r="B98" t="s">
        <v>287</v>
      </c>
      <c r="C98" t="s">
        <v>288</v>
      </c>
    </row>
    <row r="99" spans="1:3" x14ac:dyDescent="0.3">
      <c r="A99" t="s">
        <v>289</v>
      </c>
      <c r="B99" t="s">
        <v>290</v>
      </c>
      <c r="C99" t="s">
        <v>291</v>
      </c>
    </row>
    <row r="100" spans="1:3" x14ac:dyDescent="0.3">
      <c r="A100" t="s">
        <v>292</v>
      </c>
      <c r="B100" t="s">
        <v>293</v>
      </c>
      <c r="C100" t="s">
        <v>294</v>
      </c>
    </row>
    <row r="101" spans="1:3" x14ac:dyDescent="0.3">
      <c r="A101" t="s">
        <v>295</v>
      </c>
      <c r="B101" t="s">
        <v>296</v>
      </c>
      <c r="C101" t="s">
        <v>297</v>
      </c>
    </row>
    <row r="102" spans="1:3" x14ac:dyDescent="0.3">
      <c r="A102" t="s">
        <v>298</v>
      </c>
      <c r="B102" t="s">
        <v>299</v>
      </c>
      <c r="C102" t="s">
        <v>300</v>
      </c>
    </row>
    <row r="103" spans="1:3" x14ac:dyDescent="0.3">
      <c r="A103" t="s">
        <v>301</v>
      </c>
      <c r="B103" t="s">
        <v>302</v>
      </c>
      <c r="C103" t="s">
        <v>303</v>
      </c>
    </row>
    <row r="104" spans="1:3" x14ac:dyDescent="0.3">
      <c r="A104" t="s">
        <v>304</v>
      </c>
      <c r="B104" t="s">
        <v>305</v>
      </c>
      <c r="C104" t="s">
        <v>306</v>
      </c>
    </row>
    <row r="105" spans="1:3" x14ac:dyDescent="0.3">
      <c r="A105" t="s">
        <v>307</v>
      </c>
      <c r="B105" t="s">
        <v>308</v>
      </c>
      <c r="C105" t="s">
        <v>309</v>
      </c>
    </row>
    <row r="106" spans="1:3" x14ac:dyDescent="0.3">
      <c r="A106" t="s">
        <v>310</v>
      </c>
      <c r="B106" t="s">
        <v>311</v>
      </c>
      <c r="C106" t="s">
        <v>312</v>
      </c>
    </row>
    <row r="107" spans="1:3" x14ac:dyDescent="0.3">
      <c r="A107" t="s">
        <v>313</v>
      </c>
      <c r="B107" t="s">
        <v>314</v>
      </c>
      <c r="C107" t="s">
        <v>315</v>
      </c>
    </row>
    <row r="108" spans="1:3" x14ac:dyDescent="0.3">
      <c r="A108" t="s">
        <v>316</v>
      </c>
      <c r="B108" t="s">
        <v>317</v>
      </c>
      <c r="C108" t="s">
        <v>318</v>
      </c>
    </row>
    <row r="109" spans="1:3" x14ac:dyDescent="0.3">
      <c r="A109" t="s">
        <v>319</v>
      </c>
      <c r="B109" t="s">
        <v>320</v>
      </c>
      <c r="C109" t="s">
        <v>321</v>
      </c>
    </row>
    <row r="110" spans="1:3" x14ac:dyDescent="0.3">
      <c r="A110" t="s">
        <v>322</v>
      </c>
      <c r="B110" t="s">
        <v>323</v>
      </c>
      <c r="C110" t="s">
        <v>324</v>
      </c>
    </row>
    <row r="111" spans="1:3" x14ac:dyDescent="0.3">
      <c r="A111" t="s">
        <v>325</v>
      </c>
      <c r="B111" t="s">
        <v>326</v>
      </c>
      <c r="C111" t="s">
        <v>327</v>
      </c>
    </row>
    <row r="112" spans="1:3" x14ac:dyDescent="0.3">
      <c r="A112" t="s">
        <v>328</v>
      </c>
      <c r="B112" t="s">
        <v>329</v>
      </c>
      <c r="C112" t="s">
        <v>330</v>
      </c>
    </row>
    <row r="113" spans="1:3" x14ac:dyDescent="0.3">
      <c r="A113" t="s">
        <v>331</v>
      </c>
      <c r="B113" t="s">
        <v>332</v>
      </c>
      <c r="C113" t="s">
        <v>333</v>
      </c>
    </row>
    <row r="114" spans="1:3" x14ac:dyDescent="0.3">
      <c r="A114" t="s">
        <v>334</v>
      </c>
      <c r="B114" t="s">
        <v>335</v>
      </c>
      <c r="C114" t="s">
        <v>336</v>
      </c>
    </row>
    <row r="115" spans="1:3" x14ac:dyDescent="0.3">
      <c r="A115" t="s">
        <v>337</v>
      </c>
      <c r="B115" t="s">
        <v>338</v>
      </c>
      <c r="C115" t="s">
        <v>339</v>
      </c>
    </row>
    <row r="116" spans="1:3" x14ac:dyDescent="0.3">
      <c r="A116" t="s">
        <v>340</v>
      </c>
      <c r="B116" t="s">
        <v>341</v>
      </c>
      <c r="C116" t="s">
        <v>342</v>
      </c>
    </row>
    <row r="117" spans="1:3" x14ac:dyDescent="0.3">
      <c r="A117" t="s">
        <v>343</v>
      </c>
      <c r="B117" t="s">
        <v>344</v>
      </c>
      <c r="C117" t="s">
        <v>345</v>
      </c>
    </row>
    <row r="118" spans="1:3" x14ac:dyDescent="0.3">
      <c r="A118" t="s">
        <v>346</v>
      </c>
      <c r="B118" t="s">
        <v>347</v>
      </c>
      <c r="C118" t="s">
        <v>348</v>
      </c>
    </row>
    <row r="119" spans="1:3" x14ac:dyDescent="0.3">
      <c r="A119" t="s">
        <v>349</v>
      </c>
      <c r="B119" t="s">
        <v>350</v>
      </c>
      <c r="C119" t="s">
        <v>351</v>
      </c>
    </row>
    <row r="120" spans="1:3" x14ac:dyDescent="0.3">
      <c r="A120" t="s">
        <v>352</v>
      </c>
      <c r="B120" t="s">
        <v>353</v>
      </c>
      <c r="C120" t="s">
        <v>354</v>
      </c>
    </row>
    <row r="121" spans="1:3" x14ac:dyDescent="0.3">
      <c r="A121" t="s">
        <v>355</v>
      </c>
      <c r="B121" t="s">
        <v>356</v>
      </c>
      <c r="C121" t="s">
        <v>357</v>
      </c>
    </row>
    <row r="122" spans="1:3" x14ac:dyDescent="0.3">
      <c r="A122" t="s">
        <v>358</v>
      </c>
      <c r="B122" t="s">
        <v>359</v>
      </c>
      <c r="C122" t="s">
        <v>360</v>
      </c>
    </row>
    <row r="123" spans="1:3" x14ac:dyDescent="0.3">
      <c r="A123" t="s">
        <v>361</v>
      </c>
      <c r="B123" t="s">
        <v>362</v>
      </c>
      <c r="C123" t="s">
        <v>363</v>
      </c>
    </row>
    <row r="124" spans="1:3" x14ac:dyDescent="0.3">
      <c r="A124" t="s">
        <v>364</v>
      </c>
      <c r="B124" t="s">
        <v>365</v>
      </c>
      <c r="C124" t="s">
        <v>366</v>
      </c>
    </row>
    <row r="125" spans="1:3" x14ac:dyDescent="0.3">
      <c r="A125" t="s">
        <v>367</v>
      </c>
      <c r="B125" t="s">
        <v>368</v>
      </c>
      <c r="C125" t="s">
        <v>369</v>
      </c>
    </row>
    <row r="126" spans="1:3" x14ac:dyDescent="0.3">
      <c r="A126" t="s">
        <v>370</v>
      </c>
      <c r="B126" t="s">
        <v>371</v>
      </c>
      <c r="C126" t="s">
        <v>372</v>
      </c>
    </row>
    <row r="127" spans="1:3" x14ac:dyDescent="0.3">
      <c r="A127" t="s">
        <v>373</v>
      </c>
      <c r="B127" t="s">
        <v>374</v>
      </c>
      <c r="C127" t="s">
        <v>375</v>
      </c>
    </row>
    <row r="128" spans="1:3" x14ac:dyDescent="0.3">
      <c r="A128" t="s">
        <v>376</v>
      </c>
      <c r="B128" t="s">
        <v>377</v>
      </c>
      <c r="C128" t="s">
        <v>378</v>
      </c>
    </row>
    <row r="129" spans="1:3" x14ac:dyDescent="0.3">
      <c r="A129" t="s">
        <v>379</v>
      </c>
      <c r="B129" t="s">
        <v>380</v>
      </c>
      <c r="C129" t="s">
        <v>381</v>
      </c>
    </row>
    <row r="130" spans="1:3" x14ac:dyDescent="0.3">
      <c r="A130" t="s">
        <v>382</v>
      </c>
      <c r="B130" t="s">
        <v>383</v>
      </c>
      <c r="C130" t="s">
        <v>384</v>
      </c>
    </row>
    <row r="131" spans="1:3" x14ac:dyDescent="0.3">
      <c r="A131" t="s">
        <v>385</v>
      </c>
      <c r="B131" t="s">
        <v>386</v>
      </c>
      <c r="C131" t="s">
        <v>387</v>
      </c>
    </row>
    <row r="132" spans="1:3" x14ac:dyDescent="0.3">
      <c r="A132" t="s">
        <v>388</v>
      </c>
      <c r="B132" t="s">
        <v>389</v>
      </c>
      <c r="C132" t="s">
        <v>390</v>
      </c>
    </row>
    <row r="133" spans="1:3" x14ac:dyDescent="0.3">
      <c r="A133" t="s">
        <v>391</v>
      </c>
      <c r="B133" t="s">
        <v>392</v>
      </c>
      <c r="C133" t="s">
        <v>393</v>
      </c>
    </row>
    <row r="134" spans="1:3" x14ac:dyDescent="0.3">
      <c r="A134" t="s">
        <v>394</v>
      </c>
      <c r="B134" t="s">
        <v>395</v>
      </c>
      <c r="C134" t="s">
        <v>396</v>
      </c>
    </row>
    <row r="135" spans="1:3" x14ac:dyDescent="0.3">
      <c r="A135" t="s">
        <v>397</v>
      </c>
      <c r="B135" t="s">
        <v>398</v>
      </c>
      <c r="C135" t="s">
        <v>399</v>
      </c>
    </row>
    <row r="136" spans="1:3" x14ac:dyDescent="0.3">
      <c r="A136" t="s">
        <v>400</v>
      </c>
      <c r="B136" t="s">
        <v>401</v>
      </c>
      <c r="C136" t="s">
        <v>402</v>
      </c>
    </row>
    <row r="137" spans="1:3" x14ac:dyDescent="0.3">
      <c r="A137" t="s">
        <v>403</v>
      </c>
      <c r="B137" t="s">
        <v>404</v>
      </c>
      <c r="C137" t="s">
        <v>405</v>
      </c>
    </row>
    <row r="138" spans="1:3" x14ac:dyDescent="0.3">
      <c r="A138" t="s">
        <v>406</v>
      </c>
      <c r="B138" t="s">
        <v>407</v>
      </c>
      <c r="C138" t="s">
        <v>408</v>
      </c>
    </row>
    <row r="139" spans="1:3" x14ac:dyDescent="0.3">
      <c r="A139" t="s">
        <v>409</v>
      </c>
      <c r="B139" t="s">
        <v>410</v>
      </c>
      <c r="C139" t="s">
        <v>411</v>
      </c>
    </row>
    <row r="140" spans="1:3" x14ac:dyDescent="0.3">
      <c r="A140" t="s">
        <v>412</v>
      </c>
      <c r="B140" t="s">
        <v>413</v>
      </c>
      <c r="C140" t="s">
        <v>414</v>
      </c>
    </row>
    <row r="141" spans="1:3" x14ac:dyDescent="0.3">
      <c r="A141" t="s">
        <v>415</v>
      </c>
      <c r="B141" t="s">
        <v>416</v>
      </c>
      <c r="C141" t="s">
        <v>417</v>
      </c>
    </row>
    <row r="142" spans="1:3" x14ac:dyDescent="0.3">
      <c r="A142" t="s">
        <v>418</v>
      </c>
      <c r="B142" t="s">
        <v>419</v>
      </c>
      <c r="C142" t="s">
        <v>420</v>
      </c>
    </row>
    <row r="143" spans="1:3" x14ac:dyDescent="0.3">
      <c r="A143" t="s">
        <v>421</v>
      </c>
      <c r="B143" t="s">
        <v>422</v>
      </c>
      <c r="C143" t="s">
        <v>423</v>
      </c>
    </row>
    <row r="144" spans="1:3" x14ac:dyDescent="0.3">
      <c r="A144" t="s">
        <v>424</v>
      </c>
      <c r="B144" t="s">
        <v>425</v>
      </c>
      <c r="C144" t="s">
        <v>426</v>
      </c>
    </row>
    <row r="145" spans="1:3" x14ac:dyDescent="0.3">
      <c r="A145" t="s">
        <v>427</v>
      </c>
      <c r="B145" t="s">
        <v>428</v>
      </c>
      <c r="C145" t="s">
        <v>429</v>
      </c>
    </row>
    <row r="146" spans="1:3" x14ac:dyDescent="0.3">
      <c r="A146" t="s">
        <v>430</v>
      </c>
      <c r="B146" t="s">
        <v>431</v>
      </c>
      <c r="C146" t="s">
        <v>432</v>
      </c>
    </row>
    <row r="147" spans="1:3" x14ac:dyDescent="0.3">
      <c r="A147" t="s">
        <v>433</v>
      </c>
      <c r="B147" t="s">
        <v>434</v>
      </c>
      <c r="C147" t="s">
        <v>435</v>
      </c>
    </row>
    <row r="148" spans="1:3" x14ac:dyDescent="0.3">
      <c r="A148" t="s">
        <v>436</v>
      </c>
      <c r="B148" t="s">
        <v>437</v>
      </c>
      <c r="C148" t="s">
        <v>438</v>
      </c>
    </row>
    <row r="149" spans="1:3" x14ac:dyDescent="0.3">
      <c r="A149" t="s">
        <v>439</v>
      </c>
      <c r="B149" t="s">
        <v>440</v>
      </c>
      <c r="C149" t="s">
        <v>441</v>
      </c>
    </row>
    <row r="150" spans="1:3" x14ac:dyDescent="0.3">
      <c r="A150" t="s">
        <v>442</v>
      </c>
      <c r="B150" t="s">
        <v>443</v>
      </c>
      <c r="C150" t="s">
        <v>444</v>
      </c>
    </row>
    <row r="151" spans="1:3" x14ac:dyDescent="0.3">
      <c r="A151" t="s">
        <v>445</v>
      </c>
      <c r="B151" t="s">
        <v>446</v>
      </c>
      <c r="C151" t="s">
        <v>447</v>
      </c>
    </row>
    <row r="152" spans="1:3" x14ac:dyDescent="0.3">
      <c r="A152" t="s">
        <v>448</v>
      </c>
      <c r="B152" t="s">
        <v>449</v>
      </c>
      <c r="C152" t="s">
        <v>450</v>
      </c>
    </row>
    <row r="153" spans="1:3" x14ac:dyDescent="0.3">
      <c r="A153" t="s">
        <v>451</v>
      </c>
      <c r="B153" t="s">
        <v>452</v>
      </c>
      <c r="C153" t="s">
        <v>453</v>
      </c>
    </row>
    <row r="154" spans="1:3" x14ac:dyDescent="0.3">
      <c r="A154" t="s">
        <v>454</v>
      </c>
      <c r="B154" t="s">
        <v>455</v>
      </c>
      <c r="C154" t="s">
        <v>456</v>
      </c>
    </row>
    <row r="155" spans="1:3" x14ac:dyDescent="0.3">
      <c r="A155" t="s">
        <v>457</v>
      </c>
      <c r="B155" t="s">
        <v>458</v>
      </c>
      <c r="C155" t="s">
        <v>459</v>
      </c>
    </row>
    <row r="156" spans="1:3" x14ac:dyDescent="0.3">
      <c r="A156" t="s">
        <v>460</v>
      </c>
      <c r="B156" t="s">
        <v>461</v>
      </c>
      <c r="C156" t="s">
        <v>462</v>
      </c>
    </row>
    <row r="157" spans="1:3" x14ac:dyDescent="0.3">
      <c r="A157" t="s">
        <v>463</v>
      </c>
      <c r="B157" t="s">
        <v>464</v>
      </c>
      <c r="C157" t="s">
        <v>465</v>
      </c>
    </row>
    <row r="158" spans="1:3" x14ac:dyDescent="0.3">
      <c r="A158" t="s">
        <v>466</v>
      </c>
      <c r="B158" t="s">
        <v>467</v>
      </c>
      <c r="C158" t="s">
        <v>468</v>
      </c>
    </row>
    <row r="159" spans="1:3" x14ac:dyDescent="0.3">
      <c r="A159" t="s">
        <v>469</v>
      </c>
      <c r="B159" t="s">
        <v>470</v>
      </c>
      <c r="C159" t="s">
        <v>471</v>
      </c>
    </row>
    <row r="160" spans="1:3" x14ac:dyDescent="0.3">
      <c r="A160" t="s">
        <v>472</v>
      </c>
      <c r="B160" t="s">
        <v>473</v>
      </c>
      <c r="C160" t="s">
        <v>474</v>
      </c>
    </row>
    <row r="161" spans="1:3" x14ac:dyDescent="0.3">
      <c r="A161" t="s">
        <v>475</v>
      </c>
      <c r="B161" t="s">
        <v>476</v>
      </c>
      <c r="C161" t="s">
        <v>477</v>
      </c>
    </row>
    <row r="162" spans="1:3" x14ac:dyDescent="0.3">
      <c r="A162" t="s">
        <v>478</v>
      </c>
      <c r="B162" t="s">
        <v>479</v>
      </c>
      <c r="C162" t="s">
        <v>480</v>
      </c>
    </row>
    <row r="163" spans="1:3" x14ac:dyDescent="0.3">
      <c r="A163" t="s">
        <v>481</v>
      </c>
      <c r="B163" t="s">
        <v>482</v>
      </c>
      <c r="C163" t="s">
        <v>483</v>
      </c>
    </row>
    <row r="164" spans="1:3" x14ac:dyDescent="0.3">
      <c r="A164" t="s">
        <v>484</v>
      </c>
      <c r="B164" t="s">
        <v>485</v>
      </c>
      <c r="C164" t="s">
        <v>486</v>
      </c>
    </row>
    <row r="165" spans="1:3" x14ac:dyDescent="0.3">
      <c r="A165" t="s">
        <v>487</v>
      </c>
      <c r="B165" t="s">
        <v>488</v>
      </c>
      <c r="C165" t="s">
        <v>489</v>
      </c>
    </row>
    <row r="166" spans="1:3" x14ac:dyDescent="0.3">
      <c r="A166" t="s">
        <v>490</v>
      </c>
      <c r="B166" t="s">
        <v>491</v>
      </c>
      <c r="C166" t="s">
        <v>492</v>
      </c>
    </row>
    <row r="167" spans="1:3" x14ac:dyDescent="0.3">
      <c r="A167" t="s">
        <v>493</v>
      </c>
      <c r="B167" t="s">
        <v>494</v>
      </c>
      <c r="C167" t="s">
        <v>495</v>
      </c>
    </row>
    <row r="168" spans="1:3" x14ac:dyDescent="0.3">
      <c r="A168" t="s">
        <v>496</v>
      </c>
      <c r="B168" t="s">
        <v>497</v>
      </c>
      <c r="C168" t="s">
        <v>498</v>
      </c>
    </row>
    <row r="169" spans="1:3" x14ac:dyDescent="0.3">
      <c r="A169" t="s">
        <v>499</v>
      </c>
      <c r="B169" t="s">
        <v>500</v>
      </c>
      <c r="C169" t="s">
        <v>501</v>
      </c>
    </row>
    <row r="170" spans="1:3" x14ac:dyDescent="0.3">
      <c r="A170" t="s">
        <v>502</v>
      </c>
      <c r="B170" t="s">
        <v>503</v>
      </c>
      <c r="C170" t="s">
        <v>504</v>
      </c>
    </row>
    <row r="171" spans="1:3" x14ac:dyDescent="0.3">
      <c r="A171" t="s">
        <v>505</v>
      </c>
      <c r="B171" t="s">
        <v>506</v>
      </c>
      <c r="C171" t="s">
        <v>507</v>
      </c>
    </row>
    <row r="172" spans="1:3" x14ac:dyDescent="0.3">
      <c r="A172" t="s">
        <v>508</v>
      </c>
      <c r="B172" t="s">
        <v>509</v>
      </c>
      <c r="C172" t="s">
        <v>510</v>
      </c>
    </row>
    <row r="173" spans="1:3" x14ac:dyDescent="0.3">
      <c r="A173" t="s">
        <v>511</v>
      </c>
      <c r="B173" t="s">
        <v>512</v>
      </c>
      <c r="C173" t="s">
        <v>513</v>
      </c>
    </row>
    <row r="174" spans="1:3" x14ac:dyDescent="0.3">
      <c r="A174" t="s">
        <v>514</v>
      </c>
      <c r="B174" t="s">
        <v>515</v>
      </c>
      <c r="C174" t="s">
        <v>516</v>
      </c>
    </row>
    <row r="175" spans="1:3" x14ac:dyDescent="0.3">
      <c r="A175" t="s">
        <v>517</v>
      </c>
      <c r="B175" t="s">
        <v>518</v>
      </c>
      <c r="C175" t="s">
        <v>519</v>
      </c>
    </row>
    <row r="176" spans="1:3" x14ac:dyDescent="0.3">
      <c r="A176" t="s">
        <v>520</v>
      </c>
      <c r="B176" t="s">
        <v>521</v>
      </c>
      <c r="C176" t="s">
        <v>522</v>
      </c>
    </row>
    <row r="177" spans="1:3" x14ac:dyDescent="0.3">
      <c r="A177" t="s">
        <v>523</v>
      </c>
      <c r="B177" t="s">
        <v>524</v>
      </c>
      <c r="C177" t="s">
        <v>525</v>
      </c>
    </row>
    <row r="178" spans="1:3" x14ac:dyDescent="0.3">
      <c r="A178" t="s">
        <v>526</v>
      </c>
      <c r="B178" t="s">
        <v>527</v>
      </c>
      <c r="C178" t="s">
        <v>528</v>
      </c>
    </row>
    <row r="179" spans="1:3" x14ac:dyDescent="0.3">
      <c r="A179" t="s">
        <v>529</v>
      </c>
      <c r="B179" t="s">
        <v>530</v>
      </c>
      <c r="C179" t="s">
        <v>531</v>
      </c>
    </row>
    <row r="180" spans="1:3" x14ac:dyDescent="0.3">
      <c r="A180" t="s">
        <v>532</v>
      </c>
      <c r="B180" t="s">
        <v>533</v>
      </c>
      <c r="C180" t="s">
        <v>534</v>
      </c>
    </row>
    <row r="181" spans="1:3" x14ac:dyDescent="0.3">
      <c r="A181" t="s">
        <v>535</v>
      </c>
      <c r="B181" t="s">
        <v>536</v>
      </c>
      <c r="C181" t="s">
        <v>537</v>
      </c>
    </row>
    <row r="182" spans="1:3" x14ac:dyDescent="0.3">
      <c r="A182" t="s">
        <v>538</v>
      </c>
      <c r="B182" t="s">
        <v>539</v>
      </c>
      <c r="C182" t="s">
        <v>540</v>
      </c>
    </row>
    <row r="183" spans="1:3" x14ac:dyDescent="0.3">
      <c r="A183" t="s">
        <v>541</v>
      </c>
      <c r="B183" t="s">
        <v>542</v>
      </c>
      <c r="C183" t="s">
        <v>543</v>
      </c>
    </row>
    <row r="184" spans="1:3" x14ac:dyDescent="0.3">
      <c r="A184" t="s">
        <v>544</v>
      </c>
      <c r="B184" t="s">
        <v>545</v>
      </c>
      <c r="C184" t="s">
        <v>546</v>
      </c>
    </row>
    <row r="185" spans="1:3" x14ac:dyDescent="0.3">
      <c r="A185" t="s">
        <v>547</v>
      </c>
      <c r="B185" t="s">
        <v>548</v>
      </c>
      <c r="C185" t="s">
        <v>549</v>
      </c>
    </row>
    <row r="186" spans="1:3" x14ac:dyDescent="0.3">
      <c r="A186" t="s">
        <v>550</v>
      </c>
      <c r="B186" t="s">
        <v>551</v>
      </c>
      <c r="C186" t="s">
        <v>552</v>
      </c>
    </row>
    <row r="187" spans="1:3" x14ac:dyDescent="0.3">
      <c r="A187" t="s">
        <v>553</v>
      </c>
      <c r="B187" t="s">
        <v>554</v>
      </c>
      <c r="C187" t="s">
        <v>555</v>
      </c>
    </row>
    <row r="188" spans="1:3" x14ac:dyDescent="0.3">
      <c r="A188" t="s">
        <v>556</v>
      </c>
      <c r="B188" t="s">
        <v>557</v>
      </c>
      <c r="C188" t="s">
        <v>558</v>
      </c>
    </row>
    <row r="189" spans="1:3" x14ac:dyDescent="0.3">
      <c r="A189" t="s">
        <v>559</v>
      </c>
      <c r="B189" t="s">
        <v>560</v>
      </c>
      <c r="C189" t="s">
        <v>561</v>
      </c>
    </row>
    <row r="190" spans="1:3" x14ac:dyDescent="0.3">
      <c r="A190" t="s">
        <v>562</v>
      </c>
      <c r="B190" t="s">
        <v>563</v>
      </c>
      <c r="C190" t="s">
        <v>564</v>
      </c>
    </row>
    <row r="191" spans="1:3" x14ac:dyDescent="0.3">
      <c r="A191" t="s">
        <v>565</v>
      </c>
      <c r="B191" t="s">
        <v>566</v>
      </c>
      <c r="C191" t="s">
        <v>567</v>
      </c>
    </row>
    <row r="192" spans="1:3" x14ac:dyDescent="0.3">
      <c r="A192" t="s">
        <v>568</v>
      </c>
      <c r="B192" t="s">
        <v>569</v>
      </c>
      <c r="C192" t="s">
        <v>570</v>
      </c>
    </row>
    <row r="193" spans="1:3" x14ac:dyDescent="0.3">
      <c r="A193" t="s">
        <v>571</v>
      </c>
      <c r="B193" t="s">
        <v>572</v>
      </c>
      <c r="C193" t="s">
        <v>573</v>
      </c>
    </row>
    <row r="194" spans="1:3" x14ac:dyDescent="0.3">
      <c r="A194" t="s">
        <v>574</v>
      </c>
      <c r="B194" t="s">
        <v>575</v>
      </c>
      <c r="C194" t="s">
        <v>576</v>
      </c>
    </row>
    <row r="195" spans="1:3" x14ac:dyDescent="0.3">
      <c r="A195" t="s">
        <v>577</v>
      </c>
      <c r="B195" t="s">
        <v>578</v>
      </c>
      <c r="C195" t="s">
        <v>579</v>
      </c>
    </row>
    <row r="196" spans="1:3" x14ac:dyDescent="0.3">
      <c r="A196" t="s">
        <v>580</v>
      </c>
      <c r="B196" t="s">
        <v>581</v>
      </c>
      <c r="C196" t="s">
        <v>582</v>
      </c>
    </row>
    <row r="197" spans="1:3" x14ac:dyDescent="0.3">
      <c r="A197" t="s">
        <v>583</v>
      </c>
      <c r="B197" t="s">
        <v>584</v>
      </c>
      <c r="C197" t="s">
        <v>585</v>
      </c>
    </row>
    <row r="198" spans="1:3" x14ac:dyDescent="0.3">
      <c r="A198" t="s">
        <v>586</v>
      </c>
      <c r="B198" t="s">
        <v>587</v>
      </c>
      <c r="C198" t="s">
        <v>588</v>
      </c>
    </row>
    <row r="199" spans="1:3" x14ac:dyDescent="0.3">
      <c r="A199" t="s">
        <v>589</v>
      </c>
      <c r="B199" t="s">
        <v>590</v>
      </c>
      <c r="C199" t="s">
        <v>591</v>
      </c>
    </row>
    <row r="200" spans="1:3" x14ac:dyDescent="0.3">
      <c r="A200" t="s">
        <v>592</v>
      </c>
      <c r="B200" t="s">
        <v>593</v>
      </c>
      <c r="C200" t="s">
        <v>594</v>
      </c>
    </row>
    <row r="201" spans="1:3" x14ac:dyDescent="0.3">
      <c r="A201" t="s">
        <v>595</v>
      </c>
      <c r="B201" t="s">
        <v>596</v>
      </c>
      <c r="C201" t="s">
        <v>597</v>
      </c>
    </row>
    <row r="202" spans="1:3" x14ac:dyDescent="0.3">
      <c r="A202" t="s">
        <v>598</v>
      </c>
      <c r="B202" t="s">
        <v>599</v>
      </c>
      <c r="C202" t="s">
        <v>600</v>
      </c>
    </row>
    <row r="203" spans="1:3" x14ac:dyDescent="0.3">
      <c r="A203" t="s">
        <v>601</v>
      </c>
      <c r="B203" t="s">
        <v>602</v>
      </c>
      <c r="C203" t="s">
        <v>603</v>
      </c>
    </row>
    <row r="204" spans="1:3" x14ac:dyDescent="0.3">
      <c r="A204" t="s">
        <v>604</v>
      </c>
      <c r="B204" t="s">
        <v>605</v>
      </c>
      <c r="C204" t="s">
        <v>606</v>
      </c>
    </row>
    <row r="205" spans="1:3" x14ac:dyDescent="0.3">
      <c r="A205" t="s">
        <v>607</v>
      </c>
      <c r="B205" t="s">
        <v>608</v>
      </c>
      <c r="C205" t="s">
        <v>609</v>
      </c>
    </row>
    <row r="206" spans="1:3" x14ac:dyDescent="0.3">
      <c r="A206" t="s">
        <v>610</v>
      </c>
      <c r="B206" t="s">
        <v>611</v>
      </c>
      <c r="C206" t="s">
        <v>612</v>
      </c>
    </row>
    <row r="207" spans="1:3" x14ac:dyDescent="0.3">
      <c r="A207" t="s">
        <v>613</v>
      </c>
      <c r="B207" t="s">
        <v>614</v>
      </c>
      <c r="C207" t="s">
        <v>615</v>
      </c>
    </row>
    <row r="208" spans="1:3" x14ac:dyDescent="0.3">
      <c r="A208" t="s">
        <v>616</v>
      </c>
      <c r="B208" t="s">
        <v>617</v>
      </c>
      <c r="C208" t="s">
        <v>618</v>
      </c>
    </row>
    <row r="209" spans="1:3" x14ac:dyDescent="0.3">
      <c r="A209" t="s">
        <v>619</v>
      </c>
      <c r="B209" t="s">
        <v>620</v>
      </c>
      <c r="C209" t="s">
        <v>621</v>
      </c>
    </row>
    <row r="210" spans="1:3" x14ac:dyDescent="0.3">
      <c r="A210" t="s">
        <v>622</v>
      </c>
      <c r="B210" t="s">
        <v>623</v>
      </c>
      <c r="C210" t="s">
        <v>624</v>
      </c>
    </row>
    <row r="211" spans="1:3" x14ac:dyDescent="0.3">
      <c r="A211" t="s">
        <v>625</v>
      </c>
      <c r="B211" t="s">
        <v>626</v>
      </c>
      <c r="C211" t="s">
        <v>627</v>
      </c>
    </row>
    <row r="212" spans="1:3" x14ac:dyDescent="0.3">
      <c r="A212" t="s">
        <v>628</v>
      </c>
      <c r="B212" t="s">
        <v>629</v>
      </c>
      <c r="C212" t="s">
        <v>630</v>
      </c>
    </row>
    <row r="213" spans="1:3" x14ac:dyDescent="0.3">
      <c r="A213" t="s">
        <v>631</v>
      </c>
      <c r="B213" t="s">
        <v>632</v>
      </c>
      <c r="C213" t="s">
        <v>633</v>
      </c>
    </row>
    <row r="214" spans="1:3" x14ac:dyDescent="0.3">
      <c r="A214" t="s">
        <v>634</v>
      </c>
      <c r="B214" t="s">
        <v>635</v>
      </c>
      <c r="C214" t="s">
        <v>636</v>
      </c>
    </row>
    <row r="215" spans="1:3" x14ac:dyDescent="0.3">
      <c r="A215" t="s">
        <v>637</v>
      </c>
      <c r="B215" t="s">
        <v>638</v>
      </c>
      <c r="C215" t="s">
        <v>639</v>
      </c>
    </row>
    <row r="216" spans="1:3" x14ac:dyDescent="0.3">
      <c r="A216" t="s">
        <v>640</v>
      </c>
      <c r="B216" t="s">
        <v>641</v>
      </c>
      <c r="C216" t="s">
        <v>642</v>
      </c>
    </row>
    <row r="217" spans="1:3" x14ac:dyDescent="0.3">
      <c r="A217" t="s">
        <v>643</v>
      </c>
      <c r="B217" t="s">
        <v>644</v>
      </c>
      <c r="C217" t="s">
        <v>645</v>
      </c>
    </row>
    <row r="218" spans="1:3" x14ac:dyDescent="0.3">
      <c r="A218" t="s">
        <v>646</v>
      </c>
      <c r="B218" t="s">
        <v>647</v>
      </c>
      <c r="C218" t="s">
        <v>648</v>
      </c>
    </row>
    <row r="219" spans="1:3" x14ac:dyDescent="0.3">
      <c r="A219" t="s">
        <v>649</v>
      </c>
      <c r="B219" t="s">
        <v>650</v>
      </c>
      <c r="C219" t="s">
        <v>651</v>
      </c>
    </row>
    <row r="220" spans="1:3" x14ac:dyDescent="0.3">
      <c r="A220" t="s">
        <v>652</v>
      </c>
      <c r="B220" t="s">
        <v>653</v>
      </c>
      <c r="C220" t="s">
        <v>654</v>
      </c>
    </row>
    <row r="221" spans="1:3" x14ac:dyDescent="0.3">
      <c r="A221" t="s">
        <v>655</v>
      </c>
      <c r="B221" t="s">
        <v>656</v>
      </c>
      <c r="C221" t="s">
        <v>657</v>
      </c>
    </row>
    <row r="222" spans="1:3" x14ac:dyDescent="0.3">
      <c r="A222" t="s">
        <v>658</v>
      </c>
      <c r="B222" t="s">
        <v>659</v>
      </c>
      <c r="C222" t="s">
        <v>660</v>
      </c>
    </row>
    <row r="223" spans="1:3" x14ac:dyDescent="0.3">
      <c r="A223" t="s">
        <v>661</v>
      </c>
      <c r="B223" t="s">
        <v>662</v>
      </c>
      <c r="C223" t="s">
        <v>663</v>
      </c>
    </row>
    <row r="224" spans="1:3" x14ac:dyDescent="0.3">
      <c r="A224" t="s">
        <v>664</v>
      </c>
      <c r="B224" t="s">
        <v>665</v>
      </c>
      <c r="C224" t="s">
        <v>666</v>
      </c>
    </row>
    <row r="225" spans="1:3" x14ac:dyDescent="0.3">
      <c r="A225" t="s">
        <v>667</v>
      </c>
      <c r="B225" t="s">
        <v>668</v>
      </c>
      <c r="C225" t="s">
        <v>669</v>
      </c>
    </row>
    <row r="226" spans="1:3" x14ac:dyDescent="0.3">
      <c r="A226" t="s">
        <v>670</v>
      </c>
      <c r="B226" t="s">
        <v>671</v>
      </c>
      <c r="C226" t="s">
        <v>672</v>
      </c>
    </row>
    <row r="227" spans="1:3" x14ac:dyDescent="0.3">
      <c r="A227" t="s">
        <v>673</v>
      </c>
      <c r="B227" t="s">
        <v>674</v>
      </c>
      <c r="C227" t="s">
        <v>675</v>
      </c>
    </row>
    <row r="228" spans="1:3" x14ac:dyDescent="0.3">
      <c r="A228" t="s">
        <v>676</v>
      </c>
      <c r="B228" t="s">
        <v>677</v>
      </c>
      <c r="C228" t="s">
        <v>678</v>
      </c>
    </row>
    <row r="229" spans="1:3" x14ac:dyDescent="0.3">
      <c r="A229" t="s">
        <v>679</v>
      </c>
      <c r="B229" t="s">
        <v>680</v>
      </c>
      <c r="C229" t="s">
        <v>681</v>
      </c>
    </row>
    <row r="230" spans="1:3" x14ac:dyDescent="0.3">
      <c r="A230" t="s">
        <v>682</v>
      </c>
      <c r="B230" t="s">
        <v>683</v>
      </c>
      <c r="C230" t="s">
        <v>684</v>
      </c>
    </row>
    <row r="231" spans="1:3" x14ac:dyDescent="0.3">
      <c r="A231" t="s">
        <v>685</v>
      </c>
      <c r="B231" t="s">
        <v>686</v>
      </c>
      <c r="C231" t="s">
        <v>687</v>
      </c>
    </row>
    <row r="232" spans="1:3" x14ac:dyDescent="0.3">
      <c r="A232" t="s">
        <v>688</v>
      </c>
      <c r="B232" t="s">
        <v>689</v>
      </c>
      <c r="C232" t="s">
        <v>690</v>
      </c>
    </row>
    <row r="233" spans="1:3" x14ac:dyDescent="0.3">
      <c r="A233" t="s">
        <v>691</v>
      </c>
      <c r="B233" t="s">
        <v>692</v>
      </c>
      <c r="C233" t="s">
        <v>693</v>
      </c>
    </row>
    <row r="234" spans="1:3" x14ac:dyDescent="0.3">
      <c r="A234" t="s">
        <v>694</v>
      </c>
      <c r="B234" t="s">
        <v>695</v>
      </c>
      <c r="C234" t="s">
        <v>696</v>
      </c>
    </row>
    <row r="235" spans="1:3" x14ac:dyDescent="0.3">
      <c r="A235" t="s">
        <v>697</v>
      </c>
      <c r="B235" t="s">
        <v>698</v>
      </c>
      <c r="C235" t="s">
        <v>699</v>
      </c>
    </row>
    <row r="236" spans="1:3" x14ac:dyDescent="0.3">
      <c r="A236" t="s">
        <v>700</v>
      </c>
      <c r="B236" t="s">
        <v>701</v>
      </c>
      <c r="C236" t="s">
        <v>702</v>
      </c>
    </row>
    <row r="237" spans="1:3" x14ac:dyDescent="0.3">
      <c r="A237" t="s">
        <v>703</v>
      </c>
      <c r="B237" t="s">
        <v>704</v>
      </c>
      <c r="C237" t="s">
        <v>705</v>
      </c>
    </row>
    <row r="238" spans="1:3" x14ac:dyDescent="0.3">
      <c r="A238" t="s">
        <v>706</v>
      </c>
      <c r="B238" t="s">
        <v>707</v>
      </c>
      <c r="C238" t="s">
        <v>708</v>
      </c>
    </row>
    <row r="239" spans="1:3" x14ac:dyDescent="0.3">
      <c r="A239" t="s">
        <v>709</v>
      </c>
      <c r="B239" t="s">
        <v>710</v>
      </c>
      <c r="C239" t="s">
        <v>711</v>
      </c>
    </row>
    <row r="240" spans="1:3" x14ac:dyDescent="0.3">
      <c r="A240" t="s">
        <v>712</v>
      </c>
      <c r="B240" t="s">
        <v>713</v>
      </c>
      <c r="C240" t="s">
        <v>714</v>
      </c>
    </row>
    <row r="241" spans="1:3" x14ac:dyDescent="0.3">
      <c r="A241" t="s">
        <v>715</v>
      </c>
      <c r="B241" t="s">
        <v>716</v>
      </c>
      <c r="C241" t="s">
        <v>717</v>
      </c>
    </row>
    <row r="242" spans="1:3" x14ac:dyDescent="0.3">
      <c r="A242" t="s">
        <v>718</v>
      </c>
      <c r="B242" t="s">
        <v>719</v>
      </c>
      <c r="C242" t="s">
        <v>720</v>
      </c>
    </row>
    <row r="243" spans="1:3" x14ac:dyDescent="0.3">
      <c r="A243" t="s">
        <v>721</v>
      </c>
      <c r="B243" t="s">
        <v>722</v>
      </c>
      <c r="C243" t="s">
        <v>723</v>
      </c>
    </row>
    <row r="244" spans="1:3" x14ac:dyDescent="0.3">
      <c r="A244" t="s">
        <v>724</v>
      </c>
      <c r="B244" t="s">
        <v>725</v>
      </c>
      <c r="C244" t="s">
        <v>726</v>
      </c>
    </row>
    <row r="245" spans="1:3" x14ac:dyDescent="0.3">
      <c r="A245" t="s">
        <v>727</v>
      </c>
      <c r="B245" t="s">
        <v>728</v>
      </c>
      <c r="C245" t="s">
        <v>729</v>
      </c>
    </row>
    <row r="246" spans="1:3" x14ac:dyDescent="0.3">
      <c r="A246" t="s">
        <v>730</v>
      </c>
      <c r="B246" t="s">
        <v>731</v>
      </c>
      <c r="C246" t="s">
        <v>732</v>
      </c>
    </row>
    <row r="247" spans="1:3" x14ac:dyDescent="0.3">
      <c r="A247" t="s">
        <v>733</v>
      </c>
      <c r="B247" t="s">
        <v>734</v>
      </c>
      <c r="C247" t="s">
        <v>735</v>
      </c>
    </row>
    <row r="248" spans="1:3" x14ac:dyDescent="0.3">
      <c r="A248" t="s">
        <v>736</v>
      </c>
      <c r="B248" t="s">
        <v>737</v>
      </c>
      <c r="C248" t="s">
        <v>738</v>
      </c>
    </row>
    <row r="249" spans="1:3" x14ac:dyDescent="0.3">
      <c r="A249" t="s">
        <v>739</v>
      </c>
      <c r="B249" t="s">
        <v>740</v>
      </c>
      <c r="C249" t="s">
        <v>741</v>
      </c>
    </row>
    <row r="250" spans="1:3" x14ac:dyDescent="0.3">
      <c r="A250" t="s">
        <v>742</v>
      </c>
      <c r="B250" t="s">
        <v>743</v>
      </c>
      <c r="C250" t="s">
        <v>744</v>
      </c>
    </row>
    <row r="251" spans="1:3" x14ac:dyDescent="0.3">
      <c r="A251" t="s">
        <v>745</v>
      </c>
      <c r="B251" t="s">
        <v>746</v>
      </c>
      <c r="C251" t="s">
        <v>747</v>
      </c>
    </row>
    <row r="252" spans="1:3" x14ac:dyDescent="0.3">
      <c r="A252" t="s">
        <v>748</v>
      </c>
      <c r="B252" t="s">
        <v>749</v>
      </c>
      <c r="C252" t="s">
        <v>750</v>
      </c>
    </row>
    <row r="253" spans="1:3" x14ac:dyDescent="0.3">
      <c r="A253" t="s">
        <v>751</v>
      </c>
      <c r="B253" t="s">
        <v>752</v>
      </c>
      <c r="C253" t="s">
        <v>753</v>
      </c>
    </row>
    <row r="254" spans="1:3" x14ac:dyDescent="0.3">
      <c r="A254" t="s">
        <v>754</v>
      </c>
      <c r="B254" t="s">
        <v>755</v>
      </c>
      <c r="C254" t="s">
        <v>756</v>
      </c>
    </row>
    <row r="255" spans="1:3" x14ac:dyDescent="0.3">
      <c r="A255" t="s">
        <v>757</v>
      </c>
      <c r="B255" t="s">
        <v>758</v>
      </c>
      <c r="C255" t="s">
        <v>759</v>
      </c>
    </row>
    <row r="256" spans="1:3" x14ac:dyDescent="0.3">
      <c r="A256" t="s">
        <v>760</v>
      </c>
      <c r="B256" t="s">
        <v>761</v>
      </c>
      <c r="C256" t="s">
        <v>762</v>
      </c>
    </row>
    <row r="257" spans="1:3" x14ac:dyDescent="0.3">
      <c r="A257" t="s">
        <v>763</v>
      </c>
      <c r="B257" t="s">
        <v>764</v>
      </c>
      <c r="C257" t="s">
        <v>765</v>
      </c>
    </row>
    <row r="258" spans="1:3" x14ac:dyDescent="0.3">
      <c r="A258" t="s">
        <v>766</v>
      </c>
      <c r="B258" t="s">
        <v>767</v>
      </c>
      <c r="C258" t="s">
        <v>768</v>
      </c>
    </row>
    <row r="259" spans="1:3" x14ac:dyDescent="0.3">
      <c r="A259" t="s">
        <v>769</v>
      </c>
      <c r="B259" t="s">
        <v>770</v>
      </c>
      <c r="C259" t="s">
        <v>771</v>
      </c>
    </row>
    <row r="260" spans="1:3" x14ac:dyDescent="0.3">
      <c r="A260" t="s">
        <v>772</v>
      </c>
      <c r="B260" t="s">
        <v>773</v>
      </c>
      <c r="C260" t="s">
        <v>774</v>
      </c>
    </row>
    <row r="261" spans="1:3" x14ac:dyDescent="0.3">
      <c r="A261" t="s">
        <v>775</v>
      </c>
      <c r="B261" t="s">
        <v>776</v>
      </c>
      <c r="C261" t="s">
        <v>777</v>
      </c>
    </row>
    <row r="262" spans="1:3" x14ac:dyDescent="0.3">
      <c r="A262" t="s">
        <v>778</v>
      </c>
      <c r="B262" t="s">
        <v>779</v>
      </c>
      <c r="C262" t="s">
        <v>780</v>
      </c>
    </row>
    <row r="263" spans="1:3" x14ac:dyDescent="0.3">
      <c r="A263" t="s">
        <v>781</v>
      </c>
      <c r="B263" t="s">
        <v>782</v>
      </c>
      <c r="C263" t="s">
        <v>783</v>
      </c>
    </row>
    <row r="264" spans="1:3" x14ac:dyDescent="0.3">
      <c r="A264" t="s">
        <v>784</v>
      </c>
      <c r="B264" t="s">
        <v>785</v>
      </c>
      <c r="C264" t="s">
        <v>786</v>
      </c>
    </row>
    <row r="265" spans="1:3" x14ac:dyDescent="0.3">
      <c r="A265" t="s">
        <v>787</v>
      </c>
      <c r="B265" t="s">
        <v>788</v>
      </c>
      <c r="C265" t="s">
        <v>789</v>
      </c>
    </row>
    <row r="266" spans="1:3" x14ac:dyDescent="0.3">
      <c r="A266" t="s">
        <v>790</v>
      </c>
      <c r="B266" t="s">
        <v>791</v>
      </c>
      <c r="C266" t="s">
        <v>792</v>
      </c>
    </row>
    <row r="267" spans="1:3" x14ac:dyDescent="0.3">
      <c r="A267" t="s">
        <v>793</v>
      </c>
      <c r="B267" t="s">
        <v>794</v>
      </c>
      <c r="C267" t="s">
        <v>795</v>
      </c>
    </row>
    <row r="268" spans="1:3" x14ac:dyDescent="0.3">
      <c r="A268" t="s">
        <v>796</v>
      </c>
      <c r="B268" t="s">
        <v>797</v>
      </c>
      <c r="C268" t="s">
        <v>798</v>
      </c>
    </row>
    <row r="269" spans="1:3" x14ac:dyDescent="0.3">
      <c r="A269" t="s">
        <v>799</v>
      </c>
      <c r="B269" t="s">
        <v>800</v>
      </c>
      <c r="C269" t="s">
        <v>801</v>
      </c>
    </row>
    <row r="270" spans="1:3" x14ac:dyDescent="0.3">
      <c r="A270" t="s">
        <v>802</v>
      </c>
      <c r="B270" t="s">
        <v>803</v>
      </c>
      <c r="C270" t="s">
        <v>804</v>
      </c>
    </row>
    <row r="271" spans="1:3" x14ac:dyDescent="0.3">
      <c r="A271" t="s">
        <v>805</v>
      </c>
      <c r="B271" t="s">
        <v>806</v>
      </c>
      <c r="C271" t="s">
        <v>807</v>
      </c>
    </row>
    <row r="272" spans="1:3" x14ac:dyDescent="0.3">
      <c r="A272" t="s">
        <v>808</v>
      </c>
      <c r="B272" t="s">
        <v>809</v>
      </c>
      <c r="C272" t="s">
        <v>807</v>
      </c>
    </row>
    <row r="273" spans="1:3" x14ac:dyDescent="0.3">
      <c r="A273" t="s">
        <v>810</v>
      </c>
      <c r="B273" t="s">
        <v>811</v>
      </c>
      <c r="C273" t="s">
        <v>812</v>
      </c>
    </row>
    <row r="274" spans="1:3" x14ac:dyDescent="0.3">
      <c r="A274" t="s">
        <v>813</v>
      </c>
      <c r="B274" t="s">
        <v>814</v>
      </c>
      <c r="C274" t="s">
        <v>815</v>
      </c>
    </row>
    <row r="275" spans="1:3" x14ac:dyDescent="0.3">
      <c r="A275" t="s">
        <v>816</v>
      </c>
      <c r="B275" t="s">
        <v>817</v>
      </c>
      <c r="C275" t="s">
        <v>818</v>
      </c>
    </row>
    <row r="276" spans="1:3" x14ac:dyDescent="0.3">
      <c r="A276" t="s">
        <v>819</v>
      </c>
      <c r="B276" t="s">
        <v>820</v>
      </c>
      <c r="C276" t="s">
        <v>821</v>
      </c>
    </row>
    <row r="277" spans="1:3" x14ac:dyDescent="0.3">
      <c r="A277" t="s">
        <v>822</v>
      </c>
      <c r="B277" t="s">
        <v>823</v>
      </c>
      <c r="C277" t="s">
        <v>824</v>
      </c>
    </row>
    <row r="278" spans="1:3" x14ac:dyDescent="0.3">
      <c r="A278" t="s">
        <v>825</v>
      </c>
      <c r="B278" t="s">
        <v>826</v>
      </c>
      <c r="C278" t="s">
        <v>827</v>
      </c>
    </row>
    <row r="279" spans="1:3" x14ac:dyDescent="0.3">
      <c r="A279" t="s">
        <v>828</v>
      </c>
      <c r="B279" t="s">
        <v>829</v>
      </c>
      <c r="C279" t="s">
        <v>830</v>
      </c>
    </row>
    <row r="280" spans="1:3" x14ac:dyDescent="0.3">
      <c r="A280" t="s">
        <v>831</v>
      </c>
      <c r="B280" t="s">
        <v>832</v>
      </c>
      <c r="C280" t="s">
        <v>833</v>
      </c>
    </row>
    <row r="281" spans="1:3" x14ac:dyDescent="0.3">
      <c r="A281" t="s">
        <v>834</v>
      </c>
      <c r="B281" t="s">
        <v>835</v>
      </c>
      <c r="C281" t="s">
        <v>836</v>
      </c>
    </row>
    <row r="282" spans="1:3" x14ac:dyDescent="0.3">
      <c r="A282" t="s">
        <v>837</v>
      </c>
      <c r="B282" t="s">
        <v>838</v>
      </c>
      <c r="C282" t="s">
        <v>839</v>
      </c>
    </row>
    <row r="283" spans="1:3" x14ac:dyDescent="0.3">
      <c r="A283" t="s">
        <v>840</v>
      </c>
      <c r="B283" t="s">
        <v>841</v>
      </c>
      <c r="C283" t="s">
        <v>842</v>
      </c>
    </row>
    <row r="284" spans="1:3" x14ac:dyDescent="0.3">
      <c r="A284" t="s">
        <v>843</v>
      </c>
      <c r="B284" t="s">
        <v>844</v>
      </c>
      <c r="C284" t="s">
        <v>845</v>
      </c>
    </row>
    <row r="285" spans="1:3" x14ac:dyDescent="0.3">
      <c r="A285" t="s">
        <v>846</v>
      </c>
      <c r="B285" t="s">
        <v>847</v>
      </c>
      <c r="C285" t="s">
        <v>848</v>
      </c>
    </row>
    <row r="286" spans="1:3" x14ac:dyDescent="0.3">
      <c r="A286" t="s">
        <v>849</v>
      </c>
      <c r="B286" t="s">
        <v>850</v>
      </c>
      <c r="C286" t="s">
        <v>851</v>
      </c>
    </row>
    <row r="287" spans="1:3" x14ac:dyDescent="0.3">
      <c r="A287" t="s">
        <v>852</v>
      </c>
      <c r="B287" t="s">
        <v>853</v>
      </c>
      <c r="C287" t="s">
        <v>854</v>
      </c>
    </row>
    <row r="288" spans="1:3" x14ac:dyDescent="0.3">
      <c r="A288" t="s">
        <v>855</v>
      </c>
      <c r="B288" t="s">
        <v>856</v>
      </c>
      <c r="C288" t="s">
        <v>857</v>
      </c>
    </row>
    <row r="289" spans="1:3" x14ac:dyDescent="0.3">
      <c r="A289" t="s">
        <v>858</v>
      </c>
      <c r="B289" t="s">
        <v>859</v>
      </c>
      <c r="C289" t="s">
        <v>860</v>
      </c>
    </row>
    <row r="290" spans="1:3" x14ac:dyDescent="0.3">
      <c r="A290" t="s">
        <v>861</v>
      </c>
      <c r="B290" t="s">
        <v>862</v>
      </c>
      <c r="C290" t="s">
        <v>863</v>
      </c>
    </row>
    <row r="291" spans="1:3" x14ac:dyDescent="0.3">
      <c r="A291" t="s">
        <v>864</v>
      </c>
      <c r="B291" t="s">
        <v>865</v>
      </c>
      <c r="C291" t="s">
        <v>866</v>
      </c>
    </row>
    <row r="292" spans="1:3" x14ac:dyDescent="0.3">
      <c r="A292" t="s">
        <v>867</v>
      </c>
      <c r="B292" t="s">
        <v>868</v>
      </c>
      <c r="C292" t="s">
        <v>869</v>
      </c>
    </row>
    <row r="293" spans="1:3" x14ac:dyDescent="0.3">
      <c r="A293" t="s">
        <v>870</v>
      </c>
      <c r="B293" t="s">
        <v>871</v>
      </c>
      <c r="C293" t="s">
        <v>872</v>
      </c>
    </row>
    <row r="294" spans="1:3" x14ac:dyDescent="0.3">
      <c r="A294" t="s">
        <v>873</v>
      </c>
      <c r="B294" t="s">
        <v>874</v>
      </c>
      <c r="C294" t="s">
        <v>875</v>
      </c>
    </row>
    <row r="295" spans="1:3" x14ac:dyDescent="0.3">
      <c r="A295" t="s">
        <v>876</v>
      </c>
      <c r="B295" t="s">
        <v>877</v>
      </c>
      <c r="C295" t="s">
        <v>878</v>
      </c>
    </row>
    <row r="296" spans="1:3" x14ac:dyDescent="0.3">
      <c r="A296" t="s">
        <v>879</v>
      </c>
      <c r="B296" t="s">
        <v>880</v>
      </c>
      <c r="C296" t="s">
        <v>881</v>
      </c>
    </row>
    <row r="297" spans="1:3" x14ac:dyDescent="0.3">
      <c r="A297" t="s">
        <v>882</v>
      </c>
      <c r="B297" t="s">
        <v>883</v>
      </c>
      <c r="C297" t="s">
        <v>884</v>
      </c>
    </row>
    <row r="298" spans="1:3" x14ac:dyDescent="0.3">
      <c r="A298" t="s">
        <v>885</v>
      </c>
      <c r="B298" t="s">
        <v>886</v>
      </c>
      <c r="C298" t="s">
        <v>887</v>
      </c>
    </row>
    <row r="299" spans="1:3" x14ac:dyDescent="0.3">
      <c r="A299" t="s">
        <v>888</v>
      </c>
      <c r="B299" t="s">
        <v>889</v>
      </c>
      <c r="C299" t="s">
        <v>890</v>
      </c>
    </row>
    <row r="300" spans="1:3" x14ac:dyDescent="0.3">
      <c r="A300" t="s">
        <v>891</v>
      </c>
      <c r="B300" t="s">
        <v>892</v>
      </c>
      <c r="C300" t="s">
        <v>893</v>
      </c>
    </row>
    <row r="301" spans="1:3" x14ac:dyDescent="0.3">
      <c r="A301" t="s">
        <v>894</v>
      </c>
      <c r="B301" t="s">
        <v>895</v>
      </c>
      <c r="C301" t="s">
        <v>896</v>
      </c>
    </row>
    <row r="302" spans="1:3" x14ac:dyDescent="0.3">
      <c r="A302" t="s">
        <v>897</v>
      </c>
      <c r="B302" t="s">
        <v>898</v>
      </c>
      <c r="C302" t="s">
        <v>899</v>
      </c>
    </row>
    <row r="303" spans="1:3" x14ac:dyDescent="0.3">
      <c r="A303" t="s">
        <v>900</v>
      </c>
      <c r="B303" t="s">
        <v>901</v>
      </c>
      <c r="C303" t="s">
        <v>902</v>
      </c>
    </row>
    <row r="304" spans="1:3" x14ac:dyDescent="0.3">
      <c r="A304" t="s">
        <v>903</v>
      </c>
      <c r="B304" t="s">
        <v>904</v>
      </c>
      <c r="C304" t="s">
        <v>905</v>
      </c>
    </row>
    <row r="305" spans="1:3" x14ac:dyDescent="0.3">
      <c r="A305" t="s">
        <v>906</v>
      </c>
      <c r="B305" t="s">
        <v>907</v>
      </c>
      <c r="C305" t="s">
        <v>908</v>
      </c>
    </row>
    <row r="306" spans="1:3" x14ac:dyDescent="0.3">
      <c r="A306" t="s">
        <v>909</v>
      </c>
      <c r="B306" t="s">
        <v>910</v>
      </c>
      <c r="C306" t="s">
        <v>911</v>
      </c>
    </row>
    <row r="307" spans="1:3" x14ac:dyDescent="0.3">
      <c r="A307" t="s">
        <v>912</v>
      </c>
      <c r="B307" t="s">
        <v>913</v>
      </c>
      <c r="C307" t="s">
        <v>914</v>
      </c>
    </row>
    <row r="308" spans="1:3" x14ac:dyDescent="0.3">
      <c r="A308" t="s">
        <v>915</v>
      </c>
      <c r="B308" t="s">
        <v>916</v>
      </c>
      <c r="C308" t="s">
        <v>917</v>
      </c>
    </row>
    <row r="309" spans="1:3" x14ac:dyDescent="0.3">
      <c r="A309" t="s">
        <v>918</v>
      </c>
      <c r="B309" t="s">
        <v>919</v>
      </c>
      <c r="C309" t="s">
        <v>920</v>
      </c>
    </row>
    <row r="310" spans="1:3" x14ac:dyDescent="0.3">
      <c r="A310" t="s">
        <v>921</v>
      </c>
      <c r="B310" t="s">
        <v>922</v>
      </c>
      <c r="C310" t="s">
        <v>923</v>
      </c>
    </row>
    <row r="311" spans="1:3" x14ac:dyDescent="0.3">
      <c r="A311" t="s">
        <v>924</v>
      </c>
      <c r="B311" t="s">
        <v>925</v>
      </c>
      <c r="C311" t="s">
        <v>926</v>
      </c>
    </row>
    <row r="312" spans="1:3" x14ac:dyDescent="0.3">
      <c r="A312" t="s">
        <v>927</v>
      </c>
      <c r="B312" t="s">
        <v>928</v>
      </c>
      <c r="C312" t="s">
        <v>929</v>
      </c>
    </row>
    <row r="313" spans="1:3" x14ac:dyDescent="0.3">
      <c r="A313" t="s">
        <v>930</v>
      </c>
      <c r="B313" t="s">
        <v>931</v>
      </c>
      <c r="C313" t="s">
        <v>932</v>
      </c>
    </row>
    <row r="314" spans="1:3" x14ac:dyDescent="0.3">
      <c r="A314" t="s">
        <v>933</v>
      </c>
      <c r="B314" t="s">
        <v>934</v>
      </c>
      <c r="C314" t="s">
        <v>935</v>
      </c>
    </row>
    <row r="315" spans="1:3" x14ac:dyDescent="0.3">
      <c r="A315" t="s">
        <v>936</v>
      </c>
      <c r="B315" t="s">
        <v>937</v>
      </c>
      <c r="C315" t="s">
        <v>938</v>
      </c>
    </row>
    <row r="316" spans="1:3" x14ac:dyDescent="0.3">
      <c r="A316" t="s">
        <v>939</v>
      </c>
      <c r="B316" t="s">
        <v>940</v>
      </c>
      <c r="C316" t="s">
        <v>941</v>
      </c>
    </row>
    <row r="317" spans="1:3" x14ac:dyDescent="0.3">
      <c r="A317" t="s">
        <v>942</v>
      </c>
      <c r="B317" t="s">
        <v>943</v>
      </c>
      <c r="C317" t="s">
        <v>944</v>
      </c>
    </row>
    <row r="318" spans="1:3" x14ac:dyDescent="0.3">
      <c r="A318" t="s">
        <v>945</v>
      </c>
      <c r="B318" t="s">
        <v>946</v>
      </c>
      <c r="C318" t="s">
        <v>947</v>
      </c>
    </row>
    <row r="319" spans="1:3" x14ac:dyDescent="0.3">
      <c r="A319" t="s">
        <v>948</v>
      </c>
      <c r="B319" t="s">
        <v>949</v>
      </c>
      <c r="C319" t="s">
        <v>950</v>
      </c>
    </row>
    <row r="320" spans="1:3" x14ac:dyDescent="0.3">
      <c r="A320" t="s">
        <v>951</v>
      </c>
      <c r="B320" t="s">
        <v>952</v>
      </c>
      <c r="C320" t="s">
        <v>953</v>
      </c>
    </row>
    <row r="321" spans="1:3" x14ac:dyDescent="0.3">
      <c r="A321" t="s">
        <v>954</v>
      </c>
      <c r="B321" t="s">
        <v>955</v>
      </c>
      <c r="C321" t="s">
        <v>956</v>
      </c>
    </row>
    <row r="322" spans="1:3" x14ac:dyDescent="0.3">
      <c r="A322" t="s">
        <v>957</v>
      </c>
      <c r="B322" t="s">
        <v>958</v>
      </c>
      <c r="C322" t="s">
        <v>959</v>
      </c>
    </row>
    <row r="323" spans="1:3" x14ac:dyDescent="0.3">
      <c r="A323" t="s">
        <v>960</v>
      </c>
      <c r="B323" t="s">
        <v>961</v>
      </c>
      <c r="C323" t="s">
        <v>962</v>
      </c>
    </row>
    <row r="324" spans="1:3" x14ac:dyDescent="0.3">
      <c r="A324" t="s">
        <v>963</v>
      </c>
      <c r="B324" t="s">
        <v>964</v>
      </c>
      <c r="C324" t="s">
        <v>965</v>
      </c>
    </row>
    <row r="325" spans="1:3" x14ac:dyDescent="0.3">
      <c r="A325" t="s">
        <v>966</v>
      </c>
      <c r="B325" t="s">
        <v>967</v>
      </c>
      <c r="C325" t="s">
        <v>968</v>
      </c>
    </row>
    <row r="326" spans="1:3" x14ac:dyDescent="0.3">
      <c r="A326" t="s">
        <v>969</v>
      </c>
      <c r="B326" t="s">
        <v>970</v>
      </c>
      <c r="C326" t="s">
        <v>971</v>
      </c>
    </row>
    <row r="327" spans="1:3" x14ac:dyDescent="0.3">
      <c r="A327" t="s">
        <v>972</v>
      </c>
      <c r="B327" t="s">
        <v>973</v>
      </c>
      <c r="C327" t="s">
        <v>974</v>
      </c>
    </row>
    <row r="328" spans="1:3" x14ac:dyDescent="0.3">
      <c r="A328" t="s">
        <v>975</v>
      </c>
      <c r="B328" t="s">
        <v>976</v>
      </c>
      <c r="C328" t="s">
        <v>977</v>
      </c>
    </row>
    <row r="329" spans="1:3" x14ac:dyDescent="0.3">
      <c r="A329" t="s">
        <v>978</v>
      </c>
      <c r="B329" t="s">
        <v>979</v>
      </c>
      <c r="C329" t="s">
        <v>980</v>
      </c>
    </row>
    <row r="330" spans="1:3" x14ac:dyDescent="0.3">
      <c r="A330" t="s">
        <v>981</v>
      </c>
      <c r="B330" t="s">
        <v>982</v>
      </c>
      <c r="C330" t="s">
        <v>983</v>
      </c>
    </row>
    <row r="331" spans="1:3" x14ac:dyDescent="0.3">
      <c r="A331" t="s">
        <v>984</v>
      </c>
      <c r="B331" t="s">
        <v>985</v>
      </c>
      <c r="C331" t="s">
        <v>986</v>
      </c>
    </row>
    <row r="332" spans="1:3" x14ac:dyDescent="0.3">
      <c r="A332" t="s">
        <v>987</v>
      </c>
      <c r="B332" t="s">
        <v>988</v>
      </c>
      <c r="C332" t="s">
        <v>989</v>
      </c>
    </row>
    <row r="333" spans="1:3" x14ac:dyDescent="0.3">
      <c r="A333" t="s">
        <v>990</v>
      </c>
      <c r="B333" t="s">
        <v>991</v>
      </c>
      <c r="C333" t="s">
        <v>992</v>
      </c>
    </row>
    <row r="334" spans="1:3" x14ac:dyDescent="0.3">
      <c r="A334" t="s">
        <v>993</v>
      </c>
      <c r="B334" t="s">
        <v>994</v>
      </c>
      <c r="C334" t="s">
        <v>995</v>
      </c>
    </row>
    <row r="335" spans="1:3" x14ac:dyDescent="0.3">
      <c r="A335" t="s">
        <v>996</v>
      </c>
      <c r="B335" t="s">
        <v>997</v>
      </c>
      <c r="C335" t="s">
        <v>998</v>
      </c>
    </row>
    <row r="336" spans="1:3" x14ac:dyDescent="0.3">
      <c r="A336" t="s">
        <v>999</v>
      </c>
      <c r="B336" t="s">
        <v>1000</v>
      </c>
      <c r="C336" t="s">
        <v>1001</v>
      </c>
    </row>
    <row r="337" spans="1:3" x14ac:dyDescent="0.3">
      <c r="A337" t="s">
        <v>1002</v>
      </c>
      <c r="B337" t="s">
        <v>1003</v>
      </c>
      <c r="C337" t="s">
        <v>1004</v>
      </c>
    </row>
    <row r="338" spans="1:3" x14ac:dyDescent="0.3">
      <c r="A338" t="s">
        <v>1005</v>
      </c>
      <c r="B338" t="s">
        <v>1006</v>
      </c>
      <c r="C338" t="s">
        <v>1007</v>
      </c>
    </row>
    <row r="339" spans="1:3" x14ac:dyDescent="0.3">
      <c r="A339" t="s">
        <v>1008</v>
      </c>
      <c r="B339" t="s">
        <v>1009</v>
      </c>
      <c r="C339" t="s">
        <v>1010</v>
      </c>
    </row>
    <row r="340" spans="1:3" x14ac:dyDescent="0.3">
      <c r="A340" t="s">
        <v>1011</v>
      </c>
      <c r="B340" t="s">
        <v>1012</v>
      </c>
      <c r="C340" t="s">
        <v>1013</v>
      </c>
    </row>
    <row r="341" spans="1:3" x14ac:dyDescent="0.3">
      <c r="A341" t="s">
        <v>1014</v>
      </c>
      <c r="B341" t="s">
        <v>1015</v>
      </c>
      <c r="C341" t="s">
        <v>1016</v>
      </c>
    </row>
    <row r="342" spans="1:3" x14ac:dyDescent="0.3">
      <c r="A342" t="s">
        <v>1017</v>
      </c>
      <c r="B342" t="s">
        <v>1018</v>
      </c>
      <c r="C342" t="s">
        <v>1019</v>
      </c>
    </row>
    <row r="343" spans="1:3" x14ac:dyDescent="0.3">
      <c r="A343" t="s">
        <v>1020</v>
      </c>
      <c r="B343" t="s">
        <v>1021</v>
      </c>
      <c r="C343" t="s">
        <v>1022</v>
      </c>
    </row>
    <row r="344" spans="1:3" x14ac:dyDescent="0.3">
      <c r="A344" t="s">
        <v>1023</v>
      </c>
      <c r="B344" t="s">
        <v>1024</v>
      </c>
      <c r="C344" t="s">
        <v>1025</v>
      </c>
    </row>
    <row r="345" spans="1:3" x14ac:dyDescent="0.3">
      <c r="A345" t="s">
        <v>1026</v>
      </c>
      <c r="B345" t="s">
        <v>1027</v>
      </c>
      <c r="C345" t="s">
        <v>1028</v>
      </c>
    </row>
    <row r="346" spans="1:3" x14ac:dyDescent="0.3">
      <c r="A346" t="s">
        <v>1029</v>
      </c>
      <c r="B346" t="s">
        <v>1030</v>
      </c>
      <c r="C346" t="s">
        <v>1031</v>
      </c>
    </row>
    <row r="347" spans="1:3" x14ac:dyDescent="0.3">
      <c r="A347" t="s">
        <v>1032</v>
      </c>
      <c r="B347" t="s">
        <v>1033</v>
      </c>
      <c r="C347" t="s">
        <v>1034</v>
      </c>
    </row>
    <row r="348" spans="1:3" x14ac:dyDescent="0.3">
      <c r="A348" t="s">
        <v>1035</v>
      </c>
      <c r="B348" t="s">
        <v>1036</v>
      </c>
      <c r="C348" t="s">
        <v>1037</v>
      </c>
    </row>
    <row r="349" spans="1:3" x14ac:dyDescent="0.3">
      <c r="A349" t="s">
        <v>1038</v>
      </c>
      <c r="B349" t="s">
        <v>1039</v>
      </c>
      <c r="C349" t="s">
        <v>1040</v>
      </c>
    </row>
    <row r="350" spans="1:3" x14ac:dyDescent="0.3">
      <c r="A350" t="s">
        <v>1041</v>
      </c>
      <c r="B350" t="s">
        <v>1042</v>
      </c>
      <c r="C350" t="s">
        <v>1043</v>
      </c>
    </row>
    <row r="351" spans="1:3" x14ac:dyDescent="0.3">
      <c r="A351" t="s">
        <v>1044</v>
      </c>
      <c r="B351" t="s">
        <v>1045</v>
      </c>
      <c r="C351" t="s">
        <v>1046</v>
      </c>
    </row>
    <row r="352" spans="1:3" x14ac:dyDescent="0.3">
      <c r="A352" t="s">
        <v>1047</v>
      </c>
      <c r="B352" t="s">
        <v>1048</v>
      </c>
      <c r="C352" t="s">
        <v>1049</v>
      </c>
    </row>
    <row r="353" spans="1:3" x14ac:dyDescent="0.3">
      <c r="A353" t="s">
        <v>1050</v>
      </c>
      <c r="B353" t="s">
        <v>1051</v>
      </c>
      <c r="C353" t="s">
        <v>1052</v>
      </c>
    </row>
    <row r="354" spans="1:3" x14ac:dyDescent="0.3">
      <c r="A354" t="s">
        <v>1053</v>
      </c>
      <c r="B354" t="s">
        <v>1054</v>
      </c>
      <c r="C354" t="s">
        <v>1055</v>
      </c>
    </row>
    <row r="355" spans="1:3" x14ac:dyDescent="0.3">
      <c r="A355" t="s">
        <v>1056</v>
      </c>
      <c r="B355" t="s">
        <v>1057</v>
      </c>
      <c r="C355" t="s">
        <v>1058</v>
      </c>
    </row>
    <row r="356" spans="1:3" x14ac:dyDescent="0.3">
      <c r="A356" t="s">
        <v>1059</v>
      </c>
      <c r="B356" t="s">
        <v>1060</v>
      </c>
      <c r="C356" t="s">
        <v>1061</v>
      </c>
    </row>
    <row r="357" spans="1:3" x14ac:dyDescent="0.3">
      <c r="A357" t="s">
        <v>1062</v>
      </c>
      <c r="B357" t="s">
        <v>1063</v>
      </c>
      <c r="C357" t="s">
        <v>1064</v>
      </c>
    </row>
    <row r="358" spans="1:3" x14ac:dyDescent="0.3">
      <c r="A358" t="s">
        <v>1065</v>
      </c>
      <c r="B358" t="s">
        <v>1066</v>
      </c>
      <c r="C358" t="s">
        <v>1067</v>
      </c>
    </row>
    <row r="359" spans="1:3" x14ac:dyDescent="0.3">
      <c r="A359" t="s">
        <v>1068</v>
      </c>
      <c r="B359" t="s">
        <v>1069</v>
      </c>
      <c r="C359" t="s">
        <v>1070</v>
      </c>
    </row>
    <row r="360" spans="1:3" x14ac:dyDescent="0.3">
      <c r="A360" t="s">
        <v>1071</v>
      </c>
      <c r="B360" t="s">
        <v>1072</v>
      </c>
      <c r="C360" t="s">
        <v>1073</v>
      </c>
    </row>
    <row r="361" spans="1:3" x14ac:dyDescent="0.3">
      <c r="A361" t="s">
        <v>1074</v>
      </c>
      <c r="B361" t="s">
        <v>1075</v>
      </c>
      <c r="C361" t="s">
        <v>1076</v>
      </c>
    </row>
    <row r="362" spans="1:3" x14ac:dyDescent="0.3">
      <c r="A362" t="s">
        <v>1077</v>
      </c>
      <c r="B362" t="s">
        <v>1078</v>
      </c>
      <c r="C362" t="s">
        <v>1079</v>
      </c>
    </row>
    <row r="363" spans="1:3" x14ac:dyDescent="0.3">
      <c r="A363" t="s">
        <v>1080</v>
      </c>
      <c r="B363" t="s">
        <v>1081</v>
      </c>
      <c r="C363" t="s">
        <v>1082</v>
      </c>
    </row>
    <row r="364" spans="1:3" x14ac:dyDescent="0.3">
      <c r="A364" t="s">
        <v>1083</v>
      </c>
      <c r="B364" t="s">
        <v>1084</v>
      </c>
      <c r="C364" t="s">
        <v>1085</v>
      </c>
    </row>
    <row r="365" spans="1:3" x14ac:dyDescent="0.3">
      <c r="A365" t="s">
        <v>1086</v>
      </c>
      <c r="B365" t="s">
        <v>1087</v>
      </c>
      <c r="C365" t="s">
        <v>1088</v>
      </c>
    </row>
    <row r="366" spans="1:3" x14ac:dyDescent="0.3">
      <c r="A366" t="s">
        <v>1089</v>
      </c>
      <c r="B366" t="s">
        <v>1090</v>
      </c>
      <c r="C366" t="s">
        <v>1091</v>
      </c>
    </row>
    <row r="367" spans="1:3" x14ac:dyDescent="0.3">
      <c r="A367" t="s">
        <v>1092</v>
      </c>
      <c r="B367" t="s">
        <v>1093</v>
      </c>
      <c r="C367" t="s">
        <v>1094</v>
      </c>
    </row>
    <row r="368" spans="1:3" x14ac:dyDescent="0.3">
      <c r="A368" t="s">
        <v>1095</v>
      </c>
      <c r="B368" t="s">
        <v>1096</v>
      </c>
      <c r="C368" t="s">
        <v>1097</v>
      </c>
    </row>
    <row r="369" spans="1:3" x14ac:dyDescent="0.3">
      <c r="A369" t="s">
        <v>1098</v>
      </c>
      <c r="B369" t="s">
        <v>1099</v>
      </c>
      <c r="C369" t="s">
        <v>1100</v>
      </c>
    </row>
    <row r="370" spans="1:3" x14ac:dyDescent="0.3">
      <c r="A370" t="s">
        <v>1101</v>
      </c>
      <c r="B370" t="s">
        <v>1102</v>
      </c>
      <c r="C370" t="s">
        <v>1103</v>
      </c>
    </row>
    <row r="371" spans="1:3" x14ac:dyDescent="0.3">
      <c r="A371" t="s">
        <v>1104</v>
      </c>
      <c r="B371" t="s">
        <v>1105</v>
      </c>
      <c r="C371" t="s">
        <v>1106</v>
      </c>
    </row>
    <row r="372" spans="1:3" x14ac:dyDescent="0.3">
      <c r="A372" t="s">
        <v>1107</v>
      </c>
      <c r="B372" t="s">
        <v>1108</v>
      </c>
      <c r="C372" t="s">
        <v>1109</v>
      </c>
    </row>
    <row r="373" spans="1:3" x14ac:dyDescent="0.3">
      <c r="A373" t="s">
        <v>1110</v>
      </c>
      <c r="B373" t="s">
        <v>1111</v>
      </c>
      <c r="C373" t="s">
        <v>1112</v>
      </c>
    </row>
    <row r="374" spans="1:3" x14ac:dyDescent="0.3">
      <c r="A374" t="s">
        <v>1113</v>
      </c>
      <c r="B374" t="s">
        <v>1114</v>
      </c>
      <c r="C374" t="s">
        <v>1115</v>
      </c>
    </row>
    <row r="375" spans="1:3" x14ac:dyDescent="0.3">
      <c r="A375" t="s">
        <v>1116</v>
      </c>
      <c r="B375" t="s">
        <v>1117</v>
      </c>
      <c r="C375" t="s">
        <v>1118</v>
      </c>
    </row>
    <row r="376" spans="1:3" x14ac:dyDescent="0.3">
      <c r="A376" t="s">
        <v>1119</v>
      </c>
      <c r="B376" t="s">
        <v>1120</v>
      </c>
      <c r="C376" t="s">
        <v>1121</v>
      </c>
    </row>
    <row r="377" spans="1:3" x14ac:dyDescent="0.3">
      <c r="A377" t="s">
        <v>1122</v>
      </c>
      <c r="B377" t="s">
        <v>1123</v>
      </c>
      <c r="C377" t="s">
        <v>1124</v>
      </c>
    </row>
    <row r="378" spans="1:3" x14ac:dyDescent="0.3">
      <c r="A378" t="s">
        <v>1125</v>
      </c>
      <c r="B378" t="s">
        <v>1126</v>
      </c>
      <c r="C378" t="s">
        <v>1127</v>
      </c>
    </row>
    <row r="379" spans="1:3" x14ac:dyDescent="0.3">
      <c r="A379" t="s">
        <v>1128</v>
      </c>
      <c r="B379" t="s">
        <v>1129</v>
      </c>
      <c r="C379" t="s">
        <v>1130</v>
      </c>
    </row>
    <row r="380" spans="1:3" x14ac:dyDescent="0.3">
      <c r="A380" t="s">
        <v>1131</v>
      </c>
      <c r="B380" t="s">
        <v>1132</v>
      </c>
      <c r="C380" t="s">
        <v>1133</v>
      </c>
    </row>
    <row r="381" spans="1:3" x14ac:dyDescent="0.3">
      <c r="A381" t="s">
        <v>1134</v>
      </c>
      <c r="B381" t="s">
        <v>1135</v>
      </c>
      <c r="C381" t="s">
        <v>1136</v>
      </c>
    </row>
    <row r="382" spans="1:3" x14ac:dyDescent="0.3">
      <c r="A382" t="s">
        <v>1137</v>
      </c>
      <c r="B382" t="s">
        <v>1138</v>
      </c>
      <c r="C382" t="s">
        <v>1139</v>
      </c>
    </row>
    <row r="383" spans="1:3" x14ac:dyDescent="0.3">
      <c r="A383" t="s">
        <v>1140</v>
      </c>
      <c r="B383" t="s">
        <v>1141</v>
      </c>
      <c r="C383" t="s">
        <v>1142</v>
      </c>
    </row>
    <row r="384" spans="1:3" x14ac:dyDescent="0.3">
      <c r="A384" t="s">
        <v>1143</v>
      </c>
      <c r="B384" t="s">
        <v>1144</v>
      </c>
      <c r="C384" t="s">
        <v>1145</v>
      </c>
    </row>
    <row r="385" spans="1:3" x14ac:dyDescent="0.3">
      <c r="A385" t="s">
        <v>1146</v>
      </c>
      <c r="B385" t="s">
        <v>1147</v>
      </c>
      <c r="C385" t="s">
        <v>1148</v>
      </c>
    </row>
    <row r="386" spans="1:3" x14ac:dyDescent="0.3">
      <c r="A386" t="s">
        <v>1149</v>
      </c>
      <c r="B386" t="s">
        <v>1150</v>
      </c>
      <c r="C386" t="s">
        <v>1151</v>
      </c>
    </row>
    <row r="387" spans="1:3" x14ac:dyDescent="0.3">
      <c r="A387" t="s">
        <v>1152</v>
      </c>
      <c r="B387" t="s">
        <v>1153</v>
      </c>
      <c r="C387" t="s">
        <v>1154</v>
      </c>
    </row>
    <row r="388" spans="1:3" x14ac:dyDescent="0.3">
      <c r="A388" t="s">
        <v>1155</v>
      </c>
      <c r="B388" t="s">
        <v>1156</v>
      </c>
      <c r="C388" t="s">
        <v>1157</v>
      </c>
    </row>
    <row r="389" spans="1:3" x14ac:dyDescent="0.3">
      <c r="A389" t="s">
        <v>1158</v>
      </c>
      <c r="B389" t="s">
        <v>1159</v>
      </c>
      <c r="C389" t="s">
        <v>1160</v>
      </c>
    </row>
    <row r="390" spans="1:3" x14ac:dyDescent="0.3">
      <c r="A390" t="s">
        <v>1161</v>
      </c>
      <c r="B390" t="s">
        <v>1162</v>
      </c>
      <c r="C390" t="s">
        <v>1163</v>
      </c>
    </row>
    <row r="391" spans="1:3" x14ac:dyDescent="0.3">
      <c r="A391" t="s">
        <v>1164</v>
      </c>
      <c r="B391" t="s">
        <v>1165</v>
      </c>
      <c r="C391" t="s">
        <v>1166</v>
      </c>
    </row>
    <row r="392" spans="1:3" x14ac:dyDescent="0.3">
      <c r="A392" t="s">
        <v>1167</v>
      </c>
      <c r="B392" t="s">
        <v>1168</v>
      </c>
      <c r="C392" t="s">
        <v>1169</v>
      </c>
    </row>
    <row r="393" spans="1:3" x14ac:dyDescent="0.3">
      <c r="A393" t="s">
        <v>1170</v>
      </c>
      <c r="B393" t="s">
        <v>1171</v>
      </c>
      <c r="C393" t="s">
        <v>1172</v>
      </c>
    </row>
    <row r="394" spans="1:3" x14ac:dyDescent="0.3">
      <c r="A394" t="s">
        <v>1173</v>
      </c>
      <c r="B394" t="s">
        <v>1174</v>
      </c>
      <c r="C394" t="s">
        <v>1175</v>
      </c>
    </row>
    <row r="395" spans="1:3" x14ac:dyDescent="0.3">
      <c r="A395" t="s">
        <v>1176</v>
      </c>
      <c r="B395" t="s">
        <v>1177</v>
      </c>
      <c r="C395" t="s">
        <v>1178</v>
      </c>
    </row>
    <row r="396" spans="1:3" x14ac:dyDescent="0.3">
      <c r="A396" t="s">
        <v>1179</v>
      </c>
      <c r="B396" t="s">
        <v>1180</v>
      </c>
      <c r="C396" t="s">
        <v>1181</v>
      </c>
    </row>
    <row r="397" spans="1:3" x14ac:dyDescent="0.3">
      <c r="A397" t="s">
        <v>1182</v>
      </c>
      <c r="B397" t="s">
        <v>1183</v>
      </c>
      <c r="C397" t="s">
        <v>1184</v>
      </c>
    </row>
    <row r="398" spans="1:3" x14ac:dyDescent="0.3">
      <c r="A398" t="s">
        <v>1185</v>
      </c>
      <c r="B398" t="s">
        <v>1186</v>
      </c>
      <c r="C398" t="s">
        <v>1187</v>
      </c>
    </row>
    <row r="399" spans="1:3" x14ac:dyDescent="0.3">
      <c r="A399" t="s">
        <v>1188</v>
      </c>
      <c r="B399" t="s">
        <v>1189</v>
      </c>
      <c r="C399" t="s">
        <v>1190</v>
      </c>
    </row>
    <row r="400" spans="1:3" x14ac:dyDescent="0.3">
      <c r="A400" t="s">
        <v>1191</v>
      </c>
      <c r="B400" t="s">
        <v>1192</v>
      </c>
      <c r="C400" t="s">
        <v>1193</v>
      </c>
    </row>
    <row r="401" spans="1:3" x14ac:dyDescent="0.3">
      <c r="A401" t="s">
        <v>1194</v>
      </c>
      <c r="B401" t="s">
        <v>1195</v>
      </c>
      <c r="C401" t="s">
        <v>1196</v>
      </c>
    </row>
    <row r="402" spans="1:3" x14ac:dyDescent="0.3">
      <c r="A402" t="s">
        <v>1197</v>
      </c>
      <c r="B402" t="s">
        <v>1198</v>
      </c>
      <c r="C402" t="s">
        <v>1199</v>
      </c>
    </row>
    <row r="403" spans="1:3" x14ac:dyDescent="0.3">
      <c r="A403" t="s">
        <v>1200</v>
      </c>
      <c r="B403" t="s">
        <v>1201</v>
      </c>
      <c r="C403" t="s">
        <v>1202</v>
      </c>
    </row>
    <row r="404" spans="1:3" x14ac:dyDescent="0.3">
      <c r="A404" t="s">
        <v>1203</v>
      </c>
      <c r="B404" t="s">
        <v>1204</v>
      </c>
      <c r="C404" t="s">
        <v>1205</v>
      </c>
    </row>
    <row r="405" spans="1:3" x14ac:dyDescent="0.3">
      <c r="A405" t="s">
        <v>1206</v>
      </c>
      <c r="B405" t="s">
        <v>1207</v>
      </c>
      <c r="C405" t="s">
        <v>1208</v>
      </c>
    </row>
    <row r="406" spans="1:3" x14ac:dyDescent="0.3">
      <c r="A406" t="s">
        <v>1209</v>
      </c>
      <c r="B406" t="s">
        <v>1210</v>
      </c>
      <c r="C406" t="s">
        <v>1211</v>
      </c>
    </row>
    <row r="407" spans="1:3" x14ac:dyDescent="0.3">
      <c r="A407" t="s">
        <v>1212</v>
      </c>
      <c r="B407" t="s">
        <v>1213</v>
      </c>
      <c r="C407" t="s">
        <v>1214</v>
      </c>
    </row>
    <row r="408" spans="1:3" x14ac:dyDescent="0.3">
      <c r="A408" t="s">
        <v>1215</v>
      </c>
      <c r="B408" t="s">
        <v>1216</v>
      </c>
      <c r="C408" t="s">
        <v>1217</v>
      </c>
    </row>
    <row r="409" spans="1:3" x14ac:dyDescent="0.3">
      <c r="A409" t="s">
        <v>1218</v>
      </c>
      <c r="B409" t="s">
        <v>1219</v>
      </c>
      <c r="C409" t="s">
        <v>1220</v>
      </c>
    </row>
    <row r="410" spans="1:3" x14ac:dyDescent="0.3">
      <c r="A410" t="s">
        <v>1221</v>
      </c>
      <c r="B410" t="s">
        <v>1222</v>
      </c>
      <c r="C410" t="s">
        <v>1223</v>
      </c>
    </row>
    <row r="411" spans="1:3" x14ac:dyDescent="0.3">
      <c r="A411" t="s">
        <v>1224</v>
      </c>
      <c r="B411" t="s">
        <v>1225</v>
      </c>
      <c r="C411" t="s">
        <v>1226</v>
      </c>
    </row>
    <row r="412" spans="1:3" x14ac:dyDescent="0.3">
      <c r="A412" t="s">
        <v>1227</v>
      </c>
      <c r="B412" t="s">
        <v>1228</v>
      </c>
      <c r="C412" t="s">
        <v>1229</v>
      </c>
    </row>
    <row r="413" spans="1:3" x14ac:dyDescent="0.3">
      <c r="A413" t="s">
        <v>1230</v>
      </c>
      <c r="B413" t="s">
        <v>1231</v>
      </c>
      <c r="C413" t="s">
        <v>1232</v>
      </c>
    </row>
    <row r="414" spans="1:3" x14ac:dyDescent="0.3">
      <c r="A414" t="s">
        <v>1233</v>
      </c>
      <c r="B414" t="s">
        <v>1234</v>
      </c>
      <c r="C414" t="s">
        <v>1235</v>
      </c>
    </row>
    <row r="415" spans="1:3" x14ac:dyDescent="0.3">
      <c r="A415" t="s">
        <v>1236</v>
      </c>
      <c r="B415" t="s">
        <v>1237</v>
      </c>
      <c r="C415" t="s">
        <v>1238</v>
      </c>
    </row>
    <row r="416" spans="1:3" x14ac:dyDescent="0.3">
      <c r="A416" t="s">
        <v>1239</v>
      </c>
      <c r="B416" t="s">
        <v>1240</v>
      </c>
      <c r="C416" t="s">
        <v>1241</v>
      </c>
    </row>
    <row r="417" spans="1:3" x14ac:dyDescent="0.3">
      <c r="A417" t="s">
        <v>1242</v>
      </c>
      <c r="B417" t="s">
        <v>1243</v>
      </c>
      <c r="C417" t="s">
        <v>1244</v>
      </c>
    </row>
    <row r="418" spans="1:3" x14ac:dyDescent="0.3">
      <c r="A418" t="s">
        <v>1245</v>
      </c>
      <c r="B418" t="s">
        <v>1246</v>
      </c>
      <c r="C418" t="s">
        <v>1247</v>
      </c>
    </row>
    <row r="419" spans="1:3" x14ac:dyDescent="0.3">
      <c r="A419" t="s">
        <v>1248</v>
      </c>
      <c r="B419" t="s">
        <v>1249</v>
      </c>
      <c r="C419" t="s">
        <v>1250</v>
      </c>
    </row>
    <row r="420" spans="1:3" x14ac:dyDescent="0.3">
      <c r="A420" t="s">
        <v>1251</v>
      </c>
      <c r="B420" t="s">
        <v>1252</v>
      </c>
      <c r="C420" t="s">
        <v>1253</v>
      </c>
    </row>
    <row r="421" spans="1:3" x14ac:dyDescent="0.3">
      <c r="A421" t="s">
        <v>1254</v>
      </c>
      <c r="B421" t="s">
        <v>1255</v>
      </c>
      <c r="C421" t="s">
        <v>1256</v>
      </c>
    </row>
    <row r="422" spans="1:3" x14ac:dyDescent="0.3">
      <c r="A422" t="s">
        <v>1257</v>
      </c>
      <c r="B422" t="s">
        <v>1258</v>
      </c>
      <c r="C422" t="s">
        <v>1259</v>
      </c>
    </row>
    <row r="423" spans="1:3" x14ac:dyDescent="0.3">
      <c r="A423" t="s">
        <v>1260</v>
      </c>
      <c r="B423" t="s">
        <v>1261</v>
      </c>
      <c r="C423" t="s">
        <v>1262</v>
      </c>
    </row>
    <row r="424" spans="1:3" x14ac:dyDescent="0.3">
      <c r="A424" t="s">
        <v>1263</v>
      </c>
      <c r="B424" t="s">
        <v>1264</v>
      </c>
      <c r="C424" t="s">
        <v>1265</v>
      </c>
    </row>
    <row r="425" spans="1:3" x14ac:dyDescent="0.3">
      <c r="A425" t="s">
        <v>1266</v>
      </c>
      <c r="B425" t="s">
        <v>1267</v>
      </c>
      <c r="C425" t="s">
        <v>1268</v>
      </c>
    </row>
    <row r="426" spans="1:3" x14ac:dyDescent="0.3">
      <c r="A426" t="s">
        <v>1269</v>
      </c>
      <c r="B426" t="s">
        <v>1270</v>
      </c>
      <c r="C426" t="s">
        <v>1271</v>
      </c>
    </row>
    <row r="427" spans="1:3" x14ac:dyDescent="0.3">
      <c r="A427" t="s">
        <v>1272</v>
      </c>
      <c r="B427" t="s">
        <v>1273</v>
      </c>
      <c r="C427" t="s">
        <v>1274</v>
      </c>
    </row>
    <row r="428" spans="1:3" x14ac:dyDescent="0.3">
      <c r="A428" t="s">
        <v>1275</v>
      </c>
      <c r="B428" t="s">
        <v>1276</v>
      </c>
      <c r="C428" t="s">
        <v>1277</v>
      </c>
    </row>
    <row r="429" spans="1:3" x14ac:dyDescent="0.3">
      <c r="A429" t="s">
        <v>1278</v>
      </c>
      <c r="B429" t="s">
        <v>1279</v>
      </c>
      <c r="C429" t="s">
        <v>1280</v>
      </c>
    </row>
    <row r="430" spans="1:3" x14ac:dyDescent="0.3">
      <c r="A430" t="s">
        <v>1281</v>
      </c>
      <c r="B430" t="s">
        <v>1282</v>
      </c>
      <c r="C430" t="s">
        <v>1283</v>
      </c>
    </row>
    <row r="431" spans="1:3" x14ac:dyDescent="0.3">
      <c r="A431" t="s">
        <v>1284</v>
      </c>
      <c r="B431" t="s">
        <v>1285</v>
      </c>
      <c r="C431" t="s">
        <v>1286</v>
      </c>
    </row>
    <row r="432" spans="1:3" x14ac:dyDescent="0.3">
      <c r="A432" t="s">
        <v>1287</v>
      </c>
      <c r="B432" t="s">
        <v>1288</v>
      </c>
      <c r="C432" t="s">
        <v>1289</v>
      </c>
    </row>
    <row r="433" spans="1:3" x14ac:dyDescent="0.3">
      <c r="A433" t="s">
        <v>1290</v>
      </c>
      <c r="B433" t="s">
        <v>1291</v>
      </c>
      <c r="C433" t="s">
        <v>1292</v>
      </c>
    </row>
    <row r="434" spans="1:3" x14ac:dyDescent="0.3">
      <c r="A434" t="s">
        <v>1293</v>
      </c>
      <c r="B434" t="s">
        <v>1294</v>
      </c>
      <c r="C434" t="s">
        <v>1295</v>
      </c>
    </row>
    <row r="435" spans="1:3" x14ac:dyDescent="0.3">
      <c r="A435" t="s">
        <v>1296</v>
      </c>
      <c r="B435" t="s">
        <v>1297</v>
      </c>
      <c r="C435" t="s">
        <v>1298</v>
      </c>
    </row>
    <row r="436" spans="1:3" x14ac:dyDescent="0.3">
      <c r="A436" t="s">
        <v>1299</v>
      </c>
      <c r="B436" t="s">
        <v>1300</v>
      </c>
      <c r="C436" t="s">
        <v>1301</v>
      </c>
    </row>
    <row r="437" spans="1:3" x14ac:dyDescent="0.3">
      <c r="A437" t="s">
        <v>1302</v>
      </c>
      <c r="B437" t="s">
        <v>1303</v>
      </c>
      <c r="C437" t="s">
        <v>1304</v>
      </c>
    </row>
    <row r="438" spans="1:3" x14ac:dyDescent="0.3">
      <c r="A438" t="s">
        <v>1305</v>
      </c>
      <c r="B438" t="s">
        <v>1306</v>
      </c>
      <c r="C438" t="s">
        <v>1307</v>
      </c>
    </row>
    <row r="439" spans="1:3" x14ac:dyDescent="0.3">
      <c r="A439" t="s">
        <v>1308</v>
      </c>
      <c r="B439" t="s">
        <v>1309</v>
      </c>
      <c r="C439" t="s">
        <v>1310</v>
      </c>
    </row>
    <row r="440" spans="1:3" x14ac:dyDescent="0.3">
      <c r="A440" t="s">
        <v>1311</v>
      </c>
      <c r="B440" t="s">
        <v>1312</v>
      </c>
      <c r="C440" t="s">
        <v>1313</v>
      </c>
    </row>
    <row r="441" spans="1:3" x14ac:dyDescent="0.3">
      <c r="A441" t="s">
        <v>1314</v>
      </c>
      <c r="B441" t="s">
        <v>1315</v>
      </c>
      <c r="C441" t="s">
        <v>1316</v>
      </c>
    </row>
    <row r="442" spans="1:3" x14ac:dyDescent="0.3">
      <c r="A442" t="s">
        <v>1317</v>
      </c>
      <c r="B442" t="s">
        <v>1318</v>
      </c>
      <c r="C442" t="s">
        <v>1319</v>
      </c>
    </row>
    <row r="443" spans="1:3" x14ac:dyDescent="0.3">
      <c r="A443" t="s">
        <v>1320</v>
      </c>
      <c r="B443" t="s">
        <v>1321</v>
      </c>
      <c r="C443" t="s">
        <v>1322</v>
      </c>
    </row>
    <row r="444" spans="1:3" x14ac:dyDescent="0.3">
      <c r="A444" t="s">
        <v>1323</v>
      </c>
      <c r="B444" t="s">
        <v>1324</v>
      </c>
      <c r="C444" t="s">
        <v>1325</v>
      </c>
    </row>
    <row r="445" spans="1:3" x14ac:dyDescent="0.3">
      <c r="A445" t="s">
        <v>1326</v>
      </c>
      <c r="B445" t="s">
        <v>1327</v>
      </c>
      <c r="C445" t="s">
        <v>1328</v>
      </c>
    </row>
    <row r="446" spans="1:3" x14ac:dyDescent="0.3">
      <c r="A446" t="s">
        <v>1329</v>
      </c>
      <c r="B446" t="s">
        <v>1330</v>
      </c>
      <c r="C446" t="s">
        <v>1331</v>
      </c>
    </row>
    <row r="447" spans="1:3" x14ac:dyDescent="0.3">
      <c r="A447" t="s">
        <v>1332</v>
      </c>
      <c r="B447" t="s">
        <v>1333</v>
      </c>
      <c r="C447" t="s">
        <v>1334</v>
      </c>
    </row>
    <row r="448" spans="1:3" x14ac:dyDescent="0.3">
      <c r="A448" t="s">
        <v>1335</v>
      </c>
      <c r="B448" t="s">
        <v>1336</v>
      </c>
      <c r="C448" t="s">
        <v>1337</v>
      </c>
    </row>
    <row r="449" spans="1:3" x14ac:dyDescent="0.3">
      <c r="A449" t="s">
        <v>1338</v>
      </c>
      <c r="B449" t="s">
        <v>1339</v>
      </c>
      <c r="C449" t="s">
        <v>1340</v>
      </c>
    </row>
    <row r="450" spans="1:3" x14ac:dyDescent="0.3">
      <c r="A450" t="s">
        <v>1341</v>
      </c>
      <c r="B450" t="s">
        <v>1342</v>
      </c>
      <c r="C450" t="s">
        <v>1343</v>
      </c>
    </row>
    <row r="451" spans="1:3" x14ac:dyDescent="0.3">
      <c r="A451" t="s">
        <v>1344</v>
      </c>
      <c r="B451" t="s">
        <v>1345</v>
      </c>
      <c r="C451" t="s">
        <v>1346</v>
      </c>
    </row>
    <row r="452" spans="1:3" x14ac:dyDescent="0.3">
      <c r="A452" t="s">
        <v>1347</v>
      </c>
      <c r="B452" t="s">
        <v>1348</v>
      </c>
      <c r="C452" t="s">
        <v>1349</v>
      </c>
    </row>
    <row r="453" spans="1:3" x14ac:dyDescent="0.3">
      <c r="A453" t="s">
        <v>1350</v>
      </c>
      <c r="B453" t="s">
        <v>1351</v>
      </c>
      <c r="C453" t="s">
        <v>1352</v>
      </c>
    </row>
    <row r="454" spans="1:3" x14ac:dyDescent="0.3">
      <c r="A454" t="s">
        <v>1353</v>
      </c>
      <c r="B454" t="s">
        <v>1354</v>
      </c>
      <c r="C454" t="s">
        <v>1355</v>
      </c>
    </row>
    <row r="455" spans="1:3" x14ac:dyDescent="0.3">
      <c r="A455" t="s">
        <v>1356</v>
      </c>
      <c r="B455" t="s">
        <v>1357</v>
      </c>
      <c r="C455" t="s">
        <v>1358</v>
      </c>
    </row>
    <row r="456" spans="1:3" x14ac:dyDescent="0.3">
      <c r="A456" t="s">
        <v>1359</v>
      </c>
      <c r="B456" t="s">
        <v>1360</v>
      </c>
      <c r="C456" t="s">
        <v>1361</v>
      </c>
    </row>
    <row r="457" spans="1:3" x14ac:dyDescent="0.3">
      <c r="A457" t="s">
        <v>1362</v>
      </c>
      <c r="B457" t="s">
        <v>1363</v>
      </c>
      <c r="C457" t="s">
        <v>1364</v>
      </c>
    </row>
    <row r="458" spans="1:3" x14ac:dyDescent="0.3">
      <c r="A458" t="s">
        <v>1365</v>
      </c>
      <c r="B458" t="s">
        <v>1366</v>
      </c>
      <c r="C458" t="s">
        <v>1367</v>
      </c>
    </row>
    <row r="459" spans="1:3" x14ac:dyDescent="0.3">
      <c r="A459" t="s">
        <v>1368</v>
      </c>
      <c r="B459" t="s">
        <v>1369</v>
      </c>
      <c r="C459" t="s">
        <v>1370</v>
      </c>
    </row>
    <row r="460" spans="1:3" x14ac:dyDescent="0.3">
      <c r="A460" t="s">
        <v>1371</v>
      </c>
      <c r="B460" t="s">
        <v>1372</v>
      </c>
      <c r="C460" t="s">
        <v>1373</v>
      </c>
    </row>
    <row r="461" spans="1:3" x14ac:dyDescent="0.3">
      <c r="A461" t="s">
        <v>1374</v>
      </c>
      <c r="B461" t="s">
        <v>1375</v>
      </c>
      <c r="C461" t="s">
        <v>1376</v>
      </c>
    </row>
    <row r="462" spans="1:3" x14ac:dyDescent="0.3">
      <c r="A462" t="s">
        <v>1377</v>
      </c>
      <c r="B462" t="s">
        <v>1378</v>
      </c>
      <c r="C462" t="s">
        <v>1379</v>
      </c>
    </row>
    <row r="463" spans="1:3" x14ac:dyDescent="0.3">
      <c r="A463" t="s">
        <v>1380</v>
      </c>
      <c r="B463" t="s">
        <v>1381</v>
      </c>
      <c r="C463" t="s">
        <v>1382</v>
      </c>
    </row>
    <row r="464" spans="1:3" x14ac:dyDescent="0.3">
      <c r="A464" t="s">
        <v>1383</v>
      </c>
      <c r="B464" t="s">
        <v>1384</v>
      </c>
      <c r="C464" t="s">
        <v>1385</v>
      </c>
    </row>
    <row r="465" spans="1:3" x14ac:dyDescent="0.3">
      <c r="A465" t="s">
        <v>1386</v>
      </c>
      <c r="B465" t="s">
        <v>1387</v>
      </c>
      <c r="C465" t="s">
        <v>1388</v>
      </c>
    </row>
    <row r="466" spans="1:3" x14ac:dyDescent="0.3">
      <c r="A466" t="s">
        <v>1389</v>
      </c>
      <c r="B466" t="s">
        <v>1390</v>
      </c>
      <c r="C466" t="s">
        <v>1391</v>
      </c>
    </row>
    <row r="467" spans="1:3" x14ac:dyDescent="0.3">
      <c r="A467" t="s">
        <v>1392</v>
      </c>
      <c r="B467" t="s">
        <v>1393</v>
      </c>
      <c r="C467" t="s">
        <v>1394</v>
      </c>
    </row>
    <row r="468" spans="1:3" x14ac:dyDescent="0.3">
      <c r="A468" t="s">
        <v>1395</v>
      </c>
      <c r="B468" t="s">
        <v>1396</v>
      </c>
      <c r="C468" t="s">
        <v>1397</v>
      </c>
    </row>
    <row r="469" spans="1:3" x14ac:dyDescent="0.3">
      <c r="A469" t="s">
        <v>1398</v>
      </c>
      <c r="B469" t="s">
        <v>1399</v>
      </c>
      <c r="C469" t="s">
        <v>1400</v>
      </c>
    </row>
    <row r="470" spans="1:3" x14ac:dyDescent="0.3">
      <c r="A470" t="s">
        <v>1401</v>
      </c>
      <c r="B470" t="s">
        <v>1402</v>
      </c>
      <c r="C470" t="s">
        <v>1403</v>
      </c>
    </row>
    <row r="471" spans="1:3" x14ac:dyDescent="0.3">
      <c r="A471" t="s">
        <v>1404</v>
      </c>
      <c r="B471" t="s">
        <v>1405</v>
      </c>
      <c r="C471" t="s">
        <v>1406</v>
      </c>
    </row>
    <row r="472" spans="1:3" x14ac:dyDescent="0.3">
      <c r="A472" t="s">
        <v>1407</v>
      </c>
      <c r="B472" t="s">
        <v>1408</v>
      </c>
      <c r="C472" t="s">
        <v>1409</v>
      </c>
    </row>
    <row r="473" spans="1:3" x14ac:dyDescent="0.3">
      <c r="A473" t="s">
        <v>1410</v>
      </c>
      <c r="B473" t="s">
        <v>1411</v>
      </c>
      <c r="C473" t="s">
        <v>1412</v>
      </c>
    </row>
    <row r="474" spans="1:3" x14ac:dyDescent="0.3">
      <c r="A474" t="s">
        <v>1413</v>
      </c>
      <c r="B474" t="s">
        <v>1414</v>
      </c>
      <c r="C474" t="s">
        <v>1415</v>
      </c>
    </row>
    <row r="475" spans="1:3" x14ac:dyDescent="0.3">
      <c r="A475" t="s">
        <v>1416</v>
      </c>
      <c r="B475" t="s">
        <v>1417</v>
      </c>
      <c r="C475" t="s">
        <v>1418</v>
      </c>
    </row>
    <row r="476" spans="1:3" x14ac:dyDescent="0.3">
      <c r="A476" t="s">
        <v>1419</v>
      </c>
      <c r="B476" t="s">
        <v>1420</v>
      </c>
      <c r="C476" t="s">
        <v>1421</v>
      </c>
    </row>
    <row r="477" spans="1:3" x14ac:dyDescent="0.3">
      <c r="A477" t="s">
        <v>1422</v>
      </c>
      <c r="B477" t="s">
        <v>1423</v>
      </c>
      <c r="C477" t="s">
        <v>1424</v>
      </c>
    </row>
    <row r="478" spans="1:3" x14ac:dyDescent="0.3">
      <c r="A478" t="s">
        <v>1425</v>
      </c>
      <c r="B478" t="s">
        <v>1426</v>
      </c>
      <c r="C478" t="s">
        <v>1427</v>
      </c>
    </row>
    <row r="479" spans="1:3" x14ac:dyDescent="0.3">
      <c r="A479" t="s">
        <v>1428</v>
      </c>
      <c r="B479" t="s">
        <v>1429</v>
      </c>
      <c r="C479" t="s">
        <v>1430</v>
      </c>
    </row>
    <row r="480" spans="1:3" x14ac:dyDescent="0.3">
      <c r="A480" t="s">
        <v>1431</v>
      </c>
      <c r="B480" t="s">
        <v>1432</v>
      </c>
      <c r="C480" t="s">
        <v>1433</v>
      </c>
    </row>
    <row r="481" spans="1:3" x14ac:dyDescent="0.3">
      <c r="A481" t="s">
        <v>1434</v>
      </c>
      <c r="B481" t="s">
        <v>1435</v>
      </c>
      <c r="C481" t="s">
        <v>1436</v>
      </c>
    </row>
    <row r="482" spans="1:3" x14ac:dyDescent="0.3">
      <c r="A482" t="s">
        <v>1437</v>
      </c>
      <c r="B482" t="s">
        <v>1438</v>
      </c>
      <c r="C482" t="s">
        <v>1439</v>
      </c>
    </row>
    <row r="483" spans="1:3" x14ac:dyDescent="0.3">
      <c r="A483" t="s">
        <v>1440</v>
      </c>
      <c r="B483" t="s">
        <v>1441</v>
      </c>
      <c r="C483" t="s">
        <v>1442</v>
      </c>
    </row>
    <row r="484" spans="1:3" x14ac:dyDescent="0.3">
      <c r="A484" t="s">
        <v>1443</v>
      </c>
      <c r="B484" t="s">
        <v>1444</v>
      </c>
      <c r="C484" t="s">
        <v>1445</v>
      </c>
    </row>
    <row r="485" spans="1:3" x14ac:dyDescent="0.3">
      <c r="A485" t="s">
        <v>1446</v>
      </c>
      <c r="B485" t="s">
        <v>1447</v>
      </c>
      <c r="C485" t="s">
        <v>1448</v>
      </c>
    </row>
    <row r="486" spans="1:3" x14ac:dyDescent="0.3">
      <c r="A486" t="s">
        <v>1449</v>
      </c>
      <c r="B486" t="s">
        <v>1450</v>
      </c>
      <c r="C486" t="s">
        <v>1451</v>
      </c>
    </row>
    <row r="487" spans="1:3" x14ac:dyDescent="0.3">
      <c r="A487" t="s">
        <v>1452</v>
      </c>
      <c r="B487" t="s">
        <v>1453</v>
      </c>
      <c r="C487" t="s">
        <v>1454</v>
      </c>
    </row>
    <row r="488" spans="1:3" x14ac:dyDescent="0.3">
      <c r="A488" t="s">
        <v>1455</v>
      </c>
      <c r="B488" t="s">
        <v>1456</v>
      </c>
      <c r="C488" t="s">
        <v>1457</v>
      </c>
    </row>
    <row r="489" spans="1:3" x14ac:dyDescent="0.3">
      <c r="A489" t="s">
        <v>1458</v>
      </c>
      <c r="B489" t="s">
        <v>1459</v>
      </c>
      <c r="C489" t="s">
        <v>1460</v>
      </c>
    </row>
    <row r="490" spans="1:3" x14ac:dyDescent="0.3">
      <c r="A490" t="s">
        <v>1461</v>
      </c>
      <c r="B490" t="s">
        <v>1462</v>
      </c>
      <c r="C490" t="s">
        <v>1463</v>
      </c>
    </row>
    <row r="491" spans="1:3" x14ac:dyDescent="0.3">
      <c r="A491" t="s">
        <v>1464</v>
      </c>
      <c r="B491" t="s">
        <v>1465</v>
      </c>
      <c r="C491" t="s">
        <v>1466</v>
      </c>
    </row>
    <row r="492" spans="1:3" x14ac:dyDescent="0.3">
      <c r="A492" t="s">
        <v>1467</v>
      </c>
      <c r="B492" t="s">
        <v>1468</v>
      </c>
      <c r="C492" t="s">
        <v>1469</v>
      </c>
    </row>
    <row r="493" spans="1:3" x14ac:dyDescent="0.3">
      <c r="A493" t="s">
        <v>1470</v>
      </c>
      <c r="B493" t="s">
        <v>1471</v>
      </c>
      <c r="C493" t="s">
        <v>1472</v>
      </c>
    </row>
    <row r="494" spans="1:3" x14ac:dyDescent="0.3">
      <c r="A494" t="s">
        <v>1473</v>
      </c>
      <c r="B494" t="s">
        <v>1474</v>
      </c>
      <c r="C494" t="s">
        <v>1475</v>
      </c>
    </row>
    <row r="495" spans="1:3" x14ac:dyDescent="0.3">
      <c r="A495" t="s">
        <v>1476</v>
      </c>
      <c r="B495" t="s">
        <v>1477</v>
      </c>
      <c r="C495" t="s">
        <v>1478</v>
      </c>
    </row>
    <row r="496" spans="1:3" x14ac:dyDescent="0.3">
      <c r="A496" t="s">
        <v>1479</v>
      </c>
      <c r="B496" t="s">
        <v>1480</v>
      </c>
      <c r="C496" t="s">
        <v>1481</v>
      </c>
    </row>
    <row r="497" spans="1:3" x14ac:dyDescent="0.3">
      <c r="A497" t="s">
        <v>1482</v>
      </c>
      <c r="B497" t="s">
        <v>1483</v>
      </c>
      <c r="C497" t="s">
        <v>1484</v>
      </c>
    </row>
    <row r="498" spans="1:3" x14ac:dyDescent="0.3">
      <c r="A498" t="s">
        <v>1485</v>
      </c>
      <c r="B498" t="s">
        <v>1486</v>
      </c>
      <c r="C498" t="s">
        <v>1487</v>
      </c>
    </row>
    <row r="499" spans="1:3" x14ac:dyDescent="0.3">
      <c r="A499" t="s">
        <v>1488</v>
      </c>
      <c r="B499" t="s">
        <v>1489</v>
      </c>
      <c r="C499" t="s">
        <v>1490</v>
      </c>
    </row>
    <row r="500" spans="1:3" x14ac:dyDescent="0.3">
      <c r="A500" t="s">
        <v>1491</v>
      </c>
      <c r="B500" t="s">
        <v>1492</v>
      </c>
      <c r="C500" t="s">
        <v>1493</v>
      </c>
    </row>
    <row r="501" spans="1:3" x14ac:dyDescent="0.3">
      <c r="A501" t="s">
        <v>1494</v>
      </c>
      <c r="B501" t="s">
        <v>1495</v>
      </c>
      <c r="C501" t="s">
        <v>1496</v>
      </c>
    </row>
    <row r="502" spans="1:3" x14ac:dyDescent="0.3">
      <c r="A502" t="s">
        <v>1497</v>
      </c>
      <c r="B502" t="s">
        <v>1498</v>
      </c>
      <c r="C502" t="s">
        <v>1499</v>
      </c>
    </row>
    <row r="503" spans="1:3" x14ac:dyDescent="0.3">
      <c r="A503" t="s">
        <v>1500</v>
      </c>
      <c r="B503" t="s">
        <v>1501</v>
      </c>
      <c r="C503" t="s">
        <v>1502</v>
      </c>
    </row>
    <row r="504" spans="1:3" x14ac:dyDescent="0.3">
      <c r="A504" t="s">
        <v>1503</v>
      </c>
      <c r="B504" t="s">
        <v>1504</v>
      </c>
      <c r="C504" t="s">
        <v>1505</v>
      </c>
    </row>
    <row r="505" spans="1:3" x14ac:dyDescent="0.3">
      <c r="A505" t="s">
        <v>1506</v>
      </c>
      <c r="B505" t="s">
        <v>1507</v>
      </c>
      <c r="C505" t="s">
        <v>1508</v>
      </c>
    </row>
    <row r="506" spans="1:3" x14ac:dyDescent="0.3">
      <c r="A506" t="s">
        <v>1509</v>
      </c>
      <c r="B506" t="s">
        <v>1510</v>
      </c>
      <c r="C506" t="s">
        <v>1511</v>
      </c>
    </row>
    <row r="507" spans="1:3" x14ac:dyDescent="0.3">
      <c r="A507" t="s">
        <v>1512</v>
      </c>
      <c r="B507" t="s">
        <v>1513</v>
      </c>
      <c r="C507" t="s">
        <v>1514</v>
      </c>
    </row>
    <row r="508" spans="1:3" x14ac:dyDescent="0.3">
      <c r="A508" t="s">
        <v>1515</v>
      </c>
      <c r="B508" t="s">
        <v>1516</v>
      </c>
      <c r="C508" t="s">
        <v>1517</v>
      </c>
    </row>
    <row r="509" spans="1:3" x14ac:dyDescent="0.3">
      <c r="A509" t="s">
        <v>1518</v>
      </c>
      <c r="B509" t="s">
        <v>1519</v>
      </c>
      <c r="C509" t="s">
        <v>1520</v>
      </c>
    </row>
    <row r="510" spans="1:3" x14ac:dyDescent="0.3">
      <c r="A510" t="s">
        <v>1521</v>
      </c>
      <c r="B510" t="s">
        <v>1522</v>
      </c>
      <c r="C510" t="s">
        <v>1523</v>
      </c>
    </row>
    <row r="511" spans="1:3" x14ac:dyDescent="0.3">
      <c r="A511" t="s">
        <v>1524</v>
      </c>
      <c r="B511" t="s">
        <v>1525</v>
      </c>
      <c r="C511" t="s">
        <v>1526</v>
      </c>
    </row>
    <row r="512" spans="1:3" x14ac:dyDescent="0.3">
      <c r="A512" t="s">
        <v>1527</v>
      </c>
      <c r="B512" t="s">
        <v>1528</v>
      </c>
      <c r="C512" t="s">
        <v>1529</v>
      </c>
    </row>
    <row r="513" spans="1:3" x14ac:dyDescent="0.3">
      <c r="A513" t="s">
        <v>1530</v>
      </c>
      <c r="B513" t="s">
        <v>1531</v>
      </c>
      <c r="C513" t="s">
        <v>1532</v>
      </c>
    </row>
    <row r="514" spans="1:3" x14ac:dyDescent="0.3">
      <c r="A514" t="s">
        <v>1533</v>
      </c>
      <c r="B514" t="s">
        <v>1534</v>
      </c>
      <c r="C514" t="s">
        <v>1535</v>
      </c>
    </row>
    <row r="515" spans="1:3" x14ac:dyDescent="0.3">
      <c r="A515" t="s">
        <v>1536</v>
      </c>
      <c r="B515" t="s">
        <v>1537</v>
      </c>
      <c r="C515" t="s">
        <v>1538</v>
      </c>
    </row>
    <row r="516" spans="1:3" x14ac:dyDescent="0.3">
      <c r="A516" t="s">
        <v>1539</v>
      </c>
      <c r="B516" t="s">
        <v>1540</v>
      </c>
      <c r="C516" t="s">
        <v>1541</v>
      </c>
    </row>
    <row r="517" spans="1:3" x14ac:dyDescent="0.3">
      <c r="A517" t="s">
        <v>1542</v>
      </c>
      <c r="B517" t="s">
        <v>1543</v>
      </c>
      <c r="C517" t="s">
        <v>1544</v>
      </c>
    </row>
    <row r="518" spans="1:3" x14ac:dyDescent="0.3">
      <c r="A518" t="s">
        <v>1545</v>
      </c>
      <c r="B518" t="s">
        <v>1546</v>
      </c>
      <c r="C518" t="s">
        <v>1547</v>
      </c>
    </row>
    <row r="519" spans="1:3" x14ac:dyDescent="0.3">
      <c r="A519" t="s">
        <v>1548</v>
      </c>
      <c r="B519" t="s">
        <v>1549</v>
      </c>
      <c r="C519" t="s">
        <v>1550</v>
      </c>
    </row>
    <row r="520" spans="1:3" x14ac:dyDescent="0.3">
      <c r="A520" t="s">
        <v>1551</v>
      </c>
      <c r="B520" t="s">
        <v>1552</v>
      </c>
      <c r="C520" t="s">
        <v>1553</v>
      </c>
    </row>
    <row r="521" spans="1:3" x14ac:dyDescent="0.3">
      <c r="A521" t="s">
        <v>1554</v>
      </c>
      <c r="B521" t="s">
        <v>1555</v>
      </c>
      <c r="C521" t="s">
        <v>1556</v>
      </c>
    </row>
    <row r="522" spans="1:3" x14ac:dyDescent="0.3">
      <c r="A522" t="s">
        <v>1557</v>
      </c>
      <c r="B522" t="s">
        <v>1558</v>
      </c>
      <c r="C522" t="s">
        <v>1559</v>
      </c>
    </row>
    <row r="523" spans="1:3" x14ac:dyDescent="0.3">
      <c r="A523" t="s">
        <v>1560</v>
      </c>
      <c r="B523" t="s">
        <v>1561</v>
      </c>
      <c r="C523" t="s">
        <v>1562</v>
      </c>
    </row>
    <row r="524" spans="1:3" x14ac:dyDescent="0.3">
      <c r="A524" t="s">
        <v>1563</v>
      </c>
      <c r="B524" t="s">
        <v>1564</v>
      </c>
      <c r="C524" t="s">
        <v>1565</v>
      </c>
    </row>
    <row r="525" spans="1:3" x14ac:dyDescent="0.3">
      <c r="A525" t="s">
        <v>1566</v>
      </c>
      <c r="B525" t="s">
        <v>1567</v>
      </c>
      <c r="C525" t="s">
        <v>1568</v>
      </c>
    </row>
    <row r="526" spans="1:3" x14ac:dyDescent="0.3">
      <c r="A526" t="s">
        <v>1569</v>
      </c>
      <c r="B526" t="s">
        <v>1570</v>
      </c>
      <c r="C526" t="s">
        <v>1571</v>
      </c>
    </row>
    <row r="527" spans="1:3" x14ac:dyDescent="0.3">
      <c r="A527" t="s">
        <v>1572</v>
      </c>
      <c r="B527" t="s">
        <v>1573</v>
      </c>
      <c r="C527" t="s">
        <v>1574</v>
      </c>
    </row>
    <row r="528" spans="1:3" x14ac:dyDescent="0.3">
      <c r="A528" t="s">
        <v>1575</v>
      </c>
      <c r="B528" t="s">
        <v>1576</v>
      </c>
      <c r="C528" t="s">
        <v>1577</v>
      </c>
    </row>
    <row r="529" spans="1:3" x14ac:dyDescent="0.3">
      <c r="A529" t="s">
        <v>1578</v>
      </c>
      <c r="B529" t="s">
        <v>1579</v>
      </c>
      <c r="C529" t="s">
        <v>1580</v>
      </c>
    </row>
    <row r="530" spans="1:3" x14ac:dyDescent="0.3">
      <c r="A530" t="s">
        <v>1581</v>
      </c>
      <c r="B530" t="s">
        <v>1582</v>
      </c>
      <c r="C530" t="s">
        <v>1583</v>
      </c>
    </row>
    <row r="531" spans="1:3" x14ac:dyDescent="0.3">
      <c r="A531" t="s">
        <v>1584</v>
      </c>
      <c r="B531" t="s">
        <v>1585</v>
      </c>
      <c r="C531" t="s">
        <v>1586</v>
      </c>
    </row>
    <row r="532" spans="1:3" x14ac:dyDescent="0.3">
      <c r="A532" t="s">
        <v>1587</v>
      </c>
      <c r="B532" t="s">
        <v>1588</v>
      </c>
      <c r="C532" t="s">
        <v>1589</v>
      </c>
    </row>
    <row r="533" spans="1:3" x14ac:dyDescent="0.3">
      <c r="A533" t="s">
        <v>1590</v>
      </c>
      <c r="B533" t="s">
        <v>1591</v>
      </c>
      <c r="C533" t="s">
        <v>1592</v>
      </c>
    </row>
    <row r="534" spans="1:3" x14ac:dyDescent="0.3">
      <c r="A534" t="s">
        <v>1593</v>
      </c>
      <c r="B534" t="s">
        <v>1594</v>
      </c>
      <c r="C534" t="s">
        <v>1595</v>
      </c>
    </row>
    <row r="535" spans="1:3" x14ac:dyDescent="0.3">
      <c r="A535" t="s">
        <v>1596</v>
      </c>
      <c r="B535" t="s">
        <v>1597</v>
      </c>
      <c r="C535" t="s">
        <v>1598</v>
      </c>
    </row>
    <row r="536" spans="1:3" x14ac:dyDescent="0.3">
      <c r="A536" t="s">
        <v>1599</v>
      </c>
      <c r="B536" t="s">
        <v>1600</v>
      </c>
      <c r="C536" t="s">
        <v>1601</v>
      </c>
    </row>
    <row r="537" spans="1:3" x14ac:dyDescent="0.3">
      <c r="A537" t="s">
        <v>1602</v>
      </c>
      <c r="B537" t="s">
        <v>1603</v>
      </c>
      <c r="C537" t="s">
        <v>1604</v>
      </c>
    </row>
    <row r="538" spans="1:3" x14ac:dyDescent="0.3">
      <c r="A538" t="s">
        <v>1605</v>
      </c>
      <c r="B538" t="s">
        <v>1606</v>
      </c>
      <c r="C538" t="s">
        <v>1607</v>
      </c>
    </row>
    <row r="539" spans="1:3" x14ac:dyDescent="0.3">
      <c r="A539" t="s">
        <v>1608</v>
      </c>
      <c r="B539" t="s">
        <v>1609</v>
      </c>
      <c r="C539" t="s">
        <v>1610</v>
      </c>
    </row>
    <row r="540" spans="1:3" x14ac:dyDescent="0.3">
      <c r="A540" t="s">
        <v>1611</v>
      </c>
      <c r="B540" t="s">
        <v>1612</v>
      </c>
      <c r="C540" t="s">
        <v>1613</v>
      </c>
    </row>
    <row r="541" spans="1:3" x14ac:dyDescent="0.3">
      <c r="A541" t="s">
        <v>1614</v>
      </c>
      <c r="B541" t="s">
        <v>1615</v>
      </c>
      <c r="C541" t="s">
        <v>1616</v>
      </c>
    </row>
    <row r="542" spans="1:3" x14ac:dyDescent="0.3">
      <c r="A542" t="s">
        <v>1617</v>
      </c>
      <c r="B542" t="s">
        <v>1618</v>
      </c>
      <c r="C542" t="s">
        <v>1619</v>
      </c>
    </row>
    <row r="543" spans="1:3" x14ac:dyDescent="0.3">
      <c r="A543" t="s">
        <v>1620</v>
      </c>
      <c r="B543" t="s">
        <v>1621</v>
      </c>
      <c r="C543" t="s">
        <v>1622</v>
      </c>
    </row>
    <row r="544" spans="1:3" x14ac:dyDescent="0.3">
      <c r="A544" t="s">
        <v>1623</v>
      </c>
      <c r="B544" t="s">
        <v>1624</v>
      </c>
      <c r="C544" t="s">
        <v>1625</v>
      </c>
    </row>
    <row r="545" spans="1:3" x14ac:dyDescent="0.3">
      <c r="A545" t="s">
        <v>1626</v>
      </c>
      <c r="B545" t="s">
        <v>1627</v>
      </c>
      <c r="C545" t="s">
        <v>1628</v>
      </c>
    </row>
    <row r="546" spans="1:3" x14ac:dyDescent="0.3">
      <c r="A546" t="s">
        <v>1629</v>
      </c>
      <c r="B546" t="s">
        <v>1630</v>
      </c>
      <c r="C546" t="s">
        <v>1631</v>
      </c>
    </row>
    <row r="547" spans="1:3" x14ac:dyDescent="0.3">
      <c r="A547" t="s">
        <v>1632</v>
      </c>
      <c r="B547" t="s">
        <v>1633</v>
      </c>
      <c r="C547" t="s">
        <v>1634</v>
      </c>
    </row>
    <row r="548" spans="1:3" x14ac:dyDescent="0.3">
      <c r="A548" t="s">
        <v>1635</v>
      </c>
      <c r="B548" t="s">
        <v>1636</v>
      </c>
      <c r="C548" t="s">
        <v>1637</v>
      </c>
    </row>
    <row r="549" spans="1:3" x14ac:dyDescent="0.3">
      <c r="A549" t="s">
        <v>1638</v>
      </c>
      <c r="B549" t="s">
        <v>1639</v>
      </c>
      <c r="C549" t="s">
        <v>1640</v>
      </c>
    </row>
    <row r="550" spans="1:3" x14ac:dyDescent="0.3">
      <c r="A550" t="s">
        <v>1641</v>
      </c>
      <c r="B550" t="s">
        <v>1642</v>
      </c>
      <c r="C550" t="s">
        <v>1643</v>
      </c>
    </row>
    <row r="551" spans="1:3" x14ac:dyDescent="0.3">
      <c r="A551" t="s">
        <v>1644</v>
      </c>
      <c r="B551" t="s">
        <v>1645</v>
      </c>
      <c r="C551" t="s">
        <v>1646</v>
      </c>
    </row>
    <row r="552" spans="1:3" x14ac:dyDescent="0.3">
      <c r="A552" t="s">
        <v>1647</v>
      </c>
      <c r="B552" t="s">
        <v>1648</v>
      </c>
      <c r="C552" t="s">
        <v>1649</v>
      </c>
    </row>
    <row r="553" spans="1:3" x14ac:dyDescent="0.3">
      <c r="A553" t="s">
        <v>1650</v>
      </c>
      <c r="B553" t="s">
        <v>1651</v>
      </c>
      <c r="C553" t="s">
        <v>1652</v>
      </c>
    </row>
    <row r="554" spans="1:3" x14ac:dyDescent="0.3">
      <c r="A554" t="s">
        <v>1653</v>
      </c>
      <c r="B554" t="s">
        <v>1654</v>
      </c>
      <c r="C554" t="s">
        <v>1655</v>
      </c>
    </row>
    <row r="555" spans="1:3" x14ac:dyDescent="0.3">
      <c r="A555" t="s">
        <v>1656</v>
      </c>
      <c r="B555" t="s">
        <v>1657</v>
      </c>
      <c r="C555" t="s">
        <v>1658</v>
      </c>
    </row>
    <row r="556" spans="1:3" x14ac:dyDescent="0.3">
      <c r="A556" t="s">
        <v>1659</v>
      </c>
      <c r="B556" t="s">
        <v>1660</v>
      </c>
      <c r="C556" t="s">
        <v>1661</v>
      </c>
    </row>
    <row r="557" spans="1:3" x14ac:dyDescent="0.3">
      <c r="A557" t="s">
        <v>1662</v>
      </c>
      <c r="B557" t="s">
        <v>1663</v>
      </c>
      <c r="C557" t="s">
        <v>1664</v>
      </c>
    </row>
    <row r="558" spans="1:3" x14ac:dyDescent="0.3">
      <c r="A558" t="s">
        <v>1665</v>
      </c>
      <c r="B558" t="s">
        <v>1666</v>
      </c>
      <c r="C558" t="s">
        <v>1667</v>
      </c>
    </row>
    <row r="559" spans="1:3" x14ac:dyDescent="0.3">
      <c r="A559" t="s">
        <v>1668</v>
      </c>
      <c r="B559" t="s">
        <v>1669</v>
      </c>
      <c r="C559" t="s">
        <v>1670</v>
      </c>
    </row>
    <row r="560" spans="1:3" x14ac:dyDescent="0.3">
      <c r="A560" t="s">
        <v>1671</v>
      </c>
      <c r="B560" t="s">
        <v>1672</v>
      </c>
      <c r="C560" t="s">
        <v>1673</v>
      </c>
    </row>
    <row r="561" spans="1:3" x14ac:dyDescent="0.3">
      <c r="A561" t="s">
        <v>1674</v>
      </c>
      <c r="B561" t="s">
        <v>1675</v>
      </c>
      <c r="C561" t="s">
        <v>1676</v>
      </c>
    </row>
    <row r="562" spans="1:3" x14ac:dyDescent="0.3">
      <c r="A562" t="s">
        <v>1677</v>
      </c>
      <c r="B562" t="s">
        <v>1678</v>
      </c>
      <c r="C562" t="s">
        <v>1679</v>
      </c>
    </row>
    <row r="563" spans="1:3" x14ac:dyDescent="0.3">
      <c r="A563" t="s">
        <v>1680</v>
      </c>
      <c r="B563" t="s">
        <v>1681</v>
      </c>
      <c r="C563" t="s">
        <v>1682</v>
      </c>
    </row>
    <row r="564" spans="1:3" x14ac:dyDescent="0.3">
      <c r="A564" t="s">
        <v>1683</v>
      </c>
      <c r="B564" t="s">
        <v>1684</v>
      </c>
      <c r="C564" t="s">
        <v>1685</v>
      </c>
    </row>
    <row r="565" spans="1:3" x14ac:dyDescent="0.3">
      <c r="A565" t="s">
        <v>1686</v>
      </c>
      <c r="B565" t="s">
        <v>1687</v>
      </c>
      <c r="C565" t="s">
        <v>1688</v>
      </c>
    </row>
    <row r="566" spans="1:3" x14ac:dyDescent="0.3">
      <c r="A566" t="s">
        <v>1689</v>
      </c>
      <c r="B566" t="s">
        <v>1690</v>
      </c>
      <c r="C566" t="s">
        <v>1691</v>
      </c>
    </row>
    <row r="567" spans="1:3" x14ac:dyDescent="0.3">
      <c r="A567" t="s">
        <v>1692</v>
      </c>
      <c r="B567" t="s">
        <v>1693</v>
      </c>
      <c r="C567" t="s">
        <v>1694</v>
      </c>
    </row>
    <row r="568" spans="1:3" x14ac:dyDescent="0.3">
      <c r="A568" t="s">
        <v>1695</v>
      </c>
      <c r="B568" t="s">
        <v>1696</v>
      </c>
      <c r="C568" t="s">
        <v>1697</v>
      </c>
    </row>
    <row r="569" spans="1:3" x14ac:dyDescent="0.3">
      <c r="A569" t="s">
        <v>1698</v>
      </c>
      <c r="B569" t="s">
        <v>1699</v>
      </c>
      <c r="C569" t="s">
        <v>1700</v>
      </c>
    </row>
    <row r="570" spans="1:3" x14ac:dyDescent="0.3">
      <c r="A570" t="s">
        <v>1701</v>
      </c>
      <c r="B570" t="s">
        <v>1702</v>
      </c>
      <c r="C570" t="s">
        <v>1703</v>
      </c>
    </row>
    <row r="571" spans="1:3" x14ac:dyDescent="0.3">
      <c r="A571" t="s">
        <v>1704</v>
      </c>
      <c r="B571" t="s">
        <v>1705</v>
      </c>
      <c r="C571" t="s">
        <v>1706</v>
      </c>
    </row>
    <row r="572" spans="1:3" x14ac:dyDescent="0.3">
      <c r="A572" t="s">
        <v>1707</v>
      </c>
      <c r="B572" t="s">
        <v>1708</v>
      </c>
      <c r="C572" t="s">
        <v>1709</v>
      </c>
    </row>
    <row r="573" spans="1:3" x14ac:dyDescent="0.3">
      <c r="A573" t="s">
        <v>1710</v>
      </c>
      <c r="B573" t="s">
        <v>1711</v>
      </c>
      <c r="C573" t="s">
        <v>1712</v>
      </c>
    </row>
    <row r="574" spans="1:3" x14ac:dyDescent="0.3">
      <c r="A574" t="s">
        <v>1713</v>
      </c>
      <c r="B574" t="s">
        <v>1714</v>
      </c>
      <c r="C574" t="s">
        <v>1715</v>
      </c>
    </row>
    <row r="575" spans="1:3" x14ac:dyDescent="0.3">
      <c r="A575" t="s">
        <v>1716</v>
      </c>
      <c r="B575" t="s">
        <v>1717</v>
      </c>
      <c r="C575" t="s">
        <v>1718</v>
      </c>
    </row>
    <row r="576" spans="1:3" x14ac:dyDescent="0.3">
      <c r="A576" t="s">
        <v>1719</v>
      </c>
      <c r="B576" t="s">
        <v>1720</v>
      </c>
      <c r="C576" t="s">
        <v>1721</v>
      </c>
    </row>
    <row r="577" spans="1:3" x14ac:dyDescent="0.3">
      <c r="A577" t="s">
        <v>1722</v>
      </c>
      <c r="B577" t="s">
        <v>1723</v>
      </c>
      <c r="C577" t="s">
        <v>1724</v>
      </c>
    </row>
    <row r="578" spans="1:3" x14ac:dyDescent="0.3">
      <c r="A578" t="s">
        <v>1725</v>
      </c>
      <c r="B578" t="s">
        <v>1726</v>
      </c>
      <c r="C578" t="s">
        <v>1727</v>
      </c>
    </row>
    <row r="579" spans="1:3" x14ac:dyDescent="0.3">
      <c r="A579" t="s">
        <v>1728</v>
      </c>
      <c r="B579" t="s">
        <v>1729</v>
      </c>
      <c r="C579" t="s">
        <v>1730</v>
      </c>
    </row>
    <row r="580" spans="1:3" x14ac:dyDescent="0.3">
      <c r="A580" t="s">
        <v>1731</v>
      </c>
      <c r="B580" t="s">
        <v>1732</v>
      </c>
      <c r="C580" t="s">
        <v>1733</v>
      </c>
    </row>
    <row r="581" spans="1:3" x14ac:dyDescent="0.3">
      <c r="A581" t="s">
        <v>1734</v>
      </c>
      <c r="B581" t="s">
        <v>1735</v>
      </c>
      <c r="C581" t="s">
        <v>1736</v>
      </c>
    </row>
    <row r="582" spans="1:3" x14ac:dyDescent="0.3">
      <c r="A582" t="s">
        <v>1737</v>
      </c>
      <c r="B582" t="s">
        <v>1738</v>
      </c>
      <c r="C582" t="s">
        <v>1739</v>
      </c>
    </row>
    <row r="583" spans="1:3" x14ac:dyDescent="0.3">
      <c r="A583" t="s">
        <v>1740</v>
      </c>
      <c r="B583" t="s">
        <v>1741</v>
      </c>
      <c r="C583" t="s">
        <v>1742</v>
      </c>
    </row>
    <row r="584" spans="1:3" x14ac:dyDescent="0.3">
      <c r="A584" t="s">
        <v>1743</v>
      </c>
      <c r="B584" t="s">
        <v>1744</v>
      </c>
      <c r="C584" t="s">
        <v>1745</v>
      </c>
    </row>
    <row r="585" spans="1:3" x14ac:dyDescent="0.3">
      <c r="A585" t="s">
        <v>1746</v>
      </c>
      <c r="B585" t="s">
        <v>1747</v>
      </c>
      <c r="C585" t="s">
        <v>1748</v>
      </c>
    </row>
    <row r="586" spans="1:3" x14ac:dyDescent="0.3">
      <c r="A586" t="s">
        <v>1749</v>
      </c>
      <c r="B586" t="s">
        <v>1750</v>
      </c>
      <c r="C586" t="s">
        <v>1751</v>
      </c>
    </row>
    <row r="587" spans="1:3" x14ac:dyDescent="0.3">
      <c r="A587" t="s">
        <v>1752</v>
      </c>
      <c r="B587" t="s">
        <v>1753</v>
      </c>
      <c r="C587" t="s">
        <v>1754</v>
      </c>
    </row>
    <row r="588" spans="1:3" x14ac:dyDescent="0.3">
      <c r="A588" t="s">
        <v>1755</v>
      </c>
      <c r="B588" t="s">
        <v>1756</v>
      </c>
      <c r="C588" t="s">
        <v>1757</v>
      </c>
    </row>
    <row r="589" spans="1:3" x14ac:dyDescent="0.3">
      <c r="A589" t="s">
        <v>1758</v>
      </c>
      <c r="B589" t="s">
        <v>1759</v>
      </c>
      <c r="C589" t="s">
        <v>1760</v>
      </c>
    </row>
    <row r="590" spans="1:3" x14ac:dyDescent="0.3">
      <c r="A590" t="s">
        <v>1761</v>
      </c>
      <c r="B590" t="s">
        <v>1762</v>
      </c>
      <c r="C590" t="s">
        <v>1763</v>
      </c>
    </row>
    <row r="591" spans="1:3" x14ac:dyDescent="0.3">
      <c r="A591" t="s">
        <v>1764</v>
      </c>
      <c r="B591" t="s">
        <v>1765</v>
      </c>
      <c r="C591" t="s">
        <v>1766</v>
      </c>
    </row>
    <row r="592" spans="1:3" x14ac:dyDescent="0.3">
      <c r="A592" t="s">
        <v>1767</v>
      </c>
      <c r="B592" t="s">
        <v>1768</v>
      </c>
      <c r="C592" t="e">
        <v>#N/A</v>
      </c>
    </row>
    <row r="593" spans="1:3" x14ac:dyDescent="0.3">
      <c r="A593" t="s">
        <v>1769</v>
      </c>
      <c r="B593" t="s">
        <v>1770</v>
      </c>
      <c r="C593" t="e">
        <v>#N/A</v>
      </c>
    </row>
    <row r="594" spans="1:3" x14ac:dyDescent="0.3">
      <c r="A594" t="s">
        <v>1771</v>
      </c>
      <c r="B594" t="s">
        <v>1772</v>
      </c>
      <c r="C594" t="e">
        <v>#N/A</v>
      </c>
    </row>
    <row r="595" spans="1:3" x14ac:dyDescent="0.3">
      <c r="A595" t="s">
        <v>1773</v>
      </c>
      <c r="B595" t="s">
        <v>1774</v>
      </c>
      <c r="C595" t="e">
        <v>#N/A</v>
      </c>
    </row>
    <row r="596" spans="1:3" x14ac:dyDescent="0.3">
      <c r="A596" t="s">
        <v>1775</v>
      </c>
      <c r="B596" t="s">
        <v>1776</v>
      </c>
      <c r="C596" t="s">
        <v>1777</v>
      </c>
    </row>
    <row r="597" spans="1:3" x14ac:dyDescent="0.3">
      <c r="A597" t="s">
        <v>1778</v>
      </c>
      <c r="B597" t="s">
        <v>1779</v>
      </c>
      <c r="C597" t="s">
        <v>1780</v>
      </c>
    </row>
    <row r="598" spans="1:3" x14ac:dyDescent="0.3">
      <c r="A598" t="s">
        <v>1781</v>
      </c>
      <c r="B598" t="s">
        <v>1782</v>
      </c>
      <c r="C598" t="s">
        <v>1783</v>
      </c>
    </row>
    <row r="599" spans="1:3" x14ac:dyDescent="0.3">
      <c r="A599" t="s">
        <v>1784</v>
      </c>
      <c r="B599" t="s">
        <v>1785</v>
      </c>
      <c r="C599" t="s">
        <v>1786</v>
      </c>
    </row>
    <row r="600" spans="1:3" x14ac:dyDescent="0.3">
      <c r="A600" t="s">
        <v>1787</v>
      </c>
      <c r="B600" t="s">
        <v>1788</v>
      </c>
      <c r="C600" t="s">
        <v>1789</v>
      </c>
    </row>
    <row r="601" spans="1:3" x14ac:dyDescent="0.3">
      <c r="A601" t="s">
        <v>1790</v>
      </c>
      <c r="B601" t="s">
        <v>1791</v>
      </c>
      <c r="C601" t="s">
        <v>1792</v>
      </c>
    </row>
    <row r="602" spans="1:3" x14ac:dyDescent="0.3">
      <c r="A602" t="s">
        <v>1793</v>
      </c>
      <c r="B602" t="s">
        <v>1794</v>
      </c>
      <c r="C602" t="s">
        <v>1795</v>
      </c>
    </row>
    <row r="603" spans="1:3" x14ac:dyDescent="0.3">
      <c r="A603" t="s">
        <v>1796</v>
      </c>
      <c r="B603" t="s">
        <v>1797</v>
      </c>
      <c r="C603" t="s">
        <v>1798</v>
      </c>
    </row>
    <row r="604" spans="1:3" x14ac:dyDescent="0.3">
      <c r="A604" t="s">
        <v>1799</v>
      </c>
      <c r="B604" t="s">
        <v>1800</v>
      </c>
      <c r="C604" t="s">
        <v>1801</v>
      </c>
    </row>
    <row r="605" spans="1:3" x14ac:dyDescent="0.3">
      <c r="A605" t="s">
        <v>1802</v>
      </c>
      <c r="B605" t="s">
        <v>1803</v>
      </c>
      <c r="C605" t="s">
        <v>1804</v>
      </c>
    </row>
    <row r="606" spans="1:3" x14ac:dyDescent="0.3">
      <c r="A606" t="s">
        <v>1805</v>
      </c>
      <c r="B606" t="s">
        <v>1806</v>
      </c>
      <c r="C606" t="s">
        <v>1807</v>
      </c>
    </row>
    <row r="607" spans="1:3" x14ac:dyDescent="0.3">
      <c r="A607" t="s">
        <v>1808</v>
      </c>
      <c r="B607" t="s">
        <v>1809</v>
      </c>
      <c r="C607" t="s">
        <v>1810</v>
      </c>
    </row>
    <row r="608" spans="1:3" x14ac:dyDescent="0.3">
      <c r="A608" t="s">
        <v>1811</v>
      </c>
      <c r="B608" t="s">
        <v>1812</v>
      </c>
      <c r="C608" t="s">
        <v>1813</v>
      </c>
    </row>
    <row r="609" spans="1:3" x14ac:dyDescent="0.3">
      <c r="A609" t="s">
        <v>1814</v>
      </c>
      <c r="B609" t="s">
        <v>1815</v>
      </c>
      <c r="C609" t="s">
        <v>1816</v>
      </c>
    </row>
    <row r="610" spans="1:3" x14ac:dyDescent="0.3">
      <c r="A610" t="s">
        <v>1817</v>
      </c>
      <c r="B610" t="s">
        <v>1818</v>
      </c>
      <c r="C610" t="s">
        <v>1819</v>
      </c>
    </row>
    <row r="611" spans="1:3" x14ac:dyDescent="0.3">
      <c r="A611" t="s">
        <v>1820</v>
      </c>
      <c r="B611" t="s">
        <v>1821</v>
      </c>
      <c r="C611" t="s">
        <v>1822</v>
      </c>
    </row>
    <row r="612" spans="1:3" x14ac:dyDescent="0.3">
      <c r="A612" t="s">
        <v>1823</v>
      </c>
      <c r="B612" t="s">
        <v>1824</v>
      </c>
      <c r="C612" t="s">
        <v>1825</v>
      </c>
    </row>
    <row r="613" spans="1:3" x14ac:dyDescent="0.3">
      <c r="A613" t="s">
        <v>1826</v>
      </c>
      <c r="B613" t="s">
        <v>1827</v>
      </c>
      <c r="C613" t="s">
        <v>1828</v>
      </c>
    </row>
    <row r="614" spans="1:3" x14ac:dyDescent="0.3">
      <c r="A614" t="s">
        <v>1829</v>
      </c>
      <c r="B614" t="s">
        <v>1830</v>
      </c>
      <c r="C614" t="s">
        <v>1831</v>
      </c>
    </row>
    <row r="615" spans="1:3" x14ac:dyDescent="0.3">
      <c r="A615" t="s">
        <v>1832</v>
      </c>
      <c r="B615" t="s">
        <v>1833</v>
      </c>
      <c r="C615" t="s">
        <v>1834</v>
      </c>
    </row>
    <row r="616" spans="1:3" x14ac:dyDescent="0.3">
      <c r="A616" t="s">
        <v>1835</v>
      </c>
      <c r="B616" t="s">
        <v>1836</v>
      </c>
      <c r="C616" t="s">
        <v>1837</v>
      </c>
    </row>
    <row r="617" spans="1:3" x14ac:dyDescent="0.3">
      <c r="A617" t="s">
        <v>1838</v>
      </c>
      <c r="B617" t="s">
        <v>1839</v>
      </c>
      <c r="C617" t="s">
        <v>1840</v>
      </c>
    </row>
    <row r="618" spans="1:3" x14ac:dyDescent="0.3">
      <c r="A618" t="s">
        <v>1841</v>
      </c>
      <c r="B618" t="s">
        <v>1842</v>
      </c>
      <c r="C618" t="s">
        <v>1843</v>
      </c>
    </row>
    <row r="619" spans="1:3" x14ac:dyDescent="0.3">
      <c r="A619" t="s">
        <v>1844</v>
      </c>
      <c r="B619" t="s">
        <v>1845</v>
      </c>
      <c r="C619" t="s">
        <v>1846</v>
      </c>
    </row>
    <row r="620" spans="1:3" x14ac:dyDescent="0.3">
      <c r="A620" t="s">
        <v>1847</v>
      </c>
      <c r="B620" t="s">
        <v>1848</v>
      </c>
      <c r="C620" t="s">
        <v>1849</v>
      </c>
    </row>
    <row r="621" spans="1:3" x14ac:dyDescent="0.3">
      <c r="A621" t="s">
        <v>1850</v>
      </c>
      <c r="B621" t="s">
        <v>1851</v>
      </c>
      <c r="C621" t="s">
        <v>1852</v>
      </c>
    </row>
    <row r="622" spans="1:3" x14ac:dyDescent="0.3">
      <c r="A622" t="s">
        <v>1853</v>
      </c>
      <c r="B622" t="s">
        <v>1854</v>
      </c>
      <c r="C622" t="s">
        <v>1855</v>
      </c>
    </row>
    <row r="623" spans="1:3" x14ac:dyDescent="0.3">
      <c r="A623" t="s">
        <v>1856</v>
      </c>
      <c r="B623" t="s">
        <v>1857</v>
      </c>
      <c r="C623" t="s">
        <v>1858</v>
      </c>
    </row>
    <row r="624" spans="1:3" x14ac:dyDescent="0.3">
      <c r="A624" t="s">
        <v>1859</v>
      </c>
      <c r="B624" t="s">
        <v>1860</v>
      </c>
      <c r="C624" t="s">
        <v>1861</v>
      </c>
    </row>
    <row r="625" spans="1:3" x14ac:dyDescent="0.3">
      <c r="A625" t="s">
        <v>1862</v>
      </c>
      <c r="B625" t="s">
        <v>1863</v>
      </c>
      <c r="C625" t="s">
        <v>1864</v>
      </c>
    </row>
    <row r="626" spans="1:3" x14ac:dyDescent="0.3">
      <c r="A626" t="s">
        <v>1865</v>
      </c>
      <c r="B626" t="s">
        <v>1866</v>
      </c>
      <c r="C626" t="s">
        <v>1867</v>
      </c>
    </row>
    <row r="627" spans="1:3" x14ac:dyDescent="0.3">
      <c r="A627" t="s">
        <v>1868</v>
      </c>
      <c r="B627" t="s">
        <v>1869</v>
      </c>
      <c r="C627" t="s">
        <v>1870</v>
      </c>
    </row>
    <row r="628" spans="1:3" x14ac:dyDescent="0.3">
      <c r="A628" t="s">
        <v>1871</v>
      </c>
      <c r="B628" t="s">
        <v>1872</v>
      </c>
      <c r="C628" t="s">
        <v>1873</v>
      </c>
    </row>
    <row r="629" spans="1:3" x14ac:dyDescent="0.3">
      <c r="A629" t="s">
        <v>1874</v>
      </c>
      <c r="B629" t="s">
        <v>1875</v>
      </c>
      <c r="C629" t="s">
        <v>1876</v>
      </c>
    </row>
    <row r="630" spans="1:3" x14ac:dyDescent="0.3">
      <c r="A630" t="s">
        <v>1877</v>
      </c>
      <c r="B630" t="s">
        <v>1878</v>
      </c>
      <c r="C630" t="s">
        <v>1879</v>
      </c>
    </row>
    <row r="631" spans="1:3" x14ac:dyDescent="0.3">
      <c r="A631" t="s">
        <v>1880</v>
      </c>
      <c r="B631" t="s">
        <v>1881</v>
      </c>
      <c r="C631" t="s">
        <v>1882</v>
      </c>
    </row>
    <row r="632" spans="1:3" x14ac:dyDescent="0.3">
      <c r="A632" t="s">
        <v>1883</v>
      </c>
      <c r="B632" t="s">
        <v>1884</v>
      </c>
      <c r="C632" t="s">
        <v>1885</v>
      </c>
    </row>
    <row r="633" spans="1:3" x14ac:dyDescent="0.3">
      <c r="A633" t="s">
        <v>1886</v>
      </c>
      <c r="B633" t="s">
        <v>1887</v>
      </c>
      <c r="C633" t="s">
        <v>1888</v>
      </c>
    </row>
    <row r="634" spans="1:3" x14ac:dyDescent="0.3">
      <c r="A634" t="s">
        <v>1889</v>
      </c>
      <c r="B634" t="s">
        <v>1890</v>
      </c>
      <c r="C634" t="s">
        <v>1891</v>
      </c>
    </row>
    <row r="635" spans="1:3" x14ac:dyDescent="0.3">
      <c r="A635" t="s">
        <v>1892</v>
      </c>
      <c r="B635" t="s">
        <v>1893</v>
      </c>
      <c r="C635" t="s">
        <v>1894</v>
      </c>
    </row>
    <row r="636" spans="1:3" x14ac:dyDescent="0.3">
      <c r="A636" t="s">
        <v>1895</v>
      </c>
      <c r="B636" t="s">
        <v>1896</v>
      </c>
      <c r="C636" t="s">
        <v>1897</v>
      </c>
    </row>
    <row r="637" spans="1:3" x14ac:dyDescent="0.3">
      <c r="A637" t="s">
        <v>1898</v>
      </c>
      <c r="B637" t="s">
        <v>1899</v>
      </c>
      <c r="C637" t="s">
        <v>1900</v>
      </c>
    </row>
    <row r="638" spans="1:3" x14ac:dyDescent="0.3">
      <c r="A638" t="s">
        <v>1901</v>
      </c>
      <c r="B638" t="s">
        <v>1902</v>
      </c>
      <c r="C638" t="s">
        <v>1903</v>
      </c>
    </row>
    <row r="639" spans="1:3" x14ac:dyDescent="0.3">
      <c r="A639" t="s">
        <v>1904</v>
      </c>
      <c r="B639" t="s">
        <v>1905</v>
      </c>
      <c r="C639" t="s">
        <v>1906</v>
      </c>
    </row>
    <row r="640" spans="1:3" x14ac:dyDescent="0.3">
      <c r="A640" t="s">
        <v>1907</v>
      </c>
      <c r="B640" t="s">
        <v>1908</v>
      </c>
      <c r="C640" t="s">
        <v>1909</v>
      </c>
    </row>
    <row r="641" spans="1:3" x14ac:dyDescent="0.3">
      <c r="A641" t="s">
        <v>1910</v>
      </c>
      <c r="B641" t="s">
        <v>1911</v>
      </c>
      <c r="C641" t="s">
        <v>1912</v>
      </c>
    </row>
    <row r="642" spans="1:3" x14ac:dyDescent="0.3">
      <c r="A642" t="s">
        <v>1913</v>
      </c>
      <c r="B642" t="s">
        <v>1914</v>
      </c>
      <c r="C642" t="s">
        <v>1915</v>
      </c>
    </row>
    <row r="643" spans="1:3" x14ac:dyDescent="0.3">
      <c r="A643" t="s">
        <v>1916</v>
      </c>
      <c r="B643" t="s">
        <v>1917</v>
      </c>
      <c r="C643" t="s">
        <v>1918</v>
      </c>
    </row>
    <row r="644" spans="1:3" x14ac:dyDescent="0.3">
      <c r="A644" t="s">
        <v>1919</v>
      </c>
      <c r="B644" t="s">
        <v>1920</v>
      </c>
      <c r="C644" t="s">
        <v>1921</v>
      </c>
    </row>
    <row r="645" spans="1:3" x14ac:dyDescent="0.3">
      <c r="A645" t="s">
        <v>1922</v>
      </c>
      <c r="B645" t="s">
        <v>1923</v>
      </c>
      <c r="C645" t="s">
        <v>1924</v>
      </c>
    </row>
    <row r="646" spans="1:3" x14ac:dyDescent="0.3">
      <c r="A646" t="s">
        <v>1925</v>
      </c>
      <c r="B646" t="s">
        <v>1926</v>
      </c>
      <c r="C646" t="s">
        <v>1927</v>
      </c>
    </row>
    <row r="647" spans="1:3" x14ac:dyDescent="0.3">
      <c r="A647" t="s">
        <v>1928</v>
      </c>
      <c r="B647" t="s">
        <v>1929</v>
      </c>
      <c r="C647" t="s">
        <v>1930</v>
      </c>
    </row>
    <row r="648" spans="1:3" x14ac:dyDescent="0.3">
      <c r="A648" t="s">
        <v>1931</v>
      </c>
      <c r="B648" t="s">
        <v>1932</v>
      </c>
      <c r="C648" t="s">
        <v>1933</v>
      </c>
    </row>
    <row r="649" spans="1:3" x14ac:dyDescent="0.3">
      <c r="A649" t="s">
        <v>1934</v>
      </c>
      <c r="B649" t="s">
        <v>1935</v>
      </c>
      <c r="C649" t="s">
        <v>1936</v>
      </c>
    </row>
    <row r="650" spans="1:3" x14ac:dyDescent="0.3">
      <c r="A650" t="s">
        <v>1937</v>
      </c>
      <c r="B650" t="s">
        <v>1938</v>
      </c>
      <c r="C650" t="s">
        <v>1939</v>
      </c>
    </row>
    <row r="651" spans="1:3" x14ac:dyDescent="0.3">
      <c r="A651" t="s">
        <v>1940</v>
      </c>
      <c r="B651" t="s">
        <v>1941</v>
      </c>
      <c r="C651" t="s">
        <v>1942</v>
      </c>
    </row>
    <row r="652" spans="1:3" x14ac:dyDescent="0.3">
      <c r="A652" t="s">
        <v>1943</v>
      </c>
      <c r="B652" t="s">
        <v>1944</v>
      </c>
      <c r="C652" t="s">
        <v>1945</v>
      </c>
    </row>
    <row r="653" spans="1:3" x14ac:dyDescent="0.3">
      <c r="A653" t="s">
        <v>1946</v>
      </c>
      <c r="B653" t="s">
        <v>1947</v>
      </c>
      <c r="C653" t="s">
        <v>1948</v>
      </c>
    </row>
    <row r="654" spans="1:3" x14ac:dyDescent="0.3">
      <c r="A654" t="s">
        <v>1949</v>
      </c>
      <c r="B654" t="s">
        <v>1950</v>
      </c>
      <c r="C654" t="s">
        <v>1951</v>
      </c>
    </row>
    <row r="655" spans="1:3" x14ac:dyDescent="0.3">
      <c r="A655" t="s">
        <v>1952</v>
      </c>
      <c r="B655" t="s">
        <v>1953</v>
      </c>
      <c r="C655" t="s">
        <v>1954</v>
      </c>
    </row>
    <row r="656" spans="1:3" x14ac:dyDescent="0.3">
      <c r="A656" t="s">
        <v>1955</v>
      </c>
      <c r="B656" t="s">
        <v>1956</v>
      </c>
      <c r="C656" t="s">
        <v>1957</v>
      </c>
    </row>
    <row r="657" spans="1:3" x14ac:dyDescent="0.3">
      <c r="A657" t="s">
        <v>1958</v>
      </c>
      <c r="B657" t="s">
        <v>1959</v>
      </c>
      <c r="C657" t="s">
        <v>1960</v>
      </c>
    </row>
  </sheetData>
  <autoFilter ref="A1:C657"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dimension ref="A1:BH651"/>
  <sheetViews>
    <sheetView zoomScaleNormal="100" workbookViewId="0">
      <pane ySplit="3" topLeftCell="A4" activePane="bottomLeft" state="frozen"/>
      <selection activeCell="B101" sqref="B101"/>
      <selection pane="bottomLeft" activeCell="A328" sqref="A328:XFD651"/>
    </sheetView>
  </sheetViews>
  <sheetFormatPr defaultRowHeight="15.05" x14ac:dyDescent="0.3"/>
  <cols>
    <col min="1" max="1" width="31.88671875" bestFit="1" customWidth="1"/>
    <col min="2" max="2" width="132.33203125" customWidth="1"/>
    <col min="3" max="3" width="16.44140625" style="18" customWidth="1"/>
    <col min="4" max="4" width="2.6640625" customWidth="1"/>
    <col min="5" max="5" width="3.33203125" customWidth="1"/>
    <col min="6" max="6" width="3.33203125" hidden="1" customWidth="1"/>
    <col min="7" max="7" width="4.88671875" hidden="1" customWidth="1"/>
    <col min="8" max="45" width="3.33203125" hidden="1" customWidth="1"/>
    <col min="46" max="47" width="3.33203125" customWidth="1"/>
    <col min="48" max="48" width="16.5546875" bestFit="1" customWidth="1"/>
    <col min="59" max="59" width="30.5546875" customWidth="1"/>
  </cols>
  <sheetData>
    <row r="1" spans="1:59" ht="34.549999999999997" customHeight="1" x14ac:dyDescent="0.3">
      <c r="A1" s="36" t="s">
        <v>1961</v>
      </c>
      <c r="B1" s="37" t="s">
        <v>1962</v>
      </c>
      <c r="C1" s="38"/>
    </row>
    <row r="2" spans="1:59" ht="36" customHeight="1" x14ac:dyDescent="0.3">
      <c r="A2" s="1231" t="s">
        <v>1963</v>
      </c>
      <c r="B2" s="1231"/>
      <c r="C2" s="39" t="s">
        <v>1964</v>
      </c>
    </row>
    <row r="3" spans="1:59" ht="18.350000000000001" x14ac:dyDescent="0.35">
      <c r="A3" s="40" t="s">
        <v>1965</v>
      </c>
      <c r="B3" s="40" t="s">
        <v>1966</v>
      </c>
      <c r="C3" s="41" t="s">
        <v>1967</v>
      </c>
      <c r="AV3" t="s">
        <v>1968</v>
      </c>
      <c r="AW3">
        <v>2</v>
      </c>
      <c r="AX3">
        <v>3</v>
      </c>
      <c r="AY3">
        <v>4</v>
      </c>
      <c r="AZ3">
        <v>5</v>
      </c>
      <c r="BA3">
        <v>6</v>
      </c>
      <c r="BB3">
        <v>7</v>
      </c>
      <c r="BC3">
        <v>8</v>
      </c>
      <c r="BD3">
        <v>9</v>
      </c>
    </row>
    <row r="4" spans="1:59" ht="16.399999999999999" x14ac:dyDescent="0.35">
      <c r="A4" t="s">
        <v>1969</v>
      </c>
      <c r="B4" t="s">
        <v>1970</v>
      </c>
      <c r="C4" s="42">
        <v>1162057982.4400001</v>
      </c>
      <c r="AV4" s="43">
        <f t="shared" ref="AV4:AV67" si="0" xml:space="preserve"> SUM(LEN(B4)-LEN(SUBSTITUTE(B4,"/","")))/LEN("/")</f>
        <v>4</v>
      </c>
      <c r="AW4">
        <f t="shared" ref="AW4:AW67" si="1">FIND("/",B4,2)</f>
        <v>19</v>
      </c>
      <c r="AX4">
        <f t="shared" ref="AX4:AX67" si="2">FIND("/",B4,AW4+1)</f>
        <v>26</v>
      </c>
      <c r="AY4">
        <f t="shared" ref="AY4:AY67" si="3">IFERROR(FIND("/",B4,AX4+1),AX4)</f>
        <v>33</v>
      </c>
      <c r="AZ4">
        <f t="shared" ref="AZ4:AZ67" si="4">IFERROR(FIND("/",B4,AY4+1),AY4)</f>
        <v>33</v>
      </c>
      <c r="BA4">
        <f t="shared" ref="BA4:BA67" si="5">IFERROR(FIND("/",B4,AZ4+1),AZ4)</f>
        <v>33</v>
      </c>
      <c r="BB4">
        <f t="shared" ref="BB4:BB67" si="6">IFERROR(FIND("/",B4,BA4+1),BA4)</f>
        <v>33</v>
      </c>
      <c r="BC4">
        <f t="shared" ref="BC4:BC67" si="7">IFERROR(FIND("/",B4,BB4+1),BB4)</f>
        <v>33</v>
      </c>
      <c r="BD4">
        <f t="shared" ref="BD4:BD67" si="8">IFERROR(FIND("/",B4,BC4+1),BC4)</f>
        <v>33</v>
      </c>
      <c r="BE4">
        <f>HLOOKUP(AV4-1,$AW$3:BD327,ROW(AV4)-2,0)</f>
        <v>26</v>
      </c>
      <c r="BF4">
        <f>HLOOKUP(AV4,$AW$3:BD327,ROW(AV4)-2,0)</f>
        <v>33</v>
      </c>
      <c r="BG4" t="str">
        <f t="shared" ref="BG4:BG67" si="9">IF(ISERROR(FIND("Kwota",B4)),IF(ISERROR(FIND("Prawna",B4)),MID(B4,BF4+1,LEN(B4)-BF4),REPLACE(MID(B4,BE4+1,LEN(B4)-BE4),FIND("/",MID(B4,BE4+1,LEN(B4)-BE4)),1,"_")),REPLACE(MID(B4,BE4+1,LEN(B4)-BE4),FIND("/",MID(B4,BE4+1,LEN(B4)-BE4)),1,"_"))</f>
        <v>Aktywa_KwotaA</v>
      </c>
    </row>
    <row r="5" spans="1:59" ht="16.399999999999999" x14ac:dyDescent="0.35">
      <c r="A5" t="s">
        <v>1971</v>
      </c>
      <c r="B5" t="s">
        <v>1972</v>
      </c>
      <c r="C5" s="42">
        <v>1140175599.51</v>
      </c>
      <c r="AV5" s="43">
        <f t="shared" si="0"/>
        <v>5</v>
      </c>
      <c r="AW5">
        <f t="shared" si="1"/>
        <v>19</v>
      </c>
      <c r="AX5">
        <f t="shared" si="2"/>
        <v>26</v>
      </c>
      <c r="AY5">
        <f t="shared" si="3"/>
        <v>33</v>
      </c>
      <c r="AZ5">
        <f t="shared" si="4"/>
        <v>42</v>
      </c>
      <c r="BA5">
        <f t="shared" si="5"/>
        <v>42</v>
      </c>
      <c r="BB5">
        <f t="shared" si="6"/>
        <v>42</v>
      </c>
      <c r="BC5">
        <f t="shared" si="7"/>
        <v>42</v>
      </c>
      <c r="BD5">
        <f t="shared" si="8"/>
        <v>42</v>
      </c>
      <c r="BE5">
        <f>HLOOKUP(AV5-1,$AW$3:BD327,ROW(AV5)-2,0)</f>
        <v>33</v>
      </c>
      <c r="BF5">
        <f>HLOOKUP(AV5,$AW$3:BD327,ROW(AV5)-2,0)</f>
        <v>42</v>
      </c>
      <c r="BG5" t="str">
        <f t="shared" si="9"/>
        <v>Aktywa_A_KwotaA</v>
      </c>
    </row>
    <row r="6" spans="1:59" ht="16.399999999999999" x14ac:dyDescent="0.35">
      <c r="A6" t="s">
        <v>1973</v>
      </c>
      <c r="B6" t="s">
        <v>1974</v>
      </c>
      <c r="C6" s="42"/>
      <c r="AV6" s="43">
        <f t="shared" si="0"/>
        <v>6</v>
      </c>
      <c r="AW6">
        <f t="shared" si="1"/>
        <v>19</v>
      </c>
      <c r="AX6">
        <f t="shared" si="2"/>
        <v>26</v>
      </c>
      <c r="AY6">
        <f t="shared" si="3"/>
        <v>33</v>
      </c>
      <c r="AZ6">
        <f t="shared" si="4"/>
        <v>42</v>
      </c>
      <c r="BA6">
        <f t="shared" si="5"/>
        <v>53</v>
      </c>
      <c r="BB6">
        <f t="shared" si="6"/>
        <v>53</v>
      </c>
      <c r="BC6">
        <f t="shared" si="7"/>
        <v>53</v>
      </c>
      <c r="BD6">
        <f t="shared" si="8"/>
        <v>53</v>
      </c>
      <c r="BE6">
        <f>HLOOKUP(AV6-1,$AW$3:BD327,ROW(AV6)-2,0)</f>
        <v>42</v>
      </c>
      <c r="BF6">
        <f>HLOOKUP(AV6,$AW$3:BD327,ROW(AV6)-2,0)</f>
        <v>53</v>
      </c>
      <c r="BG6" t="str">
        <f t="shared" si="9"/>
        <v>Aktywa_A_I_KwotaA</v>
      </c>
    </row>
    <row r="7" spans="1:59" ht="16.399999999999999" x14ac:dyDescent="0.35">
      <c r="A7" t="s">
        <v>1975</v>
      </c>
      <c r="B7" t="s">
        <v>1976</v>
      </c>
      <c r="C7" s="42"/>
      <c r="AV7" s="43">
        <f t="shared" si="0"/>
        <v>7</v>
      </c>
      <c r="AW7">
        <f t="shared" si="1"/>
        <v>19</v>
      </c>
      <c r="AX7">
        <f t="shared" si="2"/>
        <v>26</v>
      </c>
      <c r="AY7">
        <f t="shared" si="3"/>
        <v>33</v>
      </c>
      <c r="AZ7">
        <f t="shared" si="4"/>
        <v>42</v>
      </c>
      <c r="BA7">
        <f t="shared" si="5"/>
        <v>53</v>
      </c>
      <c r="BB7">
        <f t="shared" si="6"/>
        <v>66</v>
      </c>
      <c r="BC7">
        <f t="shared" si="7"/>
        <v>66</v>
      </c>
      <c r="BD7">
        <f t="shared" si="8"/>
        <v>66</v>
      </c>
      <c r="BE7">
        <f>HLOOKUP(AV7-1,$AW$3:BD327,ROW(AV7)-2,0)</f>
        <v>53</v>
      </c>
      <c r="BF7">
        <f>HLOOKUP(AV7,$AW$3:BD327,ROW(AV7)-2,0)</f>
        <v>66</v>
      </c>
      <c r="BG7" t="str">
        <f t="shared" si="9"/>
        <v>Aktywa_A_I_1_KwotaA</v>
      </c>
    </row>
    <row r="8" spans="1:59" ht="16.399999999999999" x14ac:dyDescent="0.35">
      <c r="A8" t="s">
        <v>1977</v>
      </c>
      <c r="B8" t="s">
        <v>1978</v>
      </c>
      <c r="C8" s="42"/>
      <c r="AV8" s="43">
        <f t="shared" si="0"/>
        <v>7</v>
      </c>
      <c r="AW8">
        <f t="shared" si="1"/>
        <v>19</v>
      </c>
      <c r="AX8">
        <f t="shared" si="2"/>
        <v>26</v>
      </c>
      <c r="AY8">
        <f t="shared" si="3"/>
        <v>33</v>
      </c>
      <c r="AZ8">
        <f t="shared" si="4"/>
        <v>42</v>
      </c>
      <c r="BA8">
        <f t="shared" si="5"/>
        <v>53</v>
      </c>
      <c r="BB8">
        <f t="shared" si="6"/>
        <v>66</v>
      </c>
      <c r="BC8">
        <f t="shared" si="7"/>
        <v>66</v>
      </c>
      <c r="BD8">
        <f t="shared" si="8"/>
        <v>66</v>
      </c>
      <c r="BE8">
        <f>HLOOKUP(AV8-1,$AW$3:BD327,ROW(AV8)-2,0)</f>
        <v>53</v>
      </c>
      <c r="BF8">
        <f>HLOOKUP(AV8,$AW$3:BD327,ROW(AV8)-2,0)</f>
        <v>66</v>
      </c>
      <c r="BG8" t="str">
        <f t="shared" si="9"/>
        <v>Aktywa_A_I_2_KwotaA</v>
      </c>
    </row>
    <row r="9" spans="1:59" ht="16.399999999999999" x14ac:dyDescent="0.35">
      <c r="A9" t="s">
        <v>1979</v>
      </c>
      <c r="B9" t="s">
        <v>1980</v>
      </c>
      <c r="C9" s="42"/>
      <c r="AV9" s="43">
        <f t="shared" si="0"/>
        <v>7</v>
      </c>
      <c r="AW9">
        <f t="shared" si="1"/>
        <v>19</v>
      </c>
      <c r="AX9">
        <f t="shared" si="2"/>
        <v>26</v>
      </c>
      <c r="AY9">
        <f t="shared" si="3"/>
        <v>33</v>
      </c>
      <c r="AZ9">
        <f t="shared" si="4"/>
        <v>42</v>
      </c>
      <c r="BA9">
        <f t="shared" si="5"/>
        <v>53</v>
      </c>
      <c r="BB9">
        <f t="shared" si="6"/>
        <v>66</v>
      </c>
      <c r="BC9">
        <f t="shared" si="7"/>
        <v>66</v>
      </c>
      <c r="BD9">
        <f t="shared" si="8"/>
        <v>66</v>
      </c>
      <c r="BE9">
        <f>HLOOKUP(AV9-1,$AW$3:BD327,ROW(AV9)-2,0)</f>
        <v>53</v>
      </c>
      <c r="BF9">
        <f>HLOOKUP(AV9,$AW$3:BD327,ROW(AV9)-2,0)</f>
        <v>66</v>
      </c>
      <c r="BG9" t="str">
        <f t="shared" si="9"/>
        <v>Aktywa_A_I_3_KwotaA</v>
      </c>
    </row>
    <row r="10" spans="1:59" ht="16.399999999999999" x14ac:dyDescent="0.35">
      <c r="A10" t="s">
        <v>1981</v>
      </c>
      <c r="B10" t="s">
        <v>1982</v>
      </c>
      <c r="C10" s="42"/>
      <c r="AV10" s="43">
        <f t="shared" si="0"/>
        <v>7</v>
      </c>
      <c r="AW10">
        <f t="shared" si="1"/>
        <v>19</v>
      </c>
      <c r="AX10">
        <f t="shared" si="2"/>
        <v>26</v>
      </c>
      <c r="AY10">
        <f t="shared" si="3"/>
        <v>33</v>
      </c>
      <c r="AZ10">
        <f t="shared" si="4"/>
        <v>42</v>
      </c>
      <c r="BA10">
        <f t="shared" si="5"/>
        <v>53</v>
      </c>
      <c r="BB10">
        <f t="shared" si="6"/>
        <v>66</v>
      </c>
      <c r="BC10">
        <f t="shared" si="7"/>
        <v>66</v>
      </c>
      <c r="BD10">
        <f t="shared" si="8"/>
        <v>66</v>
      </c>
      <c r="BE10">
        <f>HLOOKUP(AV10-1,$AW$3:BD327,ROW(AV10)-2,0)</f>
        <v>53</v>
      </c>
      <c r="BF10">
        <f>HLOOKUP(AV10,$AW$3:BD327,ROW(AV10)-2,0)</f>
        <v>66</v>
      </c>
      <c r="BG10" t="str">
        <f t="shared" si="9"/>
        <v>Aktywa_A_I_4_KwotaA</v>
      </c>
    </row>
    <row r="11" spans="1:59" ht="16.399999999999999" x14ac:dyDescent="0.35">
      <c r="A11" t="s">
        <v>1983</v>
      </c>
      <c r="B11" t="s">
        <v>1984</v>
      </c>
      <c r="C11" s="42"/>
      <c r="AV11" s="43">
        <f t="shared" si="0"/>
        <v>6</v>
      </c>
      <c r="AW11">
        <f t="shared" si="1"/>
        <v>19</v>
      </c>
      <c r="AX11">
        <f t="shared" si="2"/>
        <v>26</v>
      </c>
      <c r="AY11">
        <f t="shared" si="3"/>
        <v>33</v>
      </c>
      <c r="AZ11">
        <f t="shared" si="4"/>
        <v>42</v>
      </c>
      <c r="BA11">
        <f t="shared" si="5"/>
        <v>54</v>
      </c>
      <c r="BB11">
        <f t="shared" si="6"/>
        <v>54</v>
      </c>
      <c r="BC11">
        <f t="shared" si="7"/>
        <v>54</v>
      </c>
      <c r="BD11">
        <f t="shared" si="8"/>
        <v>54</v>
      </c>
      <c r="BE11">
        <f>HLOOKUP(AV11-1,$AW$3:BD327,ROW(AV11)-2,0)</f>
        <v>42</v>
      </c>
      <c r="BF11">
        <f>HLOOKUP(AV11,$AW$3:BD327,ROW(AV11)-2,0)</f>
        <v>54</v>
      </c>
      <c r="BG11" t="str">
        <f t="shared" si="9"/>
        <v>Aktywa_A_II_KwotaA</v>
      </c>
    </row>
    <row r="12" spans="1:59" ht="16.399999999999999" x14ac:dyDescent="0.35">
      <c r="A12" t="s">
        <v>1985</v>
      </c>
      <c r="B12" t="s">
        <v>1986</v>
      </c>
      <c r="C12" s="42"/>
      <c r="AV12" s="43">
        <f t="shared" si="0"/>
        <v>7</v>
      </c>
      <c r="AW12">
        <f t="shared" si="1"/>
        <v>19</v>
      </c>
      <c r="AX12">
        <f t="shared" si="2"/>
        <v>26</v>
      </c>
      <c r="AY12">
        <f t="shared" si="3"/>
        <v>33</v>
      </c>
      <c r="AZ12">
        <f t="shared" si="4"/>
        <v>42</v>
      </c>
      <c r="BA12">
        <f t="shared" si="5"/>
        <v>54</v>
      </c>
      <c r="BB12">
        <f t="shared" si="6"/>
        <v>68</v>
      </c>
      <c r="BC12">
        <f t="shared" si="7"/>
        <v>68</v>
      </c>
      <c r="BD12">
        <f t="shared" si="8"/>
        <v>68</v>
      </c>
      <c r="BE12">
        <f>HLOOKUP(AV12-1,$AW$3:BD327,ROW(AV12)-2,0)</f>
        <v>54</v>
      </c>
      <c r="BF12">
        <f>HLOOKUP(AV12,$AW$3:BD327,ROW(AV12)-2,0)</f>
        <v>68</v>
      </c>
      <c r="BG12" t="str">
        <f t="shared" si="9"/>
        <v>Aktywa_A_II_1_KwotaA</v>
      </c>
    </row>
    <row r="13" spans="1:59" ht="16.399999999999999" x14ac:dyDescent="0.35">
      <c r="A13" t="s">
        <v>1987</v>
      </c>
      <c r="B13" t="s">
        <v>1988</v>
      </c>
      <c r="C13" s="42"/>
      <c r="AV13" s="43">
        <f t="shared" si="0"/>
        <v>8</v>
      </c>
      <c r="AW13">
        <f t="shared" si="1"/>
        <v>19</v>
      </c>
      <c r="AX13">
        <f t="shared" si="2"/>
        <v>26</v>
      </c>
      <c r="AY13">
        <f t="shared" si="3"/>
        <v>33</v>
      </c>
      <c r="AZ13">
        <f t="shared" si="4"/>
        <v>42</v>
      </c>
      <c r="BA13">
        <f t="shared" si="5"/>
        <v>54</v>
      </c>
      <c r="BB13">
        <f t="shared" si="6"/>
        <v>68</v>
      </c>
      <c r="BC13">
        <f t="shared" si="7"/>
        <v>84</v>
      </c>
      <c r="BD13">
        <f t="shared" si="8"/>
        <v>84</v>
      </c>
      <c r="BE13">
        <f>HLOOKUP(AV13-1,$AW$3:BD327,ROW(AV13)-2,0)</f>
        <v>68</v>
      </c>
      <c r="BF13">
        <f>HLOOKUP(AV13,$AW$3:BD327,ROW(AV13)-2,0)</f>
        <v>84</v>
      </c>
      <c r="BG13" t="str">
        <f t="shared" si="9"/>
        <v>Aktywa_A_II_1_A_KwotaA</v>
      </c>
    </row>
    <row r="14" spans="1:59" ht="16.399999999999999" x14ac:dyDescent="0.35">
      <c r="A14" t="s">
        <v>1989</v>
      </c>
      <c r="B14" t="s">
        <v>1990</v>
      </c>
      <c r="C14" s="42"/>
      <c r="AV14" s="43">
        <f t="shared" si="0"/>
        <v>8</v>
      </c>
      <c r="AW14">
        <f t="shared" si="1"/>
        <v>19</v>
      </c>
      <c r="AX14">
        <f t="shared" si="2"/>
        <v>26</v>
      </c>
      <c r="AY14">
        <f t="shared" si="3"/>
        <v>33</v>
      </c>
      <c r="AZ14">
        <f t="shared" si="4"/>
        <v>42</v>
      </c>
      <c r="BA14">
        <f t="shared" si="5"/>
        <v>54</v>
      </c>
      <c r="BB14">
        <f t="shared" si="6"/>
        <v>68</v>
      </c>
      <c r="BC14">
        <f t="shared" si="7"/>
        <v>84</v>
      </c>
      <c r="BD14">
        <f t="shared" si="8"/>
        <v>84</v>
      </c>
      <c r="BE14">
        <f>HLOOKUP(AV14-1,$AW$3:BD327,ROW(AV14)-2,0)</f>
        <v>68</v>
      </c>
      <c r="BF14">
        <f>HLOOKUP(AV14,$AW$3:BD327,ROW(AV14)-2,0)</f>
        <v>84</v>
      </c>
      <c r="BG14" t="str">
        <f t="shared" si="9"/>
        <v>Aktywa_A_II_1_B_KwotaA</v>
      </c>
    </row>
    <row r="15" spans="1:59" ht="16.399999999999999" x14ac:dyDescent="0.35">
      <c r="A15" t="s">
        <v>1991</v>
      </c>
      <c r="B15" t="s">
        <v>1992</v>
      </c>
      <c r="C15" s="42"/>
      <c r="AV15" s="43">
        <f t="shared" si="0"/>
        <v>8</v>
      </c>
      <c r="AW15">
        <f t="shared" si="1"/>
        <v>19</v>
      </c>
      <c r="AX15">
        <f t="shared" si="2"/>
        <v>26</v>
      </c>
      <c r="AY15">
        <f t="shared" si="3"/>
        <v>33</v>
      </c>
      <c r="AZ15">
        <f t="shared" si="4"/>
        <v>42</v>
      </c>
      <c r="BA15">
        <f t="shared" si="5"/>
        <v>54</v>
      </c>
      <c r="BB15">
        <f t="shared" si="6"/>
        <v>68</v>
      </c>
      <c r="BC15">
        <f t="shared" si="7"/>
        <v>84</v>
      </c>
      <c r="BD15">
        <f t="shared" si="8"/>
        <v>84</v>
      </c>
      <c r="BE15">
        <f>HLOOKUP(AV15-1,$AW$3:BD327,ROW(AV15)-2,0)</f>
        <v>68</v>
      </c>
      <c r="BF15">
        <f>HLOOKUP(AV15,$AW$3:BD327,ROW(AV15)-2,0)</f>
        <v>84</v>
      </c>
      <c r="BG15" t="str">
        <f t="shared" si="9"/>
        <v>Aktywa_A_II_1_C_KwotaA</v>
      </c>
    </row>
    <row r="16" spans="1:59" ht="16.399999999999999" x14ac:dyDescent="0.35">
      <c r="A16" t="s">
        <v>1993</v>
      </c>
      <c r="B16" t="s">
        <v>1994</v>
      </c>
      <c r="C16" s="42"/>
      <c r="AV16" s="43">
        <f t="shared" si="0"/>
        <v>8</v>
      </c>
      <c r="AW16">
        <f t="shared" si="1"/>
        <v>19</v>
      </c>
      <c r="AX16">
        <f t="shared" si="2"/>
        <v>26</v>
      </c>
      <c r="AY16">
        <f t="shared" si="3"/>
        <v>33</v>
      </c>
      <c r="AZ16">
        <f t="shared" si="4"/>
        <v>42</v>
      </c>
      <c r="BA16">
        <f t="shared" si="5"/>
        <v>54</v>
      </c>
      <c r="BB16">
        <f t="shared" si="6"/>
        <v>68</v>
      </c>
      <c r="BC16">
        <f t="shared" si="7"/>
        <v>84</v>
      </c>
      <c r="BD16">
        <f t="shared" si="8"/>
        <v>84</v>
      </c>
      <c r="BE16">
        <f>HLOOKUP(AV16-1,$AW$3:BD327,ROW(AV16)-2,0)</f>
        <v>68</v>
      </c>
      <c r="BF16">
        <f>HLOOKUP(AV16,$AW$3:BD327,ROW(AV16)-2,0)</f>
        <v>84</v>
      </c>
      <c r="BG16" t="str">
        <f t="shared" si="9"/>
        <v>Aktywa_A_II_1_D_KwotaA</v>
      </c>
    </row>
    <row r="17" spans="1:59" ht="16.399999999999999" x14ac:dyDescent="0.35">
      <c r="A17" t="s">
        <v>1995</v>
      </c>
      <c r="B17" t="s">
        <v>1996</v>
      </c>
      <c r="C17" s="42"/>
      <c r="AV17" s="43">
        <f t="shared" si="0"/>
        <v>8</v>
      </c>
      <c r="AW17">
        <f t="shared" si="1"/>
        <v>19</v>
      </c>
      <c r="AX17">
        <f t="shared" si="2"/>
        <v>26</v>
      </c>
      <c r="AY17">
        <f t="shared" si="3"/>
        <v>33</v>
      </c>
      <c r="AZ17">
        <f t="shared" si="4"/>
        <v>42</v>
      </c>
      <c r="BA17">
        <f t="shared" si="5"/>
        <v>54</v>
      </c>
      <c r="BB17">
        <f t="shared" si="6"/>
        <v>68</v>
      </c>
      <c r="BC17">
        <f t="shared" si="7"/>
        <v>84</v>
      </c>
      <c r="BD17">
        <f t="shared" si="8"/>
        <v>84</v>
      </c>
      <c r="BE17">
        <f>HLOOKUP(AV17-1,$AW$3:BD327,ROW(AV17)-2,0)</f>
        <v>68</v>
      </c>
      <c r="BF17">
        <f>HLOOKUP(AV17,$AW$3:BD327,ROW(AV17)-2,0)</f>
        <v>84</v>
      </c>
      <c r="BG17" t="str">
        <f t="shared" si="9"/>
        <v>Aktywa_A_II_1_E_KwotaA</v>
      </c>
    </row>
    <row r="18" spans="1:59" ht="16.399999999999999" x14ac:dyDescent="0.35">
      <c r="A18" t="s">
        <v>1997</v>
      </c>
      <c r="B18" t="s">
        <v>1998</v>
      </c>
      <c r="C18" s="42"/>
      <c r="AV18" s="43">
        <f t="shared" si="0"/>
        <v>7</v>
      </c>
      <c r="AW18">
        <f t="shared" si="1"/>
        <v>19</v>
      </c>
      <c r="AX18">
        <f t="shared" si="2"/>
        <v>26</v>
      </c>
      <c r="AY18">
        <f t="shared" si="3"/>
        <v>33</v>
      </c>
      <c r="AZ18">
        <f t="shared" si="4"/>
        <v>42</v>
      </c>
      <c r="BA18">
        <f t="shared" si="5"/>
        <v>54</v>
      </c>
      <c r="BB18">
        <f t="shared" si="6"/>
        <v>68</v>
      </c>
      <c r="BC18">
        <f t="shared" si="7"/>
        <v>68</v>
      </c>
      <c r="BD18">
        <f t="shared" si="8"/>
        <v>68</v>
      </c>
      <c r="BE18">
        <f>HLOOKUP(AV18-1,$AW$3:BD327,ROW(AV18)-2,0)</f>
        <v>54</v>
      </c>
      <c r="BF18">
        <f>HLOOKUP(AV18,$AW$3:BD327,ROW(AV18)-2,0)</f>
        <v>68</v>
      </c>
      <c r="BG18" t="str">
        <f t="shared" si="9"/>
        <v>Aktywa_A_II_2_KwotaA</v>
      </c>
    </row>
    <row r="19" spans="1:59" ht="16.399999999999999" x14ac:dyDescent="0.35">
      <c r="A19" t="s">
        <v>1999</v>
      </c>
      <c r="B19" t="s">
        <v>2000</v>
      </c>
      <c r="C19" s="42"/>
      <c r="AV19" s="43">
        <f t="shared" si="0"/>
        <v>7</v>
      </c>
      <c r="AW19">
        <f t="shared" si="1"/>
        <v>19</v>
      </c>
      <c r="AX19">
        <f t="shared" si="2"/>
        <v>26</v>
      </c>
      <c r="AY19">
        <f t="shared" si="3"/>
        <v>33</v>
      </c>
      <c r="AZ19">
        <f t="shared" si="4"/>
        <v>42</v>
      </c>
      <c r="BA19">
        <f t="shared" si="5"/>
        <v>54</v>
      </c>
      <c r="BB19">
        <f t="shared" si="6"/>
        <v>68</v>
      </c>
      <c r="BC19">
        <f t="shared" si="7"/>
        <v>68</v>
      </c>
      <c r="BD19">
        <f t="shared" si="8"/>
        <v>68</v>
      </c>
      <c r="BE19">
        <f>HLOOKUP(AV19-1,$AW$3:BD327,ROW(AV19)-2,0)</f>
        <v>54</v>
      </c>
      <c r="BF19">
        <f>HLOOKUP(AV19,$AW$3:BD327,ROW(AV19)-2,0)</f>
        <v>68</v>
      </c>
      <c r="BG19" t="str">
        <f t="shared" si="9"/>
        <v>Aktywa_A_II_3_KwotaA</v>
      </c>
    </row>
    <row r="20" spans="1:59" ht="16.399999999999999" x14ac:dyDescent="0.35">
      <c r="A20" t="s">
        <v>2001</v>
      </c>
      <c r="B20" t="s">
        <v>2002</v>
      </c>
      <c r="C20" s="42"/>
      <c r="AV20" s="43">
        <f t="shared" si="0"/>
        <v>6</v>
      </c>
      <c r="AW20">
        <f t="shared" si="1"/>
        <v>19</v>
      </c>
      <c r="AX20">
        <f t="shared" si="2"/>
        <v>26</v>
      </c>
      <c r="AY20">
        <f t="shared" si="3"/>
        <v>33</v>
      </c>
      <c r="AZ20">
        <f t="shared" si="4"/>
        <v>42</v>
      </c>
      <c r="BA20">
        <f t="shared" si="5"/>
        <v>55</v>
      </c>
      <c r="BB20">
        <f t="shared" si="6"/>
        <v>55</v>
      </c>
      <c r="BC20">
        <f t="shared" si="7"/>
        <v>55</v>
      </c>
      <c r="BD20">
        <f t="shared" si="8"/>
        <v>55</v>
      </c>
      <c r="BE20">
        <f>HLOOKUP(AV20-1,$AW$3:BD327,ROW(AV20)-2,0)</f>
        <v>42</v>
      </c>
      <c r="BF20">
        <f>HLOOKUP(AV20,$AW$3:BD327,ROW(AV20)-2,0)</f>
        <v>55</v>
      </c>
      <c r="BG20" t="str">
        <f t="shared" si="9"/>
        <v>Aktywa_A_III_KwotaA</v>
      </c>
    </row>
    <row r="21" spans="1:59" ht="16.399999999999999" x14ac:dyDescent="0.35">
      <c r="A21" t="s">
        <v>2003</v>
      </c>
      <c r="B21" t="s">
        <v>2004</v>
      </c>
      <c r="C21" s="42"/>
      <c r="AV21" s="43">
        <f t="shared" si="0"/>
        <v>7</v>
      </c>
      <c r="AW21">
        <f t="shared" si="1"/>
        <v>19</v>
      </c>
      <c r="AX21">
        <f t="shared" si="2"/>
        <v>26</v>
      </c>
      <c r="AY21">
        <f t="shared" si="3"/>
        <v>33</v>
      </c>
      <c r="AZ21">
        <f t="shared" si="4"/>
        <v>42</v>
      </c>
      <c r="BA21">
        <f t="shared" si="5"/>
        <v>55</v>
      </c>
      <c r="BB21">
        <f t="shared" si="6"/>
        <v>70</v>
      </c>
      <c r="BC21">
        <f t="shared" si="7"/>
        <v>70</v>
      </c>
      <c r="BD21">
        <f t="shared" si="8"/>
        <v>70</v>
      </c>
      <c r="BE21">
        <f>HLOOKUP(AV21-1,$AW$3:BD327,ROW(AV21)-2,0)</f>
        <v>55</v>
      </c>
      <c r="BF21">
        <f>HLOOKUP(AV21,$AW$3:BD327,ROW(AV21)-2,0)</f>
        <v>70</v>
      </c>
      <c r="BG21" t="str">
        <f t="shared" si="9"/>
        <v>Aktywa_A_III_1_KwotaA</v>
      </c>
    </row>
    <row r="22" spans="1:59" ht="16.399999999999999" x14ac:dyDescent="0.35">
      <c r="A22" t="s">
        <v>2005</v>
      </c>
      <c r="B22" t="s">
        <v>2006</v>
      </c>
      <c r="C22" s="42"/>
      <c r="AV22" s="43">
        <f t="shared" si="0"/>
        <v>7</v>
      </c>
      <c r="AW22">
        <f t="shared" si="1"/>
        <v>19</v>
      </c>
      <c r="AX22">
        <f t="shared" si="2"/>
        <v>26</v>
      </c>
      <c r="AY22">
        <f t="shared" si="3"/>
        <v>33</v>
      </c>
      <c r="AZ22">
        <f t="shared" si="4"/>
        <v>42</v>
      </c>
      <c r="BA22">
        <f t="shared" si="5"/>
        <v>55</v>
      </c>
      <c r="BB22">
        <f t="shared" si="6"/>
        <v>70</v>
      </c>
      <c r="BC22">
        <f t="shared" si="7"/>
        <v>70</v>
      </c>
      <c r="BD22">
        <f t="shared" si="8"/>
        <v>70</v>
      </c>
      <c r="BE22">
        <f>HLOOKUP(AV22-1,$AW$3:BD327,ROW(AV22)-2,0)</f>
        <v>55</v>
      </c>
      <c r="BF22">
        <f>HLOOKUP(AV22,$AW$3:BD327,ROW(AV22)-2,0)</f>
        <v>70</v>
      </c>
      <c r="BG22" t="str">
        <f t="shared" si="9"/>
        <v>Aktywa_A_III_2_KwotaA</v>
      </c>
    </row>
    <row r="23" spans="1:59" ht="16.399999999999999" x14ac:dyDescent="0.35">
      <c r="A23" t="s">
        <v>2007</v>
      </c>
      <c r="B23" t="s">
        <v>2008</v>
      </c>
      <c r="C23" s="42"/>
      <c r="AV23" s="43">
        <f t="shared" si="0"/>
        <v>7</v>
      </c>
      <c r="AW23">
        <f t="shared" si="1"/>
        <v>19</v>
      </c>
      <c r="AX23">
        <f t="shared" si="2"/>
        <v>26</v>
      </c>
      <c r="AY23">
        <f t="shared" si="3"/>
        <v>33</v>
      </c>
      <c r="AZ23">
        <f t="shared" si="4"/>
        <v>42</v>
      </c>
      <c r="BA23">
        <f t="shared" si="5"/>
        <v>55</v>
      </c>
      <c r="BB23">
        <f t="shared" si="6"/>
        <v>70</v>
      </c>
      <c r="BC23">
        <f t="shared" si="7"/>
        <v>70</v>
      </c>
      <c r="BD23">
        <f t="shared" si="8"/>
        <v>70</v>
      </c>
      <c r="BE23">
        <f>HLOOKUP(AV23-1,$AW$3:BD327,ROW(AV23)-2,0)</f>
        <v>55</v>
      </c>
      <c r="BF23">
        <f>HLOOKUP(AV23,$AW$3:BD327,ROW(AV23)-2,0)</f>
        <v>70</v>
      </c>
      <c r="BG23" t="str">
        <f t="shared" si="9"/>
        <v>Aktywa_A_III_3_KwotaA</v>
      </c>
    </row>
    <row r="24" spans="1:59" ht="16.399999999999999" x14ac:dyDescent="0.35">
      <c r="A24" t="s">
        <v>2009</v>
      </c>
      <c r="B24" t="s">
        <v>2010</v>
      </c>
      <c r="C24" s="42">
        <v>1138338448.76</v>
      </c>
      <c r="AV24" s="43">
        <f t="shared" si="0"/>
        <v>6</v>
      </c>
      <c r="AW24">
        <f t="shared" si="1"/>
        <v>19</v>
      </c>
      <c r="AX24">
        <f t="shared" si="2"/>
        <v>26</v>
      </c>
      <c r="AY24">
        <f t="shared" si="3"/>
        <v>33</v>
      </c>
      <c r="AZ24">
        <f t="shared" si="4"/>
        <v>42</v>
      </c>
      <c r="BA24">
        <f t="shared" si="5"/>
        <v>54</v>
      </c>
      <c r="BB24">
        <f t="shared" si="6"/>
        <v>54</v>
      </c>
      <c r="BC24">
        <f t="shared" si="7"/>
        <v>54</v>
      </c>
      <c r="BD24">
        <f t="shared" si="8"/>
        <v>54</v>
      </c>
      <c r="BE24">
        <f>HLOOKUP(AV24-1,$AW$3:BD327,ROW(AV24)-2,0)</f>
        <v>42</v>
      </c>
      <c r="BF24">
        <f>HLOOKUP(AV24,$AW$3:BD327,ROW(AV24)-2,0)</f>
        <v>54</v>
      </c>
      <c r="BG24" t="str">
        <f t="shared" si="9"/>
        <v>Aktywa_A_IV_KwotaA</v>
      </c>
    </row>
    <row r="25" spans="1:59" ht="16.399999999999999" x14ac:dyDescent="0.35">
      <c r="A25" t="s">
        <v>2011</v>
      </c>
      <c r="B25" t="s">
        <v>2012</v>
      </c>
      <c r="C25" s="42"/>
      <c r="AV25" s="43">
        <f t="shared" si="0"/>
        <v>7</v>
      </c>
      <c r="AW25">
        <f t="shared" si="1"/>
        <v>19</v>
      </c>
      <c r="AX25">
        <f t="shared" si="2"/>
        <v>26</v>
      </c>
      <c r="AY25">
        <f t="shared" si="3"/>
        <v>33</v>
      </c>
      <c r="AZ25">
        <f t="shared" si="4"/>
        <v>42</v>
      </c>
      <c r="BA25">
        <f t="shared" si="5"/>
        <v>54</v>
      </c>
      <c r="BB25">
        <f t="shared" si="6"/>
        <v>68</v>
      </c>
      <c r="BC25">
        <f t="shared" si="7"/>
        <v>68</v>
      </c>
      <c r="BD25">
        <f t="shared" si="8"/>
        <v>68</v>
      </c>
      <c r="BE25">
        <f>HLOOKUP(AV25-1,$AW$3:BD327,ROW(AV25)-2,0)</f>
        <v>54</v>
      </c>
      <c r="BF25">
        <f>HLOOKUP(AV25,$AW$3:BD327,ROW(AV25)-2,0)</f>
        <v>68</v>
      </c>
      <c r="BG25" t="str">
        <f t="shared" si="9"/>
        <v>Aktywa_A_IV_1_KwotaA</v>
      </c>
    </row>
    <row r="26" spans="1:59" ht="16.399999999999999" x14ac:dyDescent="0.35">
      <c r="A26" t="s">
        <v>2013</v>
      </c>
      <c r="B26" t="s">
        <v>2014</v>
      </c>
      <c r="C26" s="42"/>
      <c r="AV26" s="43">
        <f t="shared" si="0"/>
        <v>7</v>
      </c>
      <c r="AW26">
        <f t="shared" si="1"/>
        <v>19</v>
      </c>
      <c r="AX26">
        <f t="shared" si="2"/>
        <v>26</v>
      </c>
      <c r="AY26">
        <f t="shared" si="3"/>
        <v>33</v>
      </c>
      <c r="AZ26">
        <f t="shared" si="4"/>
        <v>42</v>
      </c>
      <c r="BA26">
        <f t="shared" si="5"/>
        <v>54</v>
      </c>
      <c r="BB26">
        <f t="shared" si="6"/>
        <v>68</v>
      </c>
      <c r="BC26">
        <f t="shared" si="7"/>
        <v>68</v>
      </c>
      <c r="BD26">
        <f t="shared" si="8"/>
        <v>68</v>
      </c>
      <c r="BE26">
        <f>HLOOKUP(AV26-1,$AW$3:BD327,ROW(AV26)-2,0)</f>
        <v>54</v>
      </c>
      <c r="BF26">
        <f>HLOOKUP(AV26,$AW$3:BD327,ROW(AV26)-2,0)</f>
        <v>68</v>
      </c>
      <c r="BG26" t="str">
        <f t="shared" si="9"/>
        <v>Aktywa_A_IV_2_KwotaA</v>
      </c>
    </row>
    <row r="27" spans="1:59" ht="16.399999999999999" x14ac:dyDescent="0.35">
      <c r="A27" t="s">
        <v>2015</v>
      </c>
      <c r="B27" t="s">
        <v>2016</v>
      </c>
      <c r="C27" s="42">
        <v>1138338448.76</v>
      </c>
      <c r="AV27" s="43">
        <f t="shared" si="0"/>
        <v>7</v>
      </c>
      <c r="AW27">
        <f t="shared" si="1"/>
        <v>19</v>
      </c>
      <c r="AX27">
        <f t="shared" si="2"/>
        <v>26</v>
      </c>
      <c r="AY27">
        <f t="shared" si="3"/>
        <v>33</v>
      </c>
      <c r="AZ27">
        <f t="shared" si="4"/>
        <v>42</v>
      </c>
      <c r="BA27">
        <f t="shared" si="5"/>
        <v>54</v>
      </c>
      <c r="BB27">
        <f t="shared" si="6"/>
        <v>68</v>
      </c>
      <c r="BC27">
        <f t="shared" si="7"/>
        <v>68</v>
      </c>
      <c r="BD27">
        <f t="shared" si="8"/>
        <v>68</v>
      </c>
      <c r="BE27">
        <f>HLOOKUP(AV27-1,$AW$3:BD327,ROW(AV27)-2,0)</f>
        <v>54</v>
      </c>
      <c r="BF27">
        <f>HLOOKUP(AV27,$AW$3:BD327,ROW(AV27)-2,0)</f>
        <v>68</v>
      </c>
      <c r="BG27" t="str">
        <f t="shared" si="9"/>
        <v>Aktywa_A_IV_3_KwotaA</v>
      </c>
    </row>
    <row r="28" spans="1:59" ht="16.399999999999999" x14ac:dyDescent="0.35">
      <c r="A28" t="s">
        <v>2017</v>
      </c>
      <c r="B28" t="s">
        <v>2018</v>
      </c>
      <c r="C28" s="42">
        <v>1138338448.76</v>
      </c>
      <c r="AV28" s="43">
        <f t="shared" si="0"/>
        <v>8</v>
      </c>
      <c r="AW28">
        <f t="shared" si="1"/>
        <v>19</v>
      </c>
      <c r="AX28">
        <f t="shared" si="2"/>
        <v>26</v>
      </c>
      <c r="AY28">
        <f t="shared" si="3"/>
        <v>33</v>
      </c>
      <c r="AZ28">
        <f t="shared" si="4"/>
        <v>42</v>
      </c>
      <c r="BA28">
        <f t="shared" si="5"/>
        <v>54</v>
      </c>
      <c r="BB28">
        <f t="shared" si="6"/>
        <v>68</v>
      </c>
      <c r="BC28">
        <f t="shared" si="7"/>
        <v>84</v>
      </c>
      <c r="BD28">
        <f t="shared" si="8"/>
        <v>84</v>
      </c>
      <c r="BE28">
        <f>HLOOKUP(AV28-1,$AW$3:BD327,ROW(AV28)-2,0)</f>
        <v>68</v>
      </c>
      <c r="BF28">
        <f>HLOOKUP(AV28,$AW$3:BD327,ROW(AV28)-2,0)</f>
        <v>84</v>
      </c>
      <c r="BG28" t="str">
        <f t="shared" si="9"/>
        <v>Aktywa_A_IV_3_A_KwotaA</v>
      </c>
    </row>
    <row r="29" spans="1:59" ht="16.399999999999999" x14ac:dyDescent="0.35">
      <c r="A29" t="s">
        <v>2019</v>
      </c>
      <c r="B29" t="s">
        <v>2020</v>
      </c>
      <c r="C29" s="42">
        <v>1138338448.76</v>
      </c>
      <c r="AV29" s="43">
        <f t="shared" si="0"/>
        <v>9</v>
      </c>
      <c r="AW29">
        <f t="shared" si="1"/>
        <v>19</v>
      </c>
      <c r="AX29">
        <f t="shared" si="2"/>
        <v>26</v>
      </c>
      <c r="AY29">
        <f t="shared" si="3"/>
        <v>33</v>
      </c>
      <c r="AZ29">
        <f t="shared" si="4"/>
        <v>42</v>
      </c>
      <c r="BA29">
        <f t="shared" si="5"/>
        <v>54</v>
      </c>
      <c r="BB29">
        <f t="shared" si="6"/>
        <v>68</v>
      </c>
      <c r="BC29">
        <f t="shared" si="7"/>
        <v>84</v>
      </c>
      <c r="BD29">
        <f t="shared" si="8"/>
        <v>102</v>
      </c>
      <c r="BE29">
        <f>HLOOKUP(AV29-1,$AW$3:BD327,ROW(AV29)-2,0)</f>
        <v>84</v>
      </c>
      <c r="BF29">
        <f>HLOOKUP(AV29,$AW$3:BD327,ROW(AV29)-2,0)</f>
        <v>102</v>
      </c>
      <c r="BG29" t="str">
        <f t="shared" si="9"/>
        <v>Aktywa_A_IV_3_A_1_KwotaA</v>
      </c>
    </row>
    <row r="30" spans="1:59" ht="16.399999999999999" x14ac:dyDescent="0.35">
      <c r="A30" t="s">
        <v>2021</v>
      </c>
      <c r="B30" t="s">
        <v>2022</v>
      </c>
      <c r="C30" s="42"/>
      <c r="AV30" s="43">
        <f t="shared" si="0"/>
        <v>9</v>
      </c>
      <c r="AW30">
        <f t="shared" si="1"/>
        <v>19</v>
      </c>
      <c r="AX30">
        <f t="shared" si="2"/>
        <v>26</v>
      </c>
      <c r="AY30">
        <f t="shared" si="3"/>
        <v>33</v>
      </c>
      <c r="AZ30">
        <f t="shared" si="4"/>
        <v>42</v>
      </c>
      <c r="BA30">
        <f t="shared" si="5"/>
        <v>54</v>
      </c>
      <c r="BB30">
        <f t="shared" si="6"/>
        <v>68</v>
      </c>
      <c r="BC30">
        <f t="shared" si="7"/>
        <v>84</v>
      </c>
      <c r="BD30">
        <f t="shared" si="8"/>
        <v>102</v>
      </c>
      <c r="BE30">
        <f>HLOOKUP(AV30-1,$AW$3:BD327,ROW(AV30)-2,0)</f>
        <v>84</v>
      </c>
      <c r="BF30">
        <f>HLOOKUP(AV30,$AW$3:BD327,ROW(AV30)-2,0)</f>
        <v>102</v>
      </c>
      <c r="BG30" t="str">
        <f t="shared" si="9"/>
        <v>Aktywa_A_IV_3_A_2_KwotaA</v>
      </c>
    </row>
    <row r="31" spans="1:59" ht="16.399999999999999" x14ac:dyDescent="0.35">
      <c r="A31" t="s">
        <v>2023</v>
      </c>
      <c r="B31" t="s">
        <v>2024</v>
      </c>
      <c r="C31" s="42">
        <v>0</v>
      </c>
      <c r="AV31" s="43">
        <f t="shared" si="0"/>
        <v>9</v>
      </c>
      <c r="AW31">
        <f t="shared" si="1"/>
        <v>19</v>
      </c>
      <c r="AX31">
        <f t="shared" si="2"/>
        <v>26</v>
      </c>
      <c r="AY31">
        <f t="shared" si="3"/>
        <v>33</v>
      </c>
      <c r="AZ31">
        <f t="shared" si="4"/>
        <v>42</v>
      </c>
      <c r="BA31">
        <f t="shared" si="5"/>
        <v>54</v>
      </c>
      <c r="BB31">
        <f t="shared" si="6"/>
        <v>68</v>
      </c>
      <c r="BC31">
        <f t="shared" si="7"/>
        <v>84</v>
      </c>
      <c r="BD31">
        <f t="shared" si="8"/>
        <v>102</v>
      </c>
      <c r="BE31">
        <f>HLOOKUP(AV31-1,$AW$3:BD327,ROW(AV31)-2,0)</f>
        <v>84</v>
      </c>
      <c r="BF31">
        <f>HLOOKUP(AV31,$AW$3:BD327,ROW(AV31)-2,0)</f>
        <v>102</v>
      </c>
      <c r="BG31" t="str">
        <f t="shared" si="9"/>
        <v>Aktywa_A_IV_3_A_3_KwotaA</v>
      </c>
    </row>
    <row r="32" spans="1:59" ht="16.399999999999999" x14ac:dyDescent="0.35">
      <c r="A32" t="s">
        <v>2025</v>
      </c>
      <c r="B32" t="s">
        <v>2026</v>
      </c>
      <c r="C32" s="42"/>
      <c r="AV32" s="43">
        <f t="shared" si="0"/>
        <v>9</v>
      </c>
      <c r="AW32">
        <f t="shared" si="1"/>
        <v>19</v>
      </c>
      <c r="AX32">
        <f t="shared" si="2"/>
        <v>26</v>
      </c>
      <c r="AY32">
        <f t="shared" si="3"/>
        <v>33</v>
      </c>
      <c r="AZ32">
        <f t="shared" si="4"/>
        <v>42</v>
      </c>
      <c r="BA32">
        <f t="shared" si="5"/>
        <v>54</v>
      </c>
      <c r="BB32">
        <f t="shared" si="6"/>
        <v>68</v>
      </c>
      <c r="BC32">
        <f t="shared" si="7"/>
        <v>84</v>
      </c>
      <c r="BD32">
        <f t="shared" si="8"/>
        <v>102</v>
      </c>
      <c r="BE32">
        <f>HLOOKUP(AV32-1,$AW$3:BD327,ROW(AV32)-2,0)</f>
        <v>84</v>
      </c>
      <c r="BF32">
        <f>HLOOKUP(AV32,$AW$3:BD327,ROW(AV32)-2,0)</f>
        <v>102</v>
      </c>
      <c r="BG32" t="str">
        <f t="shared" si="9"/>
        <v>Aktywa_A_IV_3_A_4_KwotaA</v>
      </c>
    </row>
    <row r="33" spans="1:59" ht="16.399999999999999" x14ac:dyDescent="0.35">
      <c r="A33" t="s">
        <v>2027</v>
      </c>
      <c r="B33" t="s">
        <v>2028</v>
      </c>
      <c r="C33" s="42"/>
      <c r="AV33" s="43">
        <f t="shared" si="0"/>
        <v>8</v>
      </c>
      <c r="AW33">
        <f t="shared" si="1"/>
        <v>19</v>
      </c>
      <c r="AX33">
        <f t="shared" si="2"/>
        <v>26</v>
      </c>
      <c r="AY33">
        <f t="shared" si="3"/>
        <v>33</v>
      </c>
      <c r="AZ33">
        <f t="shared" si="4"/>
        <v>42</v>
      </c>
      <c r="BA33">
        <f t="shared" si="5"/>
        <v>54</v>
      </c>
      <c r="BB33">
        <f t="shared" si="6"/>
        <v>68</v>
      </c>
      <c r="BC33">
        <f t="shared" si="7"/>
        <v>84</v>
      </c>
      <c r="BD33">
        <f t="shared" si="8"/>
        <v>84</v>
      </c>
      <c r="BE33">
        <f>HLOOKUP(AV33-1,$AW$3:BD327,ROW(AV33)-2,0)</f>
        <v>68</v>
      </c>
      <c r="BF33">
        <f>HLOOKUP(AV33,$AW$3:BD327,ROW(AV33)-2,0)</f>
        <v>84</v>
      </c>
      <c r="BG33" t="str">
        <f t="shared" si="9"/>
        <v>Aktywa_A_IV_3_B_KwotaA</v>
      </c>
    </row>
    <row r="34" spans="1:59" ht="16.399999999999999" x14ac:dyDescent="0.35">
      <c r="A34" t="s">
        <v>2029</v>
      </c>
      <c r="B34" t="s">
        <v>2030</v>
      </c>
      <c r="C34" s="42"/>
      <c r="AV34" s="43">
        <f t="shared" si="0"/>
        <v>9</v>
      </c>
      <c r="AW34">
        <f t="shared" si="1"/>
        <v>19</v>
      </c>
      <c r="AX34">
        <f t="shared" si="2"/>
        <v>26</v>
      </c>
      <c r="AY34">
        <f t="shared" si="3"/>
        <v>33</v>
      </c>
      <c r="AZ34">
        <f t="shared" si="4"/>
        <v>42</v>
      </c>
      <c r="BA34">
        <f t="shared" si="5"/>
        <v>54</v>
      </c>
      <c r="BB34">
        <f t="shared" si="6"/>
        <v>68</v>
      </c>
      <c r="BC34">
        <f t="shared" si="7"/>
        <v>84</v>
      </c>
      <c r="BD34">
        <f t="shared" si="8"/>
        <v>102</v>
      </c>
      <c r="BE34">
        <f>HLOOKUP(AV34-1,$AW$3:BD327,ROW(AV34)-2,0)</f>
        <v>84</v>
      </c>
      <c r="BF34">
        <f>HLOOKUP(AV34,$AW$3:BD327,ROW(AV34)-2,0)</f>
        <v>102</v>
      </c>
      <c r="BG34" t="str">
        <f t="shared" si="9"/>
        <v>Aktywa_A_IV_3_B_1_KwotaA</v>
      </c>
    </row>
    <row r="35" spans="1:59" ht="16.399999999999999" x14ac:dyDescent="0.35">
      <c r="A35" t="s">
        <v>2031</v>
      </c>
      <c r="B35" t="s">
        <v>2032</v>
      </c>
      <c r="C35" s="42"/>
      <c r="AV35" s="43">
        <f t="shared" si="0"/>
        <v>9</v>
      </c>
      <c r="AW35">
        <f t="shared" si="1"/>
        <v>19</v>
      </c>
      <c r="AX35">
        <f t="shared" si="2"/>
        <v>26</v>
      </c>
      <c r="AY35">
        <f t="shared" si="3"/>
        <v>33</v>
      </c>
      <c r="AZ35">
        <f t="shared" si="4"/>
        <v>42</v>
      </c>
      <c r="BA35">
        <f t="shared" si="5"/>
        <v>54</v>
      </c>
      <c r="BB35">
        <f t="shared" si="6"/>
        <v>68</v>
      </c>
      <c r="BC35">
        <f t="shared" si="7"/>
        <v>84</v>
      </c>
      <c r="BD35">
        <f t="shared" si="8"/>
        <v>102</v>
      </c>
      <c r="BE35">
        <f>HLOOKUP(AV35-1,$AW$3:BD327,ROW(AV35)-2,0)</f>
        <v>84</v>
      </c>
      <c r="BF35">
        <f>HLOOKUP(AV35,$AW$3:BD327,ROW(AV35)-2,0)</f>
        <v>102</v>
      </c>
      <c r="BG35" t="str">
        <f t="shared" si="9"/>
        <v>Aktywa_A_IV_3_B_2_KwotaA</v>
      </c>
    </row>
    <row r="36" spans="1:59" ht="16.399999999999999" x14ac:dyDescent="0.35">
      <c r="A36" t="s">
        <v>2033</v>
      </c>
      <c r="B36" t="s">
        <v>2034</v>
      </c>
      <c r="C36" s="42"/>
      <c r="AV36" s="43">
        <f t="shared" si="0"/>
        <v>9</v>
      </c>
      <c r="AW36">
        <f t="shared" si="1"/>
        <v>19</v>
      </c>
      <c r="AX36">
        <f t="shared" si="2"/>
        <v>26</v>
      </c>
      <c r="AY36">
        <f t="shared" si="3"/>
        <v>33</v>
      </c>
      <c r="AZ36">
        <f t="shared" si="4"/>
        <v>42</v>
      </c>
      <c r="BA36">
        <f t="shared" si="5"/>
        <v>54</v>
      </c>
      <c r="BB36">
        <f t="shared" si="6"/>
        <v>68</v>
      </c>
      <c r="BC36">
        <f t="shared" si="7"/>
        <v>84</v>
      </c>
      <c r="BD36">
        <f t="shared" si="8"/>
        <v>102</v>
      </c>
      <c r="BE36">
        <f>HLOOKUP(AV36-1,$AW$3:BD327,ROW(AV36)-2,0)</f>
        <v>84</v>
      </c>
      <c r="BF36">
        <f>HLOOKUP(AV36,$AW$3:BD327,ROW(AV36)-2,0)</f>
        <v>102</v>
      </c>
      <c r="BG36" t="str">
        <f t="shared" si="9"/>
        <v>Aktywa_A_IV_3_B_3_KwotaA</v>
      </c>
    </row>
    <row r="37" spans="1:59" ht="16.399999999999999" x14ac:dyDescent="0.35">
      <c r="A37" t="s">
        <v>2035</v>
      </c>
      <c r="B37" t="s">
        <v>2036</v>
      </c>
      <c r="C37" s="42"/>
      <c r="AV37" s="43">
        <f t="shared" si="0"/>
        <v>9</v>
      </c>
      <c r="AW37">
        <f t="shared" si="1"/>
        <v>19</v>
      </c>
      <c r="AX37">
        <f t="shared" si="2"/>
        <v>26</v>
      </c>
      <c r="AY37">
        <f t="shared" si="3"/>
        <v>33</v>
      </c>
      <c r="AZ37">
        <f t="shared" si="4"/>
        <v>42</v>
      </c>
      <c r="BA37">
        <f t="shared" si="5"/>
        <v>54</v>
      </c>
      <c r="BB37">
        <f t="shared" si="6"/>
        <v>68</v>
      </c>
      <c r="BC37">
        <f t="shared" si="7"/>
        <v>84</v>
      </c>
      <c r="BD37">
        <f t="shared" si="8"/>
        <v>102</v>
      </c>
      <c r="BE37">
        <f>HLOOKUP(AV37-1,$AW$3:BD327,ROW(AV37)-2,0)</f>
        <v>84</v>
      </c>
      <c r="BF37">
        <f>HLOOKUP(AV37,$AW$3:BD327,ROW(AV37)-2,0)</f>
        <v>102</v>
      </c>
      <c r="BG37" t="str">
        <f t="shared" si="9"/>
        <v>Aktywa_A_IV_3_B_4_KwotaA</v>
      </c>
    </row>
    <row r="38" spans="1:59" ht="16.399999999999999" x14ac:dyDescent="0.35">
      <c r="A38" t="s">
        <v>2037</v>
      </c>
      <c r="B38" t="s">
        <v>2038</v>
      </c>
      <c r="C38" s="42"/>
      <c r="AV38" s="43">
        <f t="shared" si="0"/>
        <v>8</v>
      </c>
      <c r="AW38">
        <f t="shared" si="1"/>
        <v>19</v>
      </c>
      <c r="AX38">
        <f t="shared" si="2"/>
        <v>26</v>
      </c>
      <c r="AY38">
        <f t="shared" si="3"/>
        <v>33</v>
      </c>
      <c r="AZ38">
        <f t="shared" si="4"/>
        <v>42</v>
      </c>
      <c r="BA38">
        <f t="shared" si="5"/>
        <v>54</v>
      </c>
      <c r="BB38">
        <f t="shared" si="6"/>
        <v>68</v>
      </c>
      <c r="BC38">
        <f t="shared" si="7"/>
        <v>84</v>
      </c>
      <c r="BD38">
        <f t="shared" si="8"/>
        <v>84</v>
      </c>
      <c r="BE38">
        <f>HLOOKUP(AV38-1,$AW$3:BD327,ROW(AV38)-2,0)</f>
        <v>68</v>
      </c>
      <c r="BF38">
        <f>HLOOKUP(AV38,$AW$3:BD327,ROW(AV38)-2,0)</f>
        <v>84</v>
      </c>
      <c r="BG38" t="str">
        <f t="shared" si="9"/>
        <v>Aktywa_A_IV_3_C_KwotaA</v>
      </c>
    </row>
    <row r="39" spans="1:59" ht="16.399999999999999" x14ac:dyDescent="0.35">
      <c r="A39" t="s">
        <v>2039</v>
      </c>
      <c r="B39" t="s">
        <v>2040</v>
      </c>
      <c r="C39" s="42"/>
      <c r="AV39" s="43">
        <f t="shared" si="0"/>
        <v>9</v>
      </c>
      <c r="AW39">
        <f t="shared" si="1"/>
        <v>19</v>
      </c>
      <c r="AX39">
        <f t="shared" si="2"/>
        <v>26</v>
      </c>
      <c r="AY39">
        <f t="shared" si="3"/>
        <v>33</v>
      </c>
      <c r="AZ39">
        <f t="shared" si="4"/>
        <v>42</v>
      </c>
      <c r="BA39">
        <f t="shared" si="5"/>
        <v>54</v>
      </c>
      <c r="BB39">
        <f t="shared" si="6"/>
        <v>68</v>
      </c>
      <c r="BC39">
        <f t="shared" si="7"/>
        <v>84</v>
      </c>
      <c r="BD39">
        <f t="shared" si="8"/>
        <v>102</v>
      </c>
      <c r="BE39">
        <f>HLOOKUP(AV39-1,$AW$3:BD327,ROW(AV39)-2,0)</f>
        <v>84</v>
      </c>
      <c r="BF39">
        <f>HLOOKUP(AV39,$AW$3:BD327,ROW(AV39)-2,0)</f>
        <v>102</v>
      </c>
      <c r="BG39" t="str">
        <f t="shared" si="9"/>
        <v>Aktywa_A_IV_3_C_1_KwotaA</v>
      </c>
    </row>
    <row r="40" spans="1:59" ht="16.399999999999999" x14ac:dyDescent="0.35">
      <c r="A40" t="s">
        <v>2041</v>
      </c>
      <c r="B40" t="s">
        <v>2042</v>
      </c>
      <c r="C40" s="42"/>
      <c r="AV40" s="43">
        <f t="shared" si="0"/>
        <v>9</v>
      </c>
      <c r="AW40">
        <f t="shared" si="1"/>
        <v>19</v>
      </c>
      <c r="AX40">
        <f t="shared" si="2"/>
        <v>26</v>
      </c>
      <c r="AY40">
        <f t="shared" si="3"/>
        <v>33</v>
      </c>
      <c r="AZ40">
        <f t="shared" si="4"/>
        <v>42</v>
      </c>
      <c r="BA40">
        <f t="shared" si="5"/>
        <v>54</v>
      </c>
      <c r="BB40">
        <f t="shared" si="6"/>
        <v>68</v>
      </c>
      <c r="BC40">
        <f t="shared" si="7"/>
        <v>84</v>
      </c>
      <c r="BD40">
        <f t="shared" si="8"/>
        <v>102</v>
      </c>
      <c r="BE40">
        <f>HLOOKUP(AV40-1,$AW$3:BD327,ROW(AV40)-2,0)</f>
        <v>84</v>
      </c>
      <c r="BF40">
        <f>HLOOKUP(AV40,$AW$3:BD327,ROW(AV40)-2,0)</f>
        <v>102</v>
      </c>
      <c r="BG40" t="str">
        <f t="shared" si="9"/>
        <v>Aktywa_A_IV_3_C_2_KwotaA</v>
      </c>
    </row>
    <row r="41" spans="1:59" ht="16.399999999999999" x14ac:dyDescent="0.35">
      <c r="A41" t="s">
        <v>2043</v>
      </c>
      <c r="B41" t="s">
        <v>2044</v>
      </c>
      <c r="C41" s="42"/>
      <c r="AV41" s="43">
        <f t="shared" si="0"/>
        <v>9</v>
      </c>
      <c r="AW41">
        <f t="shared" si="1"/>
        <v>19</v>
      </c>
      <c r="AX41">
        <f t="shared" si="2"/>
        <v>26</v>
      </c>
      <c r="AY41">
        <f t="shared" si="3"/>
        <v>33</v>
      </c>
      <c r="AZ41">
        <f t="shared" si="4"/>
        <v>42</v>
      </c>
      <c r="BA41">
        <f t="shared" si="5"/>
        <v>54</v>
      </c>
      <c r="BB41">
        <f t="shared" si="6"/>
        <v>68</v>
      </c>
      <c r="BC41">
        <f t="shared" si="7"/>
        <v>84</v>
      </c>
      <c r="BD41">
        <f t="shared" si="8"/>
        <v>102</v>
      </c>
      <c r="BE41">
        <f>HLOOKUP(AV41-1,$AW$3:BD327,ROW(AV41)-2,0)</f>
        <v>84</v>
      </c>
      <c r="BF41">
        <f>HLOOKUP(AV41,$AW$3:BD327,ROW(AV41)-2,0)</f>
        <v>102</v>
      </c>
      <c r="BG41" t="str">
        <f t="shared" si="9"/>
        <v>Aktywa_A_IV_3_C_3_KwotaA</v>
      </c>
    </row>
    <row r="42" spans="1:59" ht="16.399999999999999" x14ac:dyDescent="0.35">
      <c r="A42" t="s">
        <v>2045</v>
      </c>
      <c r="B42" t="s">
        <v>2046</v>
      </c>
      <c r="C42" s="42"/>
      <c r="AV42" s="43">
        <f t="shared" si="0"/>
        <v>9</v>
      </c>
      <c r="AW42">
        <f t="shared" si="1"/>
        <v>19</v>
      </c>
      <c r="AX42">
        <f t="shared" si="2"/>
        <v>26</v>
      </c>
      <c r="AY42">
        <f t="shared" si="3"/>
        <v>33</v>
      </c>
      <c r="AZ42">
        <f t="shared" si="4"/>
        <v>42</v>
      </c>
      <c r="BA42">
        <f t="shared" si="5"/>
        <v>54</v>
      </c>
      <c r="BB42">
        <f t="shared" si="6"/>
        <v>68</v>
      </c>
      <c r="BC42">
        <f t="shared" si="7"/>
        <v>84</v>
      </c>
      <c r="BD42">
        <f t="shared" si="8"/>
        <v>102</v>
      </c>
      <c r="BE42">
        <f>HLOOKUP(AV42-1,$AW$3:BD327,ROW(AV42)-2,0)</f>
        <v>84</v>
      </c>
      <c r="BF42">
        <f>HLOOKUP(AV42,$AW$3:BD327,ROW(AV42)-2,0)</f>
        <v>102</v>
      </c>
      <c r="BG42" t="str">
        <f t="shared" si="9"/>
        <v>Aktywa_A_IV_3_C_4_KwotaA</v>
      </c>
    </row>
    <row r="43" spans="1:59" ht="16.399999999999999" x14ac:dyDescent="0.35">
      <c r="A43" t="s">
        <v>2047</v>
      </c>
      <c r="B43" t="s">
        <v>2048</v>
      </c>
      <c r="C43" s="42"/>
      <c r="AV43" s="43">
        <f t="shared" si="0"/>
        <v>7</v>
      </c>
      <c r="AW43">
        <f t="shared" si="1"/>
        <v>19</v>
      </c>
      <c r="AX43">
        <f t="shared" si="2"/>
        <v>26</v>
      </c>
      <c r="AY43">
        <f t="shared" si="3"/>
        <v>33</v>
      </c>
      <c r="AZ43">
        <f t="shared" si="4"/>
        <v>42</v>
      </c>
      <c r="BA43">
        <f t="shared" si="5"/>
        <v>54</v>
      </c>
      <c r="BB43">
        <f t="shared" si="6"/>
        <v>68</v>
      </c>
      <c r="BC43">
        <f t="shared" si="7"/>
        <v>68</v>
      </c>
      <c r="BD43">
        <f t="shared" si="8"/>
        <v>68</v>
      </c>
      <c r="BE43">
        <f>HLOOKUP(AV43-1,$AW$3:BD327,ROW(AV43)-2,0)</f>
        <v>54</v>
      </c>
      <c r="BF43">
        <f>HLOOKUP(AV43,$AW$3:BD327,ROW(AV43)-2,0)</f>
        <v>68</v>
      </c>
      <c r="BG43" t="str">
        <f t="shared" si="9"/>
        <v>Aktywa_A_IV_4_KwotaA</v>
      </c>
    </row>
    <row r="44" spans="1:59" ht="16.399999999999999" x14ac:dyDescent="0.35">
      <c r="A44" t="s">
        <v>2049</v>
      </c>
      <c r="B44" t="s">
        <v>2050</v>
      </c>
      <c r="C44" s="42">
        <v>1837150.75</v>
      </c>
      <c r="AV44" s="43">
        <f t="shared" si="0"/>
        <v>6</v>
      </c>
      <c r="AW44">
        <f t="shared" si="1"/>
        <v>19</v>
      </c>
      <c r="AX44">
        <f t="shared" si="2"/>
        <v>26</v>
      </c>
      <c r="AY44">
        <f t="shared" si="3"/>
        <v>33</v>
      </c>
      <c r="AZ44">
        <f t="shared" si="4"/>
        <v>42</v>
      </c>
      <c r="BA44">
        <f t="shared" si="5"/>
        <v>53</v>
      </c>
      <c r="BB44">
        <f t="shared" si="6"/>
        <v>53</v>
      </c>
      <c r="BC44">
        <f t="shared" si="7"/>
        <v>53</v>
      </c>
      <c r="BD44">
        <f t="shared" si="8"/>
        <v>53</v>
      </c>
      <c r="BE44">
        <f>HLOOKUP(AV44-1,$AW$3:BD327,ROW(AV44)-2,0)</f>
        <v>42</v>
      </c>
      <c r="BF44">
        <f>HLOOKUP(AV44,$AW$3:BD327,ROW(AV44)-2,0)</f>
        <v>53</v>
      </c>
      <c r="BG44" t="str">
        <f t="shared" si="9"/>
        <v>Aktywa_A_V_KwotaA</v>
      </c>
    </row>
    <row r="45" spans="1:59" ht="16.399999999999999" x14ac:dyDescent="0.35">
      <c r="A45" t="s">
        <v>2051</v>
      </c>
      <c r="B45" t="s">
        <v>2052</v>
      </c>
      <c r="C45" s="42">
        <v>1837150.75</v>
      </c>
      <c r="AV45" s="43">
        <f t="shared" si="0"/>
        <v>7</v>
      </c>
      <c r="AW45">
        <f t="shared" si="1"/>
        <v>19</v>
      </c>
      <c r="AX45">
        <f t="shared" si="2"/>
        <v>26</v>
      </c>
      <c r="AY45">
        <f t="shared" si="3"/>
        <v>33</v>
      </c>
      <c r="AZ45">
        <f t="shared" si="4"/>
        <v>42</v>
      </c>
      <c r="BA45">
        <f t="shared" si="5"/>
        <v>53</v>
      </c>
      <c r="BB45">
        <f t="shared" si="6"/>
        <v>66</v>
      </c>
      <c r="BC45">
        <f t="shared" si="7"/>
        <v>66</v>
      </c>
      <c r="BD45">
        <f t="shared" si="8"/>
        <v>66</v>
      </c>
      <c r="BE45">
        <f>HLOOKUP(AV45-1,$AW$3:BD327,ROW(AV45)-2,0)</f>
        <v>53</v>
      </c>
      <c r="BF45">
        <f>HLOOKUP(AV45,$AW$3:BD327,ROW(AV45)-2,0)</f>
        <v>66</v>
      </c>
      <c r="BG45" t="str">
        <f t="shared" si="9"/>
        <v>Aktywa_A_V_1_KwotaA</v>
      </c>
    </row>
    <row r="46" spans="1:59" ht="16.399999999999999" x14ac:dyDescent="0.35">
      <c r="A46" t="s">
        <v>2053</v>
      </c>
      <c r="B46" t="s">
        <v>2054</v>
      </c>
      <c r="C46" s="42"/>
      <c r="AV46" s="43">
        <f t="shared" si="0"/>
        <v>7</v>
      </c>
      <c r="AW46">
        <f t="shared" si="1"/>
        <v>19</v>
      </c>
      <c r="AX46">
        <f t="shared" si="2"/>
        <v>26</v>
      </c>
      <c r="AY46">
        <f t="shared" si="3"/>
        <v>33</v>
      </c>
      <c r="AZ46">
        <f t="shared" si="4"/>
        <v>42</v>
      </c>
      <c r="BA46">
        <f t="shared" si="5"/>
        <v>53</v>
      </c>
      <c r="BB46">
        <f t="shared" si="6"/>
        <v>66</v>
      </c>
      <c r="BC46">
        <f t="shared" si="7"/>
        <v>66</v>
      </c>
      <c r="BD46">
        <f t="shared" si="8"/>
        <v>66</v>
      </c>
      <c r="BE46">
        <f>HLOOKUP(AV46-1,$AW$3:BD327,ROW(AV46)-2,0)</f>
        <v>53</v>
      </c>
      <c r="BF46">
        <f>HLOOKUP(AV46,$AW$3:BD327,ROW(AV46)-2,0)</f>
        <v>66</v>
      </c>
      <c r="BG46" t="str">
        <f t="shared" si="9"/>
        <v>Aktywa_A_V_2_KwotaA</v>
      </c>
    </row>
    <row r="47" spans="1:59" ht="16.399999999999999" x14ac:dyDescent="0.35">
      <c r="A47" t="s">
        <v>2055</v>
      </c>
      <c r="B47" t="s">
        <v>2056</v>
      </c>
      <c r="C47" s="42">
        <v>21882382.93</v>
      </c>
      <c r="AV47" s="43">
        <f t="shared" si="0"/>
        <v>5</v>
      </c>
      <c r="AW47">
        <f t="shared" si="1"/>
        <v>19</v>
      </c>
      <c r="AX47">
        <f t="shared" si="2"/>
        <v>26</v>
      </c>
      <c r="AY47">
        <f t="shared" si="3"/>
        <v>33</v>
      </c>
      <c r="AZ47">
        <f t="shared" si="4"/>
        <v>42</v>
      </c>
      <c r="BA47">
        <f t="shared" si="5"/>
        <v>42</v>
      </c>
      <c r="BB47">
        <f t="shared" si="6"/>
        <v>42</v>
      </c>
      <c r="BC47">
        <f t="shared" si="7"/>
        <v>42</v>
      </c>
      <c r="BD47">
        <f t="shared" si="8"/>
        <v>42</v>
      </c>
      <c r="BE47">
        <f>HLOOKUP(AV47-1,$AW$3:BD327,ROW(AV47)-2,0)</f>
        <v>33</v>
      </c>
      <c r="BF47">
        <f>HLOOKUP(AV47,$AW$3:BD327,ROW(AV47)-2,0)</f>
        <v>42</v>
      </c>
      <c r="BG47" t="str">
        <f t="shared" si="9"/>
        <v>Aktywa_B_KwotaA</v>
      </c>
    </row>
    <row r="48" spans="1:59" ht="16.399999999999999" x14ac:dyDescent="0.35">
      <c r="A48" t="s">
        <v>2057</v>
      </c>
      <c r="B48" t="s">
        <v>2058</v>
      </c>
      <c r="C48" s="42"/>
      <c r="AV48" s="43">
        <f t="shared" si="0"/>
        <v>6</v>
      </c>
      <c r="AW48">
        <f t="shared" si="1"/>
        <v>19</v>
      </c>
      <c r="AX48">
        <f t="shared" si="2"/>
        <v>26</v>
      </c>
      <c r="AY48">
        <f t="shared" si="3"/>
        <v>33</v>
      </c>
      <c r="AZ48">
        <f t="shared" si="4"/>
        <v>42</v>
      </c>
      <c r="BA48">
        <f t="shared" si="5"/>
        <v>53</v>
      </c>
      <c r="BB48">
        <f t="shared" si="6"/>
        <v>53</v>
      </c>
      <c r="BC48">
        <f t="shared" si="7"/>
        <v>53</v>
      </c>
      <c r="BD48">
        <f t="shared" si="8"/>
        <v>53</v>
      </c>
      <c r="BE48">
        <f>HLOOKUP(AV48-1,$AW$3:BD327,ROW(AV48)-2,0)</f>
        <v>42</v>
      </c>
      <c r="BF48">
        <f>HLOOKUP(AV48,$AW$3:BD327,ROW(AV48)-2,0)</f>
        <v>53</v>
      </c>
      <c r="BG48" t="str">
        <f t="shared" si="9"/>
        <v>Aktywa_B_I_KwotaA</v>
      </c>
    </row>
    <row r="49" spans="1:59" ht="16.399999999999999" x14ac:dyDescent="0.35">
      <c r="A49" t="s">
        <v>2059</v>
      </c>
      <c r="B49" t="s">
        <v>2060</v>
      </c>
      <c r="C49" s="42"/>
      <c r="AV49" s="43">
        <f t="shared" si="0"/>
        <v>7</v>
      </c>
      <c r="AW49">
        <f t="shared" si="1"/>
        <v>19</v>
      </c>
      <c r="AX49">
        <f t="shared" si="2"/>
        <v>26</v>
      </c>
      <c r="AY49">
        <f t="shared" si="3"/>
        <v>33</v>
      </c>
      <c r="AZ49">
        <f t="shared" si="4"/>
        <v>42</v>
      </c>
      <c r="BA49">
        <f t="shared" si="5"/>
        <v>53</v>
      </c>
      <c r="BB49">
        <f t="shared" si="6"/>
        <v>66</v>
      </c>
      <c r="BC49">
        <f t="shared" si="7"/>
        <v>66</v>
      </c>
      <c r="BD49">
        <f t="shared" si="8"/>
        <v>66</v>
      </c>
      <c r="BE49">
        <f>HLOOKUP(AV49-1,$AW$3:BD327,ROW(AV49)-2,0)</f>
        <v>53</v>
      </c>
      <c r="BF49">
        <f>HLOOKUP(AV49,$AW$3:BD327,ROW(AV49)-2,0)</f>
        <v>66</v>
      </c>
      <c r="BG49" t="str">
        <f t="shared" si="9"/>
        <v>Aktywa_B_I_1_KwotaA</v>
      </c>
    </row>
    <row r="50" spans="1:59" ht="16.399999999999999" x14ac:dyDescent="0.35">
      <c r="A50" t="s">
        <v>2061</v>
      </c>
      <c r="B50" t="s">
        <v>2062</v>
      </c>
      <c r="C50" s="42"/>
      <c r="AV50" s="43">
        <f t="shared" si="0"/>
        <v>7</v>
      </c>
      <c r="AW50">
        <f t="shared" si="1"/>
        <v>19</v>
      </c>
      <c r="AX50">
        <f t="shared" si="2"/>
        <v>26</v>
      </c>
      <c r="AY50">
        <f t="shared" si="3"/>
        <v>33</v>
      </c>
      <c r="AZ50">
        <f t="shared" si="4"/>
        <v>42</v>
      </c>
      <c r="BA50">
        <f t="shared" si="5"/>
        <v>53</v>
      </c>
      <c r="BB50">
        <f t="shared" si="6"/>
        <v>66</v>
      </c>
      <c r="BC50">
        <f t="shared" si="7"/>
        <v>66</v>
      </c>
      <c r="BD50">
        <f t="shared" si="8"/>
        <v>66</v>
      </c>
      <c r="BE50">
        <f>HLOOKUP(AV50-1,$AW$3:BD327,ROW(AV50)-2,0)</f>
        <v>53</v>
      </c>
      <c r="BF50">
        <f>HLOOKUP(AV50,$AW$3:BD327,ROW(AV50)-2,0)</f>
        <v>66</v>
      </c>
      <c r="BG50" t="str">
        <f t="shared" si="9"/>
        <v>Aktywa_B_I_2_KwotaA</v>
      </c>
    </row>
    <row r="51" spans="1:59" ht="16.399999999999999" x14ac:dyDescent="0.35">
      <c r="A51" t="s">
        <v>2063</v>
      </c>
      <c r="B51" t="s">
        <v>2064</v>
      </c>
      <c r="C51" s="42"/>
      <c r="AV51" s="43">
        <f t="shared" si="0"/>
        <v>7</v>
      </c>
      <c r="AW51">
        <f t="shared" si="1"/>
        <v>19</v>
      </c>
      <c r="AX51">
        <f t="shared" si="2"/>
        <v>26</v>
      </c>
      <c r="AY51">
        <f t="shared" si="3"/>
        <v>33</v>
      </c>
      <c r="AZ51">
        <f t="shared" si="4"/>
        <v>42</v>
      </c>
      <c r="BA51">
        <f t="shared" si="5"/>
        <v>53</v>
      </c>
      <c r="BB51">
        <f t="shared" si="6"/>
        <v>66</v>
      </c>
      <c r="BC51">
        <f t="shared" si="7"/>
        <v>66</v>
      </c>
      <c r="BD51">
        <f t="shared" si="8"/>
        <v>66</v>
      </c>
      <c r="BE51">
        <f>HLOOKUP(AV51-1,$AW$3:BD327,ROW(AV51)-2,0)</f>
        <v>53</v>
      </c>
      <c r="BF51">
        <f>HLOOKUP(AV51,$AW$3:BD327,ROW(AV51)-2,0)</f>
        <v>66</v>
      </c>
      <c r="BG51" t="str">
        <f t="shared" si="9"/>
        <v>Aktywa_B_I_3_KwotaA</v>
      </c>
    </row>
    <row r="52" spans="1:59" ht="16.399999999999999" x14ac:dyDescent="0.35">
      <c r="A52" t="s">
        <v>2065</v>
      </c>
      <c r="B52" t="s">
        <v>2066</v>
      </c>
      <c r="C52" s="42"/>
      <c r="AV52" s="43">
        <f t="shared" si="0"/>
        <v>7</v>
      </c>
      <c r="AW52">
        <f t="shared" si="1"/>
        <v>19</v>
      </c>
      <c r="AX52">
        <f t="shared" si="2"/>
        <v>26</v>
      </c>
      <c r="AY52">
        <f t="shared" si="3"/>
        <v>33</v>
      </c>
      <c r="AZ52">
        <f t="shared" si="4"/>
        <v>42</v>
      </c>
      <c r="BA52">
        <f t="shared" si="5"/>
        <v>53</v>
      </c>
      <c r="BB52">
        <f t="shared" si="6"/>
        <v>66</v>
      </c>
      <c r="BC52">
        <f t="shared" si="7"/>
        <v>66</v>
      </c>
      <c r="BD52">
        <f t="shared" si="8"/>
        <v>66</v>
      </c>
      <c r="BE52">
        <f>HLOOKUP(AV52-1,$AW$3:BD327,ROW(AV52)-2,0)</f>
        <v>53</v>
      </c>
      <c r="BF52">
        <f>HLOOKUP(AV52,$AW$3:BD327,ROW(AV52)-2,0)</f>
        <v>66</v>
      </c>
      <c r="BG52" t="str">
        <f t="shared" si="9"/>
        <v>Aktywa_B_I_4_KwotaA</v>
      </c>
    </row>
    <row r="53" spans="1:59" ht="16.399999999999999" x14ac:dyDescent="0.35">
      <c r="A53" t="s">
        <v>2067</v>
      </c>
      <c r="B53" t="s">
        <v>2068</v>
      </c>
      <c r="C53" s="42"/>
      <c r="AV53" s="43">
        <f t="shared" si="0"/>
        <v>7</v>
      </c>
      <c r="AW53">
        <f t="shared" si="1"/>
        <v>19</v>
      </c>
      <c r="AX53">
        <f t="shared" si="2"/>
        <v>26</v>
      </c>
      <c r="AY53">
        <f t="shared" si="3"/>
        <v>33</v>
      </c>
      <c r="AZ53">
        <f t="shared" si="4"/>
        <v>42</v>
      </c>
      <c r="BA53">
        <f t="shared" si="5"/>
        <v>53</v>
      </c>
      <c r="BB53">
        <f t="shared" si="6"/>
        <v>66</v>
      </c>
      <c r="BC53">
        <f t="shared" si="7"/>
        <v>66</v>
      </c>
      <c r="BD53">
        <f t="shared" si="8"/>
        <v>66</v>
      </c>
      <c r="BE53">
        <f>HLOOKUP(AV53-1,$AW$3:BD327,ROW(AV53)-2,0)</f>
        <v>53</v>
      </c>
      <c r="BF53">
        <f>HLOOKUP(AV53,$AW$3:BD327,ROW(AV53)-2,0)</f>
        <v>66</v>
      </c>
      <c r="BG53" t="str">
        <f t="shared" si="9"/>
        <v>Aktywa_B_I_5_KwotaA</v>
      </c>
    </row>
    <row r="54" spans="1:59" ht="16.399999999999999" x14ac:dyDescent="0.35">
      <c r="A54" t="s">
        <v>2069</v>
      </c>
      <c r="B54" t="s">
        <v>2070</v>
      </c>
      <c r="C54" s="42">
        <v>98465.09</v>
      </c>
      <c r="AV54" s="43">
        <f t="shared" si="0"/>
        <v>6</v>
      </c>
      <c r="AW54">
        <f t="shared" si="1"/>
        <v>19</v>
      </c>
      <c r="AX54">
        <f t="shared" si="2"/>
        <v>26</v>
      </c>
      <c r="AY54">
        <f t="shared" si="3"/>
        <v>33</v>
      </c>
      <c r="AZ54">
        <f t="shared" si="4"/>
        <v>42</v>
      </c>
      <c r="BA54">
        <f t="shared" si="5"/>
        <v>54</v>
      </c>
      <c r="BB54">
        <f t="shared" si="6"/>
        <v>54</v>
      </c>
      <c r="BC54">
        <f t="shared" si="7"/>
        <v>54</v>
      </c>
      <c r="BD54">
        <f t="shared" si="8"/>
        <v>54</v>
      </c>
      <c r="BE54">
        <f>HLOOKUP(AV54-1,$AW$3:BD327,ROW(AV54)-2,0)</f>
        <v>42</v>
      </c>
      <c r="BF54">
        <f>HLOOKUP(AV54,$AW$3:BD327,ROW(AV54)-2,0)</f>
        <v>54</v>
      </c>
      <c r="BG54" t="str">
        <f t="shared" si="9"/>
        <v>Aktywa_B_II_KwotaA</v>
      </c>
    </row>
    <row r="55" spans="1:59" ht="16.399999999999999" x14ac:dyDescent="0.35">
      <c r="A55" t="s">
        <v>2071</v>
      </c>
      <c r="B55" t="s">
        <v>2072</v>
      </c>
      <c r="C55" s="42">
        <v>0</v>
      </c>
      <c r="AV55" s="43">
        <f t="shared" si="0"/>
        <v>7</v>
      </c>
      <c r="AW55">
        <f t="shared" si="1"/>
        <v>19</v>
      </c>
      <c r="AX55">
        <f t="shared" si="2"/>
        <v>26</v>
      </c>
      <c r="AY55">
        <f t="shared" si="3"/>
        <v>33</v>
      </c>
      <c r="AZ55">
        <f t="shared" si="4"/>
        <v>42</v>
      </c>
      <c r="BA55">
        <f t="shared" si="5"/>
        <v>54</v>
      </c>
      <c r="BB55">
        <f t="shared" si="6"/>
        <v>68</v>
      </c>
      <c r="BC55">
        <f t="shared" si="7"/>
        <v>68</v>
      </c>
      <c r="BD55">
        <f t="shared" si="8"/>
        <v>68</v>
      </c>
      <c r="BE55">
        <f>HLOOKUP(AV55-1,$AW$3:BD327,ROW(AV55)-2,0)</f>
        <v>54</v>
      </c>
      <c r="BF55">
        <f>HLOOKUP(AV55,$AW$3:BD327,ROW(AV55)-2,0)</f>
        <v>68</v>
      </c>
      <c r="BG55" t="str">
        <f t="shared" si="9"/>
        <v>Aktywa_B_II_1_KwotaA</v>
      </c>
    </row>
    <row r="56" spans="1:59" ht="16.399999999999999" x14ac:dyDescent="0.35">
      <c r="A56" t="s">
        <v>2073</v>
      </c>
      <c r="B56" t="s">
        <v>2074</v>
      </c>
      <c r="C56" s="42">
        <v>0</v>
      </c>
      <c r="AV56" s="43">
        <f t="shared" si="0"/>
        <v>8</v>
      </c>
      <c r="AW56">
        <f t="shared" si="1"/>
        <v>19</v>
      </c>
      <c r="AX56">
        <f t="shared" si="2"/>
        <v>26</v>
      </c>
      <c r="AY56">
        <f t="shared" si="3"/>
        <v>33</v>
      </c>
      <c r="AZ56">
        <f t="shared" si="4"/>
        <v>42</v>
      </c>
      <c r="BA56">
        <f t="shared" si="5"/>
        <v>54</v>
      </c>
      <c r="BB56">
        <f t="shared" si="6"/>
        <v>68</v>
      </c>
      <c r="BC56">
        <f t="shared" si="7"/>
        <v>84</v>
      </c>
      <c r="BD56">
        <f t="shared" si="8"/>
        <v>84</v>
      </c>
      <c r="BE56">
        <f>HLOOKUP(AV56-1,$AW$3:BD328,ROW(AV56)-2,0)</f>
        <v>68</v>
      </c>
      <c r="BF56">
        <f>HLOOKUP(AV56,$AW$3:BD328,ROW(AV56)-2,0)</f>
        <v>84</v>
      </c>
      <c r="BG56" t="str">
        <f t="shared" si="9"/>
        <v>Aktywa_B_II_1_A_KwotaA</v>
      </c>
    </row>
    <row r="57" spans="1:59" ht="16.399999999999999" x14ac:dyDescent="0.35">
      <c r="A57" t="s">
        <v>2075</v>
      </c>
      <c r="B57" t="s">
        <v>2076</v>
      </c>
      <c r="C57" s="42">
        <v>0</v>
      </c>
      <c r="AV57" s="43">
        <f t="shared" si="0"/>
        <v>9</v>
      </c>
      <c r="AW57">
        <f t="shared" si="1"/>
        <v>19</v>
      </c>
      <c r="AX57">
        <f t="shared" si="2"/>
        <v>26</v>
      </c>
      <c r="AY57">
        <f t="shared" si="3"/>
        <v>33</v>
      </c>
      <c r="AZ57">
        <f t="shared" si="4"/>
        <v>42</v>
      </c>
      <c r="BA57">
        <f t="shared" si="5"/>
        <v>54</v>
      </c>
      <c r="BB57">
        <f t="shared" si="6"/>
        <v>68</v>
      </c>
      <c r="BC57">
        <f t="shared" si="7"/>
        <v>84</v>
      </c>
      <c r="BD57">
        <f t="shared" si="8"/>
        <v>102</v>
      </c>
      <c r="BE57">
        <f>HLOOKUP(AV57-1,$AW$3:BD329,ROW(AV57)-2,0)</f>
        <v>84</v>
      </c>
      <c r="BF57">
        <f>HLOOKUP(AV57,$AW$3:BD329,ROW(AV57)-2,0)</f>
        <v>102</v>
      </c>
      <c r="BG57" t="str">
        <f t="shared" si="9"/>
        <v>Aktywa_B_II_1_A_1_KwotaA</v>
      </c>
    </row>
    <row r="58" spans="1:59" ht="16.399999999999999" x14ac:dyDescent="0.35">
      <c r="A58" t="s">
        <v>2077</v>
      </c>
      <c r="B58" t="s">
        <v>2078</v>
      </c>
      <c r="C58" s="42"/>
      <c r="AV58" s="43">
        <f t="shared" si="0"/>
        <v>9</v>
      </c>
      <c r="AW58">
        <f t="shared" si="1"/>
        <v>19</v>
      </c>
      <c r="AX58">
        <f t="shared" si="2"/>
        <v>26</v>
      </c>
      <c r="AY58">
        <f t="shared" si="3"/>
        <v>33</v>
      </c>
      <c r="AZ58">
        <f t="shared" si="4"/>
        <v>42</v>
      </c>
      <c r="BA58">
        <f t="shared" si="5"/>
        <v>54</v>
      </c>
      <c r="BB58">
        <f t="shared" si="6"/>
        <v>68</v>
      </c>
      <c r="BC58">
        <f t="shared" si="7"/>
        <v>84</v>
      </c>
      <c r="BD58">
        <f t="shared" si="8"/>
        <v>102</v>
      </c>
      <c r="BE58">
        <f>HLOOKUP(AV58-1,$AW$3:BD330,ROW(AV58)-2,0)</f>
        <v>84</v>
      </c>
      <c r="BF58">
        <f>HLOOKUP(AV58,$AW$3:BD330,ROW(AV58)-2,0)</f>
        <v>102</v>
      </c>
      <c r="BG58" t="str">
        <f t="shared" si="9"/>
        <v>Aktywa_B_II_1_A_2_KwotaA</v>
      </c>
    </row>
    <row r="59" spans="1:59" ht="16.399999999999999" x14ac:dyDescent="0.35">
      <c r="A59" t="s">
        <v>2079</v>
      </c>
      <c r="B59" t="s">
        <v>2080</v>
      </c>
      <c r="C59" s="42"/>
      <c r="AV59" s="43">
        <f t="shared" si="0"/>
        <v>8</v>
      </c>
      <c r="AW59">
        <f t="shared" si="1"/>
        <v>19</v>
      </c>
      <c r="AX59">
        <f t="shared" si="2"/>
        <v>26</v>
      </c>
      <c r="AY59">
        <f t="shared" si="3"/>
        <v>33</v>
      </c>
      <c r="AZ59">
        <f t="shared" si="4"/>
        <v>42</v>
      </c>
      <c r="BA59">
        <f t="shared" si="5"/>
        <v>54</v>
      </c>
      <c r="BB59">
        <f t="shared" si="6"/>
        <v>68</v>
      </c>
      <c r="BC59">
        <f t="shared" si="7"/>
        <v>84</v>
      </c>
      <c r="BD59">
        <f t="shared" si="8"/>
        <v>84</v>
      </c>
      <c r="BE59">
        <f>HLOOKUP(AV59-1,$AW$3:BD331,ROW(AV59)-2,0)</f>
        <v>68</v>
      </c>
      <c r="BF59">
        <f>HLOOKUP(AV59,$AW$3:BD331,ROW(AV59)-2,0)</f>
        <v>84</v>
      </c>
      <c r="BG59" t="str">
        <f t="shared" si="9"/>
        <v>Aktywa_B_II_1_B_KwotaA</v>
      </c>
    </row>
    <row r="60" spans="1:59" ht="16.399999999999999" x14ac:dyDescent="0.35">
      <c r="A60" t="s">
        <v>2081</v>
      </c>
      <c r="B60" t="s">
        <v>2082</v>
      </c>
      <c r="C60" s="42"/>
      <c r="AV60" s="43">
        <f t="shared" si="0"/>
        <v>7</v>
      </c>
      <c r="AW60">
        <f t="shared" si="1"/>
        <v>19</v>
      </c>
      <c r="AX60">
        <f t="shared" si="2"/>
        <v>26</v>
      </c>
      <c r="AY60">
        <f t="shared" si="3"/>
        <v>33</v>
      </c>
      <c r="AZ60">
        <f t="shared" si="4"/>
        <v>42</v>
      </c>
      <c r="BA60">
        <f t="shared" si="5"/>
        <v>54</v>
      </c>
      <c r="BB60">
        <f t="shared" si="6"/>
        <v>68</v>
      </c>
      <c r="BC60">
        <f t="shared" si="7"/>
        <v>68</v>
      </c>
      <c r="BD60">
        <f t="shared" si="8"/>
        <v>68</v>
      </c>
      <c r="BE60">
        <f>HLOOKUP(AV60-1,$AW$3:BD332,ROW(AV60)-2,0)</f>
        <v>54</v>
      </c>
      <c r="BF60">
        <f>HLOOKUP(AV60,$AW$3:BD332,ROW(AV60)-2,0)</f>
        <v>68</v>
      </c>
      <c r="BG60" t="str">
        <f t="shared" si="9"/>
        <v>Aktywa_B_II_2_KwotaA</v>
      </c>
    </row>
    <row r="61" spans="1:59" ht="16.399999999999999" x14ac:dyDescent="0.35">
      <c r="A61" t="s">
        <v>2083</v>
      </c>
      <c r="B61" t="s">
        <v>2084</v>
      </c>
      <c r="C61" s="42"/>
      <c r="AV61" s="43">
        <f t="shared" si="0"/>
        <v>8</v>
      </c>
      <c r="AW61">
        <f t="shared" si="1"/>
        <v>19</v>
      </c>
      <c r="AX61">
        <f t="shared" si="2"/>
        <v>26</v>
      </c>
      <c r="AY61">
        <f t="shared" si="3"/>
        <v>33</v>
      </c>
      <c r="AZ61">
        <f t="shared" si="4"/>
        <v>42</v>
      </c>
      <c r="BA61">
        <f t="shared" si="5"/>
        <v>54</v>
      </c>
      <c r="BB61">
        <f t="shared" si="6"/>
        <v>68</v>
      </c>
      <c r="BC61">
        <f t="shared" si="7"/>
        <v>84</v>
      </c>
      <c r="BD61">
        <f t="shared" si="8"/>
        <v>84</v>
      </c>
      <c r="BE61">
        <f>HLOOKUP(AV61-1,$AW$3:BD333,ROW(AV61)-2,0)</f>
        <v>68</v>
      </c>
      <c r="BF61">
        <f>HLOOKUP(AV61,$AW$3:BD333,ROW(AV61)-2,0)</f>
        <v>84</v>
      </c>
      <c r="BG61" t="str">
        <f t="shared" si="9"/>
        <v>Aktywa_B_II_2_A_KwotaA</v>
      </c>
    </row>
    <row r="62" spans="1:59" ht="16.399999999999999" x14ac:dyDescent="0.35">
      <c r="A62" t="s">
        <v>2085</v>
      </c>
      <c r="B62" t="s">
        <v>2086</v>
      </c>
      <c r="C62" s="42"/>
      <c r="AV62" s="43">
        <f t="shared" si="0"/>
        <v>9</v>
      </c>
      <c r="AW62">
        <f t="shared" si="1"/>
        <v>19</v>
      </c>
      <c r="AX62">
        <f t="shared" si="2"/>
        <v>26</v>
      </c>
      <c r="AY62">
        <f t="shared" si="3"/>
        <v>33</v>
      </c>
      <c r="AZ62">
        <f t="shared" si="4"/>
        <v>42</v>
      </c>
      <c r="BA62">
        <f t="shared" si="5"/>
        <v>54</v>
      </c>
      <c r="BB62">
        <f t="shared" si="6"/>
        <v>68</v>
      </c>
      <c r="BC62">
        <f t="shared" si="7"/>
        <v>84</v>
      </c>
      <c r="BD62">
        <f t="shared" si="8"/>
        <v>102</v>
      </c>
      <c r="BE62">
        <f>HLOOKUP(AV62-1,$AW$3:BD334,ROW(AV62)-2,0)</f>
        <v>84</v>
      </c>
      <c r="BF62">
        <f>HLOOKUP(AV62,$AW$3:BD334,ROW(AV62)-2,0)</f>
        <v>102</v>
      </c>
      <c r="BG62" t="str">
        <f t="shared" si="9"/>
        <v>Aktywa_B_II_2_A_1_KwotaA</v>
      </c>
    </row>
    <row r="63" spans="1:59" ht="16.399999999999999" x14ac:dyDescent="0.35">
      <c r="A63" t="s">
        <v>2087</v>
      </c>
      <c r="B63" t="s">
        <v>2088</v>
      </c>
      <c r="C63" s="42"/>
      <c r="AV63" s="43">
        <f t="shared" si="0"/>
        <v>9</v>
      </c>
      <c r="AW63">
        <f t="shared" si="1"/>
        <v>19</v>
      </c>
      <c r="AX63">
        <f t="shared" si="2"/>
        <v>26</v>
      </c>
      <c r="AY63">
        <f t="shared" si="3"/>
        <v>33</v>
      </c>
      <c r="AZ63">
        <f t="shared" si="4"/>
        <v>42</v>
      </c>
      <c r="BA63">
        <f t="shared" si="5"/>
        <v>54</v>
      </c>
      <c r="BB63">
        <f t="shared" si="6"/>
        <v>68</v>
      </c>
      <c r="BC63">
        <f t="shared" si="7"/>
        <v>84</v>
      </c>
      <c r="BD63">
        <f t="shared" si="8"/>
        <v>102</v>
      </c>
      <c r="BE63">
        <f>HLOOKUP(AV63-1,$AW$3:BD335,ROW(AV63)-2,0)</f>
        <v>84</v>
      </c>
      <c r="BF63">
        <f>HLOOKUP(AV63,$AW$3:BD335,ROW(AV63)-2,0)</f>
        <v>102</v>
      </c>
      <c r="BG63" t="str">
        <f t="shared" si="9"/>
        <v>Aktywa_B_II_2_A_2_KwotaA</v>
      </c>
    </row>
    <row r="64" spans="1:59" ht="16.399999999999999" x14ac:dyDescent="0.35">
      <c r="A64" t="s">
        <v>2089</v>
      </c>
      <c r="B64" t="s">
        <v>2090</v>
      </c>
      <c r="C64" s="42"/>
      <c r="AV64" s="43">
        <f t="shared" si="0"/>
        <v>8</v>
      </c>
      <c r="AW64">
        <f t="shared" si="1"/>
        <v>19</v>
      </c>
      <c r="AX64">
        <f t="shared" si="2"/>
        <v>26</v>
      </c>
      <c r="AY64">
        <f t="shared" si="3"/>
        <v>33</v>
      </c>
      <c r="AZ64">
        <f t="shared" si="4"/>
        <v>42</v>
      </c>
      <c r="BA64">
        <f t="shared" si="5"/>
        <v>54</v>
      </c>
      <c r="BB64">
        <f t="shared" si="6"/>
        <v>68</v>
      </c>
      <c r="BC64">
        <f t="shared" si="7"/>
        <v>84</v>
      </c>
      <c r="BD64">
        <f t="shared" si="8"/>
        <v>84</v>
      </c>
      <c r="BE64">
        <f>HLOOKUP(AV64-1,$AW$3:BD336,ROW(AV64)-2,0)</f>
        <v>68</v>
      </c>
      <c r="BF64">
        <f>HLOOKUP(AV64,$AW$3:BD336,ROW(AV64)-2,0)</f>
        <v>84</v>
      </c>
      <c r="BG64" t="str">
        <f t="shared" si="9"/>
        <v>Aktywa_B_II_2_B_KwotaA</v>
      </c>
    </row>
    <row r="65" spans="1:59" ht="16.399999999999999" x14ac:dyDescent="0.35">
      <c r="A65" t="s">
        <v>2091</v>
      </c>
      <c r="B65" t="s">
        <v>2092</v>
      </c>
      <c r="C65" s="42">
        <v>98465.09</v>
      </c>
      <c r="AV65" s="43">
        <f t="shared" si="0"/>
        <v>7</v>
      </c>
      <c r="AW65">
        <f t="shared" si="1"/>
        <v>19</v>
      </c>
      <c r="AX65">
        <f t="shared" si="2"/>
        <v>26</v>
      </c>
      <c r="AY65">
        <f t="shared" si="3"/>
        <v>33</v>
      </c>
      <c r="AZ65">
        <f t="shared" si="4"/>
        <v>42</v>
      </c>
      <c r="BA65">
        <f t="shared" si="5"/>
        <v>54</v>
      </c>
      <c r="BB65">
        <f t="shared" si="6"/>
        <v>68</v>
      </c>
      <c r="BC65">
        <f t="shared" si="7"/>
        <v>68</v>
      </c>
      <c r="BD65">
        <f t="shared" si="8"/>
        <v>68</v>
      </c>
      <c r="BE65">
        <f>HLOOKUP(AV65-1,$AW$3:BD337,ROW(AV65)-2,0)</f>
        <v>54</v>
      </c>
      <c r="BF65">
        <f>HLOOKUP(AV65,$AW$3:BD337,ROW(AV65)-2,0)</f>
        <v>68</v>
      </c>
      <c r="BG65" t="str">
        <f t="shared" si="9"/>
        <v>Aktywa_B_II_3_KwotaA</v>
      </c>
    </row>
    <row r="66" spans="1:59" ht="16.399999999999999" x14ac:dyDescent="0.35">
      <c r="A66" t="s">
        <v>2093</v>
      </c>
      <c r="B66" t="s">
        <v>2094</v>
      </c>
      <c r="C66" s="42"/>
      <c r="AV66" s="43">
        <f t="shared" si="0"/>
        <v>8</v>
      </c>
      <c r="AW66">
        <f t="shared" si="1"/>
        <v>19</v>
      </c>
      <c r="AX66">
        <f t="shared" si="2"/>
        <v>26</v>
      </c>
      <c r="AY66">
        <f t="shared" si="3"/>
        <v>33</v>
      </c>
      <c r="AZ66">
        <f t="shared" si="4"/>
        <v>42</v>
      </c>
      <c r="BA66">
        <f t="shared" si="5"/>
        <v>54</v>
      </c>
      <c r="BB66">
        <f t="shared" si="6"/>
        <v>68</v>
      </c>
      <c r="BC66">
        <f t="shared" si="7"/>
        <v>84</v>
      </c>
      <c r="BD66">
        <f t="shared" si="8"/>
        <v>84</v>
      </c>
      <c r="BE66">
        <f>HLOOKUP(AV66-1,$AW$3:BD338,ROW(AV66)-2,0)</f>
        <v>68</v>
      </c>
      <c r="BF66">
        <f>HLOOKUP(AV66,$AW$3:BD338,ROW(AV66)-2,0)</f>
        <v>84</v>
      </c>
      <c r="BG66" t="str">
        <f t="shared" si="9"/>
        <v>Aktywa_B_II_3_A_KwotaA</v>
      </c>
    </row>
    <row r="67" spans="1:59" ht="16.399999999999999" x14ac:dyDescent="0.35">
      <c r="A67" t="s">
        <v>2095</v>
      </c>
      <c r="B67" t="s">
        <v>2096</v>
      </c>
      <c r="C67" s="42"/>
      <c r="AV67" s="43">
        <f t="shared" si="0"/>
        <v>9</v>
      </c>
      <c r="AW67">
        <f t="shared" si="1"/>
        <v>19</v>
      </c>
      <c r="AX67">
        <f t="shared" si="2"/>
        <v>26</v>
      </c>
      <c r="AY67">
        <f t="shared" si="3"/>
        <v>33</v>
      </c>
      <c r="AZ67">
        <f t="shared" si="4"/>
        <v>42</v>
      </c>
      <c r="BA67">
        <f t="shared" si="5"/>
        <v>54</v>
      </c>
      <c r="BB67">
        <f t="shared" si="6"/>
        <v>68</v>
      </c>
      <c r="BC67">
        <f t="shared" si="7"/>
        <v>84</v>
      </c>
      <c r="BD67">
        <f t="shared" si="8"/>
        <v>102</v>
      </c>
      <c r="BE67">
        <f>HLOOKUP(AV67-1,$AW$3:BD339,ROW(AV67)-2,0)</f>
        <v>84</v>
      </c>
      <c r="BF67">
        <f>HLOOKUP(AV67,$AW$3:BD339,ROW(AV67)-2,0)</f>
        <v>102</v>
      </c>
      <c r="BG67" t="str">
        <f t="shared" si="9"/>
        <v>Aktywa_B_II_3_A_1_KwotaA</v>
      </c>
    </row>
    <row r="68" spans="1:59" ht="16.399999999999999" x14ac:dyDescent="0.35">
      <c r="A68" t="s">
        <v>2097</v>
      </c>
      <c r="B68" t="s">
        <v>2098</v>
      </c>
      <c r="C68" s="42"/>
      <c r="AV68" s="43">
        <f t="shared" ref="AV68:AV131" si="10" xml:space="preserve"> SUM(LEN(B68)-LEN(SUBSTITUTE(B68,"/","")))/LEN("/")</f>
        <v>9</v>
      </c>
      <c r="AW68">
        <f t="shared" ref="AW68:AW131" si="11">FIND("/",B68,2)</f>
        <v>19</v>
      </c>
      <c r="AX68">
        <f t="shared" ref="AX68:AX131" si="12">FIND("/",B68,AW68+1)</f>
        <v>26</v>
      </c>
      <c r="AY68">
        <f t="shared" ref="AY68:AY131" si="13">IFERROR(FIND("/",B68,AX68+1),AX68)</f>
        <v>33</v>
      </c>
      <c r="AZ68">
        <f t="shared" ref="AZ68:AZ131" si="14">IFERROR(FIND("/",B68,AY68+1),AY68)</f>
        <v>42</v>
      </c>
      <c r="BA68">
        <f t="shared" ref="BA68:BA131" si="15">IFERROR(FIND("/",B68,AZ68+1),AZ68)</f>
        <v>54</v>
      </c>
      <c r="BB68">
        <f t="shared" ref="BB68:BB131" si="16">IFERROR(FIND("/",B68,BA68+1),BA68)</f>
        <v>68</v>
      </c>
      <c r="BC68">
        <f t="shared" ref="BC68:BC131" si="17">IFERROR(FIND("/",B68,BB68+1),BB68)</f>
        <v>84</v>
      </c>
      <c r="BD68">
        <f t="shared" ref="BD68:BD131" si="18">IFERROR(FIND("/",B68,BC68+1),BC68)</f>
        <v>102</v>
      </c>
      <c r="BE68">
        <f>HLOOKUP(AV68-1,$AW$3:BD340,ROW(AV68)-2,0)</f>
        <v>84</v>
      </c>
      <c r="BF68">
        <f>HLOOKUP(AV68,$AW$3:BD340,ROW(AV68)-2,0)</f>
        <v>102</v>
      </c>
      <c r="BG68" t="str">
        <f t="shared" ref="BG68:BG131" si="19">IF(ISERROR(FIND("Kwota",B68)),IF(ISERROR(FIND("Prawna",B68)),MID(B68,BF68+1,LEN(B68)-BF68),REPLACE(MID(B68,BE68+1,LEN(B68)-BE68),FIND("/",MID(B68,BE68+1,LEN(B68)-BE68)),1,"_")),REPLACE(MID(B68,BE68+1,LEN(B68)-BE68),FIND("/",MID(B68,BE68+1,LEN(B68)-BE68)),1,"_"))</f>
        <v>Aktywa_B_II_3_A_2_KwotaA</v>
      </c>
    </row>
    <row r="69" spans="1:59" ht="16.399999999999999" x14ac:dyDescent="0.35">
      <c r="A69" t="s">
        <v>2099</v>
      </c>
      <c r="B69" t="s">
        <v>2100</v>
      </c>
      <c r="C69" s="42">
        <v>98465.09</v>
      </c>
      <c r="AV69" s="43">
        <f t="shared" si="10"/>
        <v>8</v>
      </c>
      <c r="AW69">
        <f t="shared" si="11"/>
        <v>19</v>
      </c>
      <c r="AX69">
        <f t="shared" si="12"/>
        <v>26</v>
      </c>
      <c r="AY69">
        <f t="shared" si="13"/>
        <v>33</v>
      </c>
      <c r="AZ69">
        <f t="shared" si="14"/>
        <v>42</v>
      </c>
      <c r="BA69">
        <f t="shared" si="15"/>
        <v>54</v>
      </c>
      <c r="BB69">
        <f t="shared" si="16"/>
        <v>68</v>
      </c>
      <c r="BC69">
        <f t="shared" si="17"/>
        <v>84</v>
      </c>
      <c r="BD69">
        <f t="shared" si="18"/>
        <v>84</v>
      </c>
      <c r="BE69">
        <f>HLOOKUP(AV69-1,$AW$3:BD341,ROW(AV69)-2,0)</f>
        <v>68</v>
      </c>
      <c r="BF69">
        <f>HLOOKUP(AV69,$AW$3:BD341,ROW(AV69)-2,0)</f>
        <v>84</v>
      </c>
      <c r="BG69" t="str">
        <f t="shared" si="19"/>
        <v>Aktywa_B_II_3_B_KwotaA</v>
      </c>
    </row>
    <row r="70" spans="1:59" ht="16.399999999999999" x14ac:dyDescent="0.35">
      <c r="A70" t="s">
        <v>2101</v>
      </c>
      <c r="B70" t="s">
        <v>2102</v>
      </c>
      <c r="C70" s="42"/>
      <c r="AV70" s="43">
        <f t="shared" si="10"/>
        <v>8</v>
      </c>
      <c r="AW70">
        <f t="shared" si="11"/>
        <v>19</v>
      </c>
      <c r="AX70">
        <f t="shared" si="12"/>
        <v>26</v>
      </c>
      <c r="AY70">
        <f t="shared" si="13"/>
        <v>33</v>
      </c>
      <c r="AZ70">
        <f t="shared" si="14"/>
        <v>42</v>
      </c>
      <c r="BA70">
        <f t="shared" si="15"/>
        <v>54</v>
      </c>
      <c r="BB70">
        <f t="shared" si="16"/>
        <v>68</v>
      </c>
      <c r="BC70">
        <f t="shared" si="17"/>
        <v>84</v>
      </c>
      <c r="BD70">
        <f t="shared" si="18"/>
        <v>84</v>
      </c>
      <c r="BE70">
        <f>HLOOKUP(AV70-1,$AW$3:BD342,ROW(AV70)-2,0)</f>
        <v>68</v>
      </c>
      <c r="BF70">
        <f>HLOOKUP(AV70,$AW$3:BD342,ROW(AV70)-2,0)</f>
        <v>84</v>
      </c>
      <c r="BG70" t="str">
        <f t="shared" si="19"/>
        <v>Aktywa_B_II_3_C_KwotaA</v>
      </c>
    </row>
    <row r="71" spans="1:59" ht="16.399999999999999" x14ac:dyDescent="0.35">
      <c r="A71" t="s">
        <v>2103</v>
      </c>
      <c r="B71" t="s">
        <v>2104</v>
      </c>
      <c r="AV71" s="43">
        <f t="shared" si="10"/>
        <v>8</v>
      </c>
      <c r="AW71">
        <f t="shared" si="11"/>
        <v>19</v>
      </c>
      <c r="AX71">
        <f t="shared" si="12"/>
        <v>26</v>
      </c>
      <c r="AY71">
        <f t="shared" si="13"/>
        <v>33</v>
      </c>
      <c r="AZ71">
        <f t="shared" si="14"/>
        <v>42</v>
      </c>
      <c r="BA71">
        <f t="shared" si="15"/>
        <v>54</v>
      </c>
      <c r="BB71">
        <f t="shared" si="16"/>
        <v>68</v>
      </c>
      <c r="BC71">
        <f t="shared" si="17"/>
        <v>84</v>
      </c>
      <c r="BD71">
        <f t="shared" si="18"/>
        <v>84</v>
      </c>
      <c r="BE71">
        <f>HLOOKUP(AV71-1,$AW$3:BD343,ROW(AV71)-2,0)</f>
        <v>68</v>
      </c>
      <c r="BF71">
        <f>HLOOKUP(AV71,$AW$3:BD343,ROW(AV71)-2,0)</f>
        <v>84</v>
      </c>
      <c r="BG71" t="str">
        <f t="shared" si="19"/>
        <v>Aktywa_B_II_3_D_KwotaA</v>
      </c>
    </row>
    <row r="72" spans="1:59" ht="16.399999999999999" x14ac:dyDescent="0.35">
      <c r="A72" t="s">
        <v>2105</v>
      </c>
      <c r="B72" t="s">
        <v>2106</v>
      </c>
      <c r="C72" s="18">
        <v>21488112.239999998</v>
      </c>
      <c r="AV72" s="43">
        <f t="shared" si="10"/>
        <v>6</v>
      </c>
      <c r="AW72">
        <f t="shared" si="11"/>
        <v>19</v>
      </c>
      <c r="AX72">
        <f t="shared" si="12"/>
        <v>26</v>
      </c>
      <c r="AY72">
        <f t="shared" si="13"/>
        <v>33</v>
      </c>
      <c r="AZ72">
        <f t="shared" si="14"/>
        <v>42</v>
      </c>
      <c r="BA72">
        <f t="shared" si="15"/>
        <v>55</v>
      </c>
      <c r="BB72">
        <f t="shared" si="16"/>
        <v>55</v>
      </c>
      <c r="BC72">
        <f t="shared" si="17"/>
        <v>55</v>
      </c>
      <c r="BD72">
        <f t="shared" si="18"/>
        <v>55</v>
      </c>
      <c r="BE72">
        <f>HLOOKUP(AV72-1,$AW$3:BD344,ROW(AV72)-2,0)</f>
        <v>42</v>
      </c>
      <c r="BF72">
        <f>HLOOKUP(AV72,$AW$3:BD344,ROW(AV72)-2,0)</f>
        <v>55</v>
      </c>
      <c r="BG72" t="str">
        <f t="shared" si="19"/>
        <v>Aktywa_B_III_KwotaA</v>
      </c>
    </row>
    <row r="73" spans="1:59" ht="16.399999999999999" x14ac:dyDescent="0.35">
      <c r="A73" t="s">
        <v>2107</v>
      </c>
      <c r="B73" t="s">
        <v>2108</v>
      </c>
      <c r="C73" s="18">
        <v>21488112.239999998</v>
      </c>
      <c r="AV73" s="43">
        <f t="shared" si="10"/>
        <v>7</v>
      </c>
      <c r="AW73">
        <f t="shared" si="11"/>
        <v>19</v>
      </c>
      <c r="AX73">
        <f t="shared" si="12"/>
        <v>26</v>
      </c>
      <c r="AY73">
        <f t="shared" si="13"/>
        <v>33</v>
      </c>
      <c r="AZ73">
        <f t="shared" si="14"/>
        <v>42</v>
      </c>
      <c r="BA73">
        <f t="shared" si="15"/>
        <v>55</v>
      </c>
      <c r="BB73">
        <f t="shared" si="16"/>
        <v>70</v>
      </c>
      <c r="BC73">
        <f t="shared" si="17"/>
        <v>70</v>
      </c>
      <c r="BD73">
        <f t="shared" si="18"/>
        <v>70</v>
      </c>
      <c r="BE73">
        <f>HLOOKUP(AV73-1,$AW$3:BD345,ROW(AV73)-2,0)</f>
        <v>55</v>
      </c>
      <c r="BF73">
        <f>HLOOKUP(AV73,$AW$3:BD345,ROW(AV73)-2,0)</f>
        <v>70</v>
      </c>
      <c r="BG73" t="str">
        <f t="shared" si="19"/>
        <v>Aktywa_B_III_1_KwotaA</v>
      </c>
    </row>
    <row r="74" spans="1:59" ht="16.399999999999999" x14ac:dyDescent="0.35">
      <c r="A74" t="s">
        <v>2109</v>
      </c>
      <c r="B74" t="s">
        <v>2110</v>
      </c>
      <c r="C74" s="18">
        <v>20166097.73</v>
      </c>
      <c r="AV74" s="43">
        <f t="shared" si="10"/>
        <v>8</v>
      </c>
      <c r="AW74">
        <f t="shared" si="11"/>
        <v>19</v>
      </c>
      <c r="AX74">
        <f t="shared" si="12"/>
        <v>26</v>
      </c>
      <c r="AY74">
        <f t="shared" si="13"/>
        <v>33</v>
      </c>
      <c r="AZ74">
        <f t="shared" si="14"/>
        <v>42</v>
      </c>
      <c r="BA74">
        <f t="shared" si="15"/>
        <v>55</v>
      </c>
      <c r="BB74">
        <f t="shared" si="16"/>
        <v>70</v>
      </c>
      <c r="BC74">
        <f t="shared" si="17"/>
        <v>87</v>
      </c>
      <c r="BD74">
        <f t="shared" si="18"/>
        <v>87</v>
      </c>
      <c r="BE74">
        <f>HLOOKUP(AV74-1,$AW$3:BD346,ROW(AV74)-2,0)</f>
        <v>70</v>
      </c>
      <c r="BF74">
        <f>HLOOKUP(AV74,$AW$3:BD346,ROW(AV74)-2,0)</f>
        <v>87</v>
      </c>
      <c r="BG74" t="str">
        <f t="shared" si="19"/>
        <v>Aktywa_B_III_1_A_KwotaA</v>
      </c>
    </row>
    <row r="75" spans="1:59" ht="16.399999999999999" x14ac:dyDescent="0.35">
      <c r="A75" t="s">
        <v>2111</v>
      </c>
      <c r="B75" t="s">
        <v>2112</v>
      </c>
      <c r="AV75" s="43">
        <f t="shared" si="10"/>
        <v>9</v>
      </c>
      <c r="AW75">
        <f t="shared" si="11"/>
        <v>19</v>
      </c>
      <c r="AX75">
        <f t="shared" si="12"/>
        <v>26</v>
      </c>
      <c r="AY75">
        <f t="shared" si="13"/>
        <v>33</v>
      </c>
      <c r="AZ75">
        <f t="shared" si="14"/>
        <v>42</v>
      </c>
      <c r="BA75">
        <f t="shared" si="15"/>
        <v>55</v>
      </c>
      <c r="BB75">
        <f t="shared" si="16"/>
        <v>70</v>
      </c>
      <c r="BC75">
        <f t="shared" si="17"/>
        <v>87</v>
      </c>
      <c r="BD75">
        <f t="shared" si="18"/>
        <v>106</v>
      </c>
      <c r="BE75">
        <f>HLOOKUP(AV75-1,$AW$3:BD347,ROW(AV75)-2,0)</f>
        <v>87</v>
      </c>
      <c r="BF75">
        <f>HLOOKUP(AV75,$AW$3:BD347,ROW(AV75)-2,0)</f>
        <v>106</v>
      </c>
      <c r="BG75" t="str">
        <f t="shared" si="19"/>
        <v>Aktywa_B_III_1_A_1_KwotaA</v>
      </c>
    </row>
    <row r="76" spans="1:59" ht="16.399999999999999" x14ac:dyDescent="0.35">
      <c r="A76" t="s">
        <v>2113</v>
      </c>
      <c r="B76" t="s">
        <v>2114</v>
      </c>
      <c r="AV76" s="43">
        <f t="shared" si="10"/>
        <v>9</v>
      </c>
      <c r="AW76">
        <f t="shared" si="11"/>
        <v>19</v>
      </c>
      <c r="AX76">
        <f t="shared" si="12"/>
        <v>26</v>
      </c>
      <c r="AY76">
        <f t="shared" si="13"/>
        <v>33</v>
      </c>
      <c r="AZ76">
        <f t="shared" si="14"/>
        <v>42</v>
      </c>
      <c r="BA76">
        <f t="shared" si="15"/>
        <v>55</v>
      </c>
      <c r="BB76">
        <f t="shared" si="16"/>
        <v>70</v>
      </c>
      <c r="BC76">
        <f t="shared" si="17"/>
        <v>87</v>
      </c>
      <c r="BD76">
        <f t="shared" si="18"/>
        <v>106</v>
      </c>
      <c r="BE76">
        <f>HLOOKUP(AV76-1,$AW$3:BD348,ROW(AV76)-2,0)</f>
        <v>87</v>
      </c>
      <c r="BF76">
        <f>HLOOKUP(AV76,$AW$3:BD348,ROW(AV76)-2,0)</f>
        <v>106</v>
      </c>
      <c r="BG76" t="str">
        <f t="shared" si="19"/>
        <v>Aktywa_B_III_1_A_2_KwotaA</v>
      </c>
    </row>
    <row r="77" spans="1:59" ht="16.399999999999999" x14ac:dyDescent="0.35">
      <c r="A77" t="s">
        <v>2115</v>
      </c>
      <c r="B77" t="s">
        <v>2116</v>
      </c>
      <c r="C77" s="18">
        <v>20166097.73</v>
      </c>
      <c r="AV77" s="43">
        <f t="shared" si="10"/>
        <v>9</v>
      </c>
      <c r="AW77">
        <f t="shared" si="11"/>
        <v>19</v>
      </c>
      <c r="AX77">
        <f t="shared" si="12"/>
        <v>26</v>
      </c>
      <c r="AY77">
        <f t="shared" si="13"/>
        <v>33</v>
      </c>
      <c r="AZ77">
        <f t="shared" si="14"/>
        <v>42</v>
      </c>
      <c r="BA77">
        <f t="shared" si="15"/>
        <v>55</v>
      </c>
      <c r="BB77">
        <f t="shared" si="16"/>
        <v>70</v>
      </c>
      <c r="BC77">
        <f t="shared" si="17"/>
        <v>87</v>
      </c>
      <c r="BD77">
        <f t="shared" si="18"/>
        <v>106</v>
      </c>
      <c r="BE77">
        <f>HLOOKUP(AV77-1,$AW$3:BD349,ROW(AV77)-2,0)</f>
        <v>87</v>
      </c>
      <c r="BF77">
        <f>HLOOKUP(AV77,$AW$3:BD349,ROW(AV77)-2,0)</f>
        <v>106</v>
      </c>
      <c r="BG77" t="str">
        <f t="shared" si="19"/>
        <v>Aktywa_B_III_1_A_3_KwotaA</v>
      </c>
    </row>
    <row r="78" spans="1:59" ht="16.399999999999999" x14ac:dyDescent="0.35">
      <c r="A78" t="s">
        <v>2117</v>
      </c>
      <c r="B78" t="s">
        <v>2118</v>
      </c>
      <c r="AV78" s="43">
        <f t="shared" si="10"/>
        <v>9</v>
      </c>
      <c r="AW78">
        <f t="shared" si="11"/>
        <v>19</v>
      </c>
      <c r="AX78">
        <f t="shared" si="12"/>
        <v>26</v>
      </c>
      <c r="AY78">
        <f t="shared" si="13"/>
        <v>33</v>
      </c>
      <c r="AZ78">
        <f t="shared" si="14"/>
        <v>42</v>
      </c>
      <c r="BA78">
        <f t="shared" si="15"/>
        <v>55</v>
      </c>
      <c r="BB78">
        <f t="shared" si="16"/>
        <v>70</v>
      </c>
      <c r="BC78">
        <f t="shared" si="17"/>
        <v>87</v>
      </c>
      <c r="BD78">
        <f t="shared" si="18"/>
        <v>106</v>
      </c>
      <c r="BE78">
        <f>HLOOKUP(AV78-1,$AW$3:BD350,ROW(AV78)-2,0)</f>
        <v>87</v>
      </c>
      <c r="BF78">
        <f>HLOOKUP(AV78,$AW$3:BD350,ROW(AV78)-2,0)</f>
        <v>106</v>
      </c>
      <c r="BG78" t="str">
        <f t="shared" si="19"/>
        <v>Aktywa_B_III_1_A_4_KwotaA</v>
      </c>
    </row>
    <row r="79" spans="1:59" ht="16.399999999999999" x14ac:dyDescent="0.35">
      <c r="A79" t="s">
        <v>2119</v>
      </c>
      <c r="B79" t="s">
        <v>2120</v>
      </c>
      <c r="AV79" s="43">
        <f t="shared" si="10"/>
        <v>8</v>
      </c>
      <c r="AW79">
        <f t="shared" si="11"/>
        <v>19</v>
      </c>
      <c r="AX79">
        <f t="shared" si="12"/>
        <v>26</v>
      </c>
      <c r="AY79">
        <f t="shared" si="13"/>
        <v>33</v>
      </c>
      <c r="AZ79">
        <f t="shared" si="14"/>
        <v>42</v>
      </c>
      <c r="BA79">
        <f t="shared" si="15"/>
        <v>55</v>
      </c>
      <c r="BB79">
        <f t="shared" si="16"/>
        <v>70</v>
      </c>
      <c r="BC79">
        <f t="shared" si="17"/>
        <v>87</v>
      </c>
      <c r="BD79">
        <f t="shared" si="18"/>
        <v>87</v>
      </c>
      <c r="BE79">
        <f>HLOOKUP(AV79-1,$AW$3:BD351,ROW(AV79)-2,0)</f>
        <v>70</v>
      </c>
      <c r="BF79">
        <f>HLOOKUP(AV79,$AW$3:BD351,ROW(AV79)-2,0)</f>
        <v>87</v>
      </c>
      <c r="BG79" t="str">
        <f t="shared" si="19"/>
        <v>Aktywa_B_III_1_B_KwotaA</v>
      </c>
    </row>
    <row r="80" spans="1:59" ht="16.399999999999999" x14ac:dyDescent="0.35">
      <c r="A80" t="s">
        <v>2121</v>
      </c>
      <c r="B80" t="s">
        <v>2122</v>
      </c>
      <c r="AV80" s="43">
        <f t="shared" si="10"/>
        <v>9</v>
      </c>
      <c r="AW80">
        <f t="shared" si="11"/>
        <v>19</v>
      </c>
      <c r="AX80">
        <f t="shared" si="12"/>
        <v>26</v>
      </c>
      <c r="AY80">
        <f t="shared" si="13"/>
        <v>33</v>
      </c>
      <c r="AZ80">
        <f t="shared" si="14"/>
        <v>42</v>
      </c>
      <c r="BA80">
        <f t="shared" si="15"/>
        <v>55</v>
      </c>
      <c r="BB80">
        <f t="shared" si="16"/>
        <v>70</v>
      </c>
      <c r="BC80">
        <f t="shared" si="17"/>
        <v>87</v>
      </c>
      <c r="BD80">
        <f t="shared" si="18"/>
        <v>106</v>
      </c>
      <c r="BE80">
        <f>HLOOKUP(AV80-1,$AW$3:BD352,ROW(AV80)-2,0)</f>
        <v>87</v>
      </c>
      <c r="BF80">
        <f>HLOOKUP(AV80,$AW$3:BD352,ROW(AV80)-2,0)</f>
        <v>106</v>
      </c>
      <c r="BG80" t="str">
        <f t="shared" si="19"/>
        <v>Aktywa_B_III_1_B_1_KwotaA</v>
      </c>
    </row>
    <row r="81" spans="1:59" ht="16.399999999999999" x14ac:dyDescent="0.35">
      <c r="A81" t="s">
        <v>2123</v>
      </c>
      <c r="B81" t="s">
        <v>2124</v>
      </c>
      <c r="AV81" s="43">
        <f t="shared" si="10"/>
        <v>9</v>
      </c>
      <c r="AW81">
        <f t="shared" si="11"/>
        <v>19</v>
      </c>
      <c r="AX81">
        <f t="shared" si="12"/>
        <v>26</v>
      </c>
      <c r="AY81">
        <f t="shared" si="13"/>
        <v>33</v>
      </c>
      <c r="AZ81">
        <f t="shared" si="14"/>
        <v>42</v>
      </c>
      <c r="BA81">
        <f t="shared" si="15"/>
        <v>55</v>
      </c>
      <c r="BB81">
        <f t="shared" si="16"/>
        <v>70</v>
      </c>
      <c r="BC81">
        <f t="shared" si="17"/>
        <v>87</v>
      </c>
      <c r="BD81">
        <f t="shared" si="18"/>
        <v>106</v>
      </c>
      <c r="BE81">
        <f>HLOOKUP(AV81-1,$AW$3:BD353,ROW(AV81)-2,0)</f>
        <v>87</v>
      </c>
      <c r="BF81">
        <f>HLOOKUP(AV81,$AW$3:BD353,ROW(AV81)-2,0)</f>
        <v>106</v>
      </c>
      <c r="BG81" t="str">
        <f t="shared" si="19"/>
        <v>Aktywa_B_III_1_B_2_KwotaA</v>
      </c>
    </row>
    <row r="82" spans="1:59" ht="16.399999999999999" x14ac:dyDescent="0.35">
      <c r="A82" t="s">
        <v>2125</v>
      </c>
      <c r="B82" t="s">
        <v>2126</v>
      </c>
      <c r="AV82" s="43">
        <f t="shared" si="10"/>
        <v>9</v>
      </c>
      <c r="AW82">
        <f t="shared" si="11"/>
        <v>19</v>
      </c>
      <c r="AX82">
        <f t="shared" si="12"/>
        <v>26</v>
      </c>
      <c r="AY82">
        <f t="shared" si="13"/>
        <v>33</v>
      </c>
      <c r="AZ82">
        <f t="shared" si="14"/>
        <v>42</v>
      </c>
      <c r="BA82">
        <f t="shared" si="15"/>
        <v>55</v>
      </c>
      <c r="BB82">
        <f t="shared" si="16"/>
        <v>70</v>
      </c>
      <c r="BC82">
        <f t="shared" si="17"/>
        <v>87</v>
      </c>
      <c r="BD82">
        <f t="shared" si="18"/>
        <v>106</v>
      </c>
      <c r="BE82">
        <f>HLOOKUP(AV82-1,$AW$3:BD354,ROW(AV82)-2,0)</f>
        <v>87</v>
      </c>
      <c r="BF82">
        <f>HLOOKUP(AV82,$AW$3:BD354,ROW(AV82)-2,0)</f>
        <v>106</v>
      </c>
      <c r="BG82" t="str">
        <f t="shared" si="19"/>
        <v>Aktywa_B_III_1_B_3_KwotaA</v>
      </c>
    </row>
    <row r="83" spans="1:59" ht="16.399999999999999" x14ac:dyDescent="0.35">
      <c r="A83" t="s">
        <v>2127</v>
      </c>
      <c r="B83" t="s">
        <v>2128</v>
      </c>
      <c r="AV83" s="43">
        <f t="shared" si="10"/>
        <v>9</v>
      </c>
      <c r="AW83">
        <f t="shared" si="11"/>
        <v>19</v>
      </c>
      <c r="AX83">
        <f t="shared" si="12"/>
        <v>26</v>
      </c>
      <c r="AY83">
        <f t="shared" si="13"/>
        <v>33</v>
      </c>
      <c r="AZ83">
        <f t="shared" si="14"/>
        <v>42</v>
      </c>
      <c r="BA83">
        <f t="shared" si="15"/>
        <v>55</v>
      </c>
      <c r="BB83">
        <f t="shared" si="16"/>
        <v>70</v>
      </c>
      <c r="BC83">
        <f t="shared" si="17"/>
        <v>87</v>
      </c>
      <c r="BD83">
        <f t="shared" si="18"/>
        <v>106</v>
      </c>
      <c r="BE83">
        <f>HLOOKUP(AV83-1,$AW$3:BD355,ROW(AV83)-2,0)</f>
        <v>87</v>
      </c>
      <c r="BF83">
        <f>HLOOKUP(AV83,$AW$3:BD355,ROW(AV83)-2,0)</f>
        <v>106</v>
      </c>
      <c r="BG83" t="str">
        <f t="shared" si="19"/>
        <v>Aktywa_B_III_1_B_4_KwotaA</v>
      </c>
    </row>
    <row r="84" spans="1:59" ht="16.399999999999999" x14ac:dyDescent="0.35">
      <c r="A84" t="s">
        <v>2129</v>
      </c>
      <c r="B84" t="s">
        <v>2130</v>
      </c>
      <c r="C84" s="18">
        <v>1322014.51</v>
      </c>
      <c r="AV84" s="43">
        <f t="shared" si="10"/>
        <v>8</v>
      </c>
      <c r="AW84">
        <f t="shared" si="11"/>
        <v>19</v>
      </c>
      <c r="AX84">
        <f t="shared" si="12"/>
        <v>26</v>
      </c>
      <c r="AY84">
        <f t="shared" si="13"/>
        <v>33</v>
      </c>
      <c r="AZ84">
        <f t="shared" si="14"/>
        <v>42</v>
      </c>
      <c r="BA84">
        <f t="shared" si="15"/>
        <v>55</v>
      </c>
      <c r="BB84">
        <f t="shared" si="16"/>
        <v>70</v>
      </c>
      <c r="BC84">
        <f t="shared" si="17"/>
        <v>87</v>
      </c>
      <c r="BD84">
        <f t="shared" si="18"/>
        <v>87</v>
      </c>
      <c r="BE84">
        <f>HLOOKUP(AV84-1,$AW$3:BD356,ROW(AV84)-2,0)</f>
        <v>70</v>
      </c>
      <c r="BF84">
        <f>HLOOKUP(AV84,$AW$3:BD356,ROW(AV84)-2,0)</f>
        <v>87</v>
      </c>
      <c r="BG84" t="str">
        <f t="shared" si="19"/>
        <v>Aktywa_B_III_1_C_KwotaA</v>
      </c>
    </row>
    <row r="85" spans="1:59" ht="16.399999999999999" x14ac:dyDescent="0.35">
      <c r="A85" t="s">
        <v>2131</v>
      </c>
      <c r="B85" t="s">
        <v>2132</v>
      </c>
      <c r="C85" s="18">
        <v>1322014.51</v>
      </c>
      <c r="AV85" s="43">
        <f t="shared" si="10"/>
        <v>9</v>
      </c>
      <c r="AW85">
        <f t="shared" si="11"/>
        <v>19</v>
      </c>
      <c r="AX85">
        <f t="shared" si="12"/>
        <v>26</v>
      </c>
      <c r="AY85">
        <f t="shared" si="13"/>
        <v>33</v>
      </c>
      <c r="AZ85">
        <f t="shared" si="14"/>
        <v>42</v>
      </c>
      <c r="BA85">
        <f t="shared" si="15"/>
        <v>55</v>
      </c>
      <c r="BB85">
        <f t="shared" si="16"/>
        <v>70</v>
      </c>
      <c r="BC85">
        <f t="shared" si="17"/>
        <v>87</v>
      </c>
      <c r="BD85">
        <f t="shared" si="18"/>
        <v>106</v>
      </c>
      <c r="BE85">
        <f>HLOOKUP(AV85-1,$AW$3:BD357,ROW(AV85)-2,0)</f>
        <v>87</v>
      </c>
      <c r="BF85">
        <f>HLOOKUP(AV85,$AW$3:BD357,ROW(AV85)-2,0)</f>
        <v>106</v>
      </c>
      <c r="BG85" t="str">
        <f t="shared" si="19"/>
        <v>Aktywa_B_III_1_C_1_KwotaA</v>
      </c>
    </row>
    <row r="86" spans="1:59" ht="16.399999999999999" x14ac:dyDescent="0.35">
      <c r="A86" t="s">
        <v>2133</v>
      </c>
      <c r="B86" t="s">
        <v>2134</v>
      </c>
      <c r="AV86" s="43">
        <f t="shared" si="10"/>
        <v>9</v>
      </c>
      <c r="AW86">
        <f t="shared" si="11"/>
        <v>19</v>
      </c>
      <c r="AX86">
        <f t="shared" si="12"/>
        <v>26</v>
      </c>
      <c r="AY86">
        <f t="shared" si="13"/>
        <v>33</v>
      </c>
      <c r="AZ86">
        <f t="shared" si="14"/>
        <v>42</v>
      </c>
      <c r="BA86">
        <f t="shared" si="15"/>
        <v>55</v>
      </c>
      <c r="BB86">
        <f t="shared" si="16"/>
        <v>70</v>
      </c>
      <c r="BC86">
        <f t="shared" si="17"/>
        <v>87</v>
      </c>
      <c r="BD86">
        <f t="shared" si="18"/>
        <v>106</v>
      </c>
      <c r="BE86">
        <f>HLOOKUP(AV86-1,$AW$3:BD358,ROW(AV86)-2,0)</f>
        <v>87</v>
      </c>
      <c r="BF86">
        <f>HLOOKUP(AV86,$AW$3:BD358,ROW(AV86)-2,0)</f>
        <v>106</v>
      </c>
      <c r="BG86" t="str">
        <f t="shared" si="19"/>
        <v>Aktywa_B_III_1_C_2_KwotaA</v>
      </c>
    </row>
    <row r="87" spans="1:59" ht="16.399999999999999" x14ac:dyDescent="0.35">
      <c r="A87" t="s">
        <v>2135</v>
      </c>
      <c r="B87" t="s">
        <v>2136</v>
      </c>
      <c r="AV87" s="43">
        <f t="shared" si="10"/>
        <v>9</v>
      </c>
      <c r="AW87">
        <f t="shared" si="11"/>
        <v>19</v>
      </c>
      <c r="AX87">
        <f t="shared" si="12"/>
        <v>26</v>
      </c>
      <c r="AY87">
        <f t="shared" si="13"/>
        <v>33</v>
      </c>
      <c r="AZ87">
        <f t="shared" si="14"/>
        <v>42</v>
      </c>
      <c r="BA87">
        <f t="shared" si="15"/>
        <v>55</v>
      </c>
      <c r="BB87">
        <f t="shared" si="16"/>
        <v>70</v>
      </c>
      <c r="BC87">
        <f t="shared" si="17"/>
        <v>87</v>
      </c>
      <c r="BD87">
        <f t="shared" si="18"/>
        <v>106</v>
      </c>
      <c r="BE87">
        <f>HLOOKUP(AV87-1,$AW$3:BD359,ROW(AV87)-2,0)</f>
        <v>87</v>
      </c>
      <c r="BF87">
        <f>HLOOKUP(AV87,$AW$3:BD359,ROW(AV87)-2,0)</f>
        <v>106</v>
      </c>
      <c r="BG87" t="str">
        <f t="shared" si="19"/>
        <v>Aktywa_B_III_1_C_3_KwotaA</v>
      </c>
    </row>
    <row r="88" spans="1:59" ht="16.399999999999999" x14ac:dyDescent="0.35">
      <c r="A88" t="s">
        <v>2137</v>
      </c>
      <c r="B88" t="s">
        <v>2138</v>
      </c>
      <c r="C88" s="18">
        <v>295805.59999999998</v>
      </c>
      <c r="AV88" s="43">
        <f t="shared" si="10"/>
        <v>6</v>
      </c>
      <c r="AW88">
        <f t="shared" si="11"/>
        <v>19</v>
      </c>
      <c r="AX88">
        <f t="shared" si="12"/>
        <v>26</v>
      </c>
      <c r="AY88">
        <f t="shared" si="13"/>
        <v>33</v>
      </c>
      <c r="AZ88">
        <f t="shared" si="14"/>
        <v>42</v>
      </c>
      <c r="BA88">
        <f t="shared" si="15"/>
        <v>54</v>
      </c>
      <c r="BB88">
        <f t="shared" si="16"/>
        <v>54</v>
      </c>
      <c r="BC88">
        <f t="shared" si="17"/>
        <v>54</v>
      </c>
      <c r="BD88">
        <f t="shared" si="18"/>
        <v>54</v>
      </c>
      <c r="BE88">
        <f>HLOOKUP(AV88-1,$AW$3:BD360,ROW(AV88)-2,0)</f>
        <v>42</v>
      </c>
      <c r="BF88">
        <f>HLOOKUP(AV88,$AW$3:BD360,ROW(AV88)-2,0)</f>
        <v>54</v>
      </c>
      <c r="BG88" t="str">
        <f t="shared" si="19"/>
        <v>Aktywa_B_IV_KwotaA</v>
      </c>
    </row>
    <row r="89" spans="1:59" ht="16.399999999999999" x14ac:dyDescent="0.35">
      <c r="A89" t="s">
        <v>2139</v>
      </c>
      <c r="B89" t="s">
        <v>2140</v>
      </c>
      <c r="AV89" s="43">
        <f t="shared" si="10"/>
        <v>5</v>
      </c>
      <c r="AW89">
        <f t="shared" si="11"/>
        <v>19</v>
      </c>
      <c r="AX89">
        <f t="shared" si="12"/>
        <v>26</v>
      </c>
      <c r="AY89">
        <f t="shared" si="13"/>
        <v>33</v>
      </c>
      <c r="AZ89">
        <f t="shared" si="14"/>
        <v>42</v>
      </c>
      <c r="BA89">
        <f t="shared" si="15"/>
        <v>42</v>
      </c>
      <c r="BB89">
        <f t="shared" si="16"/>
        <v>42</v>
      </c>
      <c r="BC89">
        <f t="shared" si="17"/>
        <v>42</v>
      </c>
      <c r="BD89">
        <f t="shared" si="18"/>
        <v>42</v>
      </c>
      <c r="BE89">
        <f>HLOOKUP(AV89-1,$AW$3:BD361,ROW(AV89)-2,0)</f>
        <v>33</v>
      </c>
      <c r="BF89">
        <f>HLOOKUP(AV89,$AW$3:BD361,ROW(AV89)-2,0)</f>
        <v>42</v>
      </c>
      <c r="BG89" t="str">
        <f t="shared" si="19"/>
        <v>Aktywa_C_KwotaA</v>
      </c>
    </row>
    <row r="90" spans="1:59" ht="16.399999999999999" x14ac:dyDescent="0.35">
      <c r="A90" t="s">
        <v>2141</v>
      </c>
      <c r="B90" t="s">
        <v>2142</v>
      </c>
      <c r="AV90" s="43">
        <f t="shared" si="10"/>
        <v>5</v>
      </c>
      <c r="AW90">
        <f t="shared" si="11"/>
        <v>19</v>
      </c>
      <c r="AX90">
        <f t="shared" si="12"/>
        <v>26</v>
      </c>
      <c r="AY90">
        <f t="shared" si="13"/>
        <v>33</v>
      </c>
      <c r="AZ90">
        <f t="shared" si="14"/>
        <v>42</v>
      </c>
      <c r="BA90">
        <f t="shared" si="15"/>
        <v>42</v>
      </c>
      <c r="BB90">
        <f t="shared" si="16"/>
        <v>42</v>
      </c>
      <c r="BC90">
        <f t="shared" si="17"/>
        <v>42</v>
      </c>
      <c r="BD90">
        <f t="shared" si="18"/>
        <v>42</v>
      </c>
      <c r="BE90">
        <f>HLOOKUP(AV90-1,$AW$3:BD362,ROW(AV90)-2,0)</f>
        <v>33</v>
      </c>
      <c r="BF90">
        <f>HLOOKUP(AV90,$AW$3:BD362,ROW(AV90)-2,0)</f>
        <v>42</v>
      </c>
      <c r="BG90" t="str">
        <f t="shared" si="19"/>
        <v>Aktywa_D_KwotaA</v>
      </c>
    </row>
    <row r="91" spans="1:59" ht="16.399999999999999" x14ac:dyDescent="0.35">
      <c r="A91" t="s">
        <v>2143</v>
      </c>
      <c r="B91" t="s">
        <v>2144</v>
      </c>
      <c r="C91" s="18">
        <v>1162057982.4400001</v>
      </c>
      <c r="AV91" s="43">
        <f t="shared" si="10"/>
        <v>4</v>
      </c>
      <c r="AW91">
        <f t="shared" si="11"/>
        <v>19</v>
      </c>
      <c r="AX91">
        <f t="shared" si="12"/>
        <v>26</v>
      </c>
      <c r="AY91">
        <f t="shared" si="13"/>
        <v>33</v>
      </c>
      <c r="AZ91">
        <f t="shared" si="14"/>
        <v>33</v>
      </c>
      <c r="BA91">
        <f t="shared" si="15"/>
        <v>33</v>
      </c>
      <c r="BB91">
        <f t="shared" si="16"/>
        <v>33</v>
      </c>
      <c r="BC91">
        <f t="shared" si="17"/>
        <v>33</v>
      </c>
      <c r="BD91">
        <f t="shared" si="18"/>
        <v>33</v>
      </c>
      <c r="BE91">
        <f>HLOOKUP(AV91-1,$AW$3:BD363,ROW(AV91)-2,0)</f>
        <v>26</v>
      </c>
      <c r="BF91">
        <f>HLOOKUP(AV91,$AW$3:BD363,ROW(AV91)-2,0)</f>
        <v>33</v>
      </c>
      <c r="BG91" t="str">
        <f t="shared" si="19"/>
        <v>Pasywa_KwotaA</v>
      </c>
    </row>
    <row r="92" spans="1:59" ht="16.399999999999999" x14ac:dyDescent="0.35">
      <c r="A92" t="s">
        <v>2145</v>
      </c>
      <c r="B92" t="s">
        <v>2146</v>
      </c>
      <c r="C92" s="18">
        <v>335859972.45999998</v>
      </c>
      <c r="AV92" s="43">
        <f t="shared" si="10"/>
        <v>5</v>
      </c>
      <c r="AW92">
        <f t="shared" si="11"/>
        <v>19</v>
      </c>
      <c r="AX92">
        <f t="shared" si="12"/>
        <v>26</v>
      </c>
      <c r="AY92">
        <f t="shared" si="13"/>
        <v>33</v>
      </c>
      <c r="AZ92">
        <f t="shared" si="14"/>
        <v>42</v>
      </c>
      <c r="BA92">
        <f t="shared" si="15"/>
        <v>42</v>
      </c>
      <c r="BB92">
        <f t="shared" si="16"/>
        <v>42</v>
      </c>
      <c r="BC92">
        <f t="shared" si="17"/>
        <v>42</v>
      </c>
      <c r="BD92">
        <f t="shared" si="18"/>
        <v>42</v>
      </c>
      <c r="BE92">
        <f>HLOOKUP(AV92-1,$AW$3:BD364,ROW(AV92)-2,0)</f>
        <v>33</v>
      </c>
      <c r="BF92">
        <f>HLOOKUP(AV92,$AW$3:BD364,ROW(AV92)-2,0)</f>
        <v>42</v>
      </c>
      <c r="BG92" t="str">
        <f t="shared" si="19"/>
        <v>Pasywa_A_KwotaA</v>
      </c>
    </row>
    <row r="93" spans="1:59" ht="16.399999999999999" x14ac:dyDescent="0.35">
      <c r="A93" t="s">
        <v>2147</v>
      </c>
      <c r="B93" t="s">
        <v>2148</v>
      </c>
      <c r="C93" s="18">
        <v>99989487</v>
      </c>
      <c r="AV93" s="43">
        <f t="shared" si="10"/>
        <v>6</v>
      </c>
      <c r="AW93">
        <f t="shared" si="11"/>
        <v>19</v>
      </c>
      <c r="AX93">
        <f t="shared" si="12"/>
        <v>26</v>
      </c>
      <c r="AY93">
        <f t="shared" si="13"/>
        <v>33</v>
      </c>
      <c r="AZ93">
        <f t="shared" si="14"/>
        <v>42</v>
      </c>
      <c r="BA93">
        <f t="shared" si="15"/>
        <v>53</v>
      </c>
      <c r="BB93">
        <f t="shared" si="16"/>
        <v>53</v>
      </c>
      <c r="BC93">
        <f t="shared" si="17"/>
        <v>53</v>
      </c>
      <c r="BD93">
        <f t="shared" si="18"/>
        <v>53</v>
      </c>
      <c r="BE93">
        <f>HLOOKUP(AV93-1,$AW$3:BD365,ROW(AV93)-2,0)</f>
        <v>42</v>
      </c>
      <c r="BF93">
        <f>HLOOKUP(AV93,$AW$3:BD365,ROW(AV93)-2,0)</f>
        <v>53</v>
      </c>
      <c r="BG93" t="str">
        <f t="shared" si="19"/>
        <v>Pasywa_A_I_KwotaA</v>
      </c>
    </row>
    <row r="94" spans="1:59" ht="16.399999999999999" x14ac:dyDescent="0.35">
      <c r="A94" t="s">
        <v>2149</v>
      </c>
      <c r="B94" t="s">
        <v>2150</v>
      </c>
      <c r="C94" s="18">
        <v>44776995.479999997</v>
      </c>
      <c r="AV94" s="43">
        <f t="shared" si="10"/>
        <v>6</v>
      </c>
      <c r="AW94">
        <f t="shared" si="11"/>
        <v>19</v>
      </c>
      <c r="AX94">
        <f t="shared" si="12"/>
        <v>26</v>
      </c>
      <c r="AY94">
        <f t="shared" si="13"/>
        <v>33</v>
      </c>
      <c r="AZ94">
        <f t="shared" si="14"/>
        <v>42</v>
      </c>
      <c r="BA94">
        <f t="shared" si="15"/>
        <v>54</v>
      </c>
      <c r="BB94">
        <f t="shared" si="16"/>
        <v>54</v>
      </c>
      <c r="BC94">
        <f t="shared" si="17"/>
        <v>54</v>
      </c>
      <c r="BD94">
        <f t="shared" si="18"/>
        <v>54</v>
      </c>
      <c r="BE94">
        <f>HLOOKUP(AV94-1,$AW$3:BD366,ROW(AV94)-2,0)</f>
        <v>42</v>
      </c>
      <c r="BF94">
        <f>HLOOKUP(AV94,$AW$3:BD366,ROW(AV94)-2,0)</f>
        <v>54</v>
      </c>
      <c r="BG94" t="str">
        <f t="shared" si="19"/>
        <v>Pasywa_A_II_KwotaA</v>
      </c>
    </row>
    <row r="95" spans="1:59" ht="16.399999999999999" x14ac:dyDescent="0.35">
      <c r="A95" t="s">
        <v>2151</v>
      </c>
      <c r="B95" t="s">
        <v>2152</v>
      </c>
      <c r="AV95" s="43">
        <f t="shared" si="10"/>
        <v>7</v>
      </c>
      <c r="AW95">
        <f t="shared" si="11"/>
        <v>19</v>
      </c>
      <c r="AX95">
        <f t="shared" si="12"/>
        <v>26</v>
      </c>
      <c r="AY95">
        <f t="shared" si="13"/>
        <v>33</v>
      </c>
      <c r="AZ95">
        <f t="shared" si="14"/>
        <v>42</v>
      </c>
      <c r="BA95">
        <f t="shared" si="15"/>
        <v>54</v>
      </c>
      <c r="BB95">
        <f t="shared" si="16"/>
        <v>68</v>
      </c>
      <c r="BC95">
        <f t="shared" si="17"/>
        <v>68</v>
      </c>
      <c r="BD95">
        <f t="shared" si="18"/>
        <v>68</v>
      </c>
      <c r="BE95">
        <f>HLOOKUP(AV95-1,$AW$3:BD367,ROW(AV95)-2,0)</f>
        <v>54</v>
      </c>
      <c r="BF95">
        <f>HLOOKUP(AV95,$AW$3:BD367,ROW(AV95)-2,0)</f>
        <v>68</v>
      </c>
      <c r="BG95" t="str">
        <f t="shared" si="19"/>
        <v>Pasywa_A_II_1_KwotaA</v>
      </c>
    </row>
    <row r="96" spans="1:59" ht="16.399999999999999" x14ac:dyDescent="0.35">
      <c r="A96" t="s">
        <v>2153</v>
      </c>
      <c r="B96" t="s">
        <v>2154</v>
      </c>
      <c r="AV96" s="43">
        <f t="shared" si="10"/>
        <v>6</v>
      </c>
      <c r="AW96">
        <f t="shared" si="11"/>
        <v>19</v>
      </c>
      <c r="AX96">
        <f t="shared" si="12"/>
        <v>26</v>
      </c>
      <c r="AY96">
        <f t="shared" si="13"/>
        <v>33</v>
      </c>
      <c r="AZ96">
        <f t="shared" si="14"/>
        <v>42</v>
      </c>
      <c r="BA96">
        <f t="shared" si="15"/>
        <v>55</v>
      </c>
      <c r="BB96">
        <f t="shared" si="16"/>
        <v>55</v>
      </c>
      <c r="BC96">
        <f t="shared" si="17"/>
        <v>55</v>
      </c>
      <c r="BD96">
        <f t="shared" si="18"/>
        <v>55</v>
      </c>
      <c r="BE96">
        <f>HLOOKUP(AV96-1,$AW$3:BD368,ROW(AV96)-2,0)</f>
        <v>42</v>
      </c>
      <c r="BF96">
        <f>HLOOKUP(AV96,$AW$3:BD368,ROW(AV96)-2,0)</f>
        <v>55</v>
      </c>
      <c r="BG96" t="str">
        <f t="shared" si="19"/>
        <v>Pasywa_A_III_KwotaA</v>
      </c>
    </row>
    <row r="97" spans="1:59" ht="16.399999999999999" x14ac:dyDescent="0.35">
      <c r="A97" t="s">
        <v>2155</v>
      </c>
      <c r="B97" t="s">
        <v>2156</v>
      </c>
      <c r="AV97" s="43">
        <f t="shared" si="10"/>
        <v>7</v>
      </c>
      <c r="AW97">
        <f t="shared" si="11"/>
        <v>19</v>
      </c>
      <c r="AX97">
        <f t="shared" si="12"/>
        <v>26</v>
      </c>
      <c r="AY97">
        <f t="shared" si="13"/>
        <v>33</v>
      </c>
      <c r="AZ97">
        <f t="shared" si="14"/>
        <v>42</v>
      </c>
      <c r="BA97">
        <f t="shared" si="15"/>
        <v>55</v>
      </c>
      <c r="BB97">
        <f t="shared" si="16"/>
        <v>70</v>
      </c>
      <c r="BC97">
        <f t="shared" si="17"/>
        <v>70</v>
      </c>
      <c r="BD97">
        <f t="shared" si="18"/>
        <v>70</v>
      </c>
      <c r="BE97">
        <f>HLOOKUP(AV97-1,$AW$3:BD369,ROW(AV97)-2,0)</f>
        <v>55</v>
      </c>
      <c r="BF97">
        <f>HLOOKUP(AV97,$AW$3:BD369,ROW(AV97)-2,0)</f>
        <v>70</v>
      </c>
      <c r="BG97" t="str">
        <f t="shared" si="19"/>
        <v>Pasywa_A_III_1_KwotaA</v>
      </c>
    </row>
    <row r="98" spans="1:59" ht="16.399999999999999" x14ac:dyDescent="0.35">
      <c r="A98" t="s">
        <v>2157</v>
      </c>
      <c r="B98" t="s">
        <v>2158</v>
      </c>
      <c r="C98" s="18">
        <v>124604674.53</v>
      </c>
      <c r="AV98" s="43">
        <f t="shared" si="10"/>
        <v>6</v>
      </c>
      <c r="AW98">
        <f t="shared" si="11"/>
        <v>19</v>
      </c>
      <c r="AX98">
        <f t="shared" si="12"/>
        <v>26</v>
      </c>
      <c r="AY98">
        <f t="shared" si="13"/>
        <v>33</v>
      </c>
      <c r="AZ98">
        <f t="shared" si="14"/>
        <v>42</v>
      </c>
      <c r="BA98">
        <f t="shared" si="15"/>
        <v>54</v>
      </c>
      <c r="BB98">
        <f t="shared" si="16"/>
        <v>54</v>
      </c>
      <c r="BC98">
        <f t="shared" si="17"/>
        <v>54</v>
      </c>
      <c r="BD98">
        <f t="shared" si="18"/>
        <v>54</v>
      </c>
      <c r="BE98">
        <f>HLOOKUP(AV98-1,$AW$3:BD370,ROW(AV98)-2,0)</f>
        <v>42</v>
      </c>
      <c r="BF98">
        <f>HLOOKUP(AV98,$AW$3:BD370,ROW(AV98)-2,0)</f>
        <v>54</v>
      </c>
      <c r="BG98" t="str">
        <f t="shared" si="19"/>
        <v>Pasywa_A_IV_KwotaA</v>
      </c>
    </row>
    <row r="99" spans="1:59" ht="16.399999999999999" x14ac:dyDescent="0.35">
      <c r="A99" t="s">
        <v>2159</v>
      </c>
      <c r="B99" t="s">
        <v>2160</v>
      </c>
      <c r="C99" s="18">
        <v>124604674.53</v>
      </c>
      <c r="AV99" s="43">
        <f t="shared" si="10"/>
        <v>7</v>
      </c>
      <c r="AW99">
        <f t="shared" si="11"/>
        <v>19</v>
      </c>
      <c r="AX99">
        <f t="shared" si="12"/>
        <v>26</v>
      </c>
      <c r="AY99">
        <f t="shared" si="13"/>
        <v>33</v>
      </c>
      <c r="AZ99">
        <f t="shared" si="14"/>
        <v>42</v>
      </c>
      <c r="BA99">
        <f t="shared" si="15"/>
        <v>54</v>
      </c>
      <c r="BB99">
        <f t="shared" si="16"/>
        <v>68</v>
      </c>
      <c r="BC99">
        <f t="shared" si="17"/>
        <v>68</v>
      </c>
      <c r="BD99">
        <f t="shared" si="18"/>
        <v>68</v>
      </c>
      <c r="BE99">
        <f>HLOOKUP(AV99-1,$AW$3:BD371,ROW(AV99)-2,0)</f>
        <v>54</v>
      </c>
      <c r="BF99">
        <f>HLOOKUP(AV99,$AW$3:BD371,ROW(AV99)-2,0)</f>
        <v>68</v>
      </c>
      <c r="BG99" t="str">
        <f t="shared" si="19"/>
        <v>Pasywa_A_IV_1_KwotaA</v>
      </c>
    </row>
    <row r="100" spans="1:59" ht="16.399999999999999" x14ac:dyDescent="0.35">
      <c r="A100" t="s">
        <v>2161</v>
      </c>
      <c r="B100" t="s">
        <v>2162</v>
      </c>
      <c r="AV100" s="43">
        <f t="shared" si="10"/>
        <v>7</v>
      </c>
      <c r="AW100">
        <f t="shared" si="11"/>
        <v>19</v>
      </c>
      <c r="AX100">
        <f t="shared" si="12"/>
        <v>26</v>
      </c>
      <c r="AY100">
        <f t="shared" si="13"/>
        <v>33</v>
      </c>
      <c r="AZ100">
        <f t="shared" si="14"/>
        <v>42</v>
      </c>
      <c r="BA100">
        <f t="shared" si="15"/>
        <v>54</v>
      </c>
      <c r="BB100">
        <f t="shared" si="16"/>
        <v>68</v>
      </c>
      <c r="BC100">
        <f t="shared" si="17"/>
        <v>68</v>
      </c>
      <c r="BD100">
        <f t="shared" si="18"/>
        <v>68</v>
      </c>
      <c r="BE100">
        <f>HLOOKUP(AV100-1,$AW$3:BD372,ROW(AV100)-2,0)</f>
        <v>54</v>
      </c>
      <c r="BF100">
        <f>HLOOKUP(AV100,$AW$3:BD372,ROW(AV100)-2,0)</f>
        <v>68</v>
      </c>
      <c r="BG100" t="str">
        <f t="shared" si="19"/>
        <v>Pasywa_A_IV_2_KwotaA</v>
      </c>
    </row>
    <row r="101" spans="1:59" ht="16.399999999999999" x14ac:dyDescent="0.35">
      <c r="A101" t="s">
        <v>2163</v>
      </c>
      <c r="B101" t="s">
        <v>2164</v>
      </c>
      <c r="AV101" s="43">
        <f t="shared" si="10"/>
        <v>6</v>
      </c>
      <c r="AW101">
        <f t="shared" si="11"/>
        <v>19</v>
      </c>
      <c r="AX101">
        <f t="shared" si="12"/>
        <v>26</v>
      </c>
      <c r="AY101">
        <f t="shared" si="13"/>
        <v>33</v>
      </c>
      <c r="AZ101">
        <f t="shared" si="14"/>
        <v>42</v>
      </c>
      <c r="BA101">
        <f t="shared" si="15"/>
        <v>53</v>
      </c>
      <c r="BB101">
        <f t="shared" si="16"/>
        <v>53</v>
      </c>
      <c r="BC101">
        <f t="shared" si="17"/>
        <v>53</v>
      </c>
      <c r="BD101">
        <f t="shared" si="18"/>
        <v>53</v>
      </c>
      <c r="BE101">
        <f>HLOOKUP(AV101-1,$AW$3:BD373,ROW(AV101)-2,0)</f>
        <v>42</v>
      </c>
      <c r="BF101">
        <f>HLOOKUP(AV101,$AW$3:BD373,ROW(AV101)-2,0)</f>
        <v>53</v>
      </c>
      <c r="BG101" t="str">
        <f t="shared" si="19"/>
        <v>Pasywa_A_V_KwotaA</v>
      </c>
    </row>
    <row r="102" spans="1:59" ht="16.399999999999999" x14ac:dyDescent="0.35">
      <c r="A102" t="s">
        <v>2165</v>
      </c>
      <c r="B102" t="s">
        <v>2166</v>
      </c>
      <c r="C102" s="18">
        <v>66488815.450000003</v>
      </c>
      <c r="AV102" s="43">
        <f t="shared" si="10"/>
        <v>6</v>
      </c>
      <c r="AW102">
        <f t="shared" si="11"/>
        <v>19</v>
      </c>
      <c r="AX102">
        <f t="shared" si="12"/>
        <v>26</v>
      </c>
      <c r="AY102">
        <f t="shared" si="13"/>
        <v>33</v>
      </c>
      <c r="AZ102">
        <f t="shared" si="14"/>
        <v>42</v>
      </c>
      <c r="BA102">
        <f t="shared" si="15"/>
        <v>54</v>
      </c>
      <c r="BB102">
        <f t="shared" si="16"/>
        <v>54</v>
      </c>
      <c r="BC102">
        <f t="shared" si="17"/>
        <v>54</v>
      </c>
      <c r="BD102">
        <f t="shared" si="18"/>
        <v>54</v>
      </c>
      <c r="BE102">
        <f>HLOOKUP(AV102-1,$AW$3:BD374,ROW(AV102)-2,0)</f>
        <v>42</v>
      </c>
      <c r="BF102">
        <f>HLOOKUP(AV102,$AW$3:BD374,ROW(AV102)-2,0)</f>
        <v>54</v>
      </c>
      <c r="BG102" t="str">
        <f t="shared" si="19"/>
        <v>Pasywa_A_VI_KwotaA</v>
      </c>
    </row>
    <row r="103" spans="1:59" ht="16.399999999999999" x14ac:dyDescent="0.35">
      <c r="A103" t="s">
        <v>2167</v>
      </c>
      <c r="B103" t="s">
        <v>2168</v>
      </c>
      <c r="AV103" s="43">
        <f t="shared" si="10"/>
        <v>6</v>
      </c>
      <c r="AW103">
        <f t="shared" si="11"/>
        <v>19</v>
      </c>
      <c r="AX103">
        <f t="shared" si="12"/>
        <v>26</v>
      </c>
      <c r="AY103">
        <f t="shared" si="13"/>
        <v>33</v>
      </c>
      <c r="AZ103">
        <f t="shared" si="14"/>
        <v>42</v>
      </c>
      <c r="BA103">
        <f t="shared" si="15"/>
        <v>55</v>
      </c>
      <c r="BB103">
        <f t="shared" si="16"/>
        <v>55</v>
      </c>
      <c r="BC103">
        <f t="shared" si="17"/>
        <v>55</v>
      </c>
      <c r="BD103">
        <f t="shared" si="18"/>
        <v>55</v>
      </c>
      <c r="BE103">
        <f>HLOOKUP(AV103-1,$AW$3:BD375,ROW(AV103)-2,0)</f>
        <v>42</v>
      </c>
      <c r="BF103">
        <f>HLOOKUP(AV103,$AW$3:BD375,ROW(AV103)-2,0)</f>
        <v>55</v>
      </c>
      <c r="BG103" t="str">
        <f t="shared" si="19"/>
        <v>Pasywa_A_VII_KwotaA</v>
      </c>
    </row>
    <row r="104" spans="1:59" ht="16.399999999999999" x14ac:dyDescent="0.35">
      <c r="A104" t="s">
        <v>2169</v>
      </c>
      <c r="B104" t="s">
        <v>2170</v>
      </c>
      <c r="C104" s="18">
        <v>826198009.98000002</v>
      </c>
      <c r="AV104" s="43">
        <f t="shared" si="10"/>
        <v>5</v>
      </c>
      <c r="AW104">
        <f t="shared" si="11"/>
        <v>19</v>
      </c>
      <c r="AX104">
        <f t="shared" si="12"/>
        <v>26</v>
      </c>
      <c r="AY104">
        <f t="shared" si="13"/>
        <v>33</v>
      </c>
      <c r="AZ104">
        <f t="shared" si="14"/>
        <v>42</v>
      </c>
      <c r="BA104">
        <f t="shared" si="15"/>
        <v>42</v>
      </c>
      <c r="BB104">
        <f t="shared" si="16"/>
        <v>42</v>
      </c>
      <c r="BC104">
        <f t="shared" si="17"/>
        <v>42</v>
      </c>
      <c r="BD104">
        <f t="shared" si="18"/>
        <v>42</v>
      </c>
      <c r="BE104">
        <f>HLOOKUP(AV104-1,$AW$3:BD376,ROW(AV104)-2,0)</f>
        <v>33</v>
      </c>
      <c r="BF104">
        <f>HLOOKUP(AV104,$AW$3:BD376,ROW(AV104)-2,0)</f>
        <v>42</v>
      </c>
      <c r="BG104" t="str">
        <f t="shared" si="19"/>
        <v>Pasywa_B_KwotaA</v>
      </c>
    </row>
    <row r="105" spans="1:59" ht="16.399999999999999" x14ac:dyDescent="0.35">
      <c r="A105" t="s">
        <v>2171</v>
      </c>
      <c r="B105" t="s">
        <v>2172</v>
      </c>
      <c r="C105" s="18">
        <v>594887.14</v>
      </c>
      <c r="AV105" s="43">
        <f t="shared" si="10"/>
        <v>6</v>
      </c>
      <c r="AW105">
        <f t="shared" si="11"/>
        <v>19</v>
      </c>
      <c r="AX105">
        <f t="shared" si="12"/>
        <v>26</v>
      </c>
      <c r="AY105">
        <f t="shared" si="13"/>
        <v>33</v>
      </c>
      <c r="AZ105">
        <f t="shared" si="14"/>
        <v>42</v>
      </c>
      <c r="BA105">
        <f t="shared" si="15"/>
        <v>53</v>
      </c>
      <c r="BB105">
        <f t="shared" si="16"/>
        <v>53</v>
      </c>
      <c r="BC105">
        <f t="shared" si="17"/>
        <v>53</v>
      </c>
      <c r="BD105">
        <f t="shared" si="18"/>
        <v>53</v>
      </c>
      <c r="BE105">
        <f>HLOOKUP(AV105-1,$AW$3:BD377,ROW(AV105)-2,0)</f>
        <v>42</v>
      </c>
      <c r="BF105">
        <f>HLOOKUP(AV105,$AW$3:BD377,ROW(AV105)-2,0)</f>
        <v>53</v>
      </c>
      <c r="BG105" t="str">
        <f t="shared" si="19"/>
        <v>Pasywa_B_I_KwotaA</v>
      </c>
    </row>
    <row r="106" spans="1:59" ht="16.399999999999999" x14ac:dyDescent="0.35">
      <c r="A106" t="s">
        <v>2173</v>
      </c>
      <c r="B106" t="s">
        <v>2174</v>
      </c>
      <c r="C106" s="18">
        <v>586245.76</v>
      </c>
      <c r="AV106" s="43">
        <f t="shared" si="10"/>
        <v>7</v>
      </c>
      <c r="AW106">
        <f t="shared" si="11"/>
        <v>19</v>
      </c>
      <c r="AX106">
        <f t="shared" si="12"/>
        <v>26</v>
      </c>
      <c r="AY106">
        <f t="shared" si="13"/>
        <v>33</v>
      </c>
      <c r="AZ106">
        <f t="shared" si="14"/>
        <v>42</v>
      </c>
      <c r="BA106">
        <f t="shared" si="15"/>
        <v>53</v>
      </c>
      <c r="BB106">
        <f t="shared" si="16"/>
        <v>66</v>
      </c>
      <c r="BC106">
        <f t="shared" si="17"/>
        <v>66</v>
      </c>
      <c r="BD106">
        <f t="shared" si="18"/>
        <v>66</v>
      </c>
      <c r="BE106">
        <f>HLOOKUP(AV106-1,$AW$3:BD378,ROW(AV106)-2,0)</f>
        <v>53</v>
      </c>
      <c r="BF106">
        <f>HLOOKUP(AV106,$AW$3:BD378,ROW(AV106)-2,0)</f>
        <v>66</v>
      </c>
      <c r="BG106" t="str">
        <f t="shared" si="19"/>
        <v>Pasywa_B_I_1_KwotaA</v>
      </c>
    </row>
    <row r="107" spans="1:59" ht="16.399999999999999" x14ac:dyDescent="0.35">
      <c r="A107" t="s">
        <v>2175</v>
      </c>
      <c r="B107" t="s">
        <v>2176</v>
      </c>
      <c r="C107" s="18">
        <v>8641.3799999999992</v>
      </c>
      <c r="AV107" s="43">
        <f t="shared" si="10"/>
        <v>7</v>
      </c>
      <c r="AW107">
        <f t="shared" si="11"/>
        <v>19</v>
      </c>
      <c r="AX107">
        <f t="shared" si="12"/>
        <v>26</v>
      </c>
      <c r="AY107">
        <f t="shared" si="13"/>
        <v>33</v>
      </c>
      <c r="AZ107">
        <f t="shared" si="14"/>
        <v>42</v>
      </c>
      <c r="BA107">
        <f t="shared" si="15"/>
        <v>53</v>
      </c>
      <c r="BB107">
        <f t="shared" si="16"/>
        <v>66</v>
      </c>
      <c r="BC107">
        <f t="shared" si="17"/>
        <v>66</v>
      </c>
      <c r="BD107">
        <f t="shared" si="18"/>
        <v>66</v>
      </c>
      <c r="BE107">
        <f>HLOOKUP(AV107-1,$AW$3:BD379,ROW(AV107)-2,0)</f>
        <v>53</v>
      </c>
      <c r="BF107">
        <f>HLOOKUP(AV107,$AW$3:BD379,ROW(AV107)-2,0)</f>
        <v>66</v>
      </c>
      <c r="BG107" t="str">
        <f t="shared" si="19"/>
        <v>Pasywa_B_I_2_KwotaA</v>
      </c>
    </row>
    <row r="108" spans="1:59" ht="16.399999999999999" x14ac:dyDescent="0.35">
      <c r="A108" t="s">
        <v>2177</v>
      </c>
      <c r="B108" t="s">
        <v>2178</v>
      </c>
      <c r="AV108" s="43">
        <f t="shared" si="10"/>
        <v>8</v>
      </c>
      <c r="AW108">
        <f t="shared" si="11"/>
        <v>19</v>
      </c>
      <c r="AX108">
        <f t="shared" si="12"/>
        <v>26</v>
      </c>
      <c r="AY108">
        <f t="shared" si="13"/>
        <v>33</v>
      </c>
      <c r="AZ108">
        <f t="shared" si="14"/>
        <v>42</v>
      </c>
      <c r="BA108">
        <f t="shared" si="15"/>
        <v>53</v>
      </c>
      <c r="BB108">
        <f t="shared" si="16"/>
        <v>66</v>
      </c>
      <c r="BC108">
        <f t="shared" si="17"/>
        <v>81</v>
      </c>
      <c r="BD108">
        <f t="shared" si="18"/>
        <v>81</v>
      </c>
      <c r="BE108">
        <f>HLOOKUP(AV108-1,$AW$3:BD380,ROW(AV108)-2,0)</f>
        <v>66</v>
      </c>
      <c r="BF108">
        <f>HLOOKUP(AV108,$AW$3:BD380,ROW(AV108)-2,0)</f>
        <v>81</v>
      </c>
      <c r="BG108" t="str">
        <f t="shared" si="19"/>
        <v>Pasywa_B_I_2_1_KwotaA</v>
      </c>
    </row>
    <row r="109" spans="1:59" ht="16.399999999999999" x14ac:dyDescent="0.35">
      <c r="A109" t="s">
        <v>2179</v>
      </c>
      <c r="B109" t="s">
        <v>2180</v>
      </c>
      <c r="C109" s="18">
        <v>8641.3799999999992</v>
      </c>
      <c r="AV109" s="43">
        <f t="shared" si="10"/>
        <v>8</v>
      </c>
      <c r="AW109">
        <f t="shared" si="11"/>
        <v>19</v>
      </c>
      <c r="AX109">
        <f t="shared" si="12"/>
        <v>26</v>
      </c>
      <c r="AY109">
        <f t="shared" si="13"/>
        <v>33</v>
      </c>
      <c r="AZ109">
        <f t="shared" si="14"/>
        <v>42</v>
      </c>
      <c r="BA109">
        <f t="shared" si="15"/>
        <v>53</v>
      </c>
      <c r="BB109">
        <f t="shared" si="16"/>
        <v>66</v>
      </c>
      <c r="BC109">
        <f t="shared" si="17"/>
        <v>81</v>
      </c>
      <c r="BD109">
        <f t="shared" si="18"/>
        <v>81</v>
      </c>
      <c r="BE109">
        <f>HLOOKUP(AV109-1,$AW$3:BD381,ROW(AV109)-2,0)</f>
        <v>66</v>
      </c>
      <c r="BF109">
        <f>HLOOKUP(AV109,$AW$3:BD381,ROW(AV109)-2,0)</f>
        <v>81</v>
      </c>
      <c r="BG109" t="str">
        <f t="shared" si="19"/>
        <v>Pasywa_B_I_2_2_KwotaA</v>
      </c>
    </row>
    <row r="110" spans="1:59" ht="16.399999999999999" x14ac:dyDescent="0.35">
      <c r="A110" t="s">
        <v>2181</v>
      </c>
      <c r="B110" t="s">
        <v>2182</v>
      </c>
      <c r="AV110" s="43">
        <f t="shared" si="10"/>
        <v>7</v>
      </c>
      <c r="AW110">
        <f t="shared" si="11"/>
        <v>19</v>
      </c>
      <c r="AX110">
        <f t="shared" si="12"/>
        <v>26</v>
      </c>
      <c r="AY110">
        <f t="shared" si="13"/>
        <v>33</v>
      </c>
      <c r="AZ110">
        <f t="shared" si="14"/>
        <v>42</v>
      </c>
      <c r="BA110">
        <f t="shared" si="15"/>
        <v>53</v>
      </c>
      <c r="BB110">
        <f t="shared" si="16"/>
        <v>66</v>
      </c>
      <c r="BC110">
        <f t="shared" si="17"/>
        <v>66</v>
      </c>
      <c r="BD110">
        <f t="shared" si="18"/>
        <v>66</v>
      </c>
      <c r="BE110">
        <f>HLOOKUP(AV110-1,$AW$3:BD382,ROW(AV110)-2,0)</f>
        <v>53</v>
      </c>
      <c r="BF110">
        <f>HLOOKUP(AV110,$AW$3:BD382,ROW(AV110)-2,0)</f>
        <v>66</v>
      </c>
      <c r="BG110" t="str">
        <f t="shared" si="19"/>
        <v>Pasywa_B_I_3_KwotaA</v>
      </c>
    </row>
    <row r="111" spans="1:59" ht="16.399999999999999" x14ac:dyDescent="0.35">
      <c r="A111" t="s">
        <v>2183</v>
      </c>
      <c r="B111" t="s">
        <v>2184</v>
      </c>
      <c r="AV111" s="43">
        <f t="shared" si="10"/>
        <v>8</v>
      </c>
      <c r="AW111">
        <f t="shared" si="11"/>
        <v>19</v>
      </c>
      <c r="AX111">
        <f t="shared" si="12"/>
        <v>26</v>
      </c>
      <c r="AY111">
        <f t="shared" si="13"/>
        <v>33</v>
      </c>
      <c r="AZ111">
        <f t="shared" si="14"/>
        <v>42</v>
      </c>
      <c r="BA111">
        <f t="shared" si="15"/>
        <v>53</v>
      </c>
      <c r="BB111">
        <f t="shared" si="16"/>
        <v>66</v>
      </c>
      <c r="BC111">
        <f t="shared" si="17"/>
        <v>81</v>
      </c>
      <c r="BD111">
        <f t="shared" si="18"/>
        <v>81</v>
      </c>
      <c r="BE111">
        <f>HLOOKUP(AV111-1,$AW$3:BD383,ROW(AV111)-2,0)</f>
        <v>66</v>
      </c>
      <c r="BF111">
        <f>HLOOKUP(AV111,$AW$3:BD383,ROW(AV111)-2,0)</f>
        <v>81</v>
      </c>
      <c r="BG111" t="str">
        <f t="shared" si="19"/>
        <v>Pasywa_B_I_3_1_KwotaA</v>
      </c>
    </row>
    <row r="112" spans="1:59" ht="16.399999999999999" x14ac:dyDescent="0.35">
      <c r="A112" t="s">
        <v>2185</v>
      </c>
      <c r="B112" t="s">
        <v>2186</v>
      </c>
      <c r="AV112" s="43">
        <f t="shared" si="10"/>
        <v>8</v>
      </c>
      <c r="AW112">
        <f t="shared" si="11"/>
        <v>19</v>
      </c>
      <c r="AX112">
        <f t="shared" si="12"/>
        <v>26</v>
      </c>
      <c r="AY112">
        <f t="shared" si="13"/>
        <v>33</v>
      </c>
      <c r="AZ112">
        <f t="shared" si="14"/>
        <v>42</v>
      </c>
      <c r="BA112">
        <f t="shared" si="15"/>
        <v>53</v>
      </c>
      <c r="BB112">
        <f t="shared" si="16"/>
        <v>66</v>
      </c>
      <c r="BC112">
        <f t="shared" si="17"/>
        <v>81</v>
      </c>
      <c r="BD112">
        <f t="shared" si="18"/>
        <v>81</v>
      </c>
      <c r="BE112">
        <f>HLOOKUP(AV112-1,$AW$3:BD384,ROW(AV112)-2,0)</f>
        <v>66</v>
      </c>
      <c r="BF112">
        <f>HLOOKUP(AV112,$AW$3:BD384,ROW(AV112)-2,0)</f>
        <v>81</v>
      </c>
      <c r="BG112" t="str">
        <f t="shared" si="19"/>
        <v>Pasywa_B_I_3_2_KwotaA</v>
      </c>
    </row>
    <row r="113" spans="1:59" ht="16.399999999999999" x14ac:dyDescent="0.35">
      <c r="A113" t="s">
        <v>2187</v>
      </c>
      <c r="B113" t="s">
        <v>2188</v>
      </c>
      <c r="C113" s="18">
        <v>823489964.75999999</v>
      </c>
      <c r="AV113" s="43">
        <f t="shared" si="10"/>
        <v>6</v>
      </c>
      <c r="AW113">
        <f t="shared" si="11"/>
        <v>19</v>
      </c>
      <c r="AX113">
        <f t="shared" si="12"/>
        <v>26</v>
      </c>
      <c r="AY113">
        <f t="shared" si="13"/>
        <v>33</v>
      </c>
      <c r="AZ113">
        <f t="shared" si="14"/>
        <v>42</v>
      </c>
      <c r="BA113">
        <f t="shared" si="15"/>
        <v>54</v>
      </c>
      <c r="BB113">
        <f t="shared" si="16"/>
        <v>54</v>
      </c>
      <c r="BC113">
        <f t="shared" si="17"/>
        <v>54</v>
      </c>
      <c r="BD113">
        <f t="shared" si="18"/>
        <v>54</v>
      </c>
      <c r="BE113">
        <f>HLOOKUP(AV113-1,$AW$3:BD385,ROW(AV113)-2,0)</f>
        <v>42</v>
      </c>
      <c r="BF113">
        <f>HLOOKUP(AV113,$AW$3:BD385,ROW(AV113)-2,0)</f>
        <v>54</v>
      </c>
      <c r="BG113" t="str">
        <f t="shared" si="19"/>
        <v>Pasywa_B_II_KwotaA</v>
      </c>
    </row>
    <row r="114" spans="1:59" ht="16.399999999999999" x14ac:dyDescent="0.35">
      <c r="A114" t="s">
        <v>2189</v>
      </c>
      <c r="B114" t="s">
        <v>2190</v>
      </c>
      <c r="C114" s="18">
        <v>823489964.75999999</v>
      </c>
      <c r="AV114" s="43">
        <f t="shared" si="10"/>
        <v>7</v>
      </c>
      <c r="AW114">
        <f t="shared" si="11"/>
        <v>19</v>
      </c>
      <c r="AX114">
        <f t="shared" si="12"/>
        <v>26</v>
      </c>
      <c r="AY114">
        <f t="shared" si="13"/>
        <v>33</v>
      </c>
      <c r="AZ114">
        <f t="shared" si="14"/>
        <v>42</v>
      </c>
      <c r="BA114">
        <f t="shared" si="15"/>
        <v>54</v>
      </c>
      <c r="BB114">
        <f t="shared" si="16"/>
        <v>68</v>
      </c>
      <c r="BC114">
        <f t="shared" si="17"/>
        <v>68</v>
      </c>
      <c r="BD114">
        <f t="shared" si="18"/>
        <v>68</v>
      </c>
      <c r="BE114">
        <f>HLOOKUP(AV114-1,$AW$3:BD386,ROW(AV114)-2,0)</f>
        <v>54</v>
      </c>
      <c r="BF114">
        <f>HLOOKUP(AV114,$AW$3:BD386,ROW(AV114)-2,0)</f>
        <v>68</v>
      </c>
      <c r="BG114" t="str">
        <f t="shared" si="19"/>
        <v>Pasywa_B_II_1_KwotaA</v>
      </c>
    </row>
    <row r="115" spans="1:59" ht="16.399999999999999" x14ac:dyDescent="0.35">
      <c r="A115" t="s">
        <v>2191</v>
      </c>
      <c r="B115" t="s">
        <v>2192</v>
      </c>
      <c r="AV115" s="43">
        <f t="shared" si="10"/>
        <v>7</v>
      </c>
      <c r="AW115">
        <f t="shared" si="11"/>
        <v>19</v>
      </c>
      <c r="AX115">
        <f t="shared" si="12"/>
        <v>26</v>
      </c>
      <c r="AY115">
        <f t="shared" si="13"/>
        <v>33</v>
      </c>
      <c r="AZ115">
        <f t="shared" si="14"/>
        <v>42</v>
      </c>
      <c r="BA115">
        <f t="shared" si="15"/>
        <v>54</v>
      </c>
      <c r="BB115">
        <f t="shared" si="16"/>
        <v>68</v>
      </c>
      <c r="BC115">
        <f t="shared" si="17"/>
        <v>68</v>
      </c>
      <c r="BD115">
        <f t="shared" si="18"/>
        <v>68</v>
      </c>
      <c r="BE115">
        <f>HLOOKUP(AV115-1,$AW$3:BD387,ROW(AV115)-2,0)</f>
        <v>54</v>
      </c>
      <c r="BF115">
        <f>HLOOKUP(AV115,$AW$3:BD387,ROW(AV115)-2,0)</f>
        <v>68</v>
      </c>
      <c r="BG115" t="str">
        <f t="shared" si="19"/>
        <v>Pasywa_B_II_2_KwotaA</v>
      </c>
    </row>
    <row r="116" spans="1:59" ht="16.399999999999999" x14ac:dyDescent="0.35">
      <c r="A116" t="s">
        <v>2193</v>
      </c>
      <c r="B116" t="s">
        <v>2194</v>
      </c>
      <c r="AV116" s="43">
        <f t="shared" si="10"/>
        <v>7</v>
      </c>
      <c r="AW116">
        <f t="shared" si="11"/>
        <v>19</v>
      </c>
      <c r="AX116">
        <f t="shared" si="12"/>
        <v>26</v>
      </c>
      <c r="AY116">
        <f t="shared" si="13"/>
        <v>33</v>
      </c>
      <c r="AZ116">
        <f t="shared" si="14"/>
        <v>42</v>
      </c>
      <c r="BA116">
        <f t="shared" si="15"/>
        <v>54</v>
      </c>
      <c r="BB116">
        <f t="shared" si="16"/>
        <v>68</v>
      </c>
      <c r="BC116">
        <f t="shared" si="17"/>
        <v>68</v>
      </c>
      <c r="BD116">
        <f t="shared" si="18"/>
        <v>68</v>
      </c>
      <c r="BE116">
        <f>HLOOKUP(AV116-1,$AW$3:BD388,ROW(AV116)-2,0)</f>
        <v>54</v>
      </c>
      <c r="BF116">
        <f>HLOOKUP(AV116,$AW$3:BD388,ROW(AV116)-2,0)</f>
        <v>68</v>
      </c>
      <c r="BG116" t="str">
        <f t="shared" si="19"/>
        <v>Pasywa_B_II_3_KwotaA</v>
      </c>
    </row>
    <row r="117" spans="1:59" ht="16.399999999999999" x14ac:dyDescent="0.35">
      <c r="A117" t="s">
        <v>2195</v>
      </c>
      <c r="B117" t="s">
        <v>2196</v>
      </c>
      <c r="AV117" s="43">
        <f t="shared" si="10"/>
        <v>8</v>
      </c>
      <c r="AW117">
        <f t="shared" si="11"/>
        <v>19</v>
      </c>
      <c r="AX117">
        <f t="shared" si="12"/>
        <v>26</v>
      </c>
      <c r="AY117">
        <f t="shared" si="13"/>
        <v>33</v>
      </c>
      <c r="AZ117">
        <f t="shared" si="14"/>
        <v>42</v>
      </c>
      <c r="BA117">
        <f t="shared" si="15"/>
        <v>54</v>
      </c>
      <c r="BB117">
        <f t="shared" si="16"/>
        <v>68</v>
      </c>
      <c r="BC117">
        <f t="shared" si="17"/>
        <v>84</v>
      </c>
      <c r="BD117">
        <f t="shared" si="18"/>
        <v>84</v>
      </c>
      <c r="BE117">
        <f>HLOOKUP(AV117-1,$AW$3:BD389,ROW(AV117)-2,0)</f>
        <v>68</v>
      </c>
      <c r="BF117">
        <f>HLOOKUP(AV117,$AW$3:BD389,ROW(AV117)-2,0)</f>
        <v>84</v>
      </c>
      <c r="BG117" t="str">
        <f t="shared" si="19"/>
        <v>Pasywa_B_II_3_A_KwotaA</v>
      </c>
    </row>
    <row r="118" spans="1:59" ht="16.399999999999999" x14ac:dyDescent="0.35">
      <c r="A118" t="s">
        <v>2197</v>
      </c>
      <c r="B118" t="s">
        <v>2198</v>
      </c>
      <c r="AV118" s="43">
        <f t="shared" si="10"/>
        <v>8</v>
      </c>
      <c r="AW118">
        <f t="shared" si="11"/>
        <v>19</v>
      </c>
      <c r="AX118">
        <f t="shared" si="12"/>
        <v>26</v>
      </c>
      <c r="AY118">
        <f t="shared" si="13"/>
        <v>33</v>
      </c>
      <c r="AZ118">
        <f t="shared" si="14"/>
        <v>42</v>
      </c>
      <c r="BA118">
        <f t="shared" si="15"/>
        <v>54</v>
      </c>
      <c r="BB118">
        <f t="shared" si="16"/>
        <v>68</v>
      </c>
      <c r="BC118">
        <f t="shared" si="17"/>
        <v>84</v>
      </c>
      <c r="BD118">
        <f t="shared" si="18"/>
        <v>84</v>
      </c>
      <c r="BE118">
        <f>HLOOKUP(AV118-1,$AW$3:BD390,ROW(AV118)-2,0)</f>
        <v>68</v>
      </c>
      <c r="BF118">
        <f>HLOOKUP(AV118,$AW$3:BD390,ROW(AV118)-2,0)</f>
        <v>84</v>
      </c>
      <c r="BG118" t="str">
        <f t="shared" si="19"/>
        <v>Pasywa_B_II_3_B_KwotaA</v>
      </c>
    </row>
    <row r="119" spans="1:59" ht="16.399999999999999" x14ac:dyDescent="0.35">
      <c r="A119" t="s">
        <v>2199</v>
      </c>
      <c r="B119" t="s">
        <v>2200</v>
      </c>
      <c r="AV119" s="43">
        <f t="shared" si="10"/>
        <v>8</v>
      </c>
      <c r="AW119">
        <f t="shared" si="11"/>
        <v>19</v>
      </c>
      <c r="AX119">
        <f t="shared" si="12"/>
        <v>26</v>
      </c>
      <c r="AY119">
        <f t="shared" si="13"/>
        <v>33</v>
      </c>
      <c r="AZ119">
        <f t="shared" si="14"/>
        <v>42</v>
      </c>
      <c r="BA119">
        <f t="shared" si="15"/>
        <v>54</v>
      </c>
      <c r="BB119">
        <f t="shared" si="16"/>
        <v>68</v>
      </c>
      <c r="BC119">
        <f t="shared" si="17"/>
        <v>84</v>
      </c>
      <c r="BD119">
        <f t="shared" si="18"/>
        <v>84</v>
      </c>
      <c r="BE119">
        <f>HLOOKUP(AV119-1,$AW$3:BD391,ROW(AV119)-2,0)</f>
        <v>68</v>
      </c>
      <c r="BF119">
        <f>HLOOKUP(AV119,$AW$3:BD391,ROW(AV119)-2,0)</f>
        <v>84</v>
      </c>
      <c r="BG119" t="str">
        <f t="shared" si="19"/>
        <v>Pasywa_B_II_3_C_KwotaA</v>
      </c>
    </row>
    <row r="120" spans="1:59" ht="16.399999999999999" x14ac:dyDescent="0.35">
      <c r="A120" t="s">
        <v>2201</v>
      </c>
      <c r="B120" t="s">
        <v>2202</v>
      </c>
      <c r="AV120" s="43">
        <f t="shared" si="10"/>
        <v>8</v>
      </c>
      <c r="AW120">
        <f t="shared" si="11"/>
        <v>19</v>
      </c>
      <c r="AX120">
        <f t="shared" si="12"/>
        <v>26</v>
      </c>
      <c r="AY120">
        <f t="shared" si="13"/>
        <v>33</v>
      </c>
      <c r="AZ120">
        <f t="shared" si="14"/>
        <v>42</v>
      </c>
      <c r="BA120">
        <f t="shared" si="15"/>
        <v>54</v>
      </c>
      <c r="BB120">
        <f t="shared" si="16"/>
        <v>68</v>
      </c>
      <c r="BC120">
        <f t="shared" si="17"/>
        <v>84</v>
      </c>
      <c r="BD120">
        <f t="shared" si="18"/>
        <v>84</v>
      </c>
      <c r="BE120">
        <f>HLOOKUP(AV120-1,$AW$3:BD392,ROW(AV120)-2,0)</f>
        <v>68</v>
      </c>
      <c r="BF120">
        <f>HLOOKUP(AV120,$AW$3:BD392,ROW(AV120)-2,0)</f>
        <v>84</v>
      </c>
      <c r="BG120" t="str">
        <f t="shared" si="19"/>
        <v>Pasywa_B_II_3_D_KwotaA</v>
      </c>
    </row>
    <row r="121" spans="1:59" ht="16.399999999999999" x14ac:dyDescent="0.35">
      <c r="A121" t="s">
        <v>2203</v>
      </c>
      <c r="B121" t="s">
        <v>2204</v>
      </c>
      <c r="AV121" s="43">
        <f t="shared" si="10"/>
        <v>8</v>
      </c>
      <c r="AW121">
        <f t="shared" si="11"/>
        <v>19</v>
      </c>
      <c r="AX121">
        <f t="shared" si="12"/>
        <v>26</v>
      </c>
      <c r="AY121">
        <f t="shared" si="13"/>
        <v>33</v>
      </c>
      <c r="AZ121">
        <f t="shared" si="14"/>
        <v>42</v>
      </c>
      <c r="BA121">
        <f t="shared" si="15"/>
        <v>54</v>
      </c>
      <c r="BB121">
        <f t="shared" si="16"/>
        <v>68</v>
      </c>
      <c r="BC121">
        <f t="shared" si="17"/>
        <v>84</v>
      </c>
      <c r="BD121">
        <f t="shared" si="18"/>
        <v>84</v>
      </c>
      <c r="BE121">
        <f>HLOOKUP(AV121-1,$AW$3:BD393,ROW(AV121)-2,0)</f>
        <v>68</v>
      </c>
      <c r="BF121">
        <f>HLOOKUP(AV121,$AW$3:BD393,ROW(AV121)-2,0)</f>
        <v>84</v>
      </c>
      <c r="BG121" t="str">
        <f t="shared" si="19"/>
        <v>Pasywa_B_II_3_E_KwotaA</v>
      </c>
    </row>
    <row r="122" spans="1:59" ht="16.399999999999999" x14ac:dyDescent="0.35">
      <c r="A122" t="s">
        <v>2205</v>
      </c>
      <c r="B122" t="s">
        <v>2206</v>
      </c>
      <c r="C122" s="18">
        <v>2113158.08</v>
      </c>
      <c r="AV122" s="43">
        <f t="shared" si="10"/>
        <v>6</v>
      </c>
      <c r="AW122">
        <f t="shared" si="11"/>
        <v>19</v>
      </c>
      <c r="AX122">
        <f t="shared" si="12"/>
        <v>26</v>
      </c>
      <c r="AY122">
        <f t="shared" si="13"/>
        <v>33</v>
      </c>
      <c r="AZ122">
        <f t="shared" si="14"/>
        <v>42</v>
      </c>
      <c r="BA122">
        <f t="shared" si="15"/>
        <v>55</v>
      </c>
      <c r="BB122">
        <f t="shared" si="16"/>
        <v>55</v>
      </c>
      <c r="BC122">
        <f t="shared" si="17"/>
        <v>55</v>
      </c>
      <c r="BD122">
        <f t="shared" si="18"/>
        <v>55</v>
      </c>
      <c r="BE122">
        <f>HLOOKUP(AV122-1,$AW$3:BD394,ROW(AV122)-2,0)</f>
        <v>42</v>
      </c>
      <c r="BF122">
        <f>HLOOKUP(AV122,$AW$3:BD394,ROW(AV122)-2,0)</f>
        <v>55</v>
      </c>
      <c r="BG122" t="str">
        <f t="shared" si="19"/>
        <v>Pasywa_B_III_KwotaA</v>
      </c>
    </row>
    <row r="123" spans="1:59" ht="16.399999999999999" x14ac:dyDescent="0.35">
      <c r="A123" t="s">
        <v>2207</v>
      </c>
      <c r="B123" t="s">
        <v>2208</v>
      </c>
      <c r="C123" s="18">
        <v>1874182.31</v>
      </c>
      <c r="AV123" s="43">
        <f t="shared" si="10"/>
        <v>7</v>
      </c>
      <c r="AW123">
        <f t="shared" si="11"/>
        <v>19</v>
      </c>
      <c r="AX123">
        <f t="shared" si="12"/>
        <v>26</v>
      </c>
      <c r="AY123">
        <f t="shared" si="13"/>
        <v>33</v>
      </c>
      <c r="AZ123">
        <f t="shared" si="14"/>
        <v>42</v>
      </c>
      <c r="BA123">
        <f t="shared" si="15"/>
        <v>55</v>
      </c>
      <c r="BB123">
        <f t="shared" si="16"/>
        <v>70</v>
      </c>
      <c r="BC123">
        <f t="shared" si="17"/>
        <v>70</v>
      </c>
      <c r="BD123">
        <f t="shared" si="18"/>
        <v>70</v>
      </c>
      <c r="BE123">
        <f>HLOOKUP(AV123-1,$AW$3:BD395,ROW(AV123)-2,0)</f>
        <v>55</v>
      </c>
      <c r="BF123">
        <f>HLOOKUP(AV123,$AW$3:BD395,ROW(AV123)-2,0)</f>
        <v>70</v>
      </c>
      <c r="BG123" t="str">
        <f t="shared" si="19"/>
        <v>Pasywa_B_III_1_KwotaA</v>
      </c>
    </row>
    <row r="124" spans="1:59" ht="16.399999999999999" x14ac:dyDescent="0.35">
      <c r="A124" t="s">
        <v>2209</v>
      </c>
      <c r="B124" t="s">
        <v>2210</v>
      </c>
      <c r="C124" s="18">
        <v>844819.84</v>
      </c>
      <c r="AV124" s="43">
        <f t="shared" si="10"/>
        <v>8</v>
      </c>
      <c r="AW124">
        <f t="shared" si="11"/>
        <v>19</v>
      </c>
      <c r="AX124">
        <f t="shared" si="12"/>
        <v>26</v>
      </c>
      <c r="AY124">
        <f t="shared" si="13"/>
        <v>33</v>
      </c>
      <c r="AZ124">
        <f t="shared" si="14"/>
        <v>42</v>
      </c>
      <c r="BA124">
        <f t="shared" si="15"/>
        <v>55</v>
      </c>
      <c r="BB124">
        <f t="shared" si="16"/>
        <v>70</v>
      </c>
      <c r="BC124">
        <f t="shared" si="17"/>
        <v>87</v>
      </c>
      <c r="BD124">
        <f t="shared" si="18"/>
        <v>87</v>
      </c>
      <c r="BE124">
        <f>HLOOKUP(AV124-1,$AW$3:BD396,ROW(AV124)-2,0)</f>
        <v>70</v>
      </c>
      <c r="BF124">
        <f>HLOOKUP(AV124,$AW$3:BD396,ROW(AV124)-2,0)</f>
        <v>87</v>
      </c>
      <c r="BG124" t="str">
        <f t="shared" si="19"/>
        <v>Pasywa_B_III_1_A_KwotaA</v>
      </c>
    </row>
    <row r="125" spans="1:59" ht="16.399999999999999" x14ac:dyDescent="0.35">
      <c r="A125" t="s">
        <v>2211</v>
      </c>
      <c r="B125" t="s">
        <v>2212</v>
      </c>
      <c r="C125" s="18">
        <v>844819.84</v>
      </c>
      <c r="AV125" s="43">
        <f t="shared" si="10"/>
        <v>9</v>
      </c>
      <c r="AW125">
        <f t="shared" si="11"/>
        <v>19</v>
      </c>
      <c r="AX125">
        <f t="shared" si="12"/>
        <v>26</v>
      </c>
      <c r="AY125">
        <f t="shared" si="13"/>
        <v>33</v>
      </c>
      <c r="AZ125">
        <f t="shared" si="14"/>
        <v>42</v>
      </c>
      <c r="BA125">
        <f t="shared" si="15"/>
        <v>55</v>
      </c>
      <c r="BB125">
        <f t="shared" si="16"/>
        <v>70</v>
      </c>
      <c r="BC125">
        <f t="shared" si="17"/>
        <v>87</v>
      </c>
      <c r="BD125">
        <f t="shared" si="18"/>
        <v>106</v>
      </c>
      <c r="BE125">
        <f>HLOOKUP(AV125-1,$AW$3:BD397,ROW(AV125)-2,0)</f>
        <v>87</v>
      </c>
      <c r="BF125">
        <f>HLOOKUP(AV125,$AW$3:BD397,ROW(AV125)-2,0)</f>
        <v>106</v>
      </c>
      <c r="BG125" t="str">
        <f t="shared" si="19"/>
        <v>Pasywa_B_III_1_A_1_KwotaA</v>
      </c>
    </row>
    <row r="126" spans="1:59" ht="16.399999999999999" x14ac:dyDescent="0.35">
      <c r="A126" t="s">
        <v>2213</v>
      </c>
      <c r="B126" t="s">
        <v>2214</v>
      </c>
      <c r="AV126" s="43">
        <f t="shared" si="10"/>
        <v>9</v>
      </c>
      <c r="AW126">
        <f t="shared" si="11"/>
        <v>19</v>
      </c>
      <c r="AX126">
        <f t="shared" si="12"/>
        <v>26</v>
      </c>
      <c r="AY126">
        <f t="shared" si="13"/>
        <v>33</v>
      </c>
      <c r="AZ126">
        <f t="shared" si="14"/>
        <v>42</v>
      </c>
      <c r="BA126">
        <f t="shared" si="15"/>
        <v>55</v>
      </c>
      <c r="BB126">
        <f t="shared" si="16"/>
        <v>70</v>
      </c>
      <c r="BC126">
        <f t="shared" si="17"/>
        <v>87</v>
      </c>
      <c r="BD126">
        <f t="shared" si="18"/>
        <v>106</v>
      </c>
      <c r="BE126">
        <f>HLOOKUP(AV126-1,$AW$3:BD398,ROW(AV126)-2,0)</f>
        <v>87</v>
      </c>
      <c r="BF126">
        <f>HLOOKUP(AV126,$AW$3:BD398,ROW(AV126)-2,0)</f>
        <v>106</v>
      </c>
      <c r="BG126" t="str">
        <f t="shared" si="19"/>
        <v>Pasywa_B_III_1_A_2_KwotaA</v>
      </c>
    </row>
    <row r="127" spans="1:59" ht="16.399999999999999" x14ac:dyDescent="0.35">
      <c r="A127" t="s">
        <v>2215</v>
      </c>
      <c r="B127" t="s">
        <v>2216</v>
      </c>
      <c r="C127" s="18">
        <v>1029362.47</v>
      </c>
      <c r="AV127" s="43">
        <f t="shared" si="10"/>
        <v>8</v>
      </c>
      <c r="AW127">
        <f t="shared" si="11"/>
        <v>19</v>
      </c>
      <c r="AX127">
        <f t="shared" si="12"/>
        <v>26</v>
      </c>
      <c r="AY127">
        <f t="shared" si="13"/>
        <v>33</v>
      </c>
      <c r="AZ127">
        <f t="shared" si="14"/>
        <v>42</v>
      </c>
      <c r="BA127">
        <f t="shared" si="15"/>
        <v>55</v>
      </c>
      <c r="BB127">
        <f t="shared" si="16"/>
        <v>70</v>
      </c>
      <c r="BC127">
        <f t="shared" si="17"/>
        <v>87</v>
      </c>
      <c r="BD127">
        <f t="shared" si="18"/>
        <v>87</v>
      </c>
      <c r="BE127">
        <f>HLOOKUP(AV127-1,$AW$3:BD399,ROW(AV127)-2,0)</f>
        <v>70</v>
      </c>
      <c r="BF127">
        <f>HLOOKUP(AV127,$AW$3:BD399,ROW(AV127)-2,0)</f>
        <v>87</v>
      </c>
      <c r="BG127" t="str">
        <f t="shared" si="19"/>
        <v>Pasywa_B_III_1_B_KwotaA</v>
      </c>
    </row>
    <row r="128" spans="1:59" ht="16.399999999999999" x14ac:dyDescent="0.35">
      <c r="A128" t="s">
        <v>2217</v>
      </c>
      <c r="B128" t="s">
        <v>2218</v>
      </c>
      <c r="AV128" s="43">
        <f t="shared" si="10"/>
        <v>7</v>
      </c>
      <c r="AW128">
        <f t="shared" si="11"/>
        <v>19</v>
      </c>
      <c r="AX128">
        <f t="shared" si="12"/>
        <v>26</v>
      </c>
      <c r="AY128">
        <f t="shared" si="13"/>
        <v>33</v>
      </c>
      <c r="AZ128">
        <f t="shared" si="14"/>
        <v>42</v>
      </c>
      <c r="BA128">
        <f t="shared" si="15"/>
        <v>55</v>
      </c>
      <c r="BB128">
        <f t="shared" si="16"/>
        <v>70</v>
      </c>
      <c r="BC128">
        <f t="shared" si="17"/>
        <v>70</v>
      </c>
      <c r="BD128">
        <f t="shared" si="18"/>
        <v>70</v>
      </c>
      <c r="BE128">
        <f>HLOOKUP(AV128-1,$AW$3:BD400,ROW(AV128)-2,0)</f>
        <v>55</v>
      </c>
      <c r="BF128">
        <f>HLOOKUP(AV128,$AW$3:BD400,ROW(AV128)-2,0)</f>
        <v>70</v>
      </c>
      <c r="BG128" t="str">
        <f t="shared" si="19"/>
        <v>Pasywa_B_III_2_KwotaA</v>
      </c>
    </row>
    <row r="129" spans="1:59" ht="16.399999999999999" x14ac:dyDescent="0.35">
      <c r="A129" t="s">
        <v>2219</v>
      </c>
      <c r="B129" t="s">
        <v>2220</v>
      </c>
      <c r="AV129" s="43">
        <f t="shared" si="10"/>
        <v>8</v>
      </c>
      <c r="AW129">
        <f t="shared" si="11"/>
        <v>19</v>
      </c>
      <c r="AX129">
        <f t="shared" si="12"/>
        <v>26</v>
      </c>
      <c r="AY129">
        <f t="shared" si="13"/>
        <v>33</v>
      </c>
      <c r="AZ129">
        <f t="shared" si="14"/>
        <v>42</v>
      </c>
      <c r="BA129">
        <f t="shared" si="15"/>
        <v>55</v>
      </c>
      <c r="BB129">
        <f t="shared" si="16"/>
        <v>70</v>
      </c>
      <c r="BC129">
        <f t="shared" si="17"/>
        <v>87</v>
      </c>
      <c r="BD129">
        <f t="shared" si="18"/>
        <v>87</v>
      </c>
      <c r="BE129">
        <f>HLOOKUP(AV129-1,$AW$3:BD401,ROW(AV129)-2,0)</f>
        <v>70</v>
      </c>
      <c r="BF129">
        <f>HLOOKUP(AV129,$AW$3:BD401,ROW(AV129)-2,0)</f>
        <v>87</v>
      </c>
      <c r="BG129" t="str">
        <f t="shared" si="19"/>
        <v>Pasywa_B_III_2_A_KwotaA</v>
      </c>
    </row>
    <row r="130" spans="1:59" ht="16.399999999999999" x14ac:dyDescent="0.35">
      <c r="A130" t="s">
        <v>2221</v>
      </c>
      <c r="B130" t="s">
        <v>2222</v>
      </c>
      <c r="AV130" s="43">
        <f t="shared" si="10"/>
        <v>9</v>
      </c>
      <c r="AW130">
        <f t="shared" si="11"/>
        <v>19</v>
      </c>
      <c r="AX130">
        <f t="shared" si="12"/>
        <v>26</v>
      </c>
      <c r="AY130">
        <f t="shared" si="13"/>
        <v>33</v>
      </c>
      <c r="AZ130">
        <f t="shared" si="14"/>
        <v>42</v>
      </c>
      <c r="BA130">
        <f t="shared" si="15"/>
        <v>55</v>
      </c>
      <c r="BB130">
        <f t="shared" si="16"/>
        <v>70</v>
      </c>
      <c r="BC130">
        <f t="shared" si="17"/>
        <v>87</v>
      </c>
      <c r="BD130">
        <f t="shared" si="18"/>
        <v>106</v>
      </c>
      <c r="BE130">
        <f>HLOOKUP(AV130-1,$AW$3:BD402,ROW(AV130)-2,0)</f>
        <v>87</v>
      </c>
      <c r="BF130">
        <f>HLOOKUP(AV130,$AW$3:BD402,ROW(AV130)-2,0)</f>
        <v>106</v>
      </c>
      <c r="BG130" t="str">
        <f t="shared" si="19"/>
        <v>Pasywa_B_III_2_A_1_KwotaA</v>
      </c>
    </row>
    <row r="131" spans="1:59" ht="16.399999999999999" x14ac:dyDescent="0.35">
      <c r="A131" t="s">
        <v>2223</v>
      </c>
      <c r="B131" t="s">
        <v>2224</v>
      </c>
      <c r="AV131" s="43">
        <f t="shared" si="10"/>
        <v>9</v>
      </c>
      <c r="AW131">
        <f t="shared" si="11"/>
        <v>19</v>
      </c>
      <c r="AX131">
        <f t="shared" si="12"/>
        <v>26</v>
      </c>
      <c r="AY131">
        <f t="shared" si="13"/>
        <v>33</v>
      </c>
      <c r="AZ131">
        <f t="shared" si="14"/>
        <v>42</v>
      </c>
      <c r="BA131">
        <f t="shared" si="15"/>
        <v>55</v>
      </c>
      <c r="BB131">
        <f t="shared" si="16"/>
        <v>70</v>
      </c>
      <c r="BC131">
        <f t="shared" si="17"/>
        <v>87</v>
      </c>
      <c r="BD131">
        <f t="shared" si="18"/>
        <v>106</v>
      </c>
      <c r="BE131">
        <f>HLOOKUP(AV131-1,$AW$3:BD403,ROW(AV131)-2,0)</f>
        <v>87</v>
      </c>
      <c r="BF131">
        <f>HLOOKUP(AV131,$AW$3:BD403,ROW(AV131)-2,0)</f>
        <v>106</v>
      </c>
      <c r="BG131" t="str">
        <f t="shared" si="19"/>
        <v>Pasywa_B_III_2_A_2_KwotaA</v>
      </c>
    </row>
    <row r="132" spans="1:59" ht="16.399999999999999" x14ac:dyDescent="0.35">
      <c r="A132" t="s">
        <v>2225</v>
      </c>
      <c r="B132" t="s">
        <v>2226</v>
      </c>
      <c r="AV132" s="43">
        <f t="shared" ref="AV132:AV195" si="20" xml:space="preserve"> SUM(LEN(B132)-LEN(SUBSTITUTE(B132,"/","")))/LEN("/")</f>
        <v>8</v>
      </c>
      <c r="AW132">
        <f t="shared" ref="AW132:AW195" si="21">FIND("/",B132,2)</f>
        <v>19</v>
      </c>
      <c r="AX132">
        <f t="shared" ref="AX132:AX195" si="22">FIND("/",B132,AW132+1)</f>
        <v>26</v>
      </c>
      <c r="AY132">
        <f t="shared" ref="AY132:AY195" si="23">IFERROR(FIND("/",B132,AX132+1),AX132)</f>
        <v>33</v>
      </c>
      <c r="AZ132">
        <f t="shared" ref="AZ132:AZ195" si="24">IFERROR(FIND("/",B132,AY132+1),AY132)</f>
        <v>42</v>
      </c>
      <c r="BA132">
        <f t="shared" ref="BA132:BA195" si="25">IFERROR(FIND("/",B132,AZ132+1),AZ132)</f>
        <v>55</v>
      </c>
      <c r="BB132">
        <f t="shared" ref="BB132:BB195" si="26">IFERROR(FIND("/",B132,BA132+1),BA132)</f>
        <v>70</v>
      </c>
      <c r="BC132">
        <f t="shared" ref="BC132:BC195" si="27">IFERROR(FIND("/",B132,BB132+1),BB132)</f>
        <v>87</v>
      </c>
      <c r="BD132">
        <f t="shared" ref="BD132:BD195" si="28">IFERROR(FIND("/",B132,BC132+1),BC132)</f>
        <v>87</v>
      </c>
      <c r="BE132">
        <f>HLOOKUP(AV132-1,$AW$3:BD404,ROW(AV132)-2,0)</f>
        <v>70</v>
      </c>
      <c r="BF132">
        <f>HLOOKUP(AV132,$AW$3:BD404,ROW(AV132)-2,0)</f>
        <v>87</v>
      </c>
      <c r="BG132" t="str">
        <f t="shared" ref="BG132:BG195" si="29">IF(ISERROR(FIND("Kwota",B132)),IF(ISERROR(FIND("Prawna",B132)),MID(B132,BF132+1,LEN(B132)-BF132),REPLACE(MID(B132,BE132+1,LEN(B132)-BE132),FIND("/",MID(B132,BE132+1,LEN(B132)-BE132)),1,"_")),REPLACE(MID(B132,BE132+1,LEN(B132)-BE132),FIND("/",MID(B132,BE132+1,LEN(B132)-BE132)),1,"_"))</f>
        <v>Pasywa_B_III_2_B_KwotaA</v>
      </c>
    </row>
    <row r="133" spans="1:59" ht="16.399999999999999" x14ac:dyDescent="0.35">
      <c r="A133" t="s">
        <v>2227</v>
      </c>
      <c r="B133" t="s">
        <v>2228</v>
      </c>
      <c r="C133" s="18">
        <v>238975.77</v>
      </c>
      <c r="AV133" s="43">
        <f t="shared" si="20"/>
        <v>7</v>
      </c>
      <c r="AW133">
        <f t="shared" si="21"/>
        <v>19</v>
      </c>
      <c r="AX133">
        <f t="shared" si="22"/>
        <v>26</v>
      </c>
      <c r="AY133">
        <f t="shared" si="23"/>
        <v>33</v>
      </c>
      <c r="AZ133">
        <f t="shared" si="24"/>
        <v>42</v>
      </c>
      <c r="BA133">
        <f t="shared" si="25"/>
        <v>55</v>
      </c>
      <c r="BB133">
        <f t="shared" si="26"/>
        <v>70</v>
      </c>
      <c r="BC133">
        <f t="shared" si="27"/>
        <v>70</v>
      </c>
      <c r="BD133">
        <f t="shared" si="28"/>
        <v>70</v>
      </c>
      <c r="BE133">
        <f>HLOOKUP(AV133-1,$AW$3:BD405,ROW(AV133)-2,0)</f>
        <v>55</v>
      </c>
      <c r="BF133">
        <f>HLOOKUP(AV133,$AW$3:BD405,ROW(AV133)-2,0)</f>
        <v>70</v>
      </c>
      <c r="BG133" t="str">
        <f t="shared" si="29"/>
        <v>Pasywa_B_III_3_KwotaA</v>
      </c>
    </row>
    <row r="134" spans="1:59" ht="16.399999999999999" x14ac:dyDescent="0.35">
      <c r="A134" t="s">
        <v>2229</v>
      </c>
      <c r="B134" t="s">
        <v>2230</v>
      </c>
      <c r="AV134" s="43">
        <f t="shared" si="20"/>
        <v>8</v>
      </c>
      <c r="AW134">
        <f t="shared" si="21"/>
        <v>19</v>
      </c>
      <c r="AX134">
        <f t="shared" si="22"/>
        <v>26</v>
      </c>
      <c r="AY134">
        <f t="shared" si="23"/>
        <v>33</v>
      </c>
      <c r="AZ134">
        <f t="shared" si="24"/>
        <v>42</v>
      </c>
      <c r="BA134">
        <f t="shared" si="25"/>
        <v>55</v>
      </c>
      <c r="BB134">
        <f t="shared" si="26"/>
        <v>70</v>
      </c>
      <c r="BC134">
        <f t="shared" si="27"/>
        <v>87</v>
      </c>
      <c r="BD134">
        <f t="shared" si="28"/>
        <v>87</v>
      </c>
      <c r="BE134">
        <f>HLOOKUP(AV134-1,$AW$3:BD406,ROW(AV134)-2,0)</f>
        <v>70</v>
      </c>
      <c r="BF134">
        <f>HLOOKUP(AV134,$AW$3:BD406,ROW(AV134)-2,0)</f>
        <v>87</v>
      </c>
      <c r="BG134" t="str">
        <f t="shared" si="29"/>
        <v>Pasywa_B_III_3_A_KwotaA</v>
      </c>
    </row>
    <row r="135" spans="1:59" ht="16.399999999999999" x14ac:dyDescent="0.35">
      <c r="A135" t="s">
        <v>2231</v>
      </c>
      <c r="B135" t="s">
        <v>2232</v>
      </c>
      <c r="AV135" s="43">
        <f t="shared" si="20"/>
        <v>8</v>
      </c>
      <c r="AW135">
        <f t="shared" si="21"/>
        <v>19</v>
      </c>
      <c r="AX135">
        <f t="shared" si="22"/>
        <v>26</v>
      </c>
      <c r="AY135">
        <f t="shared" si="23"/>
        <v>33</v>
      </c>
      <c r="AZ135">
        <f t="shared" si="24"/>
        <v>42</v>
      </c>
      <c r="BA135">
        <f t="shared" si="25"/>
        <v>55</v>
      </c>
      <c r="BB135">
        <f t="shared" si="26"/>
        <v>70</v>
      </c>
      <c r="BC135">
        <f t="shared" si="27"/>
        <v>87</v>
      </c>
      <c r="BD135">
        <f t="shared" si="28"/>
        <v>87</v>
      </c>
      <c r="BE135">
        <f>HLOOKUP(AV135-1,$AW$3:BD407,ROW(AV135)-2,0)</f>
        <v>70</v>
      </c>
      <c r="BF135">
        <f>HLOOKUP(AV135,$AW$3:BD407,ROW(AV135)-2,0)</f>
        <v>87</v>
      </c>
      <c r="BG135" t="str">
        <f t="shared" si="29"/>
        <v>Pasywa_B_III_3_B_KwotaA</v>
      </c>
    </row>
    <row r="136" spans="1:59" ht="16.399999999999999" x14ac:dyDescent="0.35">
      <c r="A136" t="s">
        <v>2233</v>
      </c>
      <c r="B136" t="s">
        <v>2234</v>
      </c>
      <c r="AV136" s="43">
        <f t="shared" si="20"/>
        <v>8</v>
      </c>
      <c r="AW136">
        <f t="shared" si="21"/>
        <v>19</v>
      </c>
      <c r="AX136">
        <f t="shared" si="22"/>
        <v>26</v>
      </c>
      <c r="AY136">
        <f t="shared" si="23"/>
        <v>33</v>
      </c>
      <c r="AZ136">
        <f t="shared" si="24"/>
        <v>42</v>
      </c>
      <c r="BA136">
        <f t="shared" si="25"/>
        <v>55</v>
      </c>
      <c r="BB136">
        <f t="shared" si="26"/>
        <v>70</v>
      </c>
      <c r="BC136">
        <f t="shared" si="27"/>
        <v>87</v>
      </c>
      <c r="BD136">
        <f t="shared" si="28"/>
        <v>87</v>
      </c>
      <c r="BE136">
        <f>HLOOKUP(AV136-1,$AW$3:BD408,ROW(AV136)-2,0)</f>
        <v>70</v>
      </c>
      <c r="BF136">
        <f>HLOOKUP(AV136,$AW$3:BD408,ROW(AV136)-2,0)</f>
        <v>87</v>
      </c>
      <c r="BG136" t="str">
        <f t="shared" si="29"/>
        <v>Pasywa_B_III_3_C_KwotaA</v>
      </c>
    </row>
    <row r="137" spans="1:59" ht="16.399999999999999" x14ac:dyDescent="0.35">
      <c r="A137" t="s">
        <v>2235</v>
      </c>
      <c r="B137" t="s">
        <v>2236</v>
      </c>
      <c r="C137" s="18">
        <v>226222.77</v>
      </c>
      <c r="AV137" s="43">
        <f t="shared" si="20"/>
        <v>8</v>
      </c>
      <c r="AW137">
        <f t="shared" si="21"/>
        <v>19</v>
      </c>
      <c r="AX137">
        <f t="shared" si="22"/>
        <v>26</v>
      </c>
      <c r="AY137">
        <f t="shared" si="23"/>
        <v>33</v>
      </c>
      <c r="AZ137">
        <f t="shared" si="24"/>
        <v>42</v>
      </c>
      <c r="BA137">
        <f t="shared" si="25"/>
        <v>55</v>
      </c>
      <c r="BB137">
        <f t="shared" si="26"/>
        <v>70</v>
      </c>
      <c r="BC137">
        <f t="shared" si="27"/>
        <v>87</v>
      </c>
      <c r="BD137">
        <f t="shared" si="28"/>
        <v>87</v>
      </c>
      <c r="BE137">
        <f>HLOOKUP(AV137-1,$AW$3:BD409,ROW(AV137)-2,0)</f>
        <v>70</v>
      </c>
      <c r="BF137">
        <f>HLOOKUP(AV137,$AW$3:BD409,ROW(AV137)-2,0)</f>
        <v>87</v>
      </c>
      <c r="BG137" t="str">
        <f t="shared" si="29"/>
        <v>Pasywa_B_III_3_D_KwotaA</v>
      </c>
    </row>
    <row r="138" spans="1:59" ht="16.399999999999999" x14ac:dyDescent="0.35">
      <c r="A138" t="s">
        <v>2237</v>
      </c>
      <c r="B138" t="s">
        <v>2238</v>
      </c>
      <c r="C138" s="18">
        <v>226222.77</v>
      </c>
      <c r="AV138" s="43">
        <f t="shared" si="20"/>
        <v>9</v>
      </c>
      <c r="AW138">
        <f t="shared" si="21"/>
        <v>19</v>
      </c>
      <c r="AX138">
        <f t="shared" si="22"/>
        <v>26</v>
      </c>
      <c r="AY138">
        <f t="shared" si="23"/>
        <v>33</v>
      </c>
      <c r="AZ138">
        <f t="shared" si="24"/>
        <v>42</v>
      </c>
      <c r="BA138">
        <f t="shared" si="25"/>
        <v>55</v>
      </c>
      <c r="BB138">
        <f t="shared" si="26"/>
        <v>70</v>
      </c>
      <c r="BC138">
        <f t="shared" si="27"/>
        <v>87</v>
      </c>
      <c r="BD138">
        <f t="shared" si="28"/>
        <v>106</v>
      </c>
      <c r="BE138">
        <f>HLOOKUP(AV138-1,$AW$3:BD410,ROW(AV138)-2,0)</f>
        <v>87</v>
      </c>
      <c r="BF138">
        <f>HLOOKUP(AV138,$AW$3:BD410,ROW(AV138)-2,0)</f>
        <v>106</v>
      </c>
      <c r="BG138" t="str">
        <f t="shared" si="29"/>
        <v>Pasywa_B_III_3_D_1_KwotaA</v>
      </c>
    </row>
    <row r="139" spans="1:59" ht="16.399999999999999" x14ac:dyDescent="0.35">
      <c r="A139" t="s">
        <v>2239</v>
      </c>
      <c r="B139" t="s">
        <v>2240</v>
      </c>
      <c r="AV139" s="43">
        <f t="shared" si="20"/>
        <v>9</v>
      </c>
      <c r="AW139">
        <f t="shared" si="21"/>
        <v>19</v>
      </c>
      <c r="AX139">
        <f t="shared" si="22"/>
        <v>26</v>
      </c>
      <c r="AY139">
        <f t="shared" si="23"/>
        <v>33</v>
      </c>
      <c r="AZ139">
        <f t="shared" si="24"/>
        <v>42</v>
      </c>
      <c r="BA139">
        <f t="shared" si="25"/>
        <v>55</v>
      </c>
      <c r="BB139">
        <f t="shared" si="26"/>
        <v>70</v>
      </c>
      <c r="BC139">
        <f t="shared" si="27"/>
        <v>87</v>
      </c>
      <c r="BD139">
        <f t="shared" si="28"/>
        <v>106</v>
      </c>
      <c r="BE139">
        <f>HLOOKUP(AV139-1,$AW$3:BD411,ROW(AV139)-2,0)</f>
        <v>87</v>
      </c>
      <c r="BF139">
        <f>HLOOKUP(AV139,$AW$3:BD411,ROW(AV139)-2,0)</f>
        <v>106</v>
      </c>
      <c r="BG139" t="str">
        <f t="shared" si="29"/>
        <v>Pasywa_B_III_3_D_2_KwotaA</v>
      </c>
    </row>
    <row r="140" spans="1:59" ht="16.399999999999999" x14ac:dyDescent="0.35">
      <c r="A140" t="s">
        <v>2241</v>
      </c>
      <c r="B140" t="s">
        <v>2242</v>
      </c>
      <c r="AV140" s="43">
        <f t="shared" si="20"/>
        <v>8</v>
      </c>
      <c r="AW140">
        <f t="shared" si="21"/>
        <v>19</v>
      </c>
      <c r="AX140">
        <f t="shared" si="22"/>
        <v>26</v>
      </c>
      <c r="AY140">
        <f t="shared" si="23"/>
        <v>33</v>
      </c>
      <c r="AZ140">
        <f t="shared" si="24"/>
        <v>42</v>
      </c>
      <c r="BA140">
        <f t="shared" si="25"/>
        <v>55</v>
      </c>
      <c r="BB140">
        <f t="shared" si="26"/>
        <v>70</v>
      </c>
      <c r="BC140">
        <f t="shared" si="27"/>
        <v>87</v>
      </c>
      <c r="BD140">
        <f t="shared" si="28"/>
        <v>87</v>
      </c>
      <c r="BE140">
        <f>HLOOKUP(AV140-1,$AW$3:BD412,ROW(AV140)-2,0)</f>
        <v>70</v>
      </c>
      <c r="BF140">
        <f>HLOOKUP(AV140,$AW$3:BD412,ROW(AV140)-2,0)</f>
        <v>87</v>
      </c>
      <c r="BG140" t="str">
        <f t="shared" si="29"/>
        <v>Pasywa_B_III_3_E_KwotaA</v>
      </c>
    </row>
    <row r="141" spans="1:59" ht="16.399999999999999" x14ac:dyDescent="0.35">
      <c r="A141" t="s">
        <v>2243</v>
      </c>
      <c r="B141" t="s">
        <v>2244</v>
      </c>
      <c r="AV141" s="43">
        <f t="shared" si="20"/>
        <v>8</v>
      </c>
      <c r="AW141">
        <f t="shared" si="21"/>
        <v>19</v>
      </c>
      <c r="AX141">
        <f t="shared" si="22"/>
        <v>26</v>
      </c>
      <c r="AY141">
        <f t="shared" si="23"/>
        <v>33</v>
      </c>
      <c r="AZ141">
        <f t="shared" si="24"/>
        <v>42</v>
      </c>
      <c r="BA141">
        <f t="shared" si="25"/>
        <v>55</v>
      </c>
      <c r="BB141">
        <f t="shared" si="26"/>
        <v>70</v>
      </c>
      <c r="BC141">
        <f t="shared" si="27"/>
        <v>87</v>
      </c>
      <c r="BD141">
        <f t="shared" si="28"/>
        <v>87</v>
      </c>
      <c r="BE141">
        <f>HLOOKUP(AV141-1,$AW$3:BD413,ROW(AV141)-2,0)</f>
        <v>70</v>
      </c>
      <c r="BF141">
        <f>HLOOKUP(AV141,$AW$3:BD413,ROW(AV141)-2,0)</f>
        <v>87</v>
      </c>
      <c r="BG141" t="str">
        <f t="shared" si="29"/>
        <v>Pasywa_B_III_3_F_KwotaA</v>
      </c>
    </row>
    <row r="142" spans="1:59" ht="16.399999999999999" x14ac:dyDescent="0.35">
      <c r="A142" t="s">
        <v>2245</v>
      </c>
      <c r="B142" t="s">
        <v>2246</v>
      </c>
      <c r="C142" s="18">
        <v>12753</v>
      </c>
      <c r="AV142" s="43">
        <f t="shared" si="20"/>
        <v>8</v>
      </c>
      <c r="AW142">
        <f t="shared" si="21"/>
        <v>19</v>
      </c>
      <c r="AX142">
        <f t="shared" si="22"/>
        <v>26</v>
      </c>
      <c r="AY142">
        <f t="shared" si="23"/>
        <v>33</v>
      </c>
      <c r="AZ142">
        <f t="shared" si="24"/>
        <v>42</v>
      </c>
      <c r="BA142">
        <f t="shared" si="25"/>
        <v>55</v>
      </c>
      <c r="BB142">
        <f t="shared" si="26"/>
        <v>70</v>
      </c>
      <c r="BC142">
        <f t="shared" si="27"/>
        <v>87</v>
      </c>
      <c r="BD142">
        <f t="shared" si="28"/>
        <v>87</v>
      </c>
      <c r="BE142">
        <f>HLOOKUP(AV142-1,$AW$3:BD414,ROW(AV142)-2,0)</f>
        <v>70</v>
      </c>
      <c r="BF142">
        <f>HLOOKUP(AV142,$AW$3:BD414,ROW(AV142)-2,0)</f>
        <v>87</v>
      </c>
      <c r="BG142" t="str">
        <f t="shared" si="29"/>
        <v>Pasywa_B_III_3_G_KwotaA</v>
      </c>
    </row>
    <row r="143" spans="1:59" ht="16.399999999999999" x14ac:dyDescent="0.35">
      <c r="A143" t="s">
        <v>2247</v>
      </c>
      <c r="B143" t="s">
        <v>2248</v>
      </c>
      <c r="AV143" s="43">
        <f t="shared" si="20"/>
        <v>8</v>
      </c>
      <c r="AW143">
        <f t="shared" si="21"/>
        <v>19</v>
      </c>
      <c r="AX143">
        <f t="shared" si="22"/>
        <v>26</v>
      </c>
      <c r="AY143">
        <f t="shared" si="23"/>
        <v>33</v>
      </c>
      <c r="AZ143">
        <f t="shared" si="24"/>
        <v>42</v>
      </c>
      <c r="BA143">
        <f t="shared" si="25"/>
        <v>55</v>
      </c>
      <c r="BB143">
        <f t="shared" si="26"/>
        <v>70</v>
      </c>
      <c r="BC143">
        <f t="shared" si="27"/>
        <v>87</v>
      </c>
      <c r="BD143">
        <f t="shared" si="28"/>
        <v>87</v>
      </c>
      <c r="BE143">
        <f>HLOOKUP(AV143-1,$AW$3:BD415,ROW(AV143)-2,0)</f>
        <v>70</v>
      </c>
      <c r="BF143">
        <f>HLOOKUP(AV143,$AW$3:BD415,ROW(AV143)-2,0)</f>
        <v>87</v>
      </c>
      <c r="BG143" t="str">
        <f t="shared" si="29"/>
        <v>Pasywa_B_III_3_H_KwotaA</v>
      </c>
    </row>
    <row r="144" spans="1:59" ht="16.399999999999999" x14ac:dyDescent="0.35">
      <c r="A144" t="s">
        <v>2249</v>
      </c>
      <c r="B144" t="s">
        <v>2250</v>
      </c>
      <c r="C144" s="18">
        <v>0</v>
      </c>
      <c r="AV144" s="43">
        <f t="shared" si="20"/>
        <v>8</v>
      </c>
      <c r="AW144">
        <f t="shared" si="21"/>
        <v>19</v>
      </c>
      <c r="AX144">
        <f t="shared" si="22"/>
        <v>26</v>
      </c>
      <c r="AY144">
        <f t="shared" si="23"/>
        <v>33</v>
      </c>
      <c r="AZ144">
        <f t="shared" si="24"/>
        <v>42</v>
      </c>
      <c r="BA144">
        <f t="shared" si="25"/>
        <v>55</v>
      </c>
      <c r="BB144">
        <f t="shared" si="26"/>
        <v>70</v>
      </c>
      <c r="BC144">
        <f t="shared" si="27"/>
        <v>87</v>
      </c>
      <c r="BD144">
        <f t="shared" si="28"/>
        <v>87</v>
      </c>
      <c r="BE144">
        <f>HLOOKUP(AV144-1,$AW$3:BD416,ROW(AV144)-2,0)</f>
        <v>70</v>
      </c>
      <c r="BF144">
        <f>HLOOKUP(AV144,$AW$3:BD416,ROW(AV144)-2,0)</f>
        <v>87</v>
      </c>
      <c r="BG144" t="str">
        <f t="shared" si="29"/>
        <v>Pasywa_B_III_3_I_KwotaA</v>
      </c>
    </row>
    <row r="145" spans="1:59" ht="16.399999999999999" x14ac:dyDescent="0.35">
      <c r="A145" t="s">
        <v>2251</v>
      </c>
      <c r="B145" t="s">
        <v>2252</v>
      </c>
      <c r="AV145" s="43">
        <f t="shared" si="20"/>
        <v>7</v>
      </c>
      <c r="AW145">
        <f t="shared" si="21"/>
        <v>19</v>
      </c>
      <c r="AX145">
        <f t="shared" si="22"/>
        <v>26</v>
      </c>
      <c r="AY145">
        <f t="shared" si="23"/>
        <v>33</v>
      </c>
      <c r="AZ145">
        <f t="shared" si="24"/>
        <v>42</v>
      </c>
      <c r="BA145">
        <f t="shared" si="25"/>
        <v>55</v>
      </c>
      <c r="BB145">
        <f t="shared" si="26"/>
        <v>70</v>
      </c>
      <c r="BC145">
        <f t="shared" si="27"/>
        <v>70</v>
      </c>
      <c r="BD145">
        <f t="shared" si="28"/>
        <v>70</v>
      </c>
      <c r="BE145">
        <f>HLOOKUP(AV145-1,$AW$3:BD417,ROW(AV145)-2,0)</f>
        <v>55</v>
      </c>
      <c r="BF145">
        <f>HLOOKUP(AV145,$AW$3:BD417,ROW(AV145)-2,0)</f>
        <v>70</v>
      </c>
      <c r="BG145" t="str">
        <f t="shared" si="29"/>
        <v>Pasywa_B_III_4_KwotaA</v>
      </c>
    </row>
    <row r="146" spans="1:59" ht="16.399999999999999" x14ac:dyDescent="0.35">
      <c r="A146" t="s">
        <v>2253</v>
      </c>
      <c r="B146" t="s">
        <v>2254</v>
      </c>
      <c r="AV146" s="43">
        <f t="shared" si="20"/>
        <v>6</v>
      </c>
      <c r="AW146">
        <f t="shared" si="21"/>
        <v>19</v>
      </c>
      <c r="AX146">
        <f t="shared" si="22"/>
        <v>26</v>
      </c>
      <c r="AY146">
        <f t="shared" si="23"/>
        <v>33</v>
      </c>
      <c r="AZ146">
        <f t="shared" si="24"/>
        <v>42</v>
      </c>
      <c r="BA146">
        <f t="shared" si="25"/>
        <v>54</v>
      </c>
      <c r="BB146">
        <f t="shared" si="26"/>
        <v>54</v>
      </c>
      <c r="BC146">
        <f t="shared" si="27"/>
        <v>54</v>
      </c>
      <c r="BD146">
        <f t="shared" si="28"/>
        <v>54</v>
      </c>
      <c r="BE146">
        <f>HLOOKUP(AV146-1,$AW$3:BD418,ROW(AV146)-2,0)</f>
        <v>42</v>
      </c>
      <c r="BF146">
        <f>HLOOKUP(AV146,$AW$3:BD418,ROW(AV146)-2,0)</f>
        <v>54</v>
      </c>
      <c r="BG146" t="str">
        <f t="shared" si="29"/>
        <v>Pasywa_B_IV_KwotaA</v>
      </c>
    </row>
    <row r="147" spans="1:59" ht="16.399999999999999" x14ac:dyDescent="0.35">
      <c r="A147" t="s">
        <v>2255</v>
      </c>
      <c r="B147" t="s">
        <v>2256</v>
      </c>
      <c r="AV147" s="43">
        <f t="shared" si="20"/>
        <v>7</v>
      </c>
      <c r="AW147">
        <f t="shared" si="21"/>
        <v>19</v>
      </c>
      <c r="AX147">
        <f t="shared" si="22"/>
        <v>26</v>
      </c>
      <c r="AY147">
        <f t="shared" si="23"/>
        <v>33</v>
      </c>
      <c r="AZ147">
        <f t="shared" si="24"/>
        <v>42</v>
      </c>
      <c r="BA147">
        <f t="shared" si="25"/>
        <v>54</v>
      </c>
      <c r="BB147">
        <f t="shared" si="26"/>
        <v>68</v>
      </c>
      <c r="BC147">
        <f t="shared" si="27"/>
        <v>68</v>
      </c>
      <c r="BD147">
        <f t="shared" si="28"/>
        <v>68</v>
      </c>
      <c r="BE147">
        <f>HLOOKUP(AV147-1,$AW$3:BD419,ROW(AV147)-2,0)</f>
        <v>54</v>
      </c>
      <c r="BF147">
        <f>HLOOKUP(AV147,$AW$3:BD419,ROW(AV147)-2,0)</f>
        <v>68</v>
      </c>
      <c r="BG147" t="str">
        <f t="shared" si="29"/>
        <v>Pasywa_B_IV_1_KwotaA</v>
      </c>
    </row>
    <row r="148" spans="1:59" ht="16.399999999999999" x14ac:dyDescent="0.35">
      <c r="A148" t="s">
        <v>2257</v>
      </c>
      <c r="B148" t="s">
        <v>2258</v>
      </c>
      <c r="AV148" s="43">
        <f t="shared" si="20"/>
        <v>7</v>
      </c>
      <c r="AW148">
        <f t="shared" si="21"/>
        <v>19</v>
      </c>
      <c r="AX148">
        <f t="shared" si="22"/>
        <v>26</v>
      </c>
      <c r="AY148">
        <f t="shared" si="23"/>
        <v>33</v>
      </c>
      <c r="AZ148">
        <f t="shared" si="24"/>
        <v>42</v>
      </c>
      <c r="BA148">
        <f t="shared" si="25"/>
        <v>54</v>
      </c>
      <c r="BB148">
        <f t="shared" si="26"/>
        <v>68</v>
      </c>
      <c r="BC148">
        <f t="shared" si="27"/>
        <v>68</v>
      </c>
      <c r="BD148">
        <f t="shared" si="28"/>
        <v>68</v>
      </c>
      <c r="BE148">
        <f>HLOOKUP(AV148-1,$AW$3:BD420,ROW(AV148)-2,0)</f>
        <v>54</v>
      </c>
      <c r="BF148">
        <f>HLOOKUP(AV148,$AW$3:BD420,ROW(AV148)-2,0)</f>
        <v>68</v>
      </c>
      <c r="BG148" t="str">
        <f t="shared" si="29"/>
        <v>Pasywa_B_IV_2_KwotaA</v>
      </c>
    </row>
    <row r="149" spans="1:59" ht="16.399999999999999" x14ac:dyDescent="0.35">
      <c r="A149" t="s">
        <v>2259</v>
      </c>
      <c r="B149" t="s">
        <v>2260</v>
      </c>
      <c r="AV149" s="43">
        <f t="shared" si="20"/>
        <v>8</v>
      </c>
      <c r="AW149">
        <f t="shared" si="21"/>
        <v>19</v>
      </c>
      <c r="AX149">
        <f t="shared" si="22"/>
        <v>26</v>
      </c>
      <c r="AY149">
        <f t="shared" si="23"/>
        <v>33</v>
      </c>
      <c r="AZ149">
        <f t="shared" si="24"/>
        <v>42</v>
      </c>
      <c r="BA149">
        <f t="shared" si="25"/>
        <v>54</v>
      </c>
      <c r="BB149">
        <f t="shared" si="26"/>
        <v>68</v>
      </c>
      <c r="BC149">
        <f t="shared" si="27"/>
        <v>84</v>
      </c>
      <c r="BD149">
        <f t="shared" si="28"/>
        <v>84</v>
      </c>
      <c r="BE149">
        <f>HLOOKUP(AV149-1,$AW$3:BD421,ROW(AV149)-2,0)</f>
        <v>68</v>
      </c>
      <c r="BF149">
        <f>HLOOKUP(AV149,$AW$3:BD421,ROW(AV149)-2,0)</f>
        <v>84</v>
      </c>
      <c r="BG149" t="str">
        <f t="shared" si="29"/>
        <v>Pasywa_B_IV_2_1_KwotaA</v>
      </c>
    </row>
    <row r="150" spans="1:59" ht="16.399999999999999" x14ac:dyDescent="0.35">
      <c r="A150" t="s">
        <v>2261</v>
      </c>
      <c r="B150" t="s">
        <v>2262</v>
      </c>
      <c r="AV150" s="43">
        <f t="shared" si="20"/>
        <v>8</v>
      </c>
      <c r="AW150">
        <f t="shared" si="21"/>
        <v>19</v>
      </c>
      <c r="AX150">
        <f t="shared" si="22"/>
        <v>26</v>
      </c>
      <c r="AY150">
        <f t="shared" si="23"/>
        <v>33</v>
      </c>
      <c r="AZ150">
        <f t="shared" si="24"/>
        <v>42</v>
      </c>
      <c r="BA150">
        <f t="shared" si="25"/>
        <v>54</v>
      </c>
      <c r="BB150">
        <f t="shared" si="26"/>
        <v>68</v>
      </c>
      <c r="BC150">
        <f t="shared" si="27"/>
        <v>84</v>
      </c>
      <c r="BD150">
        <f t="shared" si="28"/>
        <v>84</v>
      </c>
      <c r="BE150">
        <f>HLOOKUP(AV150-1,$AW$3:BD422,ROW(AV150)-2,0)</f>
        <v>68</v>
      </c>
      <c r="BF150">
        <f>HLOOKUP(AV150,$AW$3:BD422,ROW(AV150)-2,0)</f>
        <v>84</v>
      </c>
      <c r="BG150" t="str">
        <f t="shared" si="29"/>
        <v>Pasywa_B_IV_2_2_KwotaA</v>
      </c>
    </row>
    <row r="151" spans="1:59" ht="16.399999999999999" x14ac:dyDescent="0.35">
      <c r="A151" t="s">
        <v>2263</v>
      </c>
      <c r="B151" t="s">
        <v>2264</v>
      </c>
      <c r="C151" s="18">
        <v>4450593.4400000004</v>
      </c>
      <c r="AV151" s="43">
        <f t="shared" si="20"/>
        <v>5</v>
      </c>
      <c r="AW151">
        <f t="shared" si="21"/>
        <v>19</v>
      </c>
      <c r="AX151">
        <f t="shared" si="22"/>
        <v>24</v>
      </c>
      <c r="AY151">
        <f t="shared" si="23"/>
        <v>32</v>
      </c>
      <c r="AZ151">
        <f t="shared" si="24"/>
        <v>34</v>
      </c>
      <c r="BA151">
        <f t="shared" si="25"/>
        <v>34</v>
      </c>
      <c r="BB151">
        <f t="shared" si="26"/>
        <v>34</v>
      </c>
      <c r="BC151">
        <f t="shared" si="27"/>
        <v>34</v>
      </c>
      <c r="BD151">
        <f t="shared" si="28"/>
        <v>34</v>
      </c>
      <c r="BE151">
        <f>HLOOKUP(AV151-1,$AW$3:BD423,ROW(AV151)-2,0)</f>
        <v>32</v>
      </c>
      <c r="BF151">
        <f>HLOOKUP(AV151,$AW$3:BD423,ROW(AV151)-2,0)</f>
        <v>34</v>
      </c>
      <c r="BG151" t="str">
        <f t="shared" si="29"/>
        <v>A_KwotaA</v>
      </c>
    </row>
    <row r="152" spans="1:59" ht="16.399999999999999" x14ac:dyDescent="0.35">
      <c r="A152" t="s">
        <v>2265</v>
      </c>
      <c r="B152" t="s">
        <v>2266</v>
      </c>
      <c r="C152" s="18">
        <v>4450593.4400000004</v>
      </c>
      <c r="AV152" s="43">
        <f t="shared" si="20"/>
        <v>6</v>
      </c>
      <c r="AW152">
        <f t="shared" si="21"/>
        <v>19</v>
      </c>
      <c r="AX152">
        <f t="shared" si="22"/>
        <v>24</v>
      </c>
      <c r="AY152">
        <f t="shared" si="23"/>
        <v>32</v>
      </c>
      <c r="AZ152">
        <f t="shared" si="24"/>
        <v>34</v>
      </c>
      <c r="BA152">
        <f t="shared" si="25"/>
        <v>38</v>
      </c>
      <c r="BB152">
        <f t="shared" si="26"/>
        <v>38</v>
      </c>
      <c r="BC152">
        <f t="shared" si="27"/>
        <v>38</v>
      </c>
      <c r="BD152">
        <f t="shared" si="28"/>
        <v>38</v>
      </c>
      <c r="BE152">
        <f>HLOOKUP(AV152-1,$AW$3:BD424,ROW(AV152)-2,0)</f>
        <v>34</v>
      </c>
      <c r="BF152">
        <f>HLOOKUP(AV152,$AW$3:BD424,ROW(AV152)-2,0)</f>
        <v>38</v>
      </c>
      <c r="BG152" t="str">
        <f t="shared" si="29"/>
        <v>A_J_KwotaA</v>
      </c>
    </row>
    <row r="153" spans="1:59" ht="16.399999999999999" x14ac:dyDescent="0.35">
      <c r="A153" t="s">
        <v>2267</v>
      </c>
      <c r="B153" t="s">
        <v>2268</v>
      </c>
      <c r="C153" s="18">
        <v>4450593.4400000004</v>
      </c>
      <c r="AV153" s="43">
        <f t="shared" si="20"/>
        <v>6</v>
      </c>
      <c r="AW153">
        <f t="shared" si="21"/>
        <v>19</v>
      </c>
      <c r="AX153">
        <f t="shared" si="22"/>
        <v>24</v>
      </c>
      <c r="AY153">
        <f t="shared" si="23"/>
        <v>32</v>
      </c>
      <c r="AZ153">
        <f t="shared" si="24"/>
        <v>34</v>
      </c>
      <c r="BA153">
        <f t="shared" si="25"/>
        <v>38</v>
      </c>
      <c r="BB153">
        <f t="shared" si="26"/>
        <v>38</v>
      </c>
      <c r="BC153">
        <f t="shared" si="27"/>
        <v>38</v>
      </c>
      <c r="BD153">
        <f t="shared" si="28"/>
        <v>38</v>
      </c>
      <c r="BE153">
        <f>HLOOKUP(AV153-1,$AW$3:BD425,ROW(AV153)-2,0)</f>
        <v>34</v>
      </c>
      <c r="BF153">
        <f>HLOOKUP(AV153,$AW$3:BD425,ROW(AV153)-2,0)</f>
        <v>38</v>
      </c>
      <c r="BG153" t="str">
        <f t="shared" si="29"/>
        <v>A_I_KwotaA</v>
      </c>
    </row>
    <row r="154" spans="1:59" ht="16.399999999999999" x14ac:dyDescent="0.35">
      <c r="A154" t="s">
        <v>2269</v>
      </c>
      <c r="B154" t="s">
        <v>2270</v>
      </c>
      <c r="AV154" s="43">
        <f t="shared" si="20"/>
        <v>6</v>
      </c>
      <c r="AW154">
        <f t="shared" si="21"/>
        <v>19</v>
      </c>
      <c r="AX154">
        <f t="shared" si="22"/>
        <v>24</v>
      </c>
      <c r="AY154">
        <f t="shared" si="23"/>
        <v>32</v>
      </c>
      <c r="AZ154">
        <f t="shared" si="24"/>
        <v>34</v>
      </c>
      <c r="BA154">
        <f t="shared" si="25"/>
        <v>39</v>
      </c>
      <c r="BB154">
        <f t="shared" si="26"/>
        <v>39</v>
      </c>
      <c r="BC154">
        <f t="shared" si="27"/>
        <v>39</v>
      </c>
      <c r="BD154">
        <f t="shared" si="28"/>
        <v>39</v>
      </c>
      <c r="BE154">
        <f>HLOOKUP(AV154-1,$AW$3:BD426,ROW(AV154)-2,0)</f>
        <v>34</v>
      </c>
      <c r="BF154">
        <f>HLOOKUP(AV154,$AW$3:BD426,ROW(AV154)-2,0)</f>
        <v>39</v>
      </c>
      <c r="BG154" t="str">
        <f t="shared" si="29"/>
        <v>A_II_KwotaA</v>
      </c>
    </row>
    <row r="155" spans="1:59" ht="16.399999999999999" x14ac:dyDescent="0.35">
      <c r="A155" t="s">
        <v>2271</v>
      </c>
      <c r="B155" t="s">
        <v>2272</v>
      </c>
      <c r="AV155" s="43">
        <f t="shared" si="20"/>
        <v>6</v>
      </c>
      <c r="AW155">
        <f t="shared" si="21"/>
        <v>19</v>
      </c>
      <c r="AX155">
        <f t="shared" si="22"/>
        <v>24</v>
      </c>
      <c r="AY155">
        <f t="shared" si="23"/>
        <v>32</v>
      </c>
      <c r="AZ155">
        <f t="shared" si="24"/>
        <v>34</v>
      </c>
      <c r="BA155">
        <f t="shared" si="25"/>
        <v>40</v>
      </c>
      <c r="BB155">
        <f t="shared" si="26"/>
        <v>40</v>
      </c>
      <c r="BC155">
        <f t="shared" si="27"/>
        <v>40</v>
      </c>
      <c r="BD155">
        <f t="shared" si="28"/>
        <v>40</v>
      </c>
      <c r="BE155">
        <f>HLOOKUP(AV155-1,$AW$3:BD427,ROW(AV155)-2,0)</f>
        <v>34</v>
      </c>
      <c r="BF155">
        <f>HLOOKUP(AV155,$AW$3:BD427,ROW(AV155)-2,0)</f>
        <v>40</v>
      </c>
      <c r="BG155" t="str">
        <f t="shared" si="29"/>
        <v>A_III_KwotaA</v>
      </c>
    </row>
    <row r="156" spans="1:59" ht="16.399999999999999" x14ac:dyDescent="0.35">
      <c r="A156" t="s">
        <v>2273</v>
      </c>
      <c r="B156" t="s">
        <v>2274</v>
      </c>
      <c r="AV156" s="43">
        <f t="shared" si="20"/>
        <v>6</v>
      </c>
      <c r="AW156">
        <f t="shared" si="21"/>
        <v>19</v>
      </c>
      <c r="AX156">
        <f t="shared" si="22"/>
        <v>24</v>
      </c>
      <c r="AY156">
        <f t="shared" si="23"/>
        <v>32</v>
      </c>
      <c r="AZ156">
        <f t="shared" si="24"/>
        <v>34</v>
      </c>
      <c r="BA156">
        <f t="shared" si="25"/>
        <v>39</v>
      </c>
      <c r="BB156">
        <f t="shared" si="26"/>
        <v>39</v>
      </c>
      <c r="BC156">
        <f t="shared" si="27"/>
        <v>39</v>
      </c>
      <c r="BD156">
        <f t="shared" si="28"/>
        <v>39</v>
      </c>
      <c r="BE156">
        <f>HLOOKUP(AV156-1,$AW$3:BD428,ROW(AV156)-2,0)</f>
        <v>34</v>
      </c>
      <c r="BF156">
        <f>HLOOKUP(AV156,$AW$3:BD428,ROW(AV156)-2,0)</f>
        <v>39</v>
      </c>
      <c r="BG156" t="str">
        <f t="shared" si="29"/>
        <v>A_IV_KwotaA</v>
      </c>
    </row>
    <row r="157" spans="1:59" ht="16.399999999999999" x14ac:dyDescent="0.35">
      <c r="A157" t="s">
        <v>2275</v>
      </c>
      <c r="B157" t="s">
        <v>2276</v>
      </c>
      <c r="C157" s="18">
        <v>4183503.35</v>
      </c>
      <c r="AV157" s="43">
        <f t="shared" si="20"/>
        <v>5</v>
      </c>
      <c r="AW157">
        <f t="shared" si="21"/>
        <v>19</v>
      </c>
      <c r="AX157">
        <f t="shared" si="22"/>
        <v>24</v>
      </c>
      <c r="AY157">
        <f t="shared" si="23"/>
        <v>32</v>
      </c>
      <c r="AZ157">
        <f t="shared" si="24"/>
        <v>34</v>
      </c>
      <c r="BA157">
        <f t="shared" si="25"/>
        <v>34</v>
      </c>
      <c r="BB157">
        <f t="shared" si="26"/>
        <v>34</v>
      </c>
      <c r="BC157">
        <f t="shared" si="27"/>
        <v>34</v>
      </c>
      <c r="BD157">
        <f t="shared" si="28"/>
        <v>34</v>
      </c>
      <c r="BE157">
        <f>HLOOKUP(AV157-1,$AW$3:BD429,ROW(AV157)-2,0)</f>
        <v>32</v>
      </c>
      <c r="BF157">
        <f>HLOOKUP(AV157,$AW$3:BD429,ROW(AV157)-2,0)</f>
        <v>34</v>
      </c>
      <c r="BG157" t="str">
        <f t="shared" si="29"/>
        <v>B_KwotaA</v>
      </c>
    </row>
    <row r="158" spans="1:59" ht="16.399999999999999" x14ac:dyDescent="0.35">
      <c r="A158" t="s">
        <v>2277</v>
      </c>
      <c r="B158" t="s">
        <v>2278</v>
      </c>
      <c r="AV158" s="43">
        <f t="shared" si="20"/>
        <v>6</v>
      </c>
      <c r="AW158">
        <f t="shared" si="21"/>
        <v>19</v>
      </c>
      <c r="AX158">
        <f t="shared" si="22"/>
        <v>24</v>
      </c>
      <c r="AY158">
        <f t="shared" si="23"/>
        <v>32</v>
      </c>
      <c r="AZ158">
        <f t="shared" si="24"/>
        <v>34</v>
      </c>
      <c r="BA158">
        <f t="shared" si="25"/>
        <v>38</v>
      </c>
      <c r="BB158">
        <f t="shared" si="26"/>
        <v>38</v>
      </c>
      <c r="BC158">
        <f t="shared" si="27"/>
        <v>38</v>
      </c>
      <c r="BD158">
        <f t="shared" si="28"/>
        <v>38</v>
      </c>
      <c r="BE158">
        <f>HLOOKUP(AV158-1,$AW$3:BD430,ROW(AV158)-2,0)</f>
        <v>34</v>
      </c>
      <c r="BF158">
        <f>HLOOKUP(AV158,$AW$3:BD430,ROW(AV158)-2,0)</f>
        <v>38</v>
      </c>
      <c r="BG158" t="str">
        <f t="shared" si="29"/>
        <v>B_I_KwotaA</v>
      </c>
    </row>
    <row r="159" spans="1:59" ht="16.399999999999999" x14ac:dyDescent="0.35">
      <c r="A159" t="s">
        <v>2279</v>
      </c>
      <c r="B159" t="s">
        <v>2280</v>
      </c>
      <c r="C159" s="18">
        <v>18957.25</v>
      </c>
      <c r="AV159" s="43">
        <f t="shared" si="20"/>
        <v>6</v>
      </c>
      <c r="AW159">
        <f t="shared" si="21"/>
        <v>19</v>
      </c>
      <c r="AX159">
        <f t="shared" si="22"/>
        <v>24</v>
      </c>
      <c r="AY159">
        <f t="shared" si="23"/>
        <v>32</v>
      </c>
      <c r="AZ159">
        <f t="shared" si="24"/>
        <v>34</v>
      </c>
      <c r="BA159">
        <f t="shared" si="25"/>
        <v>39</v>
      </c>
      <c r="BB159">
        <f t="shared" si="26"/>
        <v>39</v>
      </c>
      <c r="BC159">
        <f t="shared" si="27"/>
        <v>39</v>
      </c>
      <c r="BD159">
        <f t="shared" si="28"/>
        <v>39</v>
      </c>
      <c r="BE159">
        <f>HLOOKUP(AV159-1,$AW$3:BD431,ROW(AV159)-2,0)</f>
        <v>34</v>
      </c>
      <c r="BF159">
        <f>HLOOKUP(AV159,$AW$3:BD431,ROW(AV159)-2,0)</f>
        <v>39</v>
      </c>
      <c r="BG159" t="str">
        <f t="shared" si="29"/>
        <v>B_II_KwotaA</v>
      </c>
    </row>
    <row r="160" spans="1:59" ht="16.399999999999999" x14ac:dyDescent="0.35">
      <c r="A160" t="s">
        <v>2281</v>
      </c>
      <c r="B160" t="s">
        <v>2282</v>
      </c>
      <c r="C160" s="18">
        <v>2621877.94</v>
      </c>
      <c r="AV160" s="43">
        <f t="shared" si="20"/>
        <v>6</v>
      </c>
      <c r="AW160">
        <f t="shared" si="21"/>
        <v>19</v>
      </c>
      <c r="AX160">
        <f t="shared" si="22"/>
        <v>24</v>
      </c>
      <c r="AY160">
        <f t="shared" si="23"/>
        <v>32</v>
      </c>
      <c r="AZ160">
        <f t="shared" si="24"/>
        <v>34</v>
      </c>
      <c r="BA160">
        <f t="shared" si="25"/>
        <v>40</v>
      </c>
      <c r="BB160">
        <f t="shared" si="26"/>
        <v>40</v>
      </c>
      <c r="BC160">
        <f t="shared" si="27"/>
        <v>40</v>
      </c>
      <c r="BD160">
        <f t="shared" si="28"/>
        <v>40</v>
      </c>
      <c r="BE160">
        <f>HLOOKUP(AV160-1,$AW$3:BD432,ROW(AV160)-2,0)</f>
        <v>34</v>
      </c>
      <c r="BF160">
        <f>HLOOKUP(AV160,$AW$3:BD432,ROW(AV160)-2,0)</f>
        <v>40</v>
      </c>
      <c r="BG160" t="str">
        <f t="shared" si="29"/>
        <v>B_III_KwotaA</v>
      </c>
    </row>
    <row r="161" spans="1:59" ht="16.399999999999999" x14ac:dyDescent="0.35">
      <c r="A161" t="s">
        <v>2283</v>
      </c>
      <c r="B161" t="s">
        <v>2284</v>
      </c>
      <c r="C161" s="18">
        <v>513.48</v>
      </c>
      <c r="AV161" s="43">
        <f t="shared" si="20"/>
        <v>6</v>
      </c>
      <c r="AW161">
        <f t="shared" si="21"/>
        <v>19</v>
      </c>
      <c r="AX161">
        <f t="shared" si="22"/>
        <v>24</v>
      </c>
      <c r="AY161">
        <f t="shared" si="23"/>
        <v>32</v>
      </c>
      <c r="AZ161">
        <f t="shared" si="24"/>
        <v>34</v>
      </c>
      <c r="BA161">
        <f t="shared" si="25"/>
        <v>39</v>
      </c>
      <c r="BB161">
        <f t="shared" si="26"/>
        <v>39</v>
      </c>
      <c r="BC161">
        <f t="shared" si="27"/>
        <v>39</v>
      </c>
      <c r="BD161">
        <f t="shared" si="28"/>
        <v>39</v>
      </c>
      <c r="BE161">
        <f>HLOOKUP(AV161-1,$AW$3:BD433,ROW(AV161)-2,0)</f>
        <v>34</v>
      </c>
      <c r="BF161">
        <f>HLOOKUP(AV161,$AW$3:BD433,ROW(AV161)-2,0)</f>
        <v>39</v>
      </c>
      <c r="BG161" t="str">
        <f t="shared" si="29"/>
        <v>B_IV_KwotaA</v>
      </c>
    </row>
    <row r="162" spans="1:59" ht="16.399999999999999" x14ac:dyDescent="0.35">
      <c r="A162" t="s">
        <v>2285</v>
      </c>
      <c r="B162" t="s">
        <v>2286</v>
      </c>
      <c r="AV162" s="43">
        <f t="shared" si="20"/>
        <v>7</v>
      </c>
      <c r="AW162">
        <f t="shared" si="21"/>
        <v>19</v>
      </c>
      <c r="AX162">
        <f t="shared" si="22"/>
        <v>24</v>
      </c>
      <c r="AY162">
        <f t="shared" si="23"/>
        <v>32</v>
      </c>
      <c r="AZ162">
        <f t="shared" si="24"/>
        <v>34</v>
      </c>
      <c r="BA162">
        <f t="shared" si="25"/>
        <v>39</v>
      </c>
      <c r="BB162">
        <f t="shared" si="26"/>
        <v>46</v>
      </c>
      <c r="BC162">
        <f t="shared" si="27"/>
        <v>46</v>
      </c>
      <c r="BD162">
        <f t="shared" si="28"/>
        <v>46</v>
      </c>
      <c r="BE162">
        <f>HLOOKUP(AV162-1,$AW$3:BD434,ROW(AV162)-2,0)</f>
        <v>39</v>
      </c>
      <c r="BF162">
        <f>HLOOKUP(AV162,$AW$3:BD434,ROW(AV162)-2,0)</f>
        <v>46</v>
      </c>
      <c r="BG162" t="str">
        <f t="shared" si="29"/>
        <v>B_IV_1_KwotaA</v>
      </c>
    </row>
    <row r="163" spans="1:59" ht="16.399999999999999" x14ac:dyDescent="0.35">
      <c r="A163" t="s">
        <v>2287</v>
      </c>
      <c r="B163" t="s">
        <v>2288</v>
      </c>
      <c r="C163" s="18">
        <v>1421317.23</v>
      </c>
      <c r="AV163" s="43">
        <f t="shared" si="20"/>
        <v>6</v>
      </c>
      <c r="AW163">
        <f t="shared" si="21"/>
        <v>19</v>
      </c>
      <c r="AX163">
        <f t="shared" si="22"/>
        <v>24</v>
      </c>
      <c r="AY163">
        <f t="shared" si="23"/>
        <v>32</v>
      </c>
      <c r="AZ163">
        <f t="shared" si="24"/>
        <v>34</v>
      </c>
      <c r="BA163">
        <f t="shared" si="25"/>
        <v>38</v>
      </c>
      <c r="BB163">
        <f t="shared" si="26"/>
        <v>38</v>
      </c>
      <c r="BC163">
        <f t="shared" si="27"/>
        <v>38</v>
      </c>
      <c r="BD163">
        <f t="shared" si="28"/>
        <v>38</v>
      </c>
      <c r="BE163">
        <f>HLOOKUP(AV163-1,$AW$3:BD435,ROW(AV163)-2,0)</f>
        <v>34</v>
      </c>
      <c r="BF163">
        <f>HLOOKUP(AV163,$AW$3:BD435,ROW(AV163)-2,0)</f>
        <v>38</v>
      </c>
      <c r="BG163" t="str">
        <f t="shared" si="29"/>
        <v>B_V_KwotaA</v>
      </c>
    </row>
    <row r="164" spans="1:59" ht="16.399999999999999" x14ac:dyDescent="0.35">
      <c r="A164" t="s">
        <v>2289</v>
      </c>
      <c r="B164" t="s">
        <v>2290</v>
      </c>
      <c r="C164" s="18">
        <v>93582.12</v>
      </c>
      <c r="AV164" s="43">
        <f t="shared" si="20"/>
        <v>6</v>
      </c>
      <c r="AW164">
        <f t="shared" si="21"/>
        <v>19</v>
      </c>
      <c r="AX164">
        <f t="shared" si="22"/>
        <v>24</v>
      </c>
      <c r="AY164">
        <f t="shared" si="23"/>
        <v>32</v>
      </c>
      <c r="AZ164">
        <f t="shared" si="24"/>
        <v>34</v>
      </c>
      <c r="BA164">
        <f t="shared" si="25"/>
        <v>39</v>
      </c>
      <c r="BB164">
        <f t="shared" si="26"/>
        <v>39</v>
      </c>
      <c r="BC164">
        <f t="shared" si="27"/>
        <v>39</v>
      </c>
      <c r="BD164">
        <f t="shared" si="28"/>
        <v>39</v>
      </c>
      <c r="BE164">
        <f>HLOOKUP(AV164-1,$AW$3:BD436,ROW(AV164)-2,0)</f>
        <v>34</v>
      </c>
      <c r="BF164">
        <f>HLOOKUP(AV164,$AW$3:BD436,ROW(AV164)-2,0)</f>
        <v>39</v>
      </c>
      <c r="BG164" t="str">
        <f t="shared" si="29"/>
        <v>B_VI_KwotaA</v>
      </c>
    </row>
    <row r="165" spans="1:59" ht="16.399999999999999" x14ac:dyDescent="0.35">
      <c r="A165" t="s">
        <v>2291</v>
      </c>
      <c r="B165" t="s">
        <v>2292</v>
      </c>
      <c r="C165" s="18">
        <v>26018.2</v>
      </c>
      <c r="AV165" s="43">
        <f t="shared" si="20"/>
        <v>7</v>
      </c>
      <c r="AW165">
        <f t="shared" si="21"/>
        <v>19</v>
      </c>
      <c r="AX165">
        <f t="shared" si="22"/>
        <v>24</v>
      </c>
      <c r="AY165">
        <f t="shared" si="23"/>
        <v>32</v>
      </c>
      <c r="AZ165">
        <f t="shared" si="24"/>
        <v>34</v>
      </c>
      <c r="BA165">
        <f t="shared" si="25"/>
        <v>39</v>
      </c>
      <c r="BB165">
        <f t="shared" si="26"/>
        <v>46</v>
      </c>
      <c r="BC165">
        <f t="shared" si="27"/>
        <v>46</v>
      </c>
      <c r="BD165">
        <f t="shared" si="28"/>
        <v>46</v>
      </c>
      <c r="BE165">
        <f>HLOOKUP(AV165-1,$AW$3:BD437,ROW(AV165)-2,0)</f>
        <v>39</v>
      </c>
      <c r="BF165">
        <f>HLOOKUP(AV165,$AW$3:BD437,ROW(AV165)-2,0)</f>
        <v>46</v>
      </c>
      <c r="BG165" t="str">
        <f t="shared" si="29"/>
        <v>B_VI_1_KwotaA</v>
      </c>
    </row>
    <row r="166" spans="1:59" ht="16.399999999999999" x14ac:dyDescent="0.35">
      <c r="A166" t="s">
        <v>2293</v>
      </c>
      <c r="B166" t="s">
        <v>2294</v>
      </c>
      <c r="C166" s="18">
        <v>27255.33</v>
      </c>
      <c r="AV166" s="43">
        <f t="shared" si="20"/>
        <v>6</v>
      </c>
      <c r="AW166">
        <f t="shared" si="21"/>
        <v>19</v>
      </c>
      <c r="AX166">
        <f t="shared" si="22"/>
        <v>24</v>
      </c>
      <c r="AY166">
        <f t="shared" si="23"/>
        <v>32</v>
      </c>
      <c r="AZ166">
        <f t="shared" si="24"/>
        <v>34</v>
      </c>
      <c r="BA166">
        <f t="shared" si="25"/>
        <v>40</v>
      </c>
      <c r="BB166">
        <f t="shared" si="26"/>
        <v>40</v>
      </c>
      <c r="BC166">
        <f t="shared" si="27"/>
        <v>40</v>
      </c>
      <c r="BD166">
        <f t="shared" si="28"/>
        <v>40</v>
      </c>
      <c r="BE166">
        <f>HLOOKUP(AV166-1,$AW$3:BD438,ROW(AV166)-2,0)</f>
        <v>34</v>
      </c>
      <c r="BF166">
        <f>HLOOKUP(AV166,$AW$3:BD438,ROW(AV166)-2,0)</f>
        <v>40</v>
      </c>
      <c r="BG166" t="str">
        <f t="shared" si="29"/>
        <v>B_VII_KwotaA</v>
      </c>
    </row>
    <row r="167" spans="1:59" ht="16.399999999999999" x14ac:dyDescent="0.35">
      <c r="A167" t="s">
        <v>2295</v>
      </c>
      <c r="B167" t="s">
        <v>2296</v>
      </c>
      <c r="AV167" s="43">
        <f t="shared" si="20"/>
        <v>6</v>
      </c>
      <c r="AW167">
        <f t="shared" si="21"/>
        <v>19</v>
      </c>
      <c r="AX167">
        <f t="shared" si="22"/>
        <v>24</v>
      </c>
      <c r="AY167">
        <f t="shared" si="23"/>
        <v>32</v>
      </c>
      <c r="AZ167">
        <f t="shared" si="24"/>
        <v>34</v>
      </c>
      <c r="BA167">
        <f t="shared" si="25"/>
        <v>41</v>
      </c>
      <c r="BB167">
        <f t="shared" si="26"/>
        <v>41</v>
      </c>
      <c r="BC167">
        <f t="shared" si="27"/>
        <v>41</v>
      </c>
      <c r="BD167">
        <f t="shared" si="28"/>
        <v>41</v>
      </c>
      <c r="BE167">
        <f>HLOOKUP(AV167-1,$AW$3:BD439,ROW(AV167)-2,0)</f>
        <v>34</v>
      </c>
      <c r="BF167">
        <f>HLOOKUP(AV167,$AW$3:BD439,ROW(AV167)-2,0)</f>
        <v>41</v>
      </c>
      <c r="BG167" t="str">
        <f t="shared" si="29"/>
        <v>B_VIII_KwotaA</v>
      </c>
    </row>
    <row r="168" spans="1:59" ht="16.399999999999999" x14ac:dyDescent="0.35">
      <c r="A168" t="s">
        <v>2297</v>
      </c>
      <c r="B168" t="s">
        <v>2298</v>
      </c>
      <c r="C168" s="18">
        <v>267090.09000000003</v>
      </c>
      <c r="AV168" s="43">
        <f t="shared" si="20"/>
        <v>5</v>
      </c>
      <c r="AW168">
        <f t="shared" si="21"/>
        <v>19</v>
      </c>
      <c r="AX168">
        <f t="shared" si="22"/>
        <v>24</v>
      </c>
      <c r="AY168">
        <f t="shared" si="23"/>
        <v>32</v>
      </c>
      <c r="AZ168">
        <f t="shared" si="24"/>
        <v>34</v>
      </c>
      <c r="BA168">
        <f t="shared" si="25"/>
        <v>34</v>
      </c>
      <c r="BB168">
        <f t="shared" si="26"/>
        <v>34</v>
      </c>
      <c r="BC168">
        <f t="shared" si="27"/>
        <v>34</v>
      </c>
      <c r="BD168">
        <f t="shared" si="28"/>
        <v>34</v>
      </c>
      <c r="BE168">
        <f>HLOOKUP(AV168-1,$AW$3:BD440,ROW(AV168)-2,0)</f>
        <v>32</v>
      </c>
      <c r="BF168">
        <f>HLOOKUP(AV168,$AW$3:BD440,ROW(AV168)-2,0)</f>
        <v>34</v>
      </c>
      <c r="BG168" t="str">
        <f t="shared" si="29"/>
        <v>C_KwotaA</v>
      </c>
    </row>
    <row r="169" spans="1:59" ht="16.399999999999999" x14ac:dyDescent="0.35">
      <c r="A169" t="s">
        <v>2299</v>
      </c>
      <c r="B169" t="s">
        <v>2300</v>
      </c>
      <c r="C169" s="18">
        <v>2341.67</v>
      </c>
      <c r="AV169" s="43">
        <f t="shared" si="20"/>
        <v>5</v>
      </c>
      <c r="AW169">
        <f t="shared" si="21"/>
        <v>19</v>
      </c>
      <c r="AX169">
        <f t="shared" si="22"/>
        <v>24</v>
      </c>
      <c r="AY169">
        <f t="shared" si="23"/>
        <v>32</v>
      </c>
      <c r="AZ169">
        <f t="shared" si="24"/>
        <v>34</v>
      </c>
      <c r="BA169">
        <f t="shared" si="25"/>
        <v>34</v>
      </c>
      <c r="BB169">
        <f t="shared" si="26"/>
        <v>34</v>
      </c>
      <c r="BC169">
        <f t="shared" si="27"/>
        <v>34</v>
      </c>
      <c r="BD169">
        <f t="shared" si="28"/>
        <v>34</v>
      </c>
      <c r="BE169">
        <f>HLOOKUP(AV169-1,$AW$3:BD441,ROW(AV169)-2,0)</f>
        <v>32</v>
      </c>
      <c r="BF169">
        <f>HLOOKUP(AV169,$AW$3:BD441,ROW(AV169)-2,0)</f>
        <v>34</v>
      </c>
      <c r="BG169" t="str">
        <f t="shared" si="29"/>
        <v>D_KwotaA</v>
      </c>
    </row>
    <row r="170" spans="1:59" ht="16.399999999999999" x14ac:dyDescent="0.35">
      <c r="A170" t="s">
        <v>2301</v>
      </c>
      <c r="B170" t="s">
        <v>2302</v>
      </c>
      <c r="AV170" s="43">
        <f t="shared" si="20"/>
        <v>6</v>
      </c>
      <c r="AW170">
        <f t="shared" si="21"/>
        <v>19</v>
      </c>
      <c r="AX170">
        <f t="shared" si="22"/>
        <v>24</v>
      </c>
      <c r="AY170">
        <f t="shared" si="23"/>
        <v>32</v>
      </c>
      <c r="AZ170">
        <f t="shared" si="24"/>
        <v>34</v>
      </c>
      <c r="BA170">
        <f t="shared" si="25"/>
        <v>38</v>
      </c>
      <c r="BB170">
        <f t="shared" si="26"/>
        <v>38</v>
      </c>
      <c r="BC170">
        <f t="shared" si="27"/>
        <v>38</v>
      </c>
      <c r="BD170">
        <f t="shared" si="28"/>
        <v>38</v>
      </c>
      <c r="BE170">
        <f>HLOOKUP(AV170-1,$AW$3:BD442,ROW(AV170)-2,0)</f>
        <v>34</v>
      </c>
      <c r="BF170">
        <f>HLOOKUP(AV170,$AW$3:BD442,ROW(AV170)-2,0)</f>
        <v>38</v>
      </c>
      <c r="BG170" t="str">
        <f t="shared" si="29"/>
        <v>D_I_KwotaA</v>
      </c>
    </row>
    <row r="171" spans="1:59" ht="16.399999999999999" x14ac:dyDescent="0.35">
      <c r="A171" t="s">
        <v>2303</v>
      </c>
      <c r="B171" t="s">
        <v>2304</v>
      </c>
      <c r="AV171" s="43">
        <f t="shared" si="20"/>
        <v>6</v>
      </c>
      <c r="AW171">
        <f t="shared" si="21"/>
        <v>19</v>
      </c>
      <c r="AX171">
        <f t="shared" si="22"/>
        <v>24</v>
      </c>
      <c r="AY171">
        <f t="shared" si="23"/>
        <v>32</v>
      </c>
      <c r="AZ171">
        <f t="shared" si="24"/>
        <v>34</v>
      </c>
      <c r="BA171">
        <f t="shared" si="25"/>
        <v>39</v>
      </c>
      <c r="BB171">
        <f t="shared" si="26"/>
        <v>39</v>
      </c>
      <c r="BC171">
        <f t="shared" si="27"/>
        <v>39</v>
      </c>
      <c r="BD171">
        <f t="shared" si="28"/>
        <v>39</v>
      </c>
      <c r="BE171">
        <f>HLOOKUP(AV171-1,$AW$3:BD443,ROW(AV171)-2,0)</f>
        <v>34</v>
      </c>
      <c r="BF171">
        <f>HLOOKUP(AV171,$AW$3:BD443,ROW(AV171)-2,0)</f>
        <v>39</v>
      </c>
      <c r="BG171" t="str">
        <f t="shared" si="29"/>
        <v>D_II_KwotaA</v>
      </c>
    </row>
    <row r="172" spans="1:59" ht="16.399999999999999" x14ac:dyDescent="0.35">
      <c r="A172" t="s">
        <v>2305</v>
      </c>
      <c r="B172" t="s">
        <v>2306</v>
      </c>
      <c r="AV172" s="43">
        <f t="shared" si="20"/>
        <v>6</v>
      </c>
      <c r="AW172">
        <f t="shared" si="21"/>
        <v>19</v>
      </c>
      <c r="AX172">
        <f t="shared" si="22"/>
        <v>24</v>
      </c>
      <c r="AY172">
        <f t="shared" si="23"/>
        <v>32</v>
      </c>
      <c r="AZ172">
        <f t="shared" si="24"/>
        <v>34</v>
      </c>
      <c r="BA172">
        <f t="shared" si="25"/>
        <v>40</v>
      </c>
      <c r="BB172">
        <f t="shared" si="26"/>
        <v>40</v>
      </c>
      <c r="BC172">
        <f t="shared" si="27"/>
        <v>40</v>
      </c>
      <c r="BD172">
        <f t="shared" si="28"/>
        <v>40</v>
      </c>
      <c r="BE172">
        <f>HLOOKUP(AV172-1,$AW$3:BD444,ROW(AV172)-2,0)</f>
        <v>34</v>
      </c>
      <c r="BF172">
        <f>HLOOKUP(AV172,$AW$3:BD444,ROW(AV172)-2,0)</f>
        <v>40</v>
      </c>
      <c r="BG172" t="str">
        <f t="shared" si="29"/>
        <v>D_III_KwotaA</v>
      </c>
    </row>
    <row r="173" spans="1:59" ht="16.399999999999999" x14ac:dyDescent="0.35">
      <c r="A173" t="s">
        <v>2307</v>
      </c>
      <c r="B173" t="s">
        <v>2308</v>
      </c>
      <c r="C173" s="18">
        <v>2341.67</v>
      </c>
      <c r="AV173" s="43">
        <f t="shared" si="20"/>
        <v>6</v>
      </c>
      <c r="AW173">
        <f t="shared" si="21"/>
        <v>19</v>
      </c>
      <c r="AX173">
        <f t="shared" si="22"/>
        <v>24</v>
      </c>
      <c r="AY173">
        <f t="shared" si="23"/>
        <v>32</v>
      </c>
      <c r="AZ173">
        <f t="shared" si="24"/>
        <v>34</v>
      </c>
      <c r="BA173">
        <f t="shared" si="25"/>
        <v>39</v>
      </c>
      <c r="BB173">
        <f t="shared" si="26"/>
        <v>39</v>
      </c>
      <c r="BC173">
        <f t="shared" si="27"/>
        <v>39</v>
      </c>
      <c r="BD173">
        <f t="shared" si="28"/>
        <v>39</v>
      </c>
      <c r="BE173">
        <f>HLOOKUP(AV173-1,$AW$3:BD445,ROW(AV173)-2,0)</f>
        <v>34</v>
      </c>
      <c r="BF173">
        <f>HLOOKUP(AV173,$AW$3:BD445,ROW(AV173)-2,0)</f>
        <v>39</v>
      </c>
      <c r="BG173" t="str">
        <f t="shared" si="29"/>
        <v>D_IV_KwotaA</v>
      </c>
    </row>
    <row r="174" spans="1:59" ht="16.399999999999999" x14ac:dyDescent="0.35">
      <c r="A174" t="s">
        <v>2309</v>
      </c>
      <c r="B174" t="s">
        <v>2310</v>
      </c>
      <c r="C174" s="18">
        <v>4411.13</v>
      </c>
      <c r="AV174" s="43">
        <f t="shared" si="20"/>
        <v>5</v>
      </c>
      <c r="AW174">
        <f t="shared" si="21"/>
        <v>19</v>
      </c>
      <c r="AX174">
        <f t="shared" si="22"/>
        <v>24</v>
      </c>
      <c r="AY174">
        <f t="shared" si="23"/>
        <v>32</v>
      </c>
      <c r="AZ174">
        <f t="shared" si="24"/>
        <v>34</v>
      </c>
      <c r="BA174">
        <f t="shared" si="25"/>
        <v>34</v>
      </c>
      <c r="BB174">
        <f t="shared" si="26"/>
        <v>34</v>
      </c>
      <c r="BC174">
        <f t="shared" si="27"/>
        <v>34</v>
      </c>
      <c r="BD174">
        <f t="shared" si="28"/>
        <v>34</v>
      </c>
      <c r="BE174">
        <f>HLOOKUP(AV174-1,$AW$3:BD446,ROW(AV174)-2,0)</f>
        <v>32</v>
      </c>
      <c r="BF174">
        <f>HLOOKUP(AV174,$AW$3:BD446,ROW(AV174)-2,0)</f>
        <v>34</v>
      </c>
      <c r="BG174" t="str">
        <f t="shared" si="29"/>
        <v>E_KwotaA</v>
      </c>
    </row>
    <row r="175" spans="1:59" ht="16.399999999999999" x14ac:dyDescent="0.35">
      <c r="A175" t="s">
        <v>2309</v>
      </c>
      <c r="B175" t="s">
        <v>2311</v>
      </c>
      <c r="AV175" s="43">
        <f t="shared" si="20"/>
        <v>6</v>
      </c>
      <c r="AW175">
        <f t="shared" si="21"/>
        <v>19</v>
      </c>
      <c r="AX175">
        <f t="shared" si="22"/>
        <v>24</v>
      </c>
      <c r="AY175">
        <f t="shared" si="23"/>
        <v>32</v>
      </c>
      <c r="AZ175">
        <f t="shared" si="24"/>
        <v>34</v>
      </c>
      <c r="BA175">
        <f t="shared" si="25"/>
        <v>38</v>
      </c>
      <c r="BB175">
        <f t="shared" si="26"/>
        <v>38</v>
      </c>
      <c r="BC175">
        <f t="shared" si="27"/>
        <v>38</v>
      </c>
      <c r="BD175">
        <f t="shared" si="28"/>
        <v>38</v>
      </c>
      <c r="BE175">
        <f>HLOOKUP(AV175-1,$AW$3:BD447,ROW(AV175)-2,0)</f>
        <v>34</v>
      </c>
      <c r="BF175">
        <f>HLOOKUP(AV175,$AW$3:BD447,ROW(AV175)-2,0)</f>
        <v>38</v>
      </c>
      <c r="BG175" t="str">
        <f t="shared" si="29"/>
        <v>E_I_KwotaA</v>
      </c>
    </row>
    <row r="176" spans="1:59" ht="16.399999999999999" x14ac:dyDescent="0.35">
      <c r="A176" t="s">
        <v>2312</v>
      </c>
      <c r="B176" t="s">
        <v>2313</v>
      </c>
      <c r="AV176" s="43">
        <f t="shared" si="20"/>
        <v>6</v>
      </c>
      <c r="AW176">
        <f t="shared" si="21"/>
        <v>19</v>
      </c>
      <c r="AX176">
        <f t="shared" si="22"/>
        <v>24</v>
      </c>
      <c r="AY176">
        <f t="shared" si="23"/>
        <v>32</v>
      </c>
      <c r="AZ176">
        <f t="shared" si="24"/>
        <v>34</v>
      </c>
      <c r="BA176">
        <f t="shared" si="25"/>
        <v>39</v>
      </c>
      <c r="BB176">
        <f t="shared" si="26"/>
        <v>39</v>
      </c>
      <c r="BC176">
        <f t="shared" si="27"/>
        <v>39</v>
      </c>
      <c r="BD176">
        <f t="shared" si="28"/>
        <v>39</v>
      </c>
      <c r="BE176">
        <f>HLOOKUP(AV176-1,$AW$3:BD448,ROW(AV176)-2,0)</f>
        <v>34</v>
      </c>
      <c r="BF176">
        <f>HLOOKUP(AV176,$AW$3:BD448,ROW(AV176)-2,0)</f>
        <v>39</v>
      </c>
      <c r="BG176" t="str">
        <f t="shared" si="29"/>
        <v>E_II_KwotaA</v>
      </c>
    </row>
    <row r="177" spans="1:59" ht="16.399999999999999" x14ac:dyDescent="0.35">
      <c r="A177" t="s">
        <v>2314</v>
      </c>
      <c r="B177" t="s">
        <v>2315</v>
      </c>
      <c r="C177" s="18">
        <v>4411.13</v>
      </c>
      <c r="AV177" s="43">
        <f t="shared" si="20"/>
        <v>6</v>
      </c>
      <c r="AW177">
        <f t="shared" si="21"/>
        <v>19</v>
      </c>
      <c r="AX177">
        <f t="shared" si="22"/>
        <v>24</v>
      </c>
      <c r="AY177">
        <f t="shared" si="23"/>
        <v>32</v>
      </c>
      <c r="AZ177">
        <f t="shared" si="24"/>
        <v>34</v>
      </c>
      <c r="BA177">
        <f t="shared" si="25"/>
        <v>40</v>
      </c>
      <c r="BB177">
        <f t="shared" si="26"/>
        <v>40</v>
      </c>
      <c r="BC177">
        <f t="shared" si="27"/>
        <v>40</v>
      </c>
      <c r="BD177">
        <f t="shared" si="28"/>
        <v>40</v>
      </c>
      <c r="BE177">
        <f>HLOOKUP(AV177-1,$AW$3:BD449,ROW(AV177)-2,0)</f>
        <v>34</v>
      </c>
      <c r="BF177">
        <f>HLOOKUP(AV177,$AW$3:BD449,ROW(AV177)-2,0)</f>
        <v>40</v>
      </c>
      <c r="BG177" t="str">
        <f t="shared" si="29"/>
        <v>E_III_KwotaA</v>
      </c>
    </row>
    <row r="178" spans="1:59" ht="16.399999999999999" x14ac:dyDescent="0.35">
      <c r="A178" t="s">
        <v>2316</v>
      </c>
      <c r="B178" t="s">
        <v>2317</v>
      </c>
      <c r="C178" s="18">
        <v>265020.63</v>
      </c>
      <c r="AV178" s="43">
        <f t="shared" si="20"/>
        <v>5</v>
      </c>
      <c r="AW178">
        <f t="shared" si="21"/>
        <v>19</v>
      </c>
      <c r="AX178">
        <f t="shared" si="22"/>
        <v>24</v>
      </c>
      <c r="AY178">
        <f t="shared" si="23"/>
        <v>32</v>
      </c>
      <c r="AZ178">
        <f t="shared" si="24"/>
        <v>34</v>
      </c>
      <c r="BA178">
        <f t="shared" si="25"/>
        <v>34</v>
      </c>
      <c r="BB178">
        <f t="shared" si="26"/>
        <v>34</v>
      </c>
      <c r="BC178">
        <f t="shared" si="27"/>
        <v>34</v>
      </c>
      <c r="BD178">
        <f t="shared" si="28"/>
        <v>34</v>
      </c>
      <c r="BE178">
        <f>HLOOKUP(AV178-1,$AW$3:BD450,ROW(AV178)-2,0)</f>
        <v>32</v>
      </c>
      <c r="BF178">
        <f>HLOOKUP(AV178,$AW$3:BD450,ROW(AV178)-2,0)</f>
        <v>34</v>
      </c>
      <c r="BG178" t="str">
        <f t="shared" si="29"/>
        <v>F_KwotaA</v>
      </c>
    </row>
    <row r="179" spans="1:59" ht="16.399999999999999" x14ac:dyDescent="0.35">
      <c r="A179" t="s">
        <v>2318</v>
      </c>
      <c r="B179" t="s">
        <v>2319</v>
      </c>
      <c r="C179" s="18">
        <v>127747946.12</v>
      </c>
      <c r="AV179" s="43">
        <f t="shared" si="20"/>
        <v>5</v>
      </c>
      <c r="AW179">
        <f t="shared" si="21"/>
        <v>19</v>
      </c>
      <c r="AX179">
        <f t="shared" si="22"/>
        <v>24</v>
      </c>
      <c r="AY179">
        <f t="shared" si="23"/>
        <v>32</v>
      </c>
      <c r="AZ179">
        <f t="shared" si="24"/>
        <v>34</v>
      </c>
      <c r="BA179">
        <f t="shared" si="25"/>
        <v>34</v>
      </c>
      <c r="BB179">
        <f t="shared" si="26"/>
        <v>34</v>
      </c>
      <c r="BC179">
        <f t="shared" si="27"/>
        <v>34</v>
      </c>
      <c r="BD179">
        <f t="shared" si="28"/>
        <v>34</v>
      </c>
      <c r="BE179">
        <f>HLOOKUP(AV179-1,$AW$3:BD451,ROW(AV179)-2,0)</f>
        <v>32</v>
      </c>
      <c r="BF179">
        <f>HLOOKUP(AV179,$AW$3:BD451,ROW(AV179)-2,0)</f>
        <v>34</v>
      </c>
      <c r="BG179" t="str">
        <f t="shared" si="29"/>
        <v>G_KwotaA</v>
      </c>
    </row>
    <row r="180" spans="1:59" ht="16.399999999999999" x14ac:dyDescent="0.35">
      <c r="A180" t="s">
        <v>2320</v>
      </c>
      <c r="B180" t="s">
        <v>2321</v>
      </c>
      <c r="C180" s="18">
        <v>123478624.28</v>
      </c>
      <c r="AV180" s="43">
        <f t="shared" si="20"/>
        <v>6</v>
      </c>
      <c r="AW180">
        <f t="shared" si="21"/>
        <v>19</v>
      </c>
      <c r="AX180">
        <f t="shared" si="22"/>
        <v>24</v>
      </c>
      <c r="AY180">
        <f t="shared" si="23"/>
        <v>32</v>
      </c>
      <c r="AZ180">
        <f t="shared" si="24"/>
        <v>34</v>
      </c>
      <c r="BA180">
        <f t="shared" si="25"/>
        <v>38</v>
      </c>
      <c r="BB180">
        <f t="shared" si="26"/>
        <v>38</v>
      </c>
      <c r="BC180">
        <f t="shared" si="27"/>
        <v>38</v>
      </c>
      <c r="BD180">
        <f t="shared" si="28"/>
        <v>38</v>
      </c>
      <c r="BE180">
        <f>HLOOKUP(AV180-1,$AW$3:BD452,ROW(AV180)-2,0)</f>
        <v>34</v>
      </c>
      <c r="BF180">
        <f>HLOOKUP(AV180,$AW$3:BD452,ROW(AV180)-2,0)</f>
        <v>38</v>
      </c>
      <c r="BG180" t="str">
        <f t="shared" si="29"/>
        <v>G_I_KwotaA</v>
      </c>
    </row>
    <row r="181" spans="1:59" ht="16.399999999999999" x14ac:dyDescent="0.35">
      <c r="A181" t="s">
        <v>2322</v>
      </c>
      <c r="B181" t="s">
        <v>2323</v>
      </c>
      <c r="C181" s="18">
        <v>123478624.28</v>
      </c>
      <c r="AV181" s="43">
        <f t="shared" si="20"/>
        <v>7</v>
      </c>
      <c r="AW181">
        <f t="shared" si="21"/>
        <v>19</v>
      </c>
      <c r="AX181">
        <f t="shared" si="22"/>
        <v>24</v>
      </c>
      <c r="AY181">
        <f t="shared" si="23"/>
        <v>32</v>
      </c>
      <c r="AZ181">
        <f t="shared" si="24"/>
        <v>34</v>
      </c>
      <c r="BA181">
        <f t="shared" si="25"/>
        <v>38</v>
      </c>
      <c r="BB181">
        <f t="shared" si="26"/>
        <v>44</v>
      </c>
      <c r="BC181">
        <f t="shared" si="27"/>
        <v>44</v>
      </c>
      <c r="BD181">
        <f t="shared" si="28"/>
        <v>44</v>
      </c>
      <c r="BE181">
        <f>HLOOKUP(AV181-1,$AW$3:BD453,ROW(AV181)-2,0)</f>
        <v>38</v>
      </c>
      <c r="BF181">
        <f>HLOOKUP(AV181,$AW$3:BD453,ROW(AV181)-2,0)</f>
        <v>44</v>
      </c>
      <c r="BG181" t="str">
        <f t="shared" si="29"/>
        <v>G_I_A_KwotaA</v>
      </c>
    </row>
    <row r="182" spans="1:59" ht="16.399999999999999" x14ac:dyDescent="0.35">
      <c r="A182" t="s">
        <v>2324</v>
      </c>
      <c r="B182" t="s">
        <v>2325</v>
      </c>
      <c r="AV182" s="43">
        <f t="shared" si="20"/>
        <v>8</v>
      </c>
      <c r="AW182">
        <f t="shared" si="21"/>
        <v>19</v>
      </c>
      <c r="AX182">
        <f t="shared" si="22"/>
        <v>24</v>
      </c>
      <c r="AY182">
        <f t="shared" si="23"/>
        <v>32</v>
      </c>
      <c r="AZ182">
        <f t="shared" si="24"/>
        <v>34</v>
      </c>
      <c r="BA182">
        <f t="shared" si="25"/>
        <v>38</v>
      </c>
      <c r="BB182">
        <f t="shared" si="26"/>
        <v>44</v>
      </c>
      <c r="BC182">
        <f t="shared" si="27"/>
        <v>52</v>
      </c>
      <c r="BD182">
        <f t="shared" si="28"/>
        <v>52</v>
      </c>
      <c r="BE182">
        <f>HLOOKUP(AV182-1,$AW$3:BD454,ROW(AV182)-2,0)</f>
        <v>44</v>
      </c>
      <c r="BF182">
        <f>HLOOKUP(AV182,$AW$3:BD454,ROW(AV182)-2,0)</f>
        <v>52</v>
      </c>
      <c r="BG182" t="str">
        <f t="shared" si="29"/>
        <v>G_I_A_1_KwotaA</v>
      </c>
    </row>
    <row r="183" spans="1:59" ht="16.399999999999999" x14ac:dyDescent="0.35">
      <c r="A183" t="s">
        <v>2326</v>
      </c>
      <c r="B183" t="s">
        <v>2327</v>
      </c>
      <c r="AV183" s="43">
        <f t="shared" si="20"/>
        <v>7</v>
      </c>
      <c r="AW183">
        <f t="shared" si="21"/>
        <v>19</v>
      </c>
      <c r="AX183">
        <f t="shared" si="22"/>
        <v>24</v>
      </c>
      <c r="AY183">
        <f t="shared" si="23"/>
        <v>32</v>
      </c>
      <c r="AZ183">
        <f t="shared" si="24"/>
        <v>34</v>
      </c>
      <c r="BA183">
        <f t="shared" si="25"/>
        <v>38</v>
      </c>
      <c r="BB183">
        <f t="shared" si="26"/>
        <v>44</v>
      </c>
      <c r="BC183">
        <f t="shared" si="27"/>
        <v>44</v>
      </c>
      <c r="BD183">
        <f t="shared" si="28"/>
        <v>44</v>
      </c>
      <c r="BE183">
        <f>HLOOKUP(AV183-1,$AW$3:BD455,ROW(AV183)-2,0)</f>
        <v>38</v>
      </c>
      <c r="BF183">
        <f>HLOOKUP(AV183,$AW$3:BD455,ROW(AV183)-2,0)</f>
        <v>44</v>
      </c>
      <c r="BG183" t="str">
        <f t="shared" si="29"/>
        <v>G_I_B_KwotaA</v>
      </c>
    </row>
    <row r="184" spans="1:59" ht="16.399999999999999" x14ac:dyDescent="0.35">
      <c r="A184" t="s">
        <v>2328</v>
      </c>
      <c r="B184" t="s">
        <v>2329</v>
      </c>
      <c r="AV184" s="43">
        <f t="shared" si="20"/>
        <v>8</v>
      </c>
      <c r="AW184">
        <f t="shared" si="21"/>
        <v>19</v>
      </c>
      <c r="AX184">
        <f t="shared" si="22"/>
        <v>24</v>
      </c>
      <c r="AY184">
        <f t="shared" si="23"/>
        <v>32</v>
      </c>
      <c r="AZ184">
        <f t="shared" si="24"/>
        <v>34</v>
      </c>
      <c r="BA184">
        <f t="shared" si="25"/>
        <v>38</v>
      </c>
      <c r="BB184">
        <f t="shared" si="26"/>
        <v>44</v>
      </c>
      <c r="BC184">
        <f t="shared" si="27"/>
        <v>52</v>
      </c>
      <c r="BD184">
        <f t="shared" si="28"/>
        <v>52</v>
      </c>
      <c r="BE184">
        <f>HLOOKUP(AV184-1,$AW$3:BD456,ROW(AV184)-2,0)</f>
        <v>44</v>
      </c>
      <c r="BF184">
        <f>HLOOKUP(AV184,$AW$3:BD456,ROW(AV184)-2,0)</f>
        <v>52</v>
      </c>
      <c r="BG184" t="str">
        <f t="shared" si="29"/>
        <v>G_I_B_1_KwotaA</v>
      </c>
    </row>
    <row r="185" spans="1:59" ht="16.399999999999999" x14ac:dyDescent="0.35">
      <c r="A185" t="s">
        <v>2330</v>
      </c>
      <c r="B185" t="s">
        <v>2331</v>
      </c>
      <c r="C185" s="18">
        <v>4269321.84</v>
      </c>
      <c r="AV185" s="43">
        <f t="shared" si="20"/>
        <v>6</v>
      </c>
      <c r="AW185">
        <f t="shared" si="21"/>
        <v>19</v>
      </c>
      <c r="AX185">
        <f t="shared" si="22"/>
        <v>24</v>
      </c>
      <c r="AY185">
        <f t="shared" si="23"/>
        <v>32</v>
      </c>
      <c r="AZ185">
        <f t="shared" si="24"/>
        <v>34</v>
      </c>
      <c r="BA185">
        <f t="shared" si="25"/>
        <v>39</v>
      </c>
      <c r="BB185">
        <f t="shared" si="26"/>
        <v>39</v>
      </c>
      <c r="BC185">
        <f t="shared" si="27"/>
        <v>39</v>
      </c>
      <c r="BD185">
        <f t="shared" si="28"/>
        <v>39</v>
      </c>
      <c r="BE185">
        <f>HLOOKUP(AV185-1,$AW$3:BD457,ROW(AV185)-2,0)</f>
        <v>34</v>
      </c>
      <c r="BF185">
        <f>HLOOKUP(AV185,$AW$3:BD457,ROW(AV185)-2,0)</f>
        <v>39</v>
      </c>
      <c r="BG185" t="str">
        <f t="shared" si="29"/>
        <v>G_II_KwotaA</v>
      </c>
    </row>
    <row r="186" spans="1:59" ht="16.399999999999999" x14ac:dyDescent="0.35">
      <c r="A186" t="s">
        <v>2332</v>
      </c>
      <c r="B186" t="s">
        <v>2333</v>
      </c>
      <c r="C186" s="18">
        <v>4268793.1900000004</v>
      </c>
      <c r="AV186" s="43">
        <f t="shared" si="20"/>
        <v>7</v>
      </c>
      <c r="AW186">
        <f t="shared" si="21"/>
        <v>19</v>
      </c>
      <c r="AX186">
        <f t="shared" si="22"/>
        <v>24</v>
      </c>
      <c r="AY186">
        <f t="shared" si="23"/>
        <v>32</v>
      </c>
      <c r="AZ186">
        <f t="shared" si="24"/>
        <v>34</v>
      </c>
      <c r="BA186">
        <f t="shared" si="25"/>
        <v>39</v>
      </c>
      <c r="BB186">
        <f t="shared" si="26"/>
        <v>46</v>
      </c>
      <c r="BC186">
        <f t="shared" si="27"/>
        <v>46</v>
      </c>
      <c r="BD186">
        <f t="shared" si="28"/>
        <v>46</v>
      </c>
      <c r="BE186">
        <f>HLOOKUP(AV186-1,$AW$3:BD458,ROW(AV186)-2,0)</f>
        <v>39</v>
      </c>
      <c r="BF186">
        <f>HLOOKUP(AV186,$AW$3:BD458,ROW(AV186)-2,0)</f>
        <v>46</v>
      </c>
      <c r="BG186" t="str">
        <f t="shared" si="29"/>
        <v>G_II_J_KwotaA</v>
      </c>
    </row>
    <row r="187" spans="1:59" ht="16.399999999999999" x14ac:dyDescent="0.35">
      <c r="A187" t="s">
        <v>2334</v>
      </c>
      <c r="B187" t="s">
        <v>2335</v>
      </c>
      <c r="AV187" s="43">
        <f t="shared" si="20"/>
        <v>6</v>
      </c>
      <c r="AW187">
        <f t="shared" si="21"/>
        <v>19</v>
      </c>
      <c r="AX187">
        <f t="shared" si="22"/>
        <v>24</v>
      </c>
      <c r="AY187">
        <f t="shared" si="23"/>
        <v>32</v>
      </c>
      <c r="AZ187">
        <f t="shared" si="24"/>
        <v>34</v>
      </c>
      <c r="BA187">
        <f t="shared" si="25"/>
        <v>40</v>
      </c>
      <c r="BB187">
        <f t="shared" si="26"/>
        <v>40</v>
      </c>
      <c r="BC187">
        <f t="shared" si="27"/>
        <v>40</v>
      </c>
      <c r="BD187">
        <f t="shared" si="28"/>
        <v>40</v>
      </c>
      <c r="BE187">
        <f>HLOOKUP(AV187-1,$AW$3:BD459,ROW(AV187)-2,0)</f>
        <v>34</v>
      </c>
      <c r="BF187">
        <f>HLOOKUP(AV187,$AW$3:BD459,ROW(AV187)-2,0)</f>
        <v>40</v>
      </c>
      <c r="BG187" t="str">
        <f t="shared" si="29"/>
        <v>G_III_KwotaA</v>
      </c>
    </row>
    <row r="188" spans="1:59" ht="16.399999999999999" x14ac:dyDescent="0.35">
      <c r="A188" t="s">
        <v>2336</v>
      </c>
      <c r="B188" t="s">
        <v>2337</v>
      </c>
      <c r="AV188" s="43">
        <f t="shared" si="20"/>
        <v>7</v>
      </c>
      <c r="AW188">
        <f t="shared" si="21"/>
        <v>19</v>
      </c>
      <c r="AX188">
        <f t="shared" si="22"/>
        <v>24</v>
      </c>
      <c r="AY188">
        <f t="shared" si="23"/>
        <v>32</v>
      </c>
      <c r="AZ188">
        <f t="shared" si="24"/>
        <v>34</v>
      </c>
      <c r="BA188">
        <f t="shared" si="25"/>
        <v>40</v>
      </c>
      <c r="BB188">
        <f t="shared" si="26"/>
        <v>48</v>
      </c>
      <c r="BC188">
        <f t="shared" si="27"/>
        <v>48</v>
      </c>
      <c r="BD188">
        <f t="shared" si="28"/>
        <v>48</v>
      </c>
      <c r="BE188">
        <f>HLOOKUP(AV188-1,$AW$3:BD460,ROW(AV188)-2,0)</f>
        <v>40</v>
      </c>
      <c r="BF188">
        <f>HLOOKUP(AV188,$AW$3:BD460,ROW(AV188)-2,0)</f>
        <v>48</v>
      </c>
      <c r="BG188" t="str">
        <f t="shared" si="29"/>
        <v>G_III_J_KwotaA</v>
      </c>
    </row>
    <row r="189" spans="1:59" ht="16.399999999999999" x14ac:dyDescent="0.35">
      <c r="A189" t="s">
        <v>2338</v>
      </c>
      <c r="B189" t="s">
        <v>2339</v>
      </c>
      <c r="AV189" s="43">
        <f t="shared" si="20"/>
        <v>6</v>
      </c>
      <c r="AW189">
        <f t="shared" si="21"/>
        <v>19</v>
      </c>
      <c r="AX189">
        <f t="shared" si="22"/>
        <v>24</v>
      </c>
      <c r="AY189">
        <f t="shared" si="23"/>
        <v>32</v>
      </c>
      <c r="AZ189">
        <f t="shared" si="24"/>
        <v>34</v>
      </c>
      <c r="BA189">
        <f t="shared" si="25"/>
        <v>39</v>
      </c>
      <c r="BB189">
        <f t="shared" si="26"/>
        <v>39</v>
      </c>
      <c r="BC189">
        <f t="shared" si="27"/>
        <v>39</v>
      </c>
      <c r="BD189">
        <f t="shared" si="28"/>
        <v>39</v>
      </c>
      <c r="BE189">
        <f>HLOOKUP(AV189-1,$AW$3:BD461,ROW(AV189)-2,0)</f>
        <v>34</v>
      </c>
      <c r="BF189">
        <f>HLOOKUP(AV189,$AW$3:BD461,ROW(AV189)-2,0)</f>
        <v>39</v>
      </c>
      <c r="BG189" t="str">
        <f t="shared" si="29"/>
        <v>G_IV_KwotaA</v>
      </c>
    </row>
    <row r="190" spans="1:59" ht="16.399999999999999" x14ac:dyDescent="0.35">
      <c r="A190" t="s">
        <v>2340</v>
      </c>
      <c r="B190" t="s">
        <v>2341</v>
      </c>
      <c r="C190" s="18">
        <v>0</v>
      </c>
      <c r="AV190" s="43">
        <f t="shared" si="20"/>
        <v>6</v>
      </c>
      <c r="AW190">
        <f t="shared" si="21"/>
        <v>19</v>
      </c>
      <c r="AX190">
        <f t="shared" si="22"/>
        <v>24</v>
      </c>
      <c r="AY190">
        <f t="shared" si="23"/>
        <v>32</v>
      </c>
      <c r="AZ190">
        <f t="shared" si="24"/>
        <v>34</v>
      </c>
      <c r="BA190">
        <f t="shared" si="25"/>
        <v>38</v>
      </c>
      <c r="BB190">
        <f t="shared" si="26"/>
        <v>38</v>
      </c>
      <c r="BC190">
        <f t="shared" si="27"/>
        <v>38</v>
      </c>
      <c r="BD190">
        <f t="shared" si="28"/>
        <v>38</v>
      </c>
      <c r="BE190">
        <f>HLOOKUP(AV190-1,$AW$3:BD462,ROW(AV190)-2,0)</f>
        <v>34</v>
      </c>
      <c r="BF190">
        <f>HLOOKUP(AV190,$AW$3:BD462,ROW(AV190)-2,0)</f>
        <v>38</v>
      </c>
      <c r="BG190" t="str">
        <f t="shared" si="29"/>
        <v>G_V_KwotaA</v>
      </c>
    </row>
    <row r="191" spans="1:59" ht="16.399999999999999" x14ac:dyDescent="0.35">
      <c r="A191" t="s">
        <v>2342</v>
      </c>
      <c r="B191" t="s">
        <v>2343</v>
      </c>
      <c r="C191" s="18">
        <v>68048674.310000002</v>
      </c>
      <c r="AV191" s="43">
        <f t="shared" si="20"/>
        <v>5</v>
      </c>
      <c r="AW191">
        <f t="shared" si="21"/>
        <v>19</v>
      </c>
      <c r="AX191">
        <f t="shared" si="22"/>
        <v>24</v>
      </c>
      <c r="AY191">
        <f t="shared" si="23"/>
        <v>32</v>
      </c>
      <c r="AZ191">
        <f t="shared" si="24"/>
        <v>34</v>
      </c>
      <c r="BA191">
        <f t="shared" si="25"/>
        <v>34</v>
      </c>
      <c r="BB191">
        <f t="shared" si="26"/>
        <v>34</v>
      </c>
      <c r="BC191">
        <f t="shared" si="27"/>
        <v>34</v>
      </c>
      <c r="BD191">
        <f t="shared" si="28"/>
        <v>34</v>
      </c>
      <c r="BE191">
        <f>HLOOKUP(AV191-1,$AW$3:BD463,ROW(AV191)-2,0)</f>
        <v>32</v>
      </c>
      <c r="BF191">
        <f>HLOOKUP(AV191,$AW$3:BD463,ROW(AV191)-2,0)</f>
        <v>34</v>
      </c>
      <c r="BG191" t="str">
        <f t="shared" si="29"/>
        <v>H_KwotaA</v>
      </c>
    </row>
    <row r="192" spans="1:59" ht="16.399999999999999" x14ac:dyDescent="0.35">
      <c r="A192" t="s">
        <v>2344</v>
      </c>
      <c r="B192" t="s">
        <v>2345</v>
      </c>
      <c r="C192" s="18">
        <v>42080463.729999997</v>
      </c>
      <c r="AV192" s="43">
        <f t="shared" si="20"/>
        <v>6</v>
      </c>
      <c r="AW192">
        <f t="shared" si="21"/>
        <v>19</v>
      </c>
      <c r="AX192">
        <f t="shared" si="22"/>
        <v>24</v>
      </c>
      <c r="AY192">
        <f t="shared" si="23"/>
        <v>32</v>
      </c>
      <c r="AZ192">
        <f t="shared" si="24"/>
        <v>34</v>
      </c>
      <c r="BA192">
        <f t="shared" si="25"/>
        <v>38</v>
      </c>
      <c r="BB192">
        <f t="shared" si="26"/>
        <v>38</v>
      </c>
      <c r="BC192">
        <f t="shared" si="27"/>
        <v>38</v>
      </c>
      <c r="BD192">
        <f t="shared" si="28"/>
        <v>38</v>
      </c>
      <c r="BE192">
        <f>HLOOKUP(AV192-1,$AW$3:BD464,ROW(AV192)-2,0)</f>
        <v>34</v>
      </c>
      <c r="BF192">
        <f>HLOOKUP(AV192,$AW$3:BD464,ROW(AV192)-2,0)</f>
        <v>38</v>
      </c>
      <c r="BG192" t="str">
        <f t="shared" si="29"/>
        <v>H_I_KwotaA</v>
      </c>
    </row>
    <row r="193" spans="1:59" ht="16.399999999999999" x14ac:dyDescent="0.35">
      <c r="A193" t="s">
        <v>2346</v>
      </c>
      <c r="B193" t="s">
        <v>2347</v>
      </c>
      <c r="C193" s="18">
        <v>42080463.729999997</v>
      </c>
      <c r="AV193" s="43">
        <f t="shared" si="20"/>
        <v>7</v>
      </c>
      <c r="AW193">
        <f t="shared" si="21"/>
        <v>19</v>
      </c>
      <c r="AX193">
        <f t="shared" si="22"/>
        <v>24</v>
      </c>
      <c r="AY193">
        <f t="shared" si="23"/>
        <v>32</v>
      </c>
      <c r="AZ193">
        <f t="shared" si="24"/>
        <v>34</v>
      </c>
      <c r="BA193">
        <f t="shared" si="25"/>
        <v>38</v>
      </c>
      <c r="BB193">
        <f t="shared" si="26"/>
        <v>44</v>
      </c>
      <c r="BC193">
        <f t="shared" si="27"/>
        <v>44</v>
      </c>
      <c r="BD193">
        <f t="shared" si="28"/>
        <v>44</v>
      </c>
      <c r="BE193">
        <f>HLOOKUP(AV193-1,$AW$3:BD465,ROW(AV193)-2,0)</f>
        <v>38</v>
      </c>
      <c r="BF193">
        <f>HLOOKUP(AV193,$AW$3:BD465,ROW(AV193)-2,0)</f>
        <v>44</v>
      </c>
      <c r="BG193" t="str">
        <f t="shared" si="29"/>
        <v>H_I_J_KwotaA</v>
      </c>
    </row>
    <row r="194" spans="1:59" ht="16.399999999999999" x14ac:dyDescent="0.35">
      <c r="A194" t="s">
        <v>2348</v>
      </c>
      <c r="B194" t="s">
        <v>2349</v>
      </c>
      <c r="C194" s="18">
        <v>0</v>
      </c>
      <c r="AV194" s="43">
        <f t="shared" si="20"/>
        <v>6</v>
      </c>
      <c r="AW194">
        <f t="shared" si="21"/>
        <v>19</v>
      </c>
      <c r="AX194">
        <f t="shared" si="22"/>
        <v>24</v>
      </c>
      <c r="AY194">
        <f t="shared" si="23"/>
        <v>32</v>
      </c>
      <c r="AZ194">
        <f t="shared" si="24"/>
        <v>34</v>
      </c>
      <c r="BA194">
        <f t="shared" si="25"/>
        <v>39</v>
      </c>
      <c r="BB194">
        <f t="shared" si="26"/>
        <v>39</v>
      </c>
      <c r="BC194">
        <f t="shared" si="27"/>
        <v>39</v>
      </c>
      <c r="BD194">
        <f t="shared" si="28"/>
        <v>39</v>
      </c>
      <c r="BE194">
        <f>HLOOKUP(AV194-1,$AW$3:BD466,ROW(AV194)-2,0)</f>
        <v>34</v>
      </c>
      <c r="BF194">
        <f>HLOOKUP(AV194,$AW$3:BD466,ROW(AV194)-2,0)</f>
        <v>39</v>
      </c>
      <c r="BG194" t="str">
        <f t="shared" si="29"/>
        <v>H_II_KwotaA</v>
      </c>
    </row>
    <row r="195" spans="1:59" ht="16.399999999999999" x14ac:dyDescent="0.35">
      <c r="A195" t="s">
        <v>2350</v>
      </c>
      <c r="B195" t="s">
        <v>2351</v>
      </c>
      <c r="AV195" s="43">
        <f t="shared" si="20"/>
        <v>7</v>
      </c>
      <c r="AW195">
        <f t="shared" si="21"/>
        <v>19</v>
      </c>
      <c r="AX195">
        <f t="shared" si="22"/>
        <v>24</v>
      </c>
      <c r="AY195">
        <f t="shared" si="23"/>
        <v>32</v>
      </c>
      <c r="AZ195">
        <f t="shared" si="24"/>
        <v>34</v>
      </c>
      <c r="BA195">
        <f t="shared" si="25"/>
        <v>39</v>
      </c>
      <c r="BB195">
        <f t="shared" si="26"/>
        <v>46</v>
      </c>
      <c r="BC195">
        <f t="shared" si="27"/>
        <v>46</v>
      </c>
      <c r="BD195">
        <f t="shared" si="28"/>
        <v>46</v>
      </c>
      <c r="BE195">
        <f>HLOOKUP(AV195-1,$AW$3:BD467,ROW(AV195)-2,0)</f>
        <v>39</v>
      </c>
      <c r="BF195">
        <f>HLOOKUP(AV195,$AW$3:BD467,ROW(AV195)-2,0)</f>
        <v>46</v>
      </c>
      <c r="BG195" t="str">
        <f t="shared" si="29"/>
        <v>H_II_J_KwotaA</v>
      </c>
    </row>
    <row r="196" spans="1:59" ht="16.399999999999999" x14ac:dyDescent="0.35">
      <c r="A196" t="s">
        <v>2352</v>
      </c>
      <c r="B196" t="s">
        <v>2353</v>
      </c>
      <c r="AV196" s="43">
        <f t="shared" ref="AV196:AV259" si="30" xml:space="preserve"> SUM(LEN(B196)-LEN(SUBSTITUTE(B196,"/","")))/LEN("/")</f>
        <v>6</v>
      </c>
      <c r="AW196">
        <f t="shared" ref="AW196:AW259" si="31">FIND("/",B196,2)</f>
        <v>19</v>
      </c>
      <c r="AX196">
        <f t="shared" ref="AX196:AX259" si="32">FIND("/",B196,AW196+1)</f>
        <v>24</v>
      </c>
      <c r="AY196">
        <f t="shared" ref="AY196:AY259" si="33">IFERROR(FIND("/",B196,AX196+1),AX196)</f>
        <v>32</v>
      </c>
      <c r="AZ196">
        <f t="shared" ref="AZ196:AZ259" si="34">IFERROR(FIND("/",B196,AY196+1),AY196)</f>
        <v>34</v>
      </c>
      <c r="BA196">
        <f t="shared" ref="BA196:BA259" si="35">IFERROR(FIND("/",B196,AZ196+1),AZ196)</f>
        <v>40</v>
      </c>
      <c r="BB196">
        <f t="shared" ref="BB196:BB259" si="36">IFERROR(FIND("/",B196,BA196+1),BA196)</f>
        <v>40</v>
      </c>
      <c r="BC196">
        <f t="shared" ref="BC196:BC259" si="37">IFERROR(FIND("/",B196,BB196+1),BB196)</f>
        <v>40</v>
      </c>
      <c r="BD196">
        <f t="shared" ref="BD196:BD259" si="38">IFERROR(FIND("/",B196,BC196+1),BC196)</f>
        <v>40</v>
      </c>
      <c r="BE196">
        <f>HLOOKUP(AV196-1,$AW$3:BD468,ROW(AV196)-2,0)</f>
        <v>34</v>
      </c>
      <c r="BF196">
        <f>HLOOKUP(AV196,$AW$3:BD468,ROW(AV196)-2,0)</f>
        <v>40</v>
      </c>
      <c r="BG196" t="str">
        <f t="shared" ref="BG196:BG259" si="39">IF(ISERROR(FIND("Kwota",B196)),IF(ISERROR(FIND("Prawna",B196)),MID(B196,BF196+1,LEN(B196)-BF196),REPLACE(MID(B196,BE196+1,LEN(B196)-BE196),FIND("/",MID(B196,BE196+1,LEN(B196)-BE196)),1,"_")),REPLACE(MID(B196,BE196+1,LEN(B196)-BE196),FIND("/",MID(B196,BE196+1,LEN(B196)-BE196)),1,"_"))</f>
        <v>H_III_KwotaA</v>
      </c>
    </row>
    <row r="197" spans="1:59" ht="16.399999999999999" x14ac:dyDescent="0.35">
      <c r="A197" t="s">
        <v>2354</v>
      </c>
      <c r="B197" t="s">
        <v>2355</v>
      </c>
      <c r="C197" s="18">
        <v>25968210.579999998</v>
      </c>
      <c r="AV197" s="43">
        <f t="shared" si="30"/>
        <v>6</v>
      </c>
      <c r="AW197">
        <f t="shared" si="31"/>
        <v>19</v>
      </c>
      <c r="AX197">
        <f t="shared" si="32"/>
        <v>24</v>
      </c>
      <c r="AY197">
        <f t="shared" si="33"/>
        <v>32</v>
      </c>
      <c r="AZ197">
        <f t="shared" si="34"/>
        <v>34</v>
      </c>
      <c r="BA197">
        <f t="shared" si="35"/>
        <v>39</v>
      </c>
      <c r="BB197">
        <f t="shared" si="36"/>
        <v>39</v>
      </c>
      <c r="BC197">
        <f t="shared" si="37"/>
        <v>39</v>
      </c>
      <c r="BD197">
        <f t="shared" si="38"/>
        <v>39</v>
      </c>
      <c r="BE197">
        <f>HLOOKUP(AV197-1,$AW$3:BD469,ROW(AV197)-2,0)</f>
        <v>34</v>
      </c>
      <c r="BF197">
        <f>HLOOKUP(AV197,$AW$3:BD469,ROW(AV197)-2,0)</f>
        <v>39</v>
      </c>
      <c r="BG197" t="str">
        <f t="shared" si="39"/>
        <v>H_IV_KwotaA</v>
      </c>
    </row>
    <row r="198" spans="1:59" ht="16.399999999999999" x14ac:dyDescent="0.35">
      <c r="A198" t="s">
        <v>2356</v>
      </c>
      <c r="B198" t="s">
        <v>2357</v>
      </c>
      <c r="C198" s="18">
        <v>59964292.439999998</v>
      </c>
      <c r="AV198" s="43">
        <f t="shared" si="30"/>
        <v>5</v>
      </c>
      <c r="AW198">
        <f t="shared" si="31"/>
        <v>19</v>
      </c>
      <c r="AX198">
        <f t="shared" si="32"/>
        <v>24</v>
      </c>
      <c r="AY198">
        <f t="shared" si="33"/>
        <v>32</v>
      </c>
      <c r="AZ198">
        <f t="shared" si="34"/>
        <v>34</v>
      </c>
      <c r="BA198">
        <f t="shared" si="35"/>
        <v>34</v>
      </c>
      <c r="BB198">
        <f t="shared" si="36"/>
        <v>34</v>
      </c>
      <c r="BC198">
        <f t="shared" si="37"/>
        <v>34</v>
      </c>
      <c r="BD198">
        <f t="shared" si="38"/>
        <v>34</v>
      </c>
      <c r="BE198">
        <f>HLOOKUP(AV198-1,$AW$3:BD470,ROW(AV198)-2,0)</f>
        <v>32</v>
      </c>
      <c r="BF198">
        <f>HLOOKUP(AV198,$AW$3:BD470,ROW(AV198)-2,0)</f>
        <v>34</v>
      </c>
      <c r="BG198" t="str">
        <f t="shared" si="39"/>
        <v>I_KwotaA</v>
      </c>
    </row>
    <row r="199" spans="1:59" ht="16.399999999999999" x14ac:dyDescent="0.35">
      <c r="A199" t="s">
        <v>2358</v>
      </c>
      <c r="B199" t="s">
        <v>2359</v>
      </c>
      <c r="C199" s="18">
        <v>-6524523.0099999998</v>
      </c>
      <c r="AV199" s="43">
        <f t="shared" si="30"/>
        <v>5</v>
      </c>
      <c r="AW199">
        <f t="shared" si="31"/>
        <v>19</v>
      </c>
      <c r="AX199">
        <f t="shared" si="32"/>
        <v>24</v>
      </c>
      <c r="AY199">
        <f t="shared" si="33"/>
        <v>32</v>
      </c>
      <c r="AZ199">
        <f t="shared" si="34"/>
        <v>34</v>
      </c>
      <c r="BA199">
        <f t="shared" si="35"/>
        <v>34</v>
      </c>
      <c r="BB199">
        <f t="shared" si="36"/>
        <v>34</v>
      </c>
      <c r="BC199">
        <f t="shared" si="37"/>
        <v>34</v>
      </c>
      <c r="BD199">
        <f t="shared" si="38"/>
        <v>34</v>
      </c>
      <c r="BE199">
        <f>HLOOKUP(AV199-1,$AW$3:BD471,ROW(AV199)-2,0)</f>
        <v>32</v>
      </c>
      <c r="BF199">
        <f>HLOOKUP(AV199,$AW$3:BD471,ROW(AV199)-2,0)</f>
        <v>34</v>
      </c>
      <c r="BG199" t="str">
        <f t="shared" si="39"/>
        <v>J_KwotaA</v>
      </c>
    </row>
    <row r="200" spans="1:59" ht="16.399999999999999" x14ac:dyDescent="0.35">
      <c r="A200" t="s">
        <v>2360</v>
      </c>
      <c r="B200" t="s">
        <v>2361</v>
      </c>
      <c r="AV200" s="43">
        <f t="shared" si="30"/>
        <v>5</v>
      </c>
      <c r="AW200">
        <f t="shared" si="31"/>
        <v>19</v>
      </c>
      <c r="AX200">
        <f t="shared" si="32"/>
        <v>24</v>
      </c>
      <c r="AY200">
        <f t="shared" si="33"/>
        <v>32</v>
      </c>
      <c r="AZ200">
        <f t="shared" si="34"/>
        <v>34</v>
      </c>
      <c r="BA200">
        <f t="shared" si="35"/>
        <v>34</v>
      </c>
      <c r="BB200">
        <f t="shared" si="36"/>
        <v>34</v>
      </c>
      <c r="BC200">
        <f t="shared" si="37"/>
        <v>34</v>
      </c>
      <c r="BD200">
        <f t="shared" si="38"/>
        <v>34</v>
      </c>
      <c r="BE200">
        <f>HLOOKUP(AV200-1,$AW$3:BD472,ROW(AV200)-2,0)</f>
        <v>32</v>
      </c>
      <c r="BF200">
        <f>HLOOKUP(AV200,$AW$3:BD472,ROW(AV200)-2,0)</f>
        <v>34</v>
      </c>
      <c r="BG200" t="str">
        <f t="shared" si="39"/>
        <v>K_KwotaA</v>
      </c>
    </row>
    <row r="201" spans="1:59" ht="16.399999999999999" x14ac:dyDescent="0.35">
      <c r="A201" t="s">
        <v>2362</v>
      </c>
      <c r="B201" t="s">
        <v>2363</v>
      </c>
      <c r="C201" s="18">
        <v>66488815.450000003</v>
      </c>
      <c r="AV201" s="43">
        <f t="shared" si="30"/>
        <v>5</v>
      </c>
      <c r="AW201">
        <f t="shared" si="31"/>
        <v>19</v>
      </c>
      <c r="AX201">
        <f t="shared" si="32"/>
        <v>24</v>
      </c>
      <c r="AY201">
        <f t="shared" si="33"/>
        <v>32</v>
      </c>
      <c r="AZ201">
        <f t="shared" si="34"/>
        <v>34</v>
      </c>
      <c r="BA201">
        <f t="shared" si="35"/>
        <v>34</v>
      </c>
      <c r="BB201">
        <f t="shared" si="36"/>
        <v>34</v>
      </c>
      <c r="BC201">
        <f t="shared" si="37"/>
        <v>34</v>
      </c>
      <c r="BD201">
        <f t="shared" si="38"/>
        <v>34</v>
      </c>
      <c r="BE201">
        <f>HLOOKUP(AV201-1,$AW$3:BD473,ROW(AV201)-2,0)</f>
        <v>32</v>
      </c>
      <c r="BF201">
        <f>HLOOKUP(AV201,$AW$3:BD473,ROW(AV201)-2,0)</f>
        <v>34</v>
      </c>
      <c r="BG201" t="str">
        <f t="shared" si="39"/>
        <v>L_KwotaA</v>
      </c>
    </row>
    <row r="202" spans="1:59" ht="16.399999999999999" x14ac:dyDescent="0.35">
      <c r="A202" t="s">
        <v>2364</v>
      </c>
      <c r="B202" t="s">
        <v>2365</v>
      </c>
      <c r="C202" s="18">
        <v>277548187.00999999</v>
      </c>
      <c r="AV202" s="43">
        <f t="shared" si="30"/>
        <v>4</v>
      </c>
      <c r="AW202">
        <f t="shared" si="31"/>
        <v>19</v>
      </c>
      <c r="AX202">
        <f t="shared" si="32"/>
        <v>38</v>
      </c>
      <c r="AY202">
        <f t="shared" si="33"/>
        <v>40</v>
      </c>
      <c r="AZ202">
        <f t="shared" si="34"/>
        <v>40</v>
      </c>
      <c r="BA202">
        <f t="shared" si="35"/>
        <v>40</v>
      </c>
      <c r="BB202">
        <f t="shared" si="36"/>
        <v>40</v>
      </c>
      <c r="BC202">
        <f t="shared" si="37"/>
        <v>40</v>
      </c>
      <c r="BD202">
        <f t="shared" si="38"/>
        <v>40</v>
      </c>
      <c r="BE202">
        <f>HLOOKUP(AV202-1,$AW$3:BD474,ROW(AV202)-2,0)</f>
        <v>38</v>
      </c>
      <c r="BF202">
        <f>HLOOKUP(AV202,$AW$3:BD474,ROW(AV202)-2,0)</f>
        <v>40</v>
      </c>
      <c r="BG202" t="str">
        <f t="shared" si="39"/>
        <v>I_KwotaA</v>
      </c>
    </row>
    <row r="203" spans="1:59" ht="16.399999999999999" x14ac:dyDescent="0.35">
      <c r="A203" t="s">
        <v>2366</v>
      </c>
      <c r="B203" t="s">
        <v>2367</v>
      </c>
      <c r="AV203" s="43">
        <f t="shared" si="30"/>
        <v>5</v>
      </c>
      <c r="AW203">
        <f t="shared" si="31"/>
        <v>19</v>
      </c>
      <c r="AX203">
        <f t="shared" si="32"/>
        <v>38</v>
      </c>
      <c r="AY203">
        <f t="shared" si="33"/>
        <v>40</v>
      </c>
      <c r="AZ203">
        <f t="shared" si="34"/>
        <v>44</v>
      </c>
      <c r="BA203">
        <f t="shared" si="35"/>
        <v>44</v>
      </c>
      <c r="BB203">
        <f t="shared" si="36"/>
        <v>44</v>
      </c>
      <c r="BC203">
        <f t="shared" si="37"/>
        <v>44</v>
      </c>
      <c r="BD203">
        <f t="shared" si="38"/>
        <v>44</v>
      </c>
      <c r="BE203">
        <f>HLOOKUP(AV203-1,$AW$3:BD475,ROW(AV203)-2,0)</f>
        <v>40</v>
      </c>
      <c r="BF203">
        <f>HLOOKUP(AV203,$AW$3:BD475,ROW(AV203)-2,0)</f>
        <v>44</v>
      </c>
      <c r="BG203" t="str">
        <f t="shared" si="39"/>
        <v>I_1_KwotaA</v>
      </c>
    </row>
    <row r="204" spans="1:59" ht="16.399999999999999" x14ac:dyDescent="0.35">
      <c r="A204" t="s">
        <v>2368</v>
      </c>
      <c r="B204" t="s">
        <v>2369</v>
      </c>
      <c r="AV204" s="43">
        <f t="shared" si="30"/>
        <v>5</v>
      </c>
      <c r="AW204">
        <f t="shared" si="31"/>
        <v>19</v>
      </c>
      <c r="AX204">
        <f t="shared" si="32"/>
        <v>38</v>
      </c>
      <c r="AY204">
        <f t="shared" si="33"/>
        <v>40</v>
      </c>
      <c r="AZ204">
        <f t="shared" si="34"/>
        <v>44</v>
      </c>
      <c r="BA204">
        <f t="shared" si="35"/>
        <v>44</v>
      </c>
      <c r="BB204">
        <f t="shared" si="36"/>
        <v>44</v>
      </c>
      <c r="BC204">
        <f t="shared" si="37"/>
        <v>44</v>
      </c>
      <c r="BD204">
        <f t="shared" si="38"/>
        <v>44</v>
      </c>
      <c r="BE204">
        <f>HLOOKUP(AV204-1,$AW$3:BD476,ROW(AV204)-2,0)</f>
        <v>40</v>
      </c>
      <c r="BF204">
        <f>HLOOKUP(AV204,$AW$3:BD476,ROW(AV204)-2,0)</f>
        <v>44</v>
      </c>
      <c r="BG204" t="str">
        <f t="shared" si="39"/>
        <v>I_2_KwotaA</v>
      </c>
    </row>
    <row r="205" spans="1:59" ht="16.399999999999999" x14ac:dyDescent="0.35">
      <c r="A205" t="s">
        <v>2370</v>
      </c>
      <c r="B205" t="s">
        <v>2371</v>
      </c>
      <c r="C205" s="18">
        <v>277548187.00999999</v>
      </c>
      <c r="AV205" s="43">
        <f t="shared" si="30"/>
        <v>4</v>
      </c>
      <c r="AW205">
        <f t="shared" si="31"/>
        <v>19</v>
      </c>
      <c r="AX205">
        <f t="shared" si="32"/>
        <v>38</v>
      </c>
      <c r="AY205">
        <f t="shared" si="33"/>
        <v>41</v>
      </c>
      <c r="AZ205">
        <f t="shared" si="34"/>
        <v>41</v>
      </c>
      <c r="BA205">
        <f t="shared" si="35"/>
        <v>41</v>
      </c>
      <c r="BB205">
        <f t="shared" si="36"/>
        <v>41</v>
      </c>
      <c r="BC205">
        <f t="shared" si="37"/>
        <v>41</v>
      </c>
      <c r="BD205">
        <f t="shared" si="38"/>
        <v>41</v>
      </c>
      <c r="BE205">
        <f>HLOOKUP(AV205-1,$AW$3:BD477,ROW(AV205)-2,0)</f>
        <v>38</v>
      </c>
      <c r="BF205">
        <f>HLOOKUP(AV205,$AW$3:BD477,ROW(AV205)-2,0)</f>
        <v>41</v>
      </c>
      <c r="BG205" t="str">
        <f t="shared" si="39"/>
        <v>IA_KwotaA</v>
      </c>
    </row>
    <row r="206" spans="1:59" ht="16.399999999999999" x14ac:dyDescent="0.35">
      <c r="A206" t="s">
        <v>2372</v>
      </c>
      <c r="B206" t="s">
        <v>2373</v>
      </c>
      <c r="C206" s="18">
        <v>99989487</v>
      </c>
      <c r="AV206" s="43">
        <f t="shared" si="30"/>
        <v>5</v>
      </c>
      <c r="AW206">
        <f t="shared" si="31"/>
        <v>19</v>
      </c>
      <c r="AX206">
        <f t="shared" si="32"/>
        <v>38</v>
      </c>
      <c r="AY206">
        <f t="shared" si="33"/>
        <v>41</v>
      </c>
      <c r="AZ206">
        <f t="shared" si="34"/>
        <v>46</v>
      </c>
      <c r="BA206">
        <f t="shared" si="35"/>
        <v>46</v>
      </c>
      <c r="BB206">
        <f t="shared" si="36"/>
        <v>46</v>
      </c>
      <c r="BC206">
        <f t="shared" si="37"/>
        <v>46</v>
      </c>
      <c r="BD206">
        <f t="shared" si="38"/>
        <v>46</v>
      </c>
      <c r="BE206">
        <f>HLOOKUP(AV206-1,$AW$3:BD478,ROW(AV206)-2,0)</f>
        <v>41</v>
      </c>
      <c r="BF206">
        <f>HLOOKUP(AV206,$AW$3:BD478,ROW(AV206)-2,0)</f>
        <v>46</v>
      </c>
      <c r="BG206" t="str">
        <f t="shared" si="39"/>
        <v>IA_1_KwotaA</v>
      </c>
    </row>
    <row r="207" spans="1:59" ht="16.399999999999999" x14ac:dyDescent="0.35">
      <c r="A207" t="s">
        <v>2374</v>
      </c>
      <c r="B207" t="s">
        <v>2375</v>
      </c>
      <c r="C207" s="18">
        <v>0</v>
      </c>
      <c r="AV207" s="43">
        <f t="shared" si="30"/>
        <v>6</v>
      </c>
      <c r="AW207">
        <f t="shared" si="31"/>
        <v>19</v>
      </c>
      <c r="AX207">
        <f t="shared" si="32"/>
        <v>38</v>
      </c>
      <c r="AY207">
        <f t="shared" si="33"/>
        <v>41</v>
      </c>
      <c r="AZ207">
        <f t="shared" si="34"/>
        <v>46</v>
      </c>
      <c r="BA207">
        <f t="shared" si="35"/>
        <v>53</v>
      </c>
      <c r="BB207">
        <f t="shared" si="36"/>
        <v>53</v>
      </c>
      <c r="BC207">
        <f t="shared" si="37"/>
        <v>53</v>
      </c>
      <c r="BD207">
        <f t="shared" si="38"/>
        <v>53</v>
      </c>
      <c r="BE207">
        <f>HLOOKUP(AV207-1,$AW$3:BD479,ROW(AV207)-2,0)</f>
        <v>46</v>
      </c>
      <c r="BF207">
        <f>HLOOKUP(AV207,$AW$3:BD479,ROW(AV207)-2,0)</f>
        <v>53</v>
      </c>
      <c r="BG207" t="str">
        <f t="shared" si="39"/>
        <v>IA_1_1_KwotaA</v>
      </c>
    </row>
    <row r="208" spans="1:59" ht="16.399999999999999" x14ac:dyDescent="0.35">
      <c r="A208" t="s">
        <v>2376</v>
      </c>
      <c r="B208" t="s">
        <v>2377</v>
      </c>
      <c r="C208" s="18">
        <v>0</v>
      </c>
      <c r="AV208" s="43">
        <f t="shared" si="30"/>
        <v>7</v>
      </c>
      <c r="AW208">
        <f t="shared" si="31"/>
        <v>19</v>
      </c>
      <c r="AX208">
        <f t="shared" si="32"/>
        <v>38</v>
      </c>
      <c r="AY208">
        <f t="shared" si="33"/>
        <v>41</v>
      </c>
      <c r="AZ208">
        <f t="shared" si="34"/>
        <v>46</v>
      </c>
      <c r="BA208">
        <f t="shared" si="35"/>
        <v>53</v>
      </c>
      <c r="BB208">
        <f t="shared" si="36"/>
        <v>62</v>
      </c>
      <c r="BC208">
        <f t="shared" si="37"/>
        <v>62</v>
      </c>
      <c r="BD208">
        <f t="shared" si="38"/>
        <v>62</v>
      </c>
      <c r="BE208">
        <f>HLOOKUP(AV208-1,$AW$3:BD480,ROW(AV208)-2,0)</f>
        <v>53</v>
      </c>
      <c r="BF208">
        <f>HLOOKUP(AV208,$AW$3:BD480,ROW(AV208)-2,0)</f>
        <v>62</v>
      </c>
      <c r="BG208" t="str">
        <f t="shared" si="39"/>
        <v>IA_1_1_A_KwotaA</v>
      </c>
    </row>
    <row r="209" spans="1:59" ht="16.399999999999999" x14ac:dyDescent="0.35">
      <c r="A209" t="s">
        <v>2378</v>
      </c>
      <c r="B209" t="s">
        <v>2379</v>
      </c>
      <c r="C209" s="18">
        <v>0</v>
      </c>
      <c r="AV209" s="43">
        <f t="shared" si="30"/>
        <v>8</v>
      </c>
      <c r="AW209">
        <f t="shared" si="31"/>
        <v>19</v>
      </c>
      <c r="AX209">
        <f t="shared" si="32"/>
        <v>38</v>
      </c>
      <c r="AY209">
        <f t="shared" si="33"/>
        <v>41</v>
      </c>
      <c r="AZ209">
        <f t="shared" si="34"/>
        <v>46</v>
      </c>
      <c r="BA209">
        <f t="shared" si="35"/>
        <v>53</v>
      </c>
      <c r="BB209">
        <f t="shared" si="36"/>
        <v>62</v>
      </c>
      <c r="BC209">
        <f t="shared" si="37"/>
        <v>73</v>
      </c>
      <c r="BD209">
        <f t="shared" si="38"/>
        <v>73</v>
      </c>
      <c r="BE209">
        <f>HLOOKUP(AV209-1,$AW$3:BD481,ROW(AV209)-2,0)</f>
        <v>62</v>
      </c>
      <c r="BF209">
        <f>HLOOKUP(AV209,$AW$3:BD481,ROW(AV209)-2,0)</f>
        <v>73</v>
      </c>
      <c r="BG209" t="str">
        <f t="shared" si="39"/>
        <v>IA_1_1_A_1_KwotaA</v>
      </c>
    </row>
    <row r="210" spans="1:59" ht="16.399999999999999" x14ac:dyDescent="0.35">
      <c r="A210" t="s">
        <v>2380</v>
      </c>
      <c r="B210" t="s">
        <v>2381</v>
      </c>
      <c r="AV210" s="43">
        <f t="shared" si="30"/>
        <v>7</v>
      </c>
      <c r="AW210">
        <f t="shared" si="31"/>
        <v>19</v>
      </c>
      <c r="AX210">
        <f t="shared" si="32"/>
        <v>38</v>
      </c>
      <c r="AY210">
        <f t="shared" si="33"/>
        <v>41</v>
      </c>
      <c r="AZ210">
        <f t="shared" si="34"/>
        <v>46</v>
      </c>
      <c r="BA210">
        <f t="shared" si="35"/>
        <v>53</v>
      </c>
      <c r="BB210">
        <f t="shared" si="36"/>
        <v>62</v>
      </c>
      <c r="BC210">
        <f t="shared" si="37"/>
        <v>62</v>
      </c>
      <c r="BD210">
        <f t="shared" si="38"/>
        <v>62</v>
      </c>
      <c r="BE210">
        <f>HLOOKUP(AV210-1,$AW$3:BD482,ROW(AV210)-2,0)</f>
        <v>53</v>
      </c>
      <c r="BF210">
        <f>HLOOKUP(AV210,$AW$3:BD482,ROW(AV210)-2,0)</f>
        <v>62</v>
      </c>
      <c r="BG210" t="str">
        <f t="shared" si="39"/>
        <v>IA_1_1_B_KwotaA</v>
      </c>
    </row>
    <row r="211" spans="1:59" ht="16.399999999999999" x14ac:dyDescent="0.35">
      <c r="A211" t="s">
        <v>2382</v>
      </c>
      <c r="B211" t="s">
        <v>2383</v>
      </c>
      <c r="AV211" s="43">
        <f t="shared" si="30"/>
        <v>8</v>
      </c>
      <c r="AW211">
        <f t="shared" si="31"/>
        <v>19</v>
      </c>
      <c r="AX211">
        <f t="shared" si="32"/>
        <v>38</v>
      </c>
      <c r="AY211">
        <f t="shared" si="33"/>
        <v>41</v>
      </c>
      <c r="AZ211">
        <f t="shared" si="34"/>
        <v>46</v>
      </c>
      <c r="BA211">
        <f t="shared" si="35"/>
        <v>53</v>
      </c>
      <c r="BB211">
        <f t="shared" si="36"/>
        <v>62</v>
      </c>
      <c r="BC211">
        <f t="shared" si="37"/>
        <v>73</v>
      </c>
      <c r="BD211">
        <f t="shared" si="38"/>
        <v>73</v>
      </c>
      <c r="BE211">
        <f>HLOOKUP(AV211-1,$AW$3:BD483,ROW(AV211)-2,0)</f>
        <v>62</v>
      </c>
      <c r="BF211">
        <f>HLOOKUP(AV211,$AW$3:BD483,ROW(AV211)-2,0)</f>
        <v>73</v>
      </c>
      <c r="BG211" t="str">
        <f t="shared" si="39"/>
        <v>IA_1_1_B_1_KwotaA</v>
      </c>
    </row>
    <row r="212" spans="1:59" ht="16.399999999999999" x14ac:dyDescent="0.35">
      <c r="A212" t="s">
        <v>2384</v>
      </c>
      <c r="B212" t="s">
        <v>2385</v>
      </c>
      <c r="C212" s="18">
        <v>99989487</v>
      </c>
      <c r="AV212" s="43">
        <f t="shared" si="30"/>
        <v>6</v>
      </c>
      <c r="AW212">
        <f t="shared" si="31"/>
        <v>19</v>
      </c>
      <c r="AX212">
        <f t="shared" si="32"/>
        <v>38</v>
      </c>
      <c r="AY212">
        <f t="shared" si="33"/>
        <v>41</v>
      </c>
      <c r="AZ212">
        <f t="shared" si="34"/>
        <v>46</v>
      </c>
      <c r="BA212">
        <f t="shared" si="35"/>
        <v>53</v>
      </c>
      <c r="BB212">
        <f t="shared" si="36"/>
        <v>53</v>
      </c>
      <c r="BC212">
        <f t="shared" si="37"/>
        <v>53</v>
      </c>
      <c r="BD212">
        <f t="shared" si="38"/>
        <v>53</v>
      </c>
      <c r="BE212">
        <f>HLOOKUP(AV212-1,$AW$3:BD484,ROW(AV212)-2,0)</f>
        <v>46</v>
      </c>
      <c r="BF212">
        <f>HLOOKUP(AV212,$AW$3:BD484,ROW(AV212)-2,0)</f>
        <v>53</v>
      </c>
      <c r="BG212" t="str">
        <f t="shared" si="39"/>
        <v>IA_1_2_KwotaA</v>
      </c>
    </row>
    <row r="213" spans="1:59" ht="16.399999999999999" x14ac:dyDescent="0.35">
      <c r="A213" t="s">
        <v>2386</v>
      </c>
      <c r="B213" t="s">
        <v>2387</v>
      </c>
      <c r="C213" s="18">
        <v>44776995.479999997</v>
      </c>
      <c r="AV213" s="43">
        <f t="shared" si="30"/>
        <v>5</v>
      </c>
      <c r="AW213">
        <f t="shared" si="31"/>
        <v>19</v>
      </c>
      <c r="AX213">
        <f t="shared" si="32"/>
        <v>38</v>
      </c>
      <c r="AY213">
        <f t="shared" si="33"/>
        <v>41</v>
      </c>
      <c r="AZ213">
        <f t="shared" si="34"/>
        <v>46</v>
      </c>
      <c r="BA213">
        <f t="shared" si="35"/>
        <v>46</v>
      </c>
      <c r="BB213">
        <f t="shared" si="36"/>
        <v>46</v>
      </c>
      <c r="BC213">
        <f t="shared" si="37"/>
        <v>46</v>
      </c>
      <c r="BD213">
        <f t="shared" si="38"/>
        <v>46</v>
      </c>
      <c r="BE213">
        <f>HLOOKUP(AV213-1,$AW$3:BD485,ROW(AV213)-2,0)</f>
        <v>41</v>
      </c>
      <c r="BF213">
        <f>HLOOKUP(AV213,$AW$3:BD485,ROW(AV213)-2,0)</f>
        <v>46</v>
      </c>
      <c r="BG213" t="str">
        <f t="shared" si="39"/>
        <v>IA_2_KwotaA</v>
      </c>
    </row>
    <row r="214" spans="1:59" ht="16.399999999999999" x14ac:dyDescent="0.35">
      <c r="A214" t="s">
        <v>2388</v>
      </c>
      <c r="B214" t="s">
        <v>2389</v>
      </c>
      <c r="C214" s="18">
        <v>0</v>
      </c>
      <c r="AV214" s="43">
        <f t="shared" si="30"/>
        <v>6</v>
      </c>
      <c r="AW214">
        <f t="shared" si="31"/>
        <v>19</v>
      </c>
      <c r="AX214">
        <f t="shared" si="32"/>
        <v>38</v>
      </c>
      <c r="AY214">
        <f t="shared" si="33"/>
        <v>41</v>
      </c>
      <c r="AZ214">
        <f t="shared" si="34"/>
        <v>46</v>
      </c>
      <c r="BA214">
        <f t="shared" si="35"/>
        <v>53</v>
      </c>
      <c r="BB214">
        <f t="shared" si="36"/>
        <v>53</v>
      </c>
      <c r="BC214">
        <f t="shared" si="37"/>
        <v>53</v>
      </c>
      <c r="BD214">
        <f t="shared" si="38"/>
        <v>53</v>
      </c>
      <c r="BE214">
        <f>HLOOKUP(AV214-1,$AW$3:BD486,ROW(AV214)-2,0)</f>
        <v>46</v>
      </c>
      <c r="BF214">
        <f>HLOOKUP(AV214,$AW$3:BD486,ROW(AV214)-2,0)</f>
        <v>53</v>
      </c>
      <c r="BG214" t="str">
        <f t="shared" si="39"/>
        <v>IA_2_1_KwotaA</v>
      </c>
    </row>
    <row r="215" spans="1:59" ht="16.399999999999999" x14ac:dyDescent="0.35">
      <c r="A215" t="s">
        <v>2390</v>
      </c>
      <c r="B215" t="s">
        <v>2391</v>
      </c>
      <c r="C215" s="18">
        <v>0</v>
      </c>
      <c r="AV215" s="43">
        <f t="shared" si="30"/>
        <v>7</v>
      </c>
      <c r="AW215">
        <f t="shared" si="31"/>
        <v>19</v>
      </c>
      <c r="AX215">
        <f t="shared" si="32"/>
        <v>38</v>
      </c>
      <c r="AY215">
        <f t="shared" si="33"/>
        <v>41</v>
      </c>
      <c r="AZ215">
        <f t="shared" si="34"/>
        <v>46</v>
      </c>
      <c r="BA215">
        <f t="shared" si="35"/>
        <v>53</v>
      </c>
      <c r="BB215">
        <f t="shared" si="36"/>
        <v>62</v>
      </c>
      <c r="BC215">
        <f t="shared" si="37"/>
        <v>62</v>
      </c>
      <c r="BD215">
        <f t="shared" si="38"/>
        <v>62</v>
      </c>
      <c r="BE215">
        <f>HLOOKUP(AV215-1,$AW$3:BD487,ROW(AV215)-2,0)</f>
        <v>53</v>
      </c>
      <c r="BF215">
        <f>HLOOKUP(AV215,$AW$3:BD487,ROW(AV215)-2,0)</f>
        <v>62</v>
      </c>
      <c r="BG215" t="str">
        <f t="shared" si="39"/>
        <v>IA_2_1_A_KwotaA</v>
      </c>
    </row>
    <row r="216" spans="1:59" ht="16.399999999999999" x14ac:dyDescent="0.35">
      <c r="A216" t="s">
        <v>2392</v>
      </c>
      <c r="B216" t="s">
        <v>2393</v>
      </c>
      <c r="AV216" s="43">
        <f t="shared" si="30"/>
        <v>8</v>
      </c>
      <c r="AW216">
        <f t="shared" si="31"/>
        <v>19</v>
      </c>
      <c r="AX216">
        <f t="shared" si="32"/>
        <v>38</v>
      </c>
      <c r="AY216">
        <f t="shared" si="33"/>
        <v>41</v>
      </c>
      <c r="AZ216">
        <f t="shared" si="34"/>
        <v>46</v>
      </c>
      <c r="BA216">
        <f t="shared" si="35"/>
        <v>53</v>
      </c>
      <c r="BB216">
        <f t="shared" si="36"/>
        <v>62</v>
      </c>
      <c r="BC216">
        <f t="shared" si="37"/>
        <v>73</v>
      </c>
      <c r="BD216">
        <f t="shared" si="38"/>
        <v>73</v>
      </c>
      <c r="BE216">
        <f>HLOOKUP(AV216-1,$AW$3:BD488,ROW(AV216)-2,0)</f>
        <v>62</v>
      </c>
      <c r="BF216">
        <f>HLOOKUP(AV216,$AW$3:BD488,ROW(AV216)-2,0)</f>
        <v>73</v>
      </c>
      <c r="BG216" t="str">
        <f t="shared" si="39"/>
        <v>IA_2_1_A_1_KwotaA</v>
      </c>
    </row>
    <row r="217" spans="1:59" ht="16.399999999999999" x14ac:dyDescent="0.35">
      <c r="A217" t="s">
        <v>2394</v>
      </c>
      <c r="B217" t="s">
        <v>2395</v>
      </c>
      <c r="C217" s="18">
        <v>0</v>
      </c>
      <c r="AV217" s="43">
        <f t="shared" si="30"/>
        <v>8</v>
      </c>
      <c r="AW217">
        <f t="shared" si="31"/>
        <v>19</v>
      </c>
      <c r="AX217">
        <f t="shared" si="32"/>
        <v>38</v>
      </c>
      <c r="AY217">
        <f t="shared" si="33"/>
        <v>41</v>
      </c>
      <c r="AZ217">
        <f t="shared" si="34"/>
        <v>46</v>
      </c>
      <c r="BA217">
        <f t="shared" si="35"/>
        <v>53</v>
      </c>
      <c r="BB217">
        <f t="shared" si="36"/>
        <v>62</v>
      </c>
      <c r="BC217">
        <f t="shared" si="37"/>
        <v>73</v>
      </c>
      <c r="BD217">
        <f t="shared" si="38"/>
        <v>73</v>
      </c>
      <c r="BE217">
        <f>HLOOKUP(AV217-1,$AW$3:BD489,ROW(AV217)-2,0)</f>
        <v>62</v>
      </c>
      <c r="BF217">
        <f>HLOOKUP(AV217,$AW$3:BD489,ROW(AV217)-2,0)</f>
        <v>73</v>
      </c>
      <c r="BG217" t="str">
        <f t="shared" si="39"/>
        <v>IA_2_1_A_2_KwotaA</v>
      </c>
    </row>
    <row r="218" spans="1:59" ht="16.399999999999999" x14ac:dyDescent="0.35">
      <c r="A218" t="s">
        <v>2396</v>
      </c>
      <c r="B218" t="s">
        <v>2397</v>
      </c>
      <c r="AV218" s="43">
        <f t="shared" si="30"/>
        <v>8</v>
      </c>
      <c r="AW218">
        <f t="shared" si="31"/>
        <v>19</v>
      </c>
      <c r="AX218">
        <f t="shared" si="32"/>
        <v>38</v>
      </c>
      <c r="AY218">
        <f t="shared" si="33"/>
        <v>41</v>
      </c>
      <c r="AZ218">
        <f t="shared" si="34"/>
        <v>46</v>
      </c>
      <c r="BA218">
        <f t="shared" si="35"/>
        <v>53</v>
      </c>
      <c r="BB218">
        <f t="shared" si="36"/>
        <v>62</v>
      </c>
      <c r="BC218">
        <f t="shared" si="37"/>
        <v>73</v>
      </c>
      <c r="BD218">
        <f t="shared" si="38"/>
        <v>73</v>
      </c>
      <c r="BE218">
        <f>HLOOKUP(AV218-1,$AW$3:BD490,ROW(AV218)-2,0)</f>
        <v>62</v>
      </c>
      <c r="BF218">
        <f>HLOOKUP(AV218,$AW$3:BD490,ROW(AV218)-2,0)</f>
        <v>73</v>
      </c>
      <c r="BG218" t="str">
        <f t="shared" si="39"/>
        <v>IA_2_1_A_3_KwotaA</v>
      </c>
    </row>
    <row r="219" spans="1:59" ht="16.399999999999999" x14ac:dyDescent="0.35">
      <c r="A219" t="s">
        <v>2398</v>
      </c>
      <c r="B219" t="s">
        <v>2399</v>
      </c>
      <c r="AV219" s="43">
        <f t="shared" si="30"/>
        <v>7</v>
      </c>
      <c r="AW219">
        <f t="shared" si="31"/>
        <v>19</v>
      </c>
      <c r="AX219">
        <f t="shared" si="32"/>
        <v>38</v>
      </c>
      <c r="AY219">
        <f t="shared" si="33"/>
        <v>41</v>
      </c>
      <c r="AZ219">
        <f t="shared" si="34"/>
        <v>46</v>
      </c>
      <c r="BA219">
        <f t="shared" si="35"/>
        <v>53</v>
      </c>
      <c r="BB219">
        <f t="shared" si="36"/>
        <v>62</v>
      </c>
      <c r="BC219">
        <f t="shared" si="37"/>
        <v>62</v>
      </c>
      <c r="BD219">
        <f t="shared" si="38"/>
        <v>62</v>
      </c>
      <c r="BE219">
        <f>HLOOKUP(AV219-1,$AW$3:BD491,ROW(AV219)-2,0)</f>
        <v>53</v>
      </c>
      <c r="BF219">
        <f>HLOOKUP(AV219,$AW$3:BD491,ROW(AV219)-2,0)</f>
        <v>62</v>
      </c>
      <c r="BG219" t="str">
        <f t="shared" si="39"/>
        <v>IA_2_1_B_KwotaA</v>
      </c>
    </row>
    <row r="220" spans="1:59" ht="16.399999999999999" x14ac:dyDescent="0.35">
      <c r="A220" t="s">
        <v>2400</v>
      </c>
      <c r="B220" t="s">
        <v>2401</v>
      </c>
      <c r="AV220" s="43">
        <f t="shared" si="30"/>
        <v>8</v>
      </c>
      <c r="AW220">
        <f t="shared" si="31"/>
        <v>19</v>
      </c>
      <c r="AX220">
        <f t="shared" si="32"/>
        <v>38</v>
      </c>
      <c r="AY220">
        <f t="shared" si="33"/>
        <v>41</v>
      </c>
      <c r="AZ220">
        <f t="shared" si="34"/>
        <v>46</v>
      </c>
      <c r="BA220">
        <f t="shared" si="35"/>
        <v>53</v>
      </c>
      <c r="BB220">
        <f t="shared" si="36"/>
        <v>62</v>
      </c>
      <c r="BC220">
        <f t="shared" si="37"/>
        <v>73</v>
      </c>
      <c r="BD220">
        <f t="shared" si="38"/>
        <v>73</v>
      </c>
      <c r="BE220">
        <f>HLOOKUP(AV220-1,$AW$3:BD492,ROW(AV220)-2,0)</f>
        <v>62</v>
      </c>
      <c r="BF220">
        <f>HLOOKUP(AV220,$AW$3:BD492,ROW(AV220)-2,0)</f>
        <v>73</v>
      </c>
      <c r="BG220" t="str">
        <f t="shared" si="39"/>
        <v>IA_2_1_B_1_KwotaA</v>
      </c>
    </row>
    <row r="221" spans="1:59" ht="16.399999999999999" x14ac:dyDescent="0.35">
      <c r="A221" t="s">
        <v>2402</v>
      </c>
      <c r="B221" t="s">
        <v>2403</v>
      </c>
      <c r="C221" s="18">
        <v>44776995.479999997</v>
      </c>
      <c r="AV221" s="43">
        <f t="shared" si="30"/>
        <v>6</v>
      </c>
      <c r="AW221">
        <f t="shared" si="31"/>
        <v>19</v>
      </c>
      <c r="AX221">
        <f t="shared" si="32"/>
        <v>38</v>
      </c>
      <c r="AY221">
        <f t="shared" si="33"/>
        <v>41</v>
      </c>
      <c r="AZ221">
        <f t="shared" si="34"/>
        <v>46</v>
      </c>
      <c r="BA221">
        <f t="shared" si="35"/>
        <v>53</v>
      </c>
      <c r="BB221">
        <f t="shared" si="36"/>
        <v>53</v>
      </c>
      <c r="BC221">
        <f t="shared" si="37"/>
        <v>53</v>
      </c>
      <c r="BD221">
        <f t="shared" si="38"/>
        <v>53</v>
      </c>
      <c r="BE221">
        <f>HLOOKUP(AV221-1,$AW$3:BD493,ROW(AV221)-2,0)</f>
        <v>46</v>
      </c>
      <c r="BF221">
        <f>HLOOKUP(AV221,$AW$3:BD493,ROW(AV221)-2,0)</f>
        <v>53</v>
      </c>
      <c r="BG221" t="str">
        <f t="shared" si="39"/>
        <v>IA_2_2_KwotaA</v>
      </c>
    </row>
    <row r="222" spans="1:59" ht="16.399999999999999" x14ac:dyDescent="0.35">
      <c r="A222" t="s">
        <v>2404</v>
      </c>
      <c r="B222" t="s">
        <v>2405</v>
      </c>
      <c r="AV222" s="43">
        <f t="shared" si="30"/>
        <v>5</v>
      </c>
      <c r="AW222">
        <f t="shared" si="31"/>
        <v>19</v>
      </c>
      <c r="AX222">
        <f t="shared" si="32"/>
        <v>38</v>
      </c>
      <c r="AY222">
        <f t="shared" si="33"/>
        <v>41</v>
      </c>
      <c r="AZ222">
        <f t="shared" si="34"/>
        <v>46</v>
      </c>
      <c r="BA222">
        <f t="shared" si="35"/>
        <v>46</v>
      </c>
      <c r="BB222">
        <f t="shared" si="36"/>
        <v>46</v>
      </c>
      <c r="BC222">
        <f t="shared" si="37"/>
        <v>46</v>
      </c>
      <c r="BD222">
        <f t="shared" si="38"/>
        <v>46</v>
      </c>
      <c r="BE222">
        <f>HLOOKUP(AV222-1,$AW$3:BD494,ROW(AV222)-2,0)</f>
        <v>41</v>
      </c>
      <c r="BF222">
        <f>HLOOKUP(AV222,$AW$3:BD494,ROW(AV222)-2,0)</f>
        <v>46</v>
      </c>
      <c r="BG222" t="str">
        <f t="shared" si="39"/>
        <v>IA_3_KwotaA</v>
      </c>
    </row>
    <row r="223" spans="1:59" ht="16.399999999999999" x14ac:dyDescent="0.35">
      <c r="A223" t="s">
        <v>2406</v>
      </c>
      <c r="B223" t="s">
        <v>2407</v>
      </c>
      <c r="AV223" s="43">
        <f t="shared" si="30"/>
        <v>6</v>
      </c>
      <c r="AW223">
        <f t="shared" si="31"/>
        <v>19</v>
      </c>
      <c r="AX223">
        <f t="shared" si="32"/>
        <v>38</v>
      </c>
      <c r="AY223">
        <f t="shared" si="33"/>
        <v>41</v>
      </c>
      <c r="AZ223">
        <f t="shared" si="34"/>
        <v>46</v>
      </c>
      <c r="BA223">
        <f t="shared" si="35"/>
        <v>53</v>
      </c>
      <c r="BB223">
        <f t="shared" si="36"/>
        <v>53</v>
      </c>
      <c r="BC223">
        <f t="shared" si="37"/>
        <v>53</v>
      </c>
      <c r="BD223">
        <f t="shared" si="38"/>
        <v>53</v>
      </c>
      <c r="BE223">
        <f>HLOOKUP(AV223-1,$AW$3:BD495,ROW(AV223)-2,0)</f>
        <v>46</v>
      </c>
      <c r="BF223">
        <f>HLOOKUP(AV223,$AW$3:BD495,ROW(AV223)-2,0)</f>
        <v>53</v>
      </c>
      <c r="BG223" t="str">
        <f t="shared" si="39"/>
        <v>IA_3_1_KwotaA</v>
      </c>
    </row>
    <row r="224" spans="1:59" ht="16.399999999999999" x14ac:dyDescent="0.35">
      <c r="A224" t="s">
        <v>2408</v>
      </c>
      <c r="B224" t="s">
        <v>2409</v>
      </c>
      <c r="AV224" s="43">
        <f t="shared" si="30"/>
        <v>7</v>
      </c>
      <c r="AW224">
        <f t="shared" si="31"/>
        <v>19</v>
      </c>
      <c r="AX224">
        <f t="shared" si="32"/>
        <v>38</v>
      </c>
      <c r="AY224">
        <f t="shared" si="33"/>
        <v>41</v>
      </c>
      <c r="AZ224">
        <f t="shared" si="34"/>
        <v>46</v>
      </c>
      <c r="BA224">
        <f t="shared" si="35"/>
        <v>53</v>
      </c>
      <c r="BB224">
        <f t="shared" si="36"/>
        <v>62</v>
      </c>
      <c r="BC224">
        <f t="shared" si="37"/>
        <v>62</v>
      </c>
      <c r="BD224">
        <f t="shared" si="38"/>
        <v>62</v>
      </c>
      <c r="BE224">
        <f>HLOOKUP(AV224-1,$AW$3:BD496,ROW(AV224)-2,0)</f>
        <v>53</v>
      </c>
      <c r="BF224">
        <f>HLOOKUP(AV224,$AW$3:BD496,ROW(AV224)-2,0)</f>
        <v>62</v>
      </c>
      <c r="BG224" t="str">
        <f t="shared" si="39"/>
        <v>IA_3_1_A_KwotaA</v>
      </c>
    </row>
    <row r="225" spans="1:59" ht="16.399999999999999" x14ac:dyDescent="0.35">
      <c r="A225" t="s">
        <v>2410</v>
      </c>
      <c r="B225" t="s">
        <v>2411</v>
      </c>
      <c r="AV225" s="43">
        <f t="shared" si="30"/>
        <v>7</v>
      </c>
      <c r="AW225">
        <f t="shared" si="31"/>
        <v>19</v>
      </c>
      <c r="AX225">
        <f t="shared" si="32"/>
        <v>38</v>
      </c>
      <c r="AY225">
        <f t="shared" si="33"/>
        <v>41</v>
      </c>
      <c r="AZ225">
        <f t="shared" si="34"/>
        <v>46</v>
      </c>
      <c r="BA225">
        <f t="shared" si="35"/>
        <v>53</v>
      </c>
      <c r="BB225">
        <f t="shared" si="36"/>
        <v>62</v>
      </c>
      <c r="BC225">
        <f t="shared" si="37"/>
        <v>62</v>
      </c>
      <c r="BD225">
        <f t="shared" si="38"/>
        <v>62</v>
      </c>
      <c r="BE225">
        <f>HLOOKUP(AV225-1,$AW$3:BD497,ROW(AV225)-2,0)</f>
        <v>53</v>
      </c>
      <c r="BF225">
        <f>HLOOKUP(AV225,$AW$3:BD497,ROW(AV225)-2,0)</f>
        <v>62</v>
      </c>
      <c r="BG225" t="str">
        <f t="shared" si="39"/>
        <v>IA_3_1_B_KwotaA</v>
      </c>
    </row>
    <row r="226" spans="1:59" ht="16.399999999999999" x14ac:dyDescent="0.35">
      <c r="A226" t="s">
        <v>2412</v>
      </c>
      <c r="B226" t="s">
        <v>2413</v>
      </c>
      <c r="AV226" s="43">
        <f t="shared" si="30"/>
        <v>8</v>
      </c>
      <c r="AW226">
        <f t="shared" si="31"/>
        <v>19</v>
      </c>
      <c r="AX226">
        <f t="shared" si="32"/>
        <v>38</v>
      </c>
      <c r="AY226">
        <f t="shared" si="33"/>
        <v>41</v>
      </c>
      <c r="AZ226">
        <f t="shared" si="34"/>
        <v>46</v>
      </c>
      <c r="BA226">
        <f t="shared" si="35"/>
        <v>53</v>
      </c>
      <c r="BB226">
        <f t="shared" si="36"/>
        <v>62</v>
      </c>
      <c r="BC226">
        <f t="shared" si="37"/>
        <v>73</v>
      </c>
      <c r="BD226">
        <f t="shared" si="38"/>
        <v>73</v>
      </c>
      <c r="BE226">
        <f>HLOOKUP(AV226-1,$AW$3:BD498,ROW(AV226)-2,0)</f>
        <v>62</v>
      </c>
      <c r="BF226">
        <f>HLOOKUP(AV226,$AW$3:BD498,ROW(AV226)-2,0)</f>
        <v>73</v>
      </c>
      <c r="BG226" t="str">
        <f t="shared" si="39"/>
        <v>IA_3_1_B_1_KwotaA</v>
      </c>
    </row>
    <row r="227" spans="1:59" ht="16.399999999999999" x14ac:dyDescent="0.35">
      <c r="A227" t="s">
        <v>2414</v>
      </c>
      <c r="B227" t="s">
        <v>2415</v>
      </c>
      <c r="AV227" s="43">
        <f t="shared" si="30"/>
        <v>6</v>
      </c>
      <c r="AW227">
        <f t="shared" si="31"/>
        <v>19</v>
      </c>
      <c r="AX227">
        <f t="shared" si="32"/>
        <v>38</v>
      </c>
      <c r="AY227">
        <f t="shared" si="33"/>
        <v>41</v>
      </c>
      <c r="AZ227">
        <f t="shared" si="34"/>
        <v>46</v>
      </c>
      <c r="BA227">
        <f t="shared" si="35"/>
        <v>53</v>
      </c>
      <c r="BB227">
        <f t="shared" si="36"/>
        <v>53</v>
      </c>
      <c r="BC227">
        <f t="shared" si="37"/>
        <v>53</v>
      </c>
      <c r="BD227">
        <f t="shared" si="38"/>
        <v>53</v>
      </c>
      <c r="BE227">
        <f>HLOOKUP(AV227-1,$AW$3:BD499,ROW(AV227)-2,0)</f>
        <v>46</v>
      </c>
      <c r="BF227">
        <f>HLOOKUP(AV227,$AW$3:BD499,ROW(AV227)-2,0)</f>
        <v>53</v>
      </c>
      <c r="BG227" t="str">
        <f t="shared" si="39"/>
        <v>IA_3_2_KwotaA</v>
      </c>
    </row>
    <row r="228" spans="1:59" ht="16.399999999999999" x14ac:dyDescent="0.35">
      <c r="A228" t="s">
        <v>2416</v>
      </c>
      <c r="B228" t="s">
        <v>2417</v>
      </c>
      <c r="C228" s="18">
        <v>0</v>
      </c>
      <c r="AV228" s="43">
        <f t="shared" si="30"/>
        <v>5</v>
      </c>
      <c r="AW228">
        <f t="shared" si="31"/>
        <v>19</v>
      </c>
      <c r="AX228">
        <f t="shared" si="32"/>
        <v>38</v>
      </c>
      <c r="AY228">
        <f t="shared" si="33"/>
        <v>41</v>
      </c>
      <c r="AZ228">
        <f t="shared" si="34"/>
        <v>46</v>
      </c>
      <c r="BA228">
        <f t="shared" si="35"/>
        <v>46</v>
      </c>
      <c r="BB228">
        <f t="shared" si="36"/>
        <v>46</v>
      </c>
      <c r="BC228">
        <f t="shared" si="37"/>
        <v>46</v>
      </c>
      <c r="BD228">
        <f t="shared" si="38"/>
        <v>46</v>
      </c>
      <c r="BE228">
        <f>HLOOKUP(AV228-1,$AW$3:BD500,ROW(AV228)-2,0)</f>
        <v>41</v>
      </c>
      <c r="BF228">
        <f>HLOOKUP(AV228,$AW$3:BD500,ROW(AV228)-2,0)</f>
        <v>46</v>
      </c>
      <c r="BG228" t="str">
        <f t="shared" si="39"/>
        <v>IA_4_KwotaA</v>
      </c>
    </row>
    <row r="229" spans="1:59" ht="16.399999999999999" x14ac:dyDescent="0.35">
      <c r="A229" t="s">
        <v>2418</v>
      </c>
      <c r="B229" t="s">
        <v>2419</v>
      </c>
      <c r="C229" s="18">
        <v>124604674.53</v>
      </c>
      <c r="AV229" s="43">
        <f t="shared" si="30"/>
        <v>6</v>
      </c>
      <c r="AW229">
        <f t="shared" si="31"/>
        <v>19</v>
      </c>
      <c r="AX229">
        <f t="shared" si="32"/>
        <v>38</v>
      </c>
      <c r="AY229">
        <f t="shared" si="33"/>
        <v>41</v>
      </c>
      <c r="AZ229">
        <f t="shared" si="34"/>
        <v>46</v>
      </c>
      <c r="BA229">
        <f t="shared" si="35"/>
        <v>53</v>
      </c>
      <c r="BB229">
        <f t="shared" si="36"/>
        <v>53</v>
      </c>
      <c r="BC229">
        <f t="shared" si="37"/>
        <v>53</v>
      </c>
      <c r="BD229">
        <f t="shared" si="38"/>
        <v>53</v>
      </c>
      <c r="BE229">
        <f>HLOOKUP(AV229-1,$AW$3:BD501,ROW(AV229)-2,0)</f>
        <v>46</v>
      </c>
      <c r="BF229">
        <f>HLOOKUP(AV229,$AW$3:BD501,ROW(AV229)-2,0)</f>
        <v>53</v>
      </c>
      <c r="BG229" t="str">
        <f t="shared" si="39"/>
        <v>IA_4_1_KwotaA</v>
      </c>
    </row>
    <row r="230" spans="1:59" ht="16.399999999999999" x14ac:dyDescent="0.35">
      <c r="A230" t="s">
        <v>2420</v>
      </c>
      <c r="B230" t="s">
        <v>2421</v>
      </c>
      <c r="C230" s="18">
        <v>124604674.53</v>
      </c>
      <c r="AV230" s="43">
        <f t="shared" si="30"/>
        <v>7</v>
      </c>
      <c r="AW230">
        <f t="shared" si="31"/>
        <v>19</v>
      </c>
      <c r="AX230">
        <f t="shared" si="32"/>
        <v>38</v>
      </c>
      <c r="AY230">
        <f t="shared" si="33"/>
        <v>41</v>
      </c>
      <c r="AZ230">
        <f t="shared" si="34"/>
        <v>46</v>
      </c>
      <c r="BA230">
        <f t="shared" si="35"/>
        <v>53</v>
      </c>
      <c r="BB230">
        <f t="shared" si="36"/>
        <v>62</v>
      </c>
      <c r="BC230">
        <f t="shared" si="37"/>
        <v>62</v>
      </c>
      <c r="BD230">
        <f t="shared" si="38"/>
        <v>62</v>
      </c>
      <c r="BE230">
        <f>HLOOKUP(AV230-1,$AW$3:BD502,ROW(AV230)-2,0)</f>
        <v>53</v>
      </c>
      <c r="BF230">
        <f>HLOOKUP(AV230,$AW$3:BD502,ROW(AV230)-2,0)</f>
        <v>62</v>
      </c>
      <c r="BG230" t="str">
        <f t="shared" si="39"/>
        <v>IA_4_1_A_KwotaA</v>
      </c>
    </row>
    <row r="231" spans="1:59" ht="16.399999999999999" x14ac:dyDescent="0.35">
      <c r="A231" t="s">
        <v>2422</v>
      </c>
      <c r="B231" t="s">
        <v>2423</v>
      </c>
      <c r="AV231" s="43">
        <f t="shared" si="30"/>
        <v>7</v>
      </c>
      <c r="AW231">
        <f t="shared" si="31"/>
        <v>19</v>
      </c>
      <c r="AX231">
        <f t="shared" si="32"/>
        <v>38</v>
      </c>
      <c r="AY231">
        <f t="shared" si="33"/>
        <v>41</v>
      </c>
      <c r="AZ231">
        <f t="shared" si="34"/>
        <v>46</v>
      </c>
      <c r="BA231">
        <f t="shared" si="35"/>
        <v>53</v>
      </c>
      <c r="BB231">
        <f t="shared" si="36"/>
        <v>62</v>
      </c>
      <c r="BC231">
        <f t="shared" si="37"/>
        <v>62</v>
      </c>
      <c r="BD231">
        <f t="shared" si="38"/>
        <v>62</v>
      </c>
      <c r="BE231">
        <f>HLOOKUP(AV231-1,$AW$3:BD503,ROW(AV231)-2,0)</f>
        <v>53</v>
      </c>
      <c r="BF231">
        <f>HLOOKUP(AV231,$AW$3:BD503,ROW(AV231)-2,0)</f>
        <v>62</v>
      </c>
      <c r="BG231" t="str">
        <f t="shared" si="39"/>
        <v>IA_4_1_B_KwotaA</v>
      </c>
    </row>
    <row r="232" spans="1:59" ht="16.399999999999999" x14ac:dyDescent="0.35">
      <c r="A232" t="s">
        <v>2424</v>
      </c>
      <c r="B232" t="s">
        <v>2425</v>
      </c>
      <c r="C232" s="18">
        <v>124604674.53</v>
      </c>
      <c r="AV232" s="43">
        <f t="shared" si="30"/>
        <v>6</v>
      </c>
      <c r="AW232">
        <f t="shared" si="31"/>
        <v>19</v>
      </c>
      <c r="AX232">
        <f t="shared" si="32"/>
        <v>38</v>
      </c>
      <c r="AY232">
        <f t="shared" si="33"/>
        <v>41</v>
      </c>
      <c r="AZ232">
        <f t="shared" si="34"/>
        <v>46</v>
      </c>
      <c r="BA232">
        <f t="shared" si="35"/>
        <v>53</v>
      </c>
      <c r="BB232">
        <f t="shared" si="36"/>
        <v>53</v>
      </c>
      <c r="BC232">
        <f t="shared" si="37"/>
        <v>53</v>
      </c>
      <c r="BD232">
        <f t="shared" si="38"/>
        <v>53</v>
      </c>
      <c r="BE232">
        <f>HLOOKUP(AV232-1,$AW$3:BD504,ROW(AV232)-2,0)</f>
        <v>46</v>
      </c>
      <c r="BF232">
        <f>HLOOKUP(AV232,$AW$3:BD504,ROW(AV232)-2,0)</f>
        <v>53</v>
      </c>
      <c r="BG232" t="str">
        <f t="shared" si="39"/>
        <v>IA_4_2_KwotaA</v>
      </c>
    </row>
    <row r="233" spans="1:59" ht="16.399999999999999" x14ac:dyDescent="0.35">
      <c r="A233" t="s">
        <v>2426</v>
      </c>
      <c r="B233" t="s">
        <v>2427</v>
      </c>
      <c r="C233" s="18">
        <v>132781704.53</v>
      </c>
      <c r="AV233" s="43">
        <f t="shared" si="30"/>
        <v>5</v>
      </c>
      <c r="AW233">
        <f t="shared" si="31"/>
        <v>19</v>
      </c>
      <c r="AX233">
        <f t="shared" si="32"/>
        <v>38</v>
      </c>
      <c r="AY233">
        <f t="shared" si="33"/>
        <v>41</v>
      </c>
      <c r="AZ233">
        <f t="shared" si="34"/>
        <v>46</v>
      </c>
      <c r="BA233">
        <f t="shared" si="35"/>
        <v>46</v>
      </c>
      <c r="BB233">
        <f t="shared" si="36"/>
        <v>46</v>
      </c>
      <c r="BC233">
        <f t="shared" si="37"/>
        <v>46</v>
      </c>
      <c r="BD233">
        <f t="shared" si="38"/>
        <v>46</v>
      </c>
      <c r="BE233">
        <f>HLOOKUP(AV233-1,$AW$3:BD505,ROW(AV233)-2,0)</f>
        <v>41</v>
      </c>
      <c r="BF233">
        <f>HLOOKUP(AV233,$AW$3:BD505,ROW(AV233)-2,0)</f>
        <v>46</v>
      </c>
      <c r="BG233" t="str">
        <f t="shared" si="39"/>
        <v>IA_5_KwotaA</v>
      </c>
    </row>
    <row r="234" spans="1:59" ht="16.399999999999999" x14ac:dyDescent="0.35">
      <c r="A234" t="s">
        <v>2428</v>
      </c>
      <c r="B234" t="s">
        <v>2429</v>
      </c>
      <c r="C234" s="18">
        <v>132781704.53</v>
      </c>
      <c r="AV234" s="43">
        <f t="shared" si="30"/>
        <v>6</v>
      </c>
      <c r="AW234">
        <f t="shared" si="31"/>
        <v>19</v>
      </c>
      <c r="AX234">
        <f t="shared" si="32"/>
        <v>38</v>
      </c>
      <c r="AY234">
        <f t="shared" si="33"/>
        <v>41</v>
      </c>
      <c r="AZ234">
        <f t="shared" si="34"/>
        <v>46</v>
      </c>
      <c r="BA234">
        <f t="shared" si="35"/>
        <v>53</v>
      </c>
      <c r="BB234">
        <f t="shared" si="36"/>
        <v>53</v>
      </c>
      <c r="BC234">
        <f t="shared" si="37"/>
        <v>53</v>
      </c>
      <c r="BD234">
        <f t="shared" si="38"/>
        <v>53</v>
      </c>
      <c r="BE234">
        <f>HLOOKUP(AV234-1,$AW$3:BD506,ROW(AV234)-2,0)</f>
        <v>46</v>
      </c>
      <c r="BF234">
        <f>HLOOKUP(AV234,$AW$3:BD506,ROW(AV234)-2,0)</f>
        <v>53</v>
      </c>
      <c r="BG234" t="str">
        <f t="shared" si="39"/>
        <v>IA_5_1_KwotaA</v>
      </c>
    </row>
    <row r="235" spans="1:59" ht="16.399999999999999" x14ac:dyDescent="0.35">
      <c r="A235" t="s">
        <v>2430</v>
      </c>
      <c r="B235" t="s">
        <v>2431</v>
      </c>
      <c r="AV235" s="43">
        <f t="shared" si="30"/>
        <v>7</v>
      </c>
      <c r="AW235">
        <f t="shared" si="31"/>
        <v>19</v>
      </c>
      <c r="AX235">
        <f t="shared" si="32"/>
        <v>38</v>
      </c>
      <c r="AY235">
        <f t="shared" si="33"/>
        <v>41</v>
      </c>
      <c r="AZ235">
        <f t="shared" si="34"/>
        <v>46</v>
      </c>
      <c r="BA235">
        <f t="shared" si="35"/>
        <v>53</v>
      </c>
      <c r="BB235">
        <f t="shared" si="36"/>
        <v>62</v>
      </c>
      <c r="BC235">
        <f t="shared" si="37"/>
        <v>62</v>
      </c>
      <c r="BD235">
        <f t="shared" si="38"/>
        <v>62</v>
      </c>
      <c r="BE235">
        <f>HLOOKUP(AV235-1,$AW$3:BD507,ROW(AV235)-2,0)</f>
        <v>53</v>
      </c>
      <c r="BF235">
        <f>HLOOKUP(AV235,$AW$3:BD507,ROW(AV235)-2,0)</f>
        <v>62</v>
      </c>
      <c r="BG235" t="str">
        <f t="shared" si="39"/>
        <v>IA_5_1_1_KwotaA</v>
      </c>
    </row>
    <row r="236" spans="1:59" ht="16.399999999999999" x14ac:dyDescent="0.35">
      <c r="A236" t="s">
        <v>2432</v>
      </c>
      <c r="B236" t="s">
        <v>2433</v>
      </c>
      <c r="AV236" s="43">
        <f t="shared" si="30"/>
        <v>7</v>
      </c>
      <c r="AW236">
        <f t="shared" si="31"/>
        <v>19</v>
      </c>
      <c r="AX236">
        <f t="shared" si="32"/>
        <v>38</v>
      </c>
      <c r="AY236">
        <f t="shared" si="33"/>
        <v>41</v>
      </c>
      <c r="AZ236">
        <f t="shared" si="34"/>
        <v>46</v>
      </c>
      <c r="BA236">
        <f t="shared" si="35"/>
        <v>53</v>
      </c>
      <c r="BB236">
        <f t="shared" si="36"/>
        <v>62</v>
      </c>
      <c r="BC236">
        <f t="shared" si="37"/>
        <v>62</v>
      </c>
      <c r="BD236">
        <f t="shared" si="38"/>
        <v>62</v>
      </c>
      <c r="BE236">
        <f>HLOOKUP(AV236-1,$AW$3:BD508,ROW(AV236)-2,0)</f>
        <v>53</v>
      </c>
      <c r="BF236">
        <f>HLOOKUP(AV236,$AW$3:BD508,ROW(AV236)-2,0)</f>
        <v>62</v>
      </c>
      <c r="BG236" t="str">
        <f t="shared" si="39"/>
        <v>IA_5_1_2_KwotaA</v>
      </c>
    </row>
    <row r="237" spans="1:59" ht="16.399999999999999" x14ac:dyDescent="0.35">
      <c r="A237" t="s">
        <v>2434</v>
      </c>
      <c r="B237" t="s">
        <v>2435</v>
      </c>
      <c r="C237" s="18">
        <v>132781704.53</v>
      </c>
      <c r="AV237" s="43">
        <f t="shared" si="30"/>
        <v>6</v>
      </c>
      <c r="AW237">
        <f t="shared" si="31"/>
        <v>19</v>
      </c>
      <c r="AX237">
        <f t="shared" si="32"/>
        <v>38</v>
      </c>
      <c r="AY237">
        <f t="shared" si="33"/>
        <v>41</v>
      </c>
      <c r="AZ237">
        <f t="shared" si="34"/>
        <v>46</v>
      </c>
      <c r="BA237">
        <f t="shared" si="35"/>
        <v>53</v>
      </c>
      <c r="BB237">
        <f t="shared" si="36"/>
        <v>53</v>
      </c>
      <c r="BC237">
        <f t="shared" si="37"/>
        <v>53</v>
      </c>
      <c r="BD237">
        <f t="shared" si="38"/>
        <v>53</v>
      </c>
      <c r="BE237">
        <f>HLOOKUP(AV237-1,$AW$3:BD509,ROW(AV237)-2,0)</f>
        <v>46</v>
      </c>
      <c r="BF237">
        <f>HLOOKUP(AV237,$AW$3:BD509,ROW(AV237)-2,0)</f>
        <v>53</v>
      </c>
      <c r="BG237" t="str">
        <f t="shared" si="39"/>
        <v>IA_5_2_KwotaA</v>
      </c>
    </row>
    <row r="238" spans="1:59" ht="16.399999999999999" x14ac:dyDescent="0.35">
      <c r="A238" t="s">
        <v>2436</v>
      </c>
      <c r="B238" t="s">
        <v>2437</v>
      </c>
      <c r="AV238" s="43">
        <f t="shared" si="30"/>
        <v>7</v>
      </c>
      <c r="AW238">
        <f t="shared" si="31"/>
        <v>19</v>
      </c>
      <c r="AX238">
        <f t="shared" si="32"/>
        <v>38</v>
      </c>
      <c r="AY238">
        <f t="shared" si="33"/>
        <v>41</v>
      </c>
      <c r="AZ238">
        <f t="shared" si="34"/>
        <v>46</v>
      </c>
      <c r="BA238">
        <f t="shared" si="35"/>
        <v>53</v>
      </c>
      <c r="BB238">
        <f t="shared" si="36"/>
        <v>62</v>
      </c>
      <c r="BC238">
        <f t="shared" si="37"/>
        <v>62</v>
      </c>
      <c r="BD238">
        <f t="shared" si="38"/>
        <v>62</v>
      </c>
      <c r="BE238">
        <f>HLOOKUP(AV238-1,$AW$3:BD510,ROW(AV238)-2,0)</f>
        <v>53</v>
      </c>
      <c r="BF238">
        <f>HLOOKUP(AV238,$AW$3:BD510,ROW(AV238)-2,0)</f>
        <v>62</v>
      </c>
      <c r="BG238" t="str">
        <f t="shared" si="39"/>
        <v>IA_5_2_A_KwotaA</v>
      </c>
    </row>
    <row r="239" spans="1:59" ht="16.399999999999999" x14ac:dyDescent="0.35">
      <c r="A239" t="s">
        <v>2438</v>
      </c>
      <c r="B239" t="s">
        <v>2439</v>
      </c>
      <c r="AV239" s="43">
        <f t="shared" si="30"/>
        <v>8</v>
      </c>
      <c r="AW239">
        <f t="shared" si="31"/>
        <v>19</v>
      </c>
      <c r="AX239">
        <f t="shared" si="32"/>
        <v>38</v>
      </c>
      <c r="AY239">
        <f t="shared" si="33"/>
        <v>41</v>
      </c>
      <c r="AZ239">
        <f t="shared" si="34"/>
        <v>46</v>
      </c>
      <c r="BA239">
        <f t="shared" si="35"/>
        <v>53</v>
      </c>
      <c r="BB239">
        <f t="shared" si="36"/>
        <v>62</v>
      </c>
      <c r="BC239">
        <f t="shared" si="37"/>
        <v>73</v>
      </c>
      <c r="BD239">
        <f t="shared" si="38"/>
        <v>73</v>
      </c>
      <c r="BE239">
        <f>HLOOKUP(AV239-1,$AW$3:BD511,ROW(AV239)-2,0)</f>
        <v>62</v>
      </c>
      <c r="BF239">
        <f>HLOOKUP(AV239,$AW$3:BD511,ROW(AV239)-2,0)</f>
        <v>73</v>
      </c>
      <c r="BG239" t="str">
        <f t="shared" si="39"/>
        <v>IA_5_2_A_1_KwotaA</v>
      </c>
    </row>
    <row r="240" spans="1:59" ht="16.399999999999999" x14ac:dyDescent="0.35">
      <c r="A240" t="s">
        <v>2440</v>
      </c>
      <c r="B240" t="s">
        <v>2441</v>
      </c>
      <c r="C240" s="18">
        <v>-132781704.53</v>
      </c>
      <c r="AV240" s="43">
        <f t="shared" si="30"/>
        <v>7</v>
      </c>
      <c r="AW240">
        <f t="shared" si="31"/>
        <v>19</v>
      </c>
      <c r="AX240">
        <f t="shared" si="32"/>
        <v>38</v>
      </c>
      <c r="AY240">
        <f t="shared" si="33"/>
        <v>41</v>
      </c>
      <c r="AZ240">
        <f t="shared" si="34"/>
        <v>46</v>
      </c>
      <c r="BA240">
        <f t="shared" si="35"/>
        <v>53</v>
      </c>
      <c r="BB240">
        <f t="shared" si="36"/>
        <v>62</v>
      </c>
      <c r="BC240">
        <f t="shared" si="37"/>
        <v>62</v>
      </c>
      <c r="BD240">
        <f t="shared" si="38"/>
        <v>62</v>
      </c>
      <c r="BE240">
        <f>HLOOKUP(AV240-1,$AW$3:BD512,ROW(AV240)-2,0)</f>
        <v>53</v>
      </c>
      <c r="BF240">
        <f>HLOOKUP(AV240,$AW$3:BD512,ROW(AV240)-2,0)</f>
        <v>62</v>
      </c>
      <c r="BG240" t="str">
        <f t="shared" si="39"/>
        <v>IA_5_2_B_KwotaA</v>
      </c>
    </row>
    <row r="241" spans="1:59" ht="16.399999999999999" x14ac:dyDescent="0.35">
      <c r="A241" t="s">
        <v>2442</v>
      </c>
      <c r="B241" t="s">
        <v>2443</v>
      </c>
      <c r="AV241" s="43">
        <f t="shared" si="30"/>
        <v>6</v>
      </c>
      <c r="AW241">
        <f t="shared" si="31"/>
        <v>19</v>
      </c>
      <c r="AX241">
        <f t="shared" si="32"/>
        <v>38</v>
      </c>
      <c r="AY241">
        <f t="shared" si="33"/>
        <v>41</v>
      </c>
      <c r="AZ241">
        <f t="shared" si="34"/>
        <v>46</v>
      </c>
      <c r="BA241">
        <f t="shared" si="35"/>
        <v>53</v>
      </c>
      <c r="BB241">
        <f t="shared" si="36"/>
        <v>53</v>
      </c>
      <c r="BC241">
        <f t="shared" si="37"/>
        <v>53</v>
      </c>
      <c r="BD241">
        <f t="shared" si="38"/>
        <v>53</v>
      </c>
      <c r="BE241">
        <f>HLOOKUP(AV241-1,$AW$3:BD513,ROW(AV241)-2,0)</f>
        <v>46</v>
      </c>
      <c r="BF241">
        <f>HLOOKUP(AV241,$AW$3:BD513,ROW(AV241)-2,0)</f>
        <v>53</v>
      </c>
      <c r="BG241" t="str">
        <f t="shared" si="39"/>
        <v>IA_5_3_KwotaA</v>
      </c>
    </row>
    <row r="242" spans="1:59" ht="16.399999999999999" x14ac:dyDescent="0.35">
      <c r="A242" t="s">
        <v>2444</v>
      </c>
      <c r="B242" t="s">
        <v>2445</v>
      </c>
      <c r="AV242" s="43">
        <f t="shared" si="30"/>
        <v>6</v>
      </c>
      <c r="AW242">
        <f t="shared" si="31"/>
        <v>19</v>
      </c>
      <c r="AX242">
        <f t="shared" si="32"/>
        <v>38</v>
      </c>
      <c r="AY242">
        <f t="shared" si="33"/>
        <v>41</v>
      </c>
      <c r="AZ242">
        <f t="shared" si="34"/>
        <v>46</v>
      </c>
      <c r="BA242">
        <f t="shared" si="35"/>
        <v>53</v>
      </c>
      <c r="BB242">
        <f t="shared" si="36"/>
        <v>53</v>
      </c>
      <c r="BC242">
        <f t="shared" si="37"/>
        <v>53</v>
      </c>
      <c r="BD242">
        <f t="shared" si="38"/>
        <v>53</v>
      </c>
      <c r="BE242">
        <f>HLOOKUP(AV242-1,$AW$3:BD514,ROW(AV242)-2,0)</f>
        <v>46</v>
      </c>
      <c r="BF242">
        <f>HLOOKUP(AV242,$AW$3:BD514,ROW(AV242)-2,0)</f>
        <v>53</v>
      </c>
      <c r="BG242" t="str">
        <f t="shared" si="39"/>
        <v>IA_5_4_KwotaA</v>
      </c>
    </row>
    <row r="243" spans="1:59" ht="16.399999999999999" x14ac:dyDescent="0.35">
      <c r="A243" t="s">
        <v>2446</v>
      </c>
      <c r="B243" t="s">
        <v>2447</v>
      </c>
      <c r="AV243" s="43">
        <f t="shared" si="30"/>
        <v>7</v>
      </c>
      <c r="AW243">
        <f t="shared" si="31"/>
        <v>19</v>
      </c>
      <c r="AX243">
        <f t="shared" si="32"/>
        <v>38</v>
      </c>
      <c r="AY243">
        <f t="shared" si="33"/>
        <v>41</v>
      </c>
      <c r="AZ243">
        <f t="shared" si="34"/>
        <v>46</v>
      </c>
      <c r="BA243">
        <f t="shared" si="35"/>
        <v>53</v>
      </c>
      <c r="BB243">
        <f t="shared" si="36"/>
        <v>62</v>
      </c>
      <c r="BC243">
        <f t="shared" si="37"/>
        <v>62</v>
      </c>
      <c r="BD243">
        <f t="shared" si="38"/>
        <v>62</v>
      </c>
      <c r="BE243">
        <f>HLOOKUP(AV243-1,$AW$3:BD515,ROW(AV243)-2,0)</f>
        <v>53</v>
      </c>
      <c r="BF243">
        <f>HLOOKUP(AV243,$AW$3:BD515,ROW(AV243)-2,0)</f>
        <v>62</v>
      </c>
      <c r="BG243" t="str">
        <f t="shared" si="39"/>
        <v>IA_5_4_1_KwotaA</v>
      </c>
    </row>
    <row r="244" spans="1:59" ht="16.399999999999999" x14ac:dyDescent="0.35">
      <c r="A244" t="s">
        <v>2448</v>
      </c>
      <c r="B244" t="s">
        <v>2449</v>
      </c>
      <c r="AV244" s="43">
        <f t="shared" si="30"/>
        <v>7</v>
      </c>
      <c r="AW244">
        <f t="shared" si="31"/>
        <v>19</v>
      </c>
      <c r="AX244">
        <f t="shared" si="32"/>
        <v>38</v>
      </c>
      <c r="AY244">
        <f t="shared" si="33"/>
        <v>41</v>
      </c>
      <c r="AZ244">
        <f t="shared" si="34"/>
        <v>46</v>
      </c>
      <c r="BA244">
        <f t="shared" si="35"/>
        <v>53</v>
      </c>
      <c r="BB244">
        <f t="shared" si="36"/>
        <v>62</v>
      </c>
      <c r="BC244">
        <f t="shared" si="37"/>
        <v>62</v>
      </c>
      <c r="BD244">
        <f t="shared" si="38"/>
        <v>62</v>
      </c>
      <c r="BE244">
        <f>HLOOKUP(AV244-1,$AW$3:BD516,ROW(AV244)-2,0)</f>
        <v>53</v>
      </c>
      <c r="BF244">
        <f>HLOOKUP(AV244,$AW$3:BD516,ROW(AV244)-2,0)</f>
        <v>62</v>
      </c>
      <c r="BG244" t="str">
        <f t="shared" si="39"/>
        <v>IA_5_4_2_KwotaA</v>
      </c>
    </row>
    <row r="245" spans="1:59" ht="16.399999999999999" x14ac:dyDescent="0.35">
      <c r="A245" t="s">
        <v>2450</v>
      </c>
      <c r="B245" t="s">
        <v>2451</v>
      </c>
      <c r="AV245" s="43">
        <f t="shared" si="30"/>
        <v>6</v>
      </c>
      <c r="AW245">
        <f t="shared" si="31"/>
        <v>19</v>
      </c>
      <c r="AX245">
        <f t="shared" si="32"/>
        <v>38</v>
      </c>
      <c r="AY245">
        <f t="shared" si="33"/>
        <v>41</v>
      </c>
      <c r="AZ245">
        <f t="shared" si="34"/>
        <v>46</v>
      </c>
      <c r="BA245">
        <f t="shared" si="35"/>
        <v>53</v>
      </c>
      <c r="BB245">
        <f t="shared" si="36"/>
        <v>53</v>
      </c>
      <c r="BC245">
        <f t="shared" si="37"/>
        <v>53</v>
      </c>
      <c r="BD245">
        <f t="shared" si="38"/>
        <v>53</v>
      </c>
      <c r="BE245">
        <f>HLOOKUP(AV245-1,$AW$3:BD517,ROW(AV245)-2,0)</f>
        <v>46</v>
      </c>
      <c r="BF245">
        <f>HLOOKUP(AV245,$AW$3:BD517,ROW(AV245)-2,0)</f>
        <v>53</v>
      </c>
      <c r="BG245" t="str">
        <f t="shared" si="39"/>
        <v>IA_5_5_KwotaA</v>
      </c>
    </row>
    <row r="246" spans="1:59" ht="16.399999999999999" x14ac:dyDescent="0.35">
      <c r="A246" t="s">
        <v>2452</v>
      </c>
      <c r="B246" t="s">
        <v>2453</v>
      </c>
      <c r="AV246" s="43">
        <f t="shared" si="30"/>
        <v>7</v>
      </c>
      <c r="AW246">
        <f t="shared" si="31"/>
        <v>19</v>
      </c>
      <c r="AX246">
        <f t="shared" si="32"/>
        <v>38</v>
      </c>
      <c r="AY246">
        <f t="shared" si="33"/>
        <v>41</v>
      </c>
      <c r="AZ246">
        <f t="shared" si="34"/>
        <v>46</v>
      </c>
      <c r="BA246">
        <f t="shared" si="35"/>
        <v>53</v>
      </c>
      <c r="BB246">
        <f t="shared" si="36"/>
        <v>62</v>
      </c>
      <c r="BC246">
        <f t="shared" si="37"/>
        <v>62</v>
      </c>
      <c r="BD246">
        <f t="shared" si="38"/>
        <v>62</v>
      </c>
      <c r="BE246">
        <f>HLOOKUP(AV246-1,$AW$3:BD518,ROW(AV246)-2,0)</f>
        <v>53</v>
      </c>
      <c r="BF246">
        <f>HLOOKUP(AV246,$AW$3:BD518,ROW(AV246)-2,0)</f>
        <v>62</v>
      </c>
      <c r="BG246" t="str">
        <f t="shared" si="39"/>
        <v>IA_5_5_A_KwotaA</v>
      </c>
    </row>
    <row r="247" spans="1:59" ht="16.399999999999999" x14ac:dyDescent="0.35">
      <c r="A247" t="s">
        <v>2454</v>
      </c>
      <c r="B247" t="s">
        <v>2455</v>
      </c>
      <c r="AV247" s="43">
        <f t="shared" si="30"/>
        <v>8</v>
      </c>
      <c r="AW247">
        <f t="shared" si="31"/>
        <v>19</v>
      </c>
      <c r="AX247">
        <f t="shared" si="32"/>
        <v>38</v>
      </c>
      <c r="AY247">
        <f t="shared" si="33"/>
        <v>41</v>
      </c>
      <c r="AZ247">
        <f t="shared" si="34"/>
        <v>46</v>
      </c>
      <c r="BA247">
        <f t="shared" si="35"/>
        <v>53</v>
      </c>
      <c r="BB247">
        <f t="shared" si="36"/>
        <v>62</v>
      </c>
      <c r="BC247">
        <f t="shared" si="37"/>
        <v>73</v>
      </c>
      <c r="BD247">
        <f t="shared" si="38"/>
        <v>73</v>
      </c>
      <c r="BE247">
        <f>HLOOKUP(AV247-1,$AW$3:BD519,ROW(AV247)-2,0)</f>
        <v>62</v>
      </c>
      <c r="BF247">
        <f>HLOOKUP(AV247,$AW$3:BD519,ROW(AV247)-2,0)</f>
        <v>73</v>
      </c>
      <c r="BG247" t="str">
        <f t="shared" si="39"/>
        <v>IA_5_5_A_1_KwotaA</v>
      </c>
    </row>
    <row r="248" spans="1:59" ht="16.399999999999999" x14ac:dyDescent="0.35">
      <c r="A248" t="s">
        <v>2456</v>
      </c>
      <c r="B248" t="s">
        <v>2457</v>
      </c>
      <c r="AV248" s="43">
        <f t="shared" si="30"/>
        <v>7</v>
      </c>
      <c r="AW248">
        <f t="shared" si="31"/>
        <v>19</v>
      </c>
      <c r="AX248">
        <f t="shared" si="32"/>
        <v>38</v>
      </c>
      <c r="AY248">
        <f t="shared" si="33"/>
        <v>41</v>
      </c>
      <c r="AZ248">
        <f t="shared" si="34"/>
        <v>46</v>
      </c>
      <c r="BA248">
        <f t="shared" si="35"/>
        <v>53</v>
      </c>
      <c r="BB248">
        <f t="shared" si="36"/>
        <v>62</v>
      </c>
      <c r="BC248">
        <f t="shared" si="37"/>
        <v>62</v>
      </c>
      <c r="BD248">
        <f t="shared" si="38"/>
        <v>62</v>
      </c>
      <c r="BE248">
        <f>HLOOKUP(AV248-1,$AW$3:BD520,ROW(AV248)-2,0)</f>
        <v>53</v>
      </c>
      <c r="BF248">
        <f>HLOOKUP(AV248,$AW$3:BD520,ROW(AV248)-2,0)</f>
        <v>62</v>
      </c>
      <c r="BG248" t="str">
        <f t="shared" si="39"/>
        <v>IA_5_5_B_KwotaA</v>
      </c>
    </row>
    <row r="249" spans="1:59" ht="16.399999999999999" x14ac:dyDescent="0.35">
      <c r="A249" t="s">
        <v>2458</v>
      </c>
      <c r="B249" t="s">
        <v>2459</v>
      </c>
      <c r="AV249" s="43">
        <f t="shared" si="30"/>
        <v>6</v>
      </c>
      <c r="AW249">
        <f t="shared" si="31"/>
        <v>19</v>
      </c>
      <c r="AX249">
        <f t="shared" si="32"/>
        <v>38</v>
      </c>
      <c r="AY249">
        <f t="shared" si="33"/>
        <v>41</v>
      </c>
      <c r="AZ249">
        <f t="shared" si="34"/>
        <v>46</v>
      </c>
      <c r="BA249">
        <f t="shared" si="35"/>
        <v>53</v>
      </c>
      <c r="BB249">
        <f t="shared" si="36"/>
        <v>53</v>
      </c>
      <c r="BC249">
        <f t="shared" si="37"/>
        <v>53</v>
      </c>
      <c r="BD249">
        <f t="shared" si="38"/>
        <v>53</v>
      </c>
      <c r="BE249">
        <f>HLOOKUP(AV249-1,$AW$3:BD521,ROW(AV249)-2,0)</f>
        <v>46</v>
      </c>
      <c r="BF249">
        <f>HLOOKUP(AV249,$AW$3:BD521,ROW(AV249)-2,0)</f>
        <v>53</v>
      </c>
      <c r="BG249" t="str">
        <f t="shared" si="39"/>
        <v>IA_5_6_KwotaA</v>
      </c>
    </row>
    <row r="250" spans="1:59" ht="16.399999999999999" x14ac:dyDescent="0.35">
      <c r="A250" t="s">
        <v>2460</v>
      </c>
      <c r="B250" t="s">
        <v>2461</v>
      </c>
      <c r="AV250" s="43">
        <f t="shared" si="30"/>
        <v>6</v>
      </c>
      <c r="AW250">
        <f t="shared" si="31"/>
        <v>19</v>
      </c>
      <c r="AX250">
        <f t="shared" si="32"/>
        <v>38</v>
      </c>
      <c r="AY250">
        <f t="shared" si="33"/>
        <v>41</v>
      </c>
      <c r="AZ250">
        <f t="shared" si="34"/>
        <v>46</v>
      </c>
      <c r="BA250">
        <f t="shared" si="35"/>
        <v>53</v>
      </c>
      <c r="BB250">
        <f t="shared" si="36"/>
        <v>53</v>
      </c>
      <c r="BC250">
        <f t="shared" si="37"/>
        <v>53</v>
      </c>
      <c r="BD250">
        <f t="shared" si="38"/>
        <v>53</v>
      </c>
      <c r="BE250">
        <f>HLOOKUP(AV250-1,$AW$3:BD522,ROW(AV250)-2,0)</f>
        <v>46</v>
      </c>
      <c r="BF250">
        <f>HLOOKUP(AV250,$AW$3:BD522,ROW(AV250)-2,0)</f>
        <v>53</v>
      </c>
      <c r="BG250" t="str">
        <f t="shared" si="39"/>
        <v>IA_5_7_KwotaA</v>
      </c>
    </row>
    <row r="251" spans="1:59" ht="16.399999999999999" x14ac:dyDescent="0.35">
      <c r="A251" t="s">
        <v>2462</v>
      </c>
      <c r="B251" t="s">
        <v>2463</v>
      </c>
      <c r="C251" s="18">
        <v>66488815.450000003</v>
      </c>
      <c r="AV251" s="43">
        <f t="shared" si="30"/>
        <v>5</v>
      </c>
      <c r="AW251">
        <f t="shared" si="31"/>
        <v>19</v>
      </c>
      <c r="AX251">
        <f t="shared" si="32"/>
        <v>38</v>
      </c>
      <c r="AY251">
        <f t="shared" si="33"/>
        <v>41</v>
      </c>
      <c r="AZ251">
        <f t="shared" si="34"/>
        <v>46</v>
      </c>
      <c r="BA251">
        <f t="shared" si="35"/>
        <v>46</v>
      </c>
      <c r="BB251">
        <f t="shared" si="36"/>
        <v>46</v>
      </c>
      <c r="BC251">
        <f t="shared" si="37"/>
        <v>46</v>
      </c>
      <c r="BD251">
        <f t="shared" si="38"/>
        <v>46</v>
      </c>
      <c r="BE251">
        <f>HLOOKUP(AV251-1,$AW$3:BD523,ROW(AV251)-2,0)</f>
        <v>41</v>
      </c>
      <c r="BF251">
        <f>HLOOKUP(AV251,$AW$3:BD523,ROW(AV251)-2,0)</f>
        <v>46</v>
      </c>
      <c r="BG251" t="str">
        <f t="shared" si="39"/>
        <v>IA_6_KwotaA</v>
      </c>
    </row>
    <row r="252" spans="1:59" ht="16.399999999999999" x14ac:dyDescent="0.35">
      <c r="A252" t="s">
        <v>2464</v>
      </c>
      <c r="B252" t="s">
        <v>2465</v>
      </c>
      <c r="C252" s="18">
        <v>66488815.450000003</v>
      </c>
      <c r="AV252" s="43">
        <f t="shared" si="30"/>
        <v>6</v>
      </c>
      <c r="AW252">
        <f t="shared" si="31"/>
        <v>19</v>
      </c>
      <c r="AX252">
        <f t="shared" si="32"/>
        <v>38</v>
      </c>
      <c r="AY252">
        <f t="shared" si="33"/>
        <v>41</v>
      </c>
      <c r="AZ252">
        <f t="shared" si="34"/>
        <v>46</v>
      </c>
      <c r="BA252">
        <f t="shared" si="35"/>
        <v>53</v>
      </c>
      <c r="BB252">
        <f t="shared" si="36"/>
        <v>53</v>
      </c>
      <c r="BC252">
        <f t="shared" si="37"/>
        <v>53</v>
      </c>
      <c r="BD252">
        <f t="shared" si="38"/>
        <v>53</v>
      </c>
      <c r="BE252">
        <f>HLOOKUP(AV252-1,$AW$3:BD524,ROW(AV252)-2,0)</f>
        <v>46</v>
      </c>
      <c r="BF252">
        <f>HLOOKUP(AV252,$AW$3:BD524,ROW(AV252)-2,0)</f>
        <v>53</v>
      </c>
      <c r="BG252" t="str">
        <f t="shared" si="39"/>
        <v>IA_6_A_KwotaA</v>
      </c>
    </row>
    <row r="253" spans="1:59" ht="16.399999999999999" x14ac:dyDescent="0.35">
      <c r="A253" t="s">
        <v>2466</v>
      </c>
      <c r="B253" t="s">
        <v>2467</v>
      </c>
      <c r="AV253" s="43">
        <f t="shared" si="30"/>
        <v>6</v>
      </c>
      <c r="AW253">
        <f t="shared" si="31"/>
        <v>19</v>
      </c>
      <c r="AX253">
        <f t="shared" si="32"/>
        <v>38</v>
      </c>
      <c r="AY253">
        <f t="shared" si="33"/>
        <v>41</v>
      </c>
      <c r="AZ253">
        <f t="shared" si="34"/>
        <v>46</v>
      </c>
      <c r="BA253">
        <f t="shared" si="35"/>
        <v>53</v>
      </c>
      <c r="BB253">
        <f t="shared" si="36"/>
        <v>53</v>
      </c>
      <c r="BC253">
        <f t="shared" si="37"/>
        <v>53</v>
      </c>
      <c r="BD253">
        <f t="shared" si="38"/>
        <v>53</v>
      </c>
      <c r="BE253">
        <f>HLOOKUP(AV253-1,$AW$3:BD525,ROW(AV253)-2,0)</f>
        <v>46</v>
      </c>
      <c r="BF253">
        <f>HLOOKUP(AV253,$AW$3:BD525,ROW(AV253)-2,0)</f>
        <v>53</v>
      </c>
      <c r="BG253" t="str">
        <f t="shared" si="39"/>
        <v>IA_6_B_KwotaA</v>
      </c>
    </row>
    <row r="254" spans="1:59" ht="16.399999999999999" x14ac:dyDescent="0.35">
      <c r="A254" t="s">
        <v>2468</v>
      </c>
      <c r="B254" t="s">
        <v>2469</v>
      </c>
      <c r="AV254" s="43">
        <f t="shared" si="30"/>
        <v>6</v>
      </c>
      <c r="AW254">
        <f t="shared" si="31"/>
        <v>19</v>
      </c>
      <c r="AX254">
        <f t="shared" si="32"/>
        <v>38</v>
      </c>
      <c r="AY254">
        <f t="shared" si="33"/>
        <v>41</v>
      </c>
      <c r="AZ254">
        <f t="shared" si="34"/>
        <v>46</v>
      </c>
      <c r="BA254">
        <f t="shared" si="35"/>
        <v>53</v>
      </c>
      <c r="BB254">
        <f t="shared" si="36"/>
        <v>53</v>
      </c>
      <c r="BC254">
        <f t="shared" si="37"/>
        <v>53</v>
      </c>
      <c r="BD254">
        <f t="shared" si="38"/>
        <v>53</v>
      </c>
      <c r="BE254">
        <f>HLOOKUP(AV254-1,$AW$3:BD526,ROW(AV254)-2,0)</f>
        <v>46</v>
      </c>
      <c r="BF254">
        <f>HLOOKUP(AV254,$AW$3:BD526,ROW(AV254)-2,0)</f>
        <v>53</v>
      </c>
      <c r="BG254" t="str">
        <f t="shared" si="39"/>
        <v>IA_6_C_KwotaA</v>
      </c>
    </row>
    <row r="255" spans="1:59" ht="16.399999999999999" x14ac:dyDescent="0.35">
      <c r="A255" t="s">
        <v>2470</v>
      </c>
      <c r="B255" t="s">
        <v>2471</v>
      </c>
      <c r="C255" s="18">
        <v>335859972.45999998</v>
      </c>
      <c r="AV255" s="43">
        <f t="shared" si="30"/>
        <v>4</v>
      </c>
      <c r="AW255">
        <f t="shared" si="31"/>
        <v>19</v>
      </c>
      <c r="AX255">
        <f t="shared" si="32"/>
        <v>38</v>
      </c>
      <c r="AY255">
        <f t="shared" si="33"/>
        <v>41</v>
      </c>
      <c r="AZ255">
        <f t="shared" si="34"/>
        <v>41</v>
      </c>
      <c r="BA255">
        <f t="shared" si="35"/>
        <v>41</v>
      </c>
      <c r="BB255">
        <f t="shared" si="36"/>
        <v>41</v>
      </c>
      <c r="BC255">
        <f t="shared" si="37"/>
        <v>41</v>
      </c>
      <c r="BD255">
        <f t="shared" si="38"/>
        <v>41</v>
      </c>
      <c r="BE255">
        <f>HLOOKUP(AV255-1,$AW$3:BD527,ROW(AV255)-2,0)</f>
        <v>38</v>
      </c>
      <c r="BF255">
        <f>HLOOKUP(AV255,$AW$3:BD527,ROW(AV255)-2,0)</f>
        <v>41</v>
      </c>
      <c r="BG255" t="str">
        <f t="shared" si="39"/>
        <v>II_KwotaA</v>
      </c>
    </row>
    <row r="256" spans="1:59" ht="16.399999999999999" x14ac:dyDescent="0.35">
      <c r="A256" t="s">
        <v>2472</v>
      </c>
      <c r="B256" t="s">
        <v>2473</v>
      </c>
      <c r="C256" s="18">
        <v>335859972.45999998</v>
      </c>
      <c r="AV256" s="43">
        <f t="shared" si="30"/>
        <v>4</v>
      </c>
      <c r="AW256">
        <f t="shared" si="31"/>
        <v>19</v>
      </c>
      <c r="AX256">
        <f t="shared" si="32"/>
        <v>38</v>
      </c>
      <c r="AY256">
        <f t="shared" si="33"/>
        <v>42</v>
      </c>
      <c r="AZ256">
        <f t="shared" si="34"/>
        <v>42</v>
      </c>
      <c r="BA256">
        <f t="shared" si="35"/>
        <v>42</v>
      </c>
      <c r="BB256">
        <f t="shared" si="36"/>
        <v>42</v>
      </c>
      <c r="BC256">
        <f t="shared" si="37"/>
        <v>42</v>
      </c>
      <c r="BD256">
        <f t="shared" si="38"/>
        <v>42</v>
      </c>
      <c r="BE256">
        <f>HLOOKUP(AV256-1,$AW$3:BD528,ROW(AV256)-2,0)</f>
        <v>38</v>
      </c>
      <c r="BF256">
        <f>HLOOKUP(AV256,$AW$3:BD528,ROW(AV256)-2,0)</f>
        <v>42</v>
      </c>
      <c r="BG256" t="str">
        <f t="shared" si="39"/>
        <v>III_KwotaA</v>
      </c>
    </row>
    <row r="257" spans="1:59" ht="16.399999999999999" x14ac:dyDescent="0.35">
      <c r="A257" t="s">
        <v>2474</v>
      </c>
      <c r="B257" t="s">
        <v>2475</v>
      </c>
      <c r="C257" s="18">
        <v>1351204.72</v>
      </c>
      <c r="AV257" s="43">
        <f t="shared" si="30"/>
        <v>5</v>
      </c>
      <c r="AW257">
        <f t="shared" si="31"/>
        <v>19</v>
      </c>
      <c r="AX257">
        <f t="shared" si="32"/>
        <v>34</v>
      </c>
      <c r="AY257">
        <f t="shared" si="33"/>
        <v>48</v>
      </c>
      <c r="AZ257">
        <f t="shared" si="34"/>
        <v>50</v>
      </c>
      <c r="BA257">
        <f t="shared" si="35"/>
        <v>50</v>
      </c>
      <c r="BB257">
        <f t="shared" si="36"/>
        <v>50</v>
      </c>
      <c r="BC257">
        <f t="shared" si="37"/>
        <v>50</v>
      </c>
      <c r="BD257">
        <f t="shared" si="38"/>
        <v>50</v>
      </c>
      <c r="BE257">
        <f>HLOOKUP(AV257-1,$AW$3:BD529,ROW(AV257)-2,0)</f>
        <v>48</v>
      </c>
      <c r="BF257">
        <f>HLOOKUP(AV257,$AW$3:BD529,ROW(AV257)-2,0)</f>
        <v>50</v>
      </c>
      <c r="BG257" t="str">
        <f t="shared" si="39"/>
        <v>A_KwotaA</v>
      </c>
    </row>
    <row r="258" spans="1:59" ht="16.399999999999999" x14ac:dyDescent="0.35">
      <c r="A258" t="s">
        <v>2476</v>
      </c>
      <c r="B258" t="s">
        <v>2477</v>
      </c>
      <c r="C258" s="18">
        <v>66488815.450000003</v>
      </c>
      <c r="AV258" s="43">
        <f t="shared" si="30"/>
        <v>6</v>
      </c>
      <c r="AW258">
        <f t="shared" si="31"/>
        <v>19</v>
      </c>
      <c r="AX258">
        <f t="shared" si="32"/>
        <v>34</v>
      </c>
      <c r="AY258">
        <f t="shared" si="33"/>
        <v>48</v>
      </c>
      <c r="AZ258">
        <f t="shared" si="34"/>
        <v>50</v>
      </c>
      <c r="BA258">
        <f t="shared" si="35"/>
        <v>54</v>
      </c>
      <c r="BB258">
        <f t="shared" si="36"/>
        <v>54</v>
      </c>
      <c r="BC258">
        <f t="shared" si="37"/>
        <v>54</v>
      </c>
      <c r="BD258">
        <f t="shared" si="38"/>
        <v>54</v>
      </c>
      <c r="BE258">
        <f>HLOOKUP(AV258-1,$AW$3:BD530,ROW(AV258)-2,0)</f>
        <v>50</v>
      </c>
      <c r="BF258">
        <f>HLOOKUP(AV258,$AW$3:BD530,ROW(AV258)-2,0)</f>
        <v>54</v>
      </c>
      <c r="BG258" t="str">
        <f t="shared" si="39"/>
        <v>A_I_KwotaA</v>
      </c>
    </row>
    <row r="259" spans="1:59" ht="16.399999999999999" x14ac:dyDescent="0.35">
      <c r="A259" t="s">
        <v>2478</v>
      </c>
      <c r="B259" t="s">
        <v>2479</v>
      </c>
      <c r="C259" s="18">
        <v>-65137610.729999997</v>
      </c>
      <c r="AV259" s="43">
        <f t="shared" si="30"/>
        <v>6</v>
      </c>
      <c r="AW259">
        <f t="shared" si="31"/>
        <v>19</v>
      </c>
      <c r="AX259">
        <f t="shared" si="32"/>
        <v>34</v>
      </c>
      <c r="AY259">
        <f t="shared" si="33"/>
        <v>48</v>
      </c>
      <c r="AZ259">
        <f t="shared" si="34"/>
        <v>50</v>
      </c>
      <c r="BA259">
        <f t="shared" si="35"/>
        <v>55</v>
      </c>
      <c r="BB259">
        <f t="shared" si="36"/>
        <v>55</v>
      </c>
      <c r="BC259">
        <f t="shared" si="37"/>
        <v>55</v>
      </c>
      <c r="BD259">
        <f t="shared" si="38"/>
        <v>55</v>
      </c>
      <c r="BE259">
        <f>HLOOKUP(AV259-1,$AW$3:BD531,ROW(AV259)-2,0)</f>
        <v>50</v>
      </c>
      <c r="BF259">
        <f>HLOOKUP(AV259,$AW$3:BD531,ROW(AV259)-2,0)</f>
        <v>55</v>
      </c>
      <c r="BG259" t="str">
        <f t="shared" si="39"/>
        <v>A_II_KwotaA</v>
      </c>
    </row>
    <row r="260" spans="1:59" ht="16.399999999999999" x14ac:dyDescent="0.35">
      <c r="A260" t="s">
        <v>2480</v>
      </c>
      <c r="B260" t="s">
        <v>2481</v>
      </c>
      <c r="AV260" s="43">
        <f t="shared" ref="AV260:AV327" si="40" xml:space="preserve"> SUM(LEN(B260)-LEN(SUBSTITUTE(B260,"/","")))/LEN("/")</f>
        <v>7</v>
      </c>
      <c r="AW260">
        <f t="shared" ref="AW260:AW327" si="41">FIND("/",B260,2)</f>
        <v>19</v>
      </c>
      <c r="AX260">
        <f t="shared" ref="AX260:AX323" si="42">FIND("/",B260,AW260+1)</f>
        <v>34</v>
      </c>
      <c r="AY260">
        <f t="shared" ref="AY260:AY323" si="43">IFERROR(FIND("/",B260,AX260+1),AX260)</f>
        <v>48</v>
      </c>
      <c r="AZ260">
        <f t="shared" ref="AZ260:AZ323" si="44">IFERROR(FIND("/",B260,AY260+1),AY260)</f>
        <v>50</v>
      </c>
      <c r="BA260">
        <f t="shared" ref="BA260:BA323" si="45">IFERROR(FIND("/",B260,AZ260+1),AZ260)</f>
        <v>55</v>
      </c>
      <c r="BB260">
        <f t="shared" ref="BB260:BB323" si="46">IFERROR(FIND("/",B260,BA260+1),BA260)</f>
        <v>62</v>
      </c>
      <c r="BC260">
        <f t="shared" ref="BC260:BC323" si="47">IFERROR(FIND("/",B260,BB260+1),BB260)</f>
        <v>62</v>
      </c>
      <c r="BD260">
        <f t="shared" ref="BD260:BD323" si="48">IFERROR(FIND("/",B260,BC260+1),BC260)</f>
        <v>62</v>
      </c>
      <c r="BE260">
        <f>HLOOKUP(AV260-1,$AW$3:BD532,ROW(AV260)-2,0)</f>
        <v>55</v>
      </c>
      <c r="BF260">
        <f>HLOOKUP(AV260,$AW$3:BD532,ROW(AV260)-2,0)</f>
        <v>62</v>
      </c>
      <c r="BG260" t="str">
        <f t="shared" ref="BG260:BG323" si="49">IF(ISERROR(FIND("Kwota",B260)),IF(ISERROR(FIND("Prawna",B260)),MID(B260,BF260+1,LEN(B260)-BF260),REPLACE(MID(B260,BE260+1,LEN(B260)-BE260),FIND("/",MID(B260,BE260+1,LEN(B260)-BE260)),1,"_")),REPLACE(MID(B260,BE260+1,LEN(B260)-BE260),FIND("/",MID(B260,BE260+1,LEN(B260)-BE260)),1,"_"))</f>
        <v>A_II_1_KwotaA</v>
      </c>
    </row>
    <row r="261" spans="1:59" ht="16.399999999999999" x14ac:dyDescent="0.35">
      <c r="A261" t="s">
        <v>2482</v>
      </c>
      <c r="B261" t="s">
        <v>2483</v>
      </c>
      <c r="C261" s="18">
        <v>26553815.760000002</v>
      </c>
      <c r="AV261" s="43">
        <f t="shared" si="40"/>
        <v>7</v>
      </c>
      <c r="AW261">
        <f t="shared" si="41"/>
        <v>19</v>
      </c>
      <c r="AX261">
        <f t="shared" si="42"/>
        <v>34</v>
      </c>
      <c r="AY261">
        <f t="shared" si="43"/>
        <v>48</v>
      </c>
      <c r="AZ261">
        <f t="shared" si="44"/>
        <v>50</v>
      </c>
      <c r="BA261">
        <f t="shared" si="45"/>
        <v>55</v>
      </c>
      <c r="BB261">
        <f t="shared" si="46"/>
        <v>62</v>
      </c>
      <c r="BC261">
        <f t="shared" si="47"/>
        <v>62</v>
      </c>
      <c r="BD261">
        <f t="shared" si="48"/>
        <v>62</v>
      </c>
      <c r="BE261">
        <f>HLOOKUP(AV261-1,$AW$3:BD533,ROW(AV261)-2,0)</f>
        <v>55</v>
      </c>
      <c r="BF261">
        <f>HLOOKUP(AV261,$AW$3:BD533,ROW(AV261)-2,0)</f>
        <v>62</v>
      </c>
      <c r="BG261" t="str">
        <f t="shared" si="49"/>
        <v>A_II_2_KwotaA</v>
      </c>
    </row>
    <row r="262" spans="1:59" ht="16.399999999999999" x14ac:dyDescent="0.35">
      <c r="A262" t="s">
        <v>2484</v>
      </c>
      <c r="B262" t="s">
        <v>2485</v>
      </c>
      <c r="C262" s="18">
        <v>-85666953.739999995</v>
      </c>
      <c r="AV262" s="43">
        <f t="shared" si="40"/>
        <v>7</v>
      </c>
      <c r="AW262">
        <f t="shared" si="41"/>
        <v>19</v>
      </c>
      <c r="AX262">
        <f t="shared" si="42"/>
        <v>34</v>
      </c>
      <c r="AY262">
        <f t="shared" si="43"/>
        <v>48</v>
      </c>
      <c r="AZ262">
        <f t="shared" si="44"/>
        <v>50</v>
      </c>
      <c r="BA262">
        <f t="shared" si="45"/>
        <v>55</v>
      </c>
      <c r="BB262">
        <f t="shared" si="46"/>
        <v>62</v>
      </c>
      <c r="BC262">
        <f t="shared" si="47"/>
        <v>62</v>
      </c>
      <c r="BD262">
        <f t="shared" si="48"/>
        <v>62</v>
      </c>
      <c r="BE262">
        <f>HLOOKUP(AV262-1,$AW$3:BD534,ROW(AV262)-2,0)</f>
        <v>55</v>
      </c>
      <c r="BF262">
        <f>HLOOKUP(AV262,$AW$3:BD534,ROW(AV262)-2,0)</f>
        <v>62</v>
      </c>
      <c r="BG262" t="str">
        <f t="shared" si="49"/>
        <v>A_II_3_KwotaA</v>
      </c>
    </row>
    <row r="263" spans="1:59" ht="16.399999999999999" x14ac:dyDescent="0.35">
      <c r="A263" t="s">
        <v>2486</v>
      </c>
      <c r="B263" t="s">
        <v>2487</v>
      </c>
      <c r="AV263" s="43">
        <f t="shared" si="40"/>
        <v>7</v>
      </c>
      <c r="AW263">
        <f t="shared" si="41"/>
        <v>19</v>
      </c>
      <c r="AX263">
        <f t="shared" si="42"/>
        <v>34</v>
      </c>
      <c r="AY263">
        <f t="shared" si="43"/>
        <v>48</v>
      </c>
      <c r="AZ263">
        <f t="shared" si="44"/>
        <v>50</v>
      </c>
      <c r="BA263">
        <f t="shared" si="45"/>
        <v>55</v>
      </c>
      <c r="BB263">
        <f t="shared" si="46"/>
        <v>62</v>
      </c>
      <c r="BC263">
        <f t="shared" si="47"/>
        <v>62</v>
      </c>
      <c r="BD263">
        <f t="shared" si="48"/>
        <v>62</v>
      </c>
      <c r="BE263">
        <f>HLOOKUP(AV263-1,$AW$3:BD535,ROW(AV263)-2,0)</f>
        <v>55</v>
      </c>
      <c r="BF263">
        <f>HLOOKUP(AV263,$AW$3:BD535,ROW(AV263)-2,0)</f>
        <v>62</v>
      </c>
      <c r="BG263" t="str">
        <f t="shared" si="49"/>
        <v>A_II_4_KwotaA</v>
      </c>
    </row>
    <row r="264" spans="1:59" ht="16.399999999999999" x14ac:dyDescent="0.35">
      <c r="A264" t="s">
        <v>2488</v>
      </c>
      <c r="B264" t="s">
        <v>2489</v>
      </c>
      <c r="C264" s="18">
        <v>-5605983.7599999998</v>
      </c>
      <c r="AV264" s="43">
        <f t="shared" si="40"/>
        <v>7</v>
      </c>
      <c r="AW264">
        <f t="shared" si="41"/>
        <v>19</v>
      </c>
      <c r="AX264">
        <f t="shared" si="42"/>
        <v>34</v>
      </c>
      <c r="AY264">
        <f t="shared" si="43"/>
        <v>48</v>
      </c>
      <c r="AZ264">
        <f t="shared" si="44"/>
        <v>50</v>
      </c>
      <c r="BA264">
        <f t="shared" si="45"/>
        <v>55</v>
      </c>
      <c r="BB264">
        <f t="shared" si="46"/>
        <v>62</v>
      </c>
      <c r="BC264">
        <f t="shared" si="47"/>
        <v>62</v>
      </c>
      <c r="BD264">
        <f t="shared" si="48"/>
        <v>62</v>
      </c>
      <c r="BE264">
        <f>HLOOKUP(AV264-1,$AW$3:BD536,ROW(AV264)-2,0)</f>
        <v>55</v>
      </c>
      <c r="BF264">
        <f>HLOOKUP(AV264,$AW$3:BD536,ROW(AV264)-2,0)</f>
        <v>62</v>
      </c>
      <c r="BG264" t="str">
        <f t="shared" si="49"/>
        <v>A_II_5_KwotaA</v>
      </c>
    </row>
    <row r="265" spans="1:59" ht="16.399999999999999" x14ac:dyDescent="0.35">
      <c r="A265" t="s">
        <v>2490</v>
      </c>
      <c r="B265" t="s">
        <v>2491</v>
      </c>
      <c r="AV265" s="43">
        <f t="shared" si="40"/>
        <v>7</v>
      </c>
      <c r="AW265">
        <f t="shared" si="41"/>
        <v>19</v>
      </c>
      <c r="AX265">
        <f t="shared" si="42"/>
        <v>34</v>
      </c>
      <c r="AY265">
        <f t="shared" si="43"/>
        <v>48</v>
      </c>
      <c r="AZ265">
        <f t="shared" si="44"/>
        <v>50</v>
      </c>
      <c r="BA265">
        <f t="shared" si="45"/>
        <v>55</v>
      </c>
      <c r="BB265">
        <f t="shared" si="46"/>
        <v>62</v>
      </c>
      <c r="BC265">
        <f t="shared" si="47"/>
        <v>62</v>
      </c>
      <c r="BD265">
        <f t="shared" si="48"/>
        <v>62</v>
      </c>
      <c r="BE265">
        <f>HLOOKUP(AV265-1,$AW$3:BD537,ROW(AV265)-2,0)</f>
        <v>55</v>
      </c>
      <c r="BF265">
        <f>HLOOKUP(AV265,$AW$3:BD537,ROW(AV265)-2,0)</f>
        <v>62</v>
      </c>
      <c r="BG265" t="str">
        <f t="shared" si="49"/>
        <v>A_II_6_KwotaA</v>
      </c>
    </row>
    <row r="266" spans="1:59" ht="16.399999999999999" x14ac:dyDescent="0.35">
      <c r="A266" t="s">
        <v>2492</v>
      </c>
      <c r="B266" t="s">
        <v>2493</v>
      </c>
      <c r="C266" s="18">
        <v>390492.81</v>
      </c>
      <c r="AV266" s="43">
        <f t="shared" si="40"/>
        <v>7</v>
      </c>
      <c r="AW266">
        <f t="shared" si="41"/>
        <v>19</v>
      </c>
      <c r="AX266">
        <f t="shared" si="42"/>
        <v>34</v>
      </c>
      <c r="AY266">
        <f t="shared" si="43"/>
        <v>48</v>
      </c>
      <c r="AZ266">
        <f t="shared" si="44"/>
        <v>50</v>
      </c>
      <c r="BA266">
        <f t="shared" si="45"/>
        <v>55</v>
      </c>
      <c r="BB266">
        <f t="shared" si="46"/>
        <v>62</v>
      </c>
      <c r="BC266">
        <f t="shared" si="47"/>
        <v>62</v>
      </c>
      <c r="BD266">
        <f t="shared" si="48"/>
        <v>62</v>
      </c>
      <c r="BE266">
        <f>HLOOKUP(AV266-1,$AW$3:BD538,ROW(AV266)-2,0)</f>
        <v>55</v>
      </c>
      <c r="BF266">
        <f>HLOOKUP(AV266,$AW$3:BD538,ROW(AV266)-2,0)</f>
        <v>62</v>
      </c>
      <c r="BG266" t="str">
        <f t="shared" si="49"/>
        <v>A_II_7_KwotaA</v>
      </c>
    </row>
    <row r="267" spans="1:59" ht="16.399999999999999" x14ac:dyDescent="0.35">
      <c r="A267" t="s">
        <v>2494</v>
      </c>
      <c r="B267" t="s">
        <v>2495</v>
      </c>
      <c r="C267" s="18">
        <v>63385.120000000003</v>
      </c>
      <c r="AV267" s="43">
        <f t="shared" si="40"/>
        <v>7</v>
      </c>
      <c r="AW267">
        <f t="shared" si="41"/>
        <v>19</v>
      </c>
      <c r="AX267">
        <f t="shared" si="42"/>
        <v>34</v>
      </c>
      <c r="AY267">
        <f t="shared" si="43"/>
        <v>48</v>
      </c>
      <c r="AZ267">
        <f t="shared" si="44"/>
        <v>50</v>
      </c>
      <c r="BA267">
        <f t="shared" si="45"/>
        <v>55</v>
      </c>
      <c r="BB267">
        <f t="shared" si="46"/>
        <v>62</v>
      </c>
      <c r="BC267">
        <f t="shared" si="47"/>
        <v>62</v>
      </c>
      <c r="BD267">
        <f t="shared" si="48"/>
        <v>62</v>
      </c>
      <c r="BE267">
        <f>HLOOKUP(AV267-1,$AW$3:BD539,ROW(AV267)-2,0)</f>
        <v>55</v>
      </c>
      <c r="BF267">
        <f>HLOOKUP(AV267,$AW$3:BD539,ROW(AV267)-2,0)</f>
        <v>62</v>
      </c>
      <c r="BG267" t="str">
        <f t="shared" si="49"/>
        <v>A_II_8_KwotaA</v>
      </c>
    </row>
    <row r="268" spans="1:59" ht="16.399999999999999" x14ac:dyDescent="0.35">
      <c r="A268" t="s">
        <v>2496</v>
      </c>
      <c r="B268" t="s">
        <v>2497</v>
      </c>
      <c r="C268" s="18">
        <v>-872366.92</v>
      </c>
      <c r="AV268" s="43">
        <f t="shared" si="40"/>
        <v>7</v>
      </c>
      <c r="AW268">
        <f t="shared" si="41"/>
        <v>19</v>
      </c>
      <c r="AX268">
        <f t="shared" si="42"/>
        <v>34</v>
      </c>
      <c r="AY268">
        <f t="shared" si="43"/>
        <v>48</v>
      </c>
      <c r="AZ268">
        <f t="shared" si="44"/>
        <v>50</v>
      </c>
      <c r="BA268">
        <f t="shared" si="45"/>
        <v>55</v>
      </c>
      <c r="BB268">
        <f t="shared" si="46"/>
        <v>62</v>
      </c>
      <c r="BC268">
        <f t="shared" si="47"/>
        <v>62</v>
      </c>
      <c r="BD268">
        <f t="shared" si="48"/>
        <v>62</v>
      </c>
      <c r="BE268">
        <f>HLOOKUP(AV268-1,$AW$3:BD540,ROW(AV268)-2,0)</f>
        <v>55</v>
      </c>
      <c r="BF268">
        <f>HLOOKUP(AV268,$AW$3:BD540,ROW(AV268)-2,0)</f>
        <v>62</v>
      </c>
      <c r="BG268" t="str">
        <f t="shared" si="49"/>
        <v>A_II_9_KwotaA</v>
      </c>
    </row>
    <row r="269" spans="1:59" ht="16.399999999999999" x14ac:dyDescent="0.35">
      <c r="A269" t="s">
        <v>2498</v>
      </c>
      <c r="B269" t="s">
        <v>2499</v>
      </c>
      <c r="AV269" s="43">
        <f t="shared" si="40"/>
        <v>7</v>
      </c>
      <c r="AW269">
        <f t="shared" si="41"/>
        <v>19</v>
      </c>
      <c r="AX269">
        <f t="shared" si="42"/>
        <v>34</v>
      </c>
      <c r="AY269">
        <f t="shared" si="43"/>
        <v>48</v>
      </c>
      <c r="AZ269">
        <f t="shared" si="44"/>
        <v>50</v>
      </c>
      <c r="BA269">
        <f t="shared" si="45"/>
        <v>55</v>
      </c>
      <c r="BB269">
        <f t="shared" si="46"/>
        <v>63</v>
      </c>
      <c r="BC269">
        <f t="shared" si="47"/>
        <v>63</v>
      </c>
      <c r="BD269">
        <f t="shared" si="48"/>
        <v>63</v>
      </c>
      <c r="BE269">
        <f>HLOOKUP(AV269-1,$AW$3:BD541,ROW(AV269)-2,0)</f>
        <v>55</v>
      </c>
      <c r="BF269">
        <f>HLOOKUP(AV269,$AW$3:BD541,ROW(AV269)-2,0)</f>
        <v>63</v>
      </c>
      <c r="BG269" t="str">
        <f t="shared" si="49"/>
        <v>A_II_10_KwotaA</v>
      </c>
    </row>
    <row r="270" spans="1:59" ht="16.399999999999999" x14ac:dyDescent="0.35">
      <c r="A270" t="s">
        <v>2500</v>
      </c>
      <c r="B270" t="s">
        <v>2501</v>
      </c>
      <c r="C270" s="18">
        <v>1351204.72</v>
      </c>
      <c r="AV270" s="43">
        <f t="shared" si="40"/>
        <v>6</v>
      </c>
      <c r="AW270">
        <f t="shared" si="41"/>
        <v>19</v>
      </c>
      <c r="AX270">
        <f t="shared" si="42"/>
        <v>34</v>
      </c>
      <c r="AY270">
        <f t="shared" si="43"/>
        <v>48</v>
      </c>
      <c r="AZ270">
        <f t="shared" si="44"/>
        <v>50</v>
      </c>
      <c r="BA270">
        <f t="shared" si="45"/>
        <v>56</v>
      </c>
      <c r="BB270">
        <f t="shared" si="46"/>
        <v>56</v>
      </c>
      <c r="BC270">
        <f t="shared" si="47"/>
        <v>56</v>
      </c>
      <c r="BD270">
        <f t="shared" si="48"/>
        <v>56</v>
      </c>
      <c r="BE270">
        <f>HLOOKUP(AV270-1,$AW$3:BD542,ROW(AV270)-2,0)</f>
        <v>50</v>
      </c>
      <c r="BF270">
        <f>HLOOKUP(AV270,$AW$3:BD542,ROW(AV270)-2,0)</f>
        <v>56</v>
      </c>
      <c r="BG270" t="str">
        <f t="shared" si="49"/>
        <v>A_III_KwotaA</v>
      </c>
    </row>
    <row r="271" spans="1:59" ht="16.399999999999999" x14ac:dyDescent="0.35">
      <c r="A271" t="s">
        <v>2502</v>
      </c>
      <c r="B271" t="s">
        <v>2503</v>
      </c>
      <c r="C271" s="18">
        <v>181048761.5</v>
      </c>
      <c r="AV271" s="43">
        <f t="shared" si="40"/>
        <v>5</v>
      </c>
      <c r="AW271">
        <f t="shared" si="41"/>
        <v>19</v>
      </c>
      <c r="AX271">
        <f t="shared" si="42"/>
        <v>34</v>
      </c>
      <c r="AY271">
        <f t="shared" si="43"/>
        <v>48</v>
      </c>
      <c r="AZ271">
        <f t="shared" si="44"/>
        <v>50</v>
      </c>
      <c r="BA271">
        <f t="shared" si="45"/>
        <v>50</v>
      </c>
      <c r="BB271">
        <f t="shared" si="46"/>
        <v>50</v>
      </c>
      <c r="BC271">
        <f t="shared" si="47"/>
        <v>50</v>
      </c>
      <c r="BD271">
        <f t="shared" si="48"/>
        <v>50</v>
      </c>
      <c r="BE271">
        <f>HLOOKUP(AV271-1,$AW$3:BD543,ROW(AV271)-2,0)</f>
        <v>48</v>
      </c>
      <c r="BF271">
        <f>HLOOKUP(AV271,$AW$3:BD543,ROW(AV271)-2,0)</f>
        <v>50</v>
      </c>
      <c r="BG271" t="str">
        <f t="shared" si="49"/>
        <v>B_KwotaA</v>
      </c>
    </row>
    <row r="272" spans="1:59" ht="16.399999999999999" x14ac:dyDescent="0.35">
      <c r="A272" t="s">
        <v>2504</v>
      </c>
      <c r="B272" t="s">
        <v>2505</v>
      </c>
      <c r="C272" s="18">
        <v>181048761.5</v>
      </c>
      <c r="AV272" s="43">
        <f t="shared" si="40"/>
        <v>6</v>
      </c>
      <c r="AW272">
        <f t="shared" si="41"/>
        <v>19</v>
      </c>
      <c r="AX272">
        <f t="shared" si="42"/>
        <v>34</v>
      </c>
      <c r="AY272">
        <f t="shared" si="43"/>
        <v>48</v>
      </c>
      <c r="AZ272">
        <f t="shared" si="44"/>
        <v>50</v>
      </c>
      <c r="BA272">
        <f t="shared" si="45"/>
        <v>54</v>
      </c>
      <c r="BB272">
        <f t="shared" si="46"/>
        <v>54</v>
      </c>
      <c r="BC272">
        <f t="shared" si="47"/>
        <v>54</v>
      </c>
      <c r="BD272">
        <f t="shared" si="48"/>
        <v>54</v>
      </c>
      <c r="BE272">
        <f>HLOOKUP(AV272-1,$AW$3:BD544,ROW(AV272)-2,0)</f>
        <v>50</v>
      </c>
      <c r="BF272">
        <f>HLOOKUP(AV272,$AW$3:BD544,ROW(AV272)-2,0)</f>
        <v>54</v>
      </c>
      <c r="BG272" t="str">
        <f t="shared" si="49"/>
        <v>B_I_KwotaA</v>
      </c>
    </row>
    <row r="273" spans="1:59" ht="16.399999999999999" x14ac:dyDescent="0.35">
      <c r="A273" t="s">
        <v>2506</v>
      </c>
      <c r="B273" t="s">
        <v>2507</v>
      </c>
      <c r="AV273" s="43">
        <f t="shared" si="40"/>
        <v>7</v>
      </c>
      <c r="AW273">
        <f t="shared" si="41"/>
        <v>19</v>
      </c>
      <c r="AX273">
        <f t="shared" si="42"/>
        <v>34</v>
      </c>
      <c r="AY273">
        <f t="shared" si="43"/>
        <v>48</v>
      </c>
      <c r="AZ273">
        <f t="shared" si="44"/>
        <v>50</v>
      </c>
      <c r="BA273">
        <f t="shared" si="45"/>
        <v>54</v>
      </c>
      <c r="BB273">
        <f t="shared" si="46"/>
        <v>60</v>
      </c>
      <c r="BC273">
        <f t="shared" si="47"/>
        <v>60</v>
      </c>
      <c r="BD273">
        <f t="shared" si="48"/>
        <v>60</v>
      </c>
      <c r="BE273">
        <f>HLOOKUP(AV273-1,$AW$3:BD545,ROW(AV273)-2,0)</f>
        <v>54</v>
      </c>
      <c r="BF273">
        <f>HLOOKUP(AV273,$AW$3:BD545,ROW(AV273)-2,0)</f>
        <v>60</v>
      </c>
      <c r="BG273" t="str">
        <f t="shared" si="49"/>
        <v>B_I_1_KwotaA</v>
      </c>
    </row>
    <row r="274" spans="1:59" ht="16.399999999999999" x14ac:dyDescent="0.35">
      <c r="A274" t="s">
        <v>2508</v>
      </c>
      <c r="B274" t="s">
        <v>2509</v>
      </c>
      <c r="AV274" s="43">
        <f t="shared" si="40"/>
        <v>7</v>
      </c>
      <c r="AW274">
        <f t="shared" si="41"/>
        <v>19</v>
      </c>
      <c r="AX274">
        <f t="shared" si="42"/>
        <v>34</v>
      </c>
      <c r="AY274">
        <f t="shared" si="43"/>
        <v>48</v>
      </c>
      <c r="AZ274">
        <f t="shared" si="44"/>
        <v>50</v>
      </c>
      <c r="BA274">
        <f t="shared" si="45"/>
        <v>54</v>
      </c>
      <c r="BB274">
        <f t="shared" si="46"/>
        <v>60</v>
      </c>
      <c r="BC274">
        <f t="shared" si="47"/>
        <v>60</v>
      </c>
      <c r="BD274">
        <f t="shared" si="48"/>
        <v>60</v>
      </c>
      <c r="BE274">
        <f>HLOOKUP(AV274-1,$AW$3:BD546,ROW(AV274)-2,0)</f>
        <v>54</v>
      </c>
      <c r="BF274">
        <f>HLOOKUP(AV274,$AW$3:BD546,ROW(AV274)-2,0)</f>
        <v>60</v>
      </c>
      <c r="BG274" t="str">
        <f t="shared" si="49"/>
        <v>B_I_2_KwotaA</v>
      </c>
    </row>
    <row r="275" spans="1:59" ht="16.399999999999999" x14ac:dyDescent="0.35">
      <c r="A275" t="s">
        <v>2510</v>
      </c>
      <c r="B275" t="s">
        <v>2511</v>
      </c>
      <c r="C275" s="18">
        <v>181048761.5</v>
      </c>
      <c r="AV275" s="43">
        <f t="shared" si="40"/>
        <v>7</v>
      </c>
      <c r="AW275">
        <f t="shared" si="41"/>
        <v>19</v>
      </c>
      <c r="AX275">
        <f t="shared" si="42"/>
        <v>34</v>
      </c>
      <c r="AY275">
        <f t="shared" si="43"/>
        <v>48</v>
      </c>
      <c r="AZ275">
        <f t="shared" si="44"/>
        <v>50</v>
      </c>
      <c r="BA275">
        <f t="shared" si="45"/>
        <v>54</v>
      </c>
      <c r="BB275">
        <f t="shared" si="46"/>
        <v>60</v>
      </c>
      <c r="BC275">
        <f t="shared" si="47"/>
        <v>60</v>
      </c>
      <c r="BD275">
        <f t="shared" si="48"/>
        <v>60</v>
      </c>
      <c r="BE275">
        <f>HLOOKUP(AV275-1,$AW$3:BD547,ROW(AV275)-2,0)</f>
        <v>54</v>
      </c>
      <c r="BF275">
        <f>HLOOKUP(AV275,$AW$3:BD547,ROW(AV275)-2,0)</f>
        <v>60</v>
      </c>
      <c r="BG275" t="str">
        <f t="shared" si="49"/>
        <v>B_I_3_KwotaA</v>
      </c>
    </row>
    <row r="276" spans="1:59" ht="16.399999999999999" x14ac:dyDescent="0.35">
      <c r="A276" t="s">
        <v>2512</v>
      </c>
      <c r="B276" t="s">
        <v>2513</v>
      </c>
      <c r="AV276" s="43">
        <f t="shared" si="40"/>
        <v>8</v>
      </c>
      <c r="AW276">
        <f t="shared" si="41"/>
        <v>19</v>
      </c>
      <c r="AX276">
        <f t="shared" si="42"/>
        <v>34</v>
      </c>
      <c r="AY276">
        <f t="shared" si="43"/>
        <v>48</v>
      </c>
      <c r="AZ276">
        <f t="shared" si="44"/>
        <v>50</v>
      </c>
      <c r="BA276">
        <f t="shared" si="45"/>
        <v>54</v>
      </c>
      <c r="BB276">
        <f t="shared" si="46"/>
        <v>60</v>
      </c>
      <c r="BC276">
        <f t="shared" si="47"/>
        <v>68</v>
      </c>
      <c r="BD276">
        <f t="shared" si="48"/>
        <v>68</v>
      </c>
      <c r="BE276">
        <f>HLOOKUP(AV276-1,$AW$3:BD548,ROW(AV276)-2,0)</f>
        <v>60</v>
      </c>
      <c r="BF276">
        <f>HLOOKUP(AV276,$AW$3:BD548,ROW(AV276)-2,0)</f>
        <v>68</v>
      </c>
      <c r="BG276" t="str">
        <f t="shared" si="49"/>
        <v>B_I_3_A_KwotaA</v>
      </c>
    </row>
    <row r="277" spans="1:59" ht="16.399999999999999" x14ac:dyDescent="0.35">
      <c r="A277" t="s">
        <v>2514</v>
      </c>
      <c r="B277" t="s">
        <v>2515</v>
      </c>
      <c r="C277" s="18">
        <v>181048761.5</v>
      </c>
      <c r="AV277" s="43">
        <f t="shared" si="40"/>
        <v>8</v>
      </c>
      <c r="AW277">
        <f t="shared" si="41"/>
        <v>19</v>
      </c>
      <c r="AX277">
        <f t="shared" si="42"/>
        <v>34</v>
      </c>
      <c r="AY277">
        <f t="shared" si="43"/>
        <v>48</v>
      </c>
      <c r="AZ277">
        <f t="shared" si="44"/>
        <v>50</v>
      </c>
      <c r="BA277">
        <f t="shared" si="45"/>
        <v>54</v>
      </c>
      <c r="BB277">
        <f t="shared" si="46"/>
        <v>60</v>
      </c>
      <c r="BC277">
        <f t="shared" si="47"/>
        <v>68</v>
      </c>
      <c r="BD277">
        <f t="shared" si="48"/>
        <v>68</v>
      </c>
      <c r="BE277">
        <f>HLOOKUP(AV277-1,$AW$3:BD549,ROW(AV277)-2,0)</f>
        <v>60</v>
      </c>
      <c r="BF277">
        <f>HLOOKUP(AV277,$AW$3:BD549,ROW(AV277)-2,0)</f>
        <v>68</v>
      </c>
      <c r="BG277" t="str">
        <f t="shared" si="49"/>
        <v>B_I_3_B_KwotaA</v>
      </c>
    </row>
    <row r="278" spans="1:59" ht="16.399999999999999" x14ac:dyDescent="0.35">
      <c r="A278" t="s">
        <v>2516</v>
      </c>
      <c r="B278" t="s">
        <v>2517</v>
      </c>
      <c r="AV278" s="43">
        <f t="shared" si="40"/>
        <v>9</v>
      </c>
      <c r="AW278">
        <f t="shared" si="41"/>
        <v>19</v>
      </c>
      <c r="AX278">
        <f t="shared" si="42"/>
        <v>34</v>
      </c>
      <c r="AY278">
        <f t="shared" si="43"/>
        <v>48</v>
      </c>
      <c r="AZ278">
        <f t="shared" si="44"/>
        <v>50</v>
      </c>
      <c r="BA278">
        <f t="shared" si="45"/>
        <v>54</v>
      </c>
      <c r="BB278">
        <f t="shared" si="46"/>
        <v>60</v>
      </c>
      <c r="BC278">
        <f t="shared" si="47"/>
        <v>68</v>
      </c>
      <c r="BD278">
        <f t="shared" si="48"/>
        <v>78</v>
      </c>
      <c r="BE278">
        <f>HLOOKUP(AV278-1,$AW$3:BD550,ROW(AV278)-2,0)</f>
        <v>68</v>
      </c>
      <c r="BF278">
        <f>HLOOKUP(AV278,$AW$3:BD550,ROW(AV278)-2,0)</f>
        <v>78</v>
      </c>
      <c r="BG278" t="str">
        <f t="shared" si="49"/>
        <v>B_I_3_B_1_KwotaA</v>
      </c>
    </row>
    <row r="279" spans="1:59" ht="16.399999999999999" x14ac:dyDescent="0.35">
      <c r="A279" t="s">
        <v>2518</v>
      </c>
      <c r="B279" t="s">
        <v>2519</v>
      </c>
      <c r="C279" s="18">
        <v>123478624.28</v>
      </c>
      <c r="AV279" s="43">
        <f t="shared" si="40"/>
        <v>9</v>
      </c>
      <c r="AW279">
        <f t="shared" si="41"/>
        <v>19</v>
      </c>
      <c r="AX279">
        <f t="shared" si="42"/>
        <v>34</v>
      </c>
      <c r="AY279">
        <f t="shared" si="43"/>
        <v>48</v>
      </c>
      <c r="AZ279">
        <f t="shared" si="44"/>
        <v>50</v>
      </c>
      <c r="BA279">
        <f t="shared" si="45"/>
        <v>54</v>
      </c>
      <c r="BB279">
        <f t="shared" si="46"/>
        <v>60</v>
      </c>
      <c r="BC279">
        <f t="shared" si="47"/>
        <v>68</v>
      </c>
      <c r="BD279">
        <f t="shared" si="48"/>
        <v>78</v>
      </c>
      <c r="BE279">
        <f>HLOOKUP(AV279-1,$AW$3:BD551,ROW(AV279)-2,0)</f>
        <v>68</v>
      </c>
      <c r="BF279">
        <f>HLOOKUP(AV279,$AW$3:BD551,ROW(AV279)-2,0)</f>
        <v>78</v>
      </c>
      <c r="BG279" t="str">
        <f t="shared" si="49"/>
        <v>B_I_3_B_2_KwotaA</v>
      </c>
    </row>
    <row r="280" spans="1:59" ht="16.399999999999999" x14ac:dyDescent="0.35">
      <c r="A280" t="s">
        <v>2520</v>
      </c>
      <c r="B280" t="s">
        <v>2521</v>
      </c>
      <c r="C280" s="18">
        <v>52781450.079999998</v>
      </c>
      <c r="AV280" s="43">
        <f t="shared" si="40"/>
        <v>9</v>
      </c>
      <c r="AW280">
        <f t="shared" si="41"/>
        <v>19</v>
      </c>
      <c r="AX280">
        <f t="shared" si="42"/>
        <v>34</v>
      </c>
      <c r="AY280">
        <f t="shared" si="43"/>
        <v>48</v>
      </c>
      <c r="AZ280">
        <f t="shared" si="44"/>
        <v>50</v>
      </c>
      <c r="BA280">
        <f t="shared" si="45"/>
        <v>54</v>
      </c>
      <c r="BB280">
        <f t="shared" si="46"/>
        <v>60</v>
      </c>
      <c r="BC280">
        <f t="shared" si="47"/>
        <v>68</v>
      </c>
      <c r="BD280">
        <f t="shared" si="48"/>
        <v>78</v>
      </c>
      <c r="BE280">
        <f>HLOOKUP(AV280-1,$AW$3:BD552,ROW(AV280)-2,0)</f>
        <v>68</v>
      </c>
      <c r="BF280">
        <f>HLOOKUP(AV280,$AW$3:BD552,ROW(AV280)-2,0)</f>
        <v>78</v>
      </c>
      <c r="BG280" t="str">
        <f t="shared" si="49"/>
        <v>B_I_3_B_3_KwotaA</v>
      </c>
    </row>
    <row r="281" spans="1:59" ht="16.399999999999999" x14ac:dyDescent="0.35">
      <c r="A281" t="s">
        <v>2522</v>
      </c>
      <c r="B281" t="s">
        <v>2523</v>
      </c>
      <c r="C281" s="18">
        <v>4788687.1399999997</v>
      </c>
      <c r="AV281" s="43">
        <f t="shared" si="40"/>
        <v>9</v>
      </c>
      <c r="AW281">
        <f t="shared" si="41"/>
        <v>19</v>
      </c>
      <c r="AX281">
        <f t="shared" si="42"/>
        <v>34</v>
      </c>
      <c r="AY281">
        <f t="shared" si="43"/>
        <v>48</v>
      </c>
      <c r="AZ281">
        <f t="shared" si="44"/>
        <v>50</v>
      </c>
      <c r="BA281">
        <f t="shared" si="45"/>
        <v>54</v>
      </c>
      <c r="BB281">
        <f t="shared" si="46"/>
        <v>60</v>
      </c>
      <c r="BC281">
        <f t="shared" si="47"/>
        <v>68</v>
      </c>
      <c r="BD281">
        <f t="shared" si="48"/>
        <v>78</v>
      </c>
      <c r="BE281">
        <f>HLOOKUP(AV281-1,$AW$3:BD553,ROW(AV281)-2,0)</f>
        <v>68</v>
      </c>
      <c r="BF281">
        <f>HLOOKUP(AV281,$AW$3:BD553,ROW(AV281)-2,0)</f>
        <v>78</v>
      </c>
      <c r="BG281" t="str">
        <f t="shared" si="49"/>
        <v>B_I_3_B_4_KwotaA</v>
      </c>
    </row>
    <row r="282" spans="1:59" ht="16.399999999999999" x14ac:dyDescent="0.35">
      <c r="A282" t="s">
        <v>2524</v>
      </c>
      <c r="B282" t="s">
        <v>2525</v>
      </c>
      <c r="AV282" s="43">
        <f t="shared" si="40"/>
        <v>9</v>
      </c>
      <c r="AW282">
        <f t="shared" si="41"/>
        <v>19</v>
      </c>
      <c r="AX282">
        <f t="shared" si="42"/>
        <v>34</v>
      </c>
      <c r="AY282">
        <f t="shared" si="43"/>
        <v>48</v>
      </c>
      <c r="AZ282">
        <f t="shared" si="44"/>
        <v>50</v>
      </c>
      <c r="BA282">
        <f t="shared" si="45"/>
        <v>54</v>
      </c>
      <c r="BB282">
        <f t="shared" si="46"/>
        <v>60</v>
      </c>
      <c r="BC282">
        <f t="shared" si="47"/>
        <v>68</v>
      </c>
      <c r="BD282">
        <f t="shared" si="48"/>
        <v>78</v>
      </c>
      <c r="BE282">
        <f>HLOOKUP(AV282-1,$AW$3:BD554,ROW(AV282)-2,0)</f>
        <v>68</v>
      </c>
      <c r="BF282">
        <f>HLOOKUP(AV282,$AW$3:BD554,ROW(AV282)-2,0)</f>
        <v>78</v>
      </c>
      <c r="BG282" t="str">
        <f t="shared" si="49"/>
        <v>B_I_3_B_5_KwotaA</v>
      </c>
    </row>
    <row r="283" spans="1:59" ht="16.399999999999999" x14ac:dyDescent="0.35">
      <c r="A283" t="s">
        <v>2526</v>
      </c>
      <c r="B283" t="s">
        <v>2527</v>
      </c>
      <c r="AV283" s="43">
        <f t="shared" si="40"/>
        <v>7</v>
      </c>
      <c r="AW283">
        <f t="shared" si="41"/>
        <v>19</v>
      </c>
      <c r="AX283">
        <f t="shared" si="42"/>
        <v>34</v>
      </c>
      <c r="AY283">
        <f t="shared" si="43"/>
        <v>48</v>
      </c>
      <c r="AZ283">
        <f t="shared" si="44"/>
        <v>50</v>
      </c>
      <c r="BA283">
        <f t="shared" si="45"/>
        <v>54</v>
      </c>
      <c r="BB283">
        <f t="shared" si="46"/>
        <v>60</v>
      </c>
      <c r="BC283">
        <f t="shared" si="47"/>
        <v>60</v>
      </c>
      <c r="BD283">
        <f t="shared" si="48"/>
        <v>60</v>
      </c>
      <c r="BE283">
        <f>HLOOKUP(AV283-1,$AW$3:BD555,ROW(AV283)-2,0)</f>
        <v>54</v>
      </c>
      <c r="BF283">
        <f>HLOOKUP(AV283,$AW$3:BD555,ROW(AV283)-2,0)</f>
        <v>60</v>
      </c>
      <c r="BG283" t="str">
        <f t="shared" si="49"/>
        <v>B_I_4_KwotaA</v>
      </c>
    </row>
    <row r="284" spans="1:59" ht="16.399999999999999" x14ac:dyDescent="0.35">
      <c r="A284" t="s">
        <v>2528</v>
      </c>
      <c r="B284" t="s">
        <v>2529</v>
      </c>
      <c r="C284" s="18">
        <v>0</v>
      </c>
      <c r="AV284" s="43">
        <f t="shared" si="40"/>
        <v>6</v>
      </c>
      <c r="AW284">
        <f t="shared" si="41"/>
        <v>19</v>
      </c>
      <c r="AX284">
        <f t="shared" si="42"/>
        <v>34</v>
      </c>
      <c r="AY284">
        <f t="shared" si="43"/>
        <v>48</v>
      </c>
      <c r="AZ284">
        <f t="shared" si="44"/>
        <v>50</v>
      </c>
      <c r="BA284">
        <f t="shared" si="45"/>
        <v>55</v>
      </c>
      <c r="BB284">
        <f t="shared" si="46"/>
        <v>55</v>
      </c>
      <c r="BC284">
        <f t="shared" si="47"/>
        <v>55</v>
      </c>
      <c r="BD284">
        <f t="shared" si="48"/>
        <v>55</v>
      </c>
      <c r="BE284">
        <f>HLOOKUP(AV284-1,$AW$3:BD556,ROW(AV284)-2,0)</f>
        <v>50</v>
      </c>
      <c r="BF284">
        <f>HLOOKUP(AV284,$AW$3:BD556,ROW(AV284)-2,0)</f>
        <v>55</v>
      </c>
      <c r="BG284" t="str">
        <f t="shared" si="49"/>
        <v>B_II_KwotaA</v>
      </c>
    </row>
    <row r="285" spans="1:59" ht="16.399999999999999" x14ac:dyDescent="0.35">
      <c r="A285" t="s">
        <v>2530</v>
      </c>
      <c r="B285" t="s">
        <v>2531</v>
      </c>
      <c r="AV285" s="43">
        <f t="shared" si="40"/>
        <v>7</v>
      </c>
      <c r="AW285">
        <f t="shared" si="41"/>
        <v>19</v>
      </c>
      <c r="AX285">
        <f t="shared" si="42"/>
        <v>34</v>
      </c>
      <c r="AY285">
        <f t="shared" si="43"/>
        <v>48</v>
      </c>
      <c r="AZ285">
        <f t="shared" si="44"/>
        <v>50</v>
      </c>
      <c r="BA285">
        <f t="shared" si="45"/>
        <v>55</v>
      </c>
      <c r="BB285">
        <f t="shared" si="46"/>
        <v>62</v>
      </c>
      <c r="BC285">
        <f t="shared" si="47"/>
        <v>62</v>
      </c>
      <c r="BD285">
        <f t="shared" si="48"/>
        <v>62</v>
      </c>
      <c r="BE285">
        <f>HLOOKUP(AV285-1,$AW$3:BD557,ROW(AV285)-2,0)</f>
        <v>55</v>
      </c>
      <c r="BF285">
        <f>HLOOKUP(AV285,$AW$3:BD557,ROW(AV285)-2,0)</f>
        <v>62</v>
      </c>
      <c r="BG285" t="str">
        <f t="shared" si="49"/>
        <v>B_II_1_KwotaA</v>
      </c>
    </row>
    <row r="286" spans="1:59" ht="16.399999999999999" x14ac:dyDescent="0.35">
      <c r="A286" t="s">
        <v>2532</v>
      </c>
      <c r="B286" t="s">
        <v>2533</v>
      </c>
      <c r="AV286" s="43">
        <f t="shared" si="40"/>
        <v>7</v>
      </c>
      <c r="AW286">
        <f t="shared" si="41"/>
        <v>19</v>
      </c>
      <c r="AX286">
        <f t="shared" si="42"/>
        <v>34</v>
      </c>
      <c r="AY286">
        <f t="shared" si="43"/>
        <v>48</v>
      </c>
      <c r="AZ286">
        <f t="shared" si="44"/>
        <v>50</v>
      </c>
      <c r="BA286">
        <f t="shared" si="45"/>
        <v>55</v>
      </c>
      <c r="BB286">
        <f t="shared" si="46"/>
        <v>62</v>
      </c>
      <c r="BC286">
        <f t="shared" si="47"/>
        <v>62</v>
      </c>
      <c r="BD286">
        <f t="shared" si="48"/>
        <v>62</v>
      </c>
      <c r="BE286">
        <f>HLOOKUP(AV286-1,$AW$3:BD558,ROW(AV286)-2,0)</f>
        <v>55</v>
      </c>
      <c r="BF286">
        <f>HLOOKUP(AV286,$AW$3:BD558,ROW(AV286)-2,0)</f>
        <v>62</v>
      </c>
      <c r="BG286" t="str">
        <f t="shared" si="49"/>
        <v>B_II_2_KwotaA</v>
      </c>
    </row>
    <row r="287" spans="1:59" ht="16.399999999999999" x14ac:dyDescent="0.35">
      <c r="A287" t="s">
        <v>2534</v>
      </c>
      <c r="B287" t="s">
        <v>2535</v>
      </c>
      <c r="C287" s="18">
        <v>0</v>
      </c>
      <c r="AV287" s="43">
        <f t="shared" si="40"/>
        <v>7</v>
      </c>
      <c r="AW287">
        <f t="shared" si="41"/>
        <v>19</v>
      </c>
      <c r="AX287">
        <f t="shared" si="42"/>
        <v>34</v>
      </c>
      <c r="AY287">
        <f t="shared" si="43"/>
        <v>48</v>
      </c>
      <c r="AZ287">
        <f t="shared" si="44"/>
        <v>50</v>
      </c>
      <c r="BA287">
        <f t="shared" si="45"/>
        <v>55</v>
      </c>
      <c r="BB287">
        <f t="shared" si="46"/>
        <v>62</v>
      </c>
      <c r="BC287">
        <f t="shared" si="47"/>
        <v>62</v>
      </c>
      <c r="BD287">
        <f t="shared" si="48"/>
        <v>62</v>
      </c>
      <c r="BE287">
        <f>HLOOKUP(AV287-1,$AW$3:BD559,ROW(AV287)-2,0)</f>
        <v>55</v>
      </c>
      <c r="BF287">
        <f>HLOOKUP(AV287,$AW$3:BD559,ROW(AV287)-2,0)</f>
        <v>62</v>
      </c>
      <c r="BG287" t="str">
        <f t="shared" si="49"/>
        <v>B_II_3_KwotaA</v>
      </c>
    </row>
    <row r="288" spans="1:59" ht="16.399999999999999" x14ac:dyDescent="0.35">
      <c r="A288" t="s">
        <v>2536</v>
      </c>
      <c r="B288" t="s">
        <v>2537</v>
      </c>
      <c r="C288" s="18">
        <v>0</v>
      </c>
      <c r="AV288" s="43">
        <f t="shared" si="40"/>
        <v>8</v>
      </c>
      <c r="AW288">
        <f t="shared" si="41"/>
        <v>19</v>
      </c>
      <c r="AX288">
        <f t="shared" si="42"/>
        <v>34</v>
      </c>
      <c r="AY288">
        <f t="shared" si="43"/>
        <v>48</v>
      </c>
      <c r="AZ288">
        <f t="shared" si="44"/>
        <v>50</v>
      </c>
      <c r="BA288">
        <f t="shared" si="45"/>
        <v>55</v>
      </c>
      <c r="BB288">
        <f t="shared" si="46"/>
        <v>62</v>
      </c>
      <c r="BC288">
        <f t="shared" si="47"/>
        <v>71</v>
      </c>
      <c r="BD288">
        <f t="shared" si="48"/>
        <v>71</v>
      </c>
      <c r="BE288">
        <f>HLOOKUP(AV288-1,$AW$3:BD560,ROW(AV288)-2,0)</f>
        <v>62</v>
      </c>
      <c r="BF288">
        <f>HLOOKUP(AV288,$AW$3:BD560,ROW(AV288)-2,0)</f>
        <v>71</v>
      </c>
      <c r="BG288" t="str">
        <f t="shared" si="49"/>
        <v>B_II_3_A_KwotaA</v>
      </c>
    </row>
    <row r="289" spans="1:59" ht="16.399999999999999" x14ac:dyDescent="0.35">
      <c r="A289" t="s">
        <v>2538</v>
      </c>
      <c r="B289" t="s">
        <v>2539</v>
      </c>
      <c r="AV289" s="43">
        <f t="shared" si="40"/>
        <v>8</v>
      </c>
      <c r="AW289">
        <f t="shared" si="41"/>
        <v>19</v>
      </c>
      <c r="AX289">
        <f t="shared" si="42"/>
        <v>34</v>
      </c>
      <c r="AY289">
        <f t="shared" si="43"/>
        <v>48</v>
      </c>
      <c r="AZ289">
        <f t="shared" si="44"/>
        <v>50</v>
      </c>
      <c r="BA289">
        <f t="shared" si="45"/>
        <v>55</v>
      </c>
      <c r="BB289">
        <f t="shared" si="46"/>
        <v>62</v>
      </c>
      <c r="BC289">
        <f t="shared" si="47"/>
        <v>71</v>
      </c>
      <c r="BD289">
        <f t="shared" si="48"/>
        <v>71</v>
      </c>
      <c r="BE289">
        <f>HLOOKUP(AV289-1,$AW$3:BD561,ROW(AV289)-2,0)</f>
        <v>62</v>
      </c>
      <c r="BF289">
        <f>HLOOKUP(AV289,$AW$3:BD561,ROW(AV289)-2,0)</f>
        <v>71</v>
      </c>
      <c r="BG289" t="str">
        <f t="shared" si="49"/>
        <v>B_II_3_B_KwotaA</v>
      </c>
    </row>
    <row r="290" spans="1:59" ht="16.399999999999999" x14ac:dyDescent="0.35">
      <c r="A290" t="s">
        <v>2540</v>
      </c>
      <c r="B290" t="s">
        <v>2541</v>
      </c>
      <c r="AV290" s="43">
        <f t="shared" si="40"/>
        <v>9</v>
      </c>
      <c r="AW290">
        <f t="shared" si="41"/>
        <v>19</v>
      </c>
      <c r="AX290">
        <f t="shared" si="42"/>
        <v>34</v>
      </c>
      <c r="AY290">
        <f t="shared" si="43"/>
        <v>48</v>
      </c>
      <c r="AZ290">
        <f t="shared" si="44"/>
        <v>50</v>
      </c>
      <c r="BA290">
        <f t="shared" si="45"/>
        <v>55</v>
      </c>
      <c r="BB290">
        <f t="shared" si="46"/>
        <v>62</v>
      </c>
      <c r="BC290">
        <f t="shared" si="47"/>
        <v>71</v>
      </c>
      <c r="BD290">
        <f t="shared" si="48"/>
        <v>82</v>
      </c>
      <c r="BE290">
        <f>HLOOKUP(AV290-1,$AW$3:BD562,ROW(AV290)-2,0)</f>
        <v>71</v>
      </c>
      <c r="BF290">
        <f>HLOOKUP(AV290,$AW$3:BD562,ROW(AV290)-2,0)</f>
        <v>82</v>
      </c>
      <c r="BG290" t="str">
        <f t="shared" si="49"/>
        <v>B_II_3_B_1_KwotaA</v>
      </c>
    </row>
    <row r="291" spans="1:59" ht="16.399999999999999" x14ac:dyDescent="0.35">
      <c r="A291" t="s">
        <v>2542</v>
      </c>
      <c r="B291" t="s">
        <v>2543</v>
      </c>
      <c r="AV291" s="43">
        <f t="shared" si="40"/>
        <v>9</v>
      </c>
      <c r="AW291">
        <f t="shared" si="41"/>
        <v>19</v>
      </c>
      <c r="AX291">
        <f t="shared" si="42"/>
        <v>34</v>
      </c>
      <c r="AY291">
        <f t="shared" si="43"/>
        <v>48</v>
      </c>
      <c r="AZ291">
        <f t="shared" si="44"/>
        <v>50</v>
      </c>
      <c r="BA291">
        <f t="shared" si="45"/>
        <v>55</v>
      </c>
      <c r="BB291">
        <f t="shared" si="46"/>
        <v>62</v>
      </c>
      <c r="BC291">
        <f t="shared" si="47"/>
        <v>71</v>
      </c>
      <c r="BD291">
        <f t="shared" si="48"/>
        <v>82</v>
      </c>
      <c r="BE291">
        <f>HLOOKUP(AV291-1,$AW$3:BD563,ROW(AV291)-2,0)</f>
        <v>71</v>
      </c>
      <c r="BF291">
        <f>HLOOKUP(AV291,$AW$3:BD563,ROW(AV291)-2,0)</f>
        <v>82</v>
      </c>
      <c r="BG291" t="str">
        <f t="shared" si="49"/>
        <v>B_II_3_B_2_KwotaA</v>
      </c>
    </row>
    <row r="292" spans="1:59" ht="16.399999999999999" x14ac:dyDescent="0.35">
      <c r="A292" t="s">
        <v>2544</v>
      </c>
      <c r="B292" t="s">
        <v>2545</v>
      </c>
      <c r="AV292" s="43">
        <f t="shared" si="40"/>
        <v>7</v>
      </c>
      <c r="AW292">
        <f t="shared" si="41"/>
        <v>19</v>
      </c>
      <c r="AX292">
        <f t="shared" si="42"/>
        <v>34</v>
      </c>
      <c r="AY292">
        <f t="shared" si="43"/>
        <v>48</v>
      </c>
      <c r="AZ292">
        <f t="shared" si="44"/>
        <v>50</v>
      </c>
      <c r="BA292">
        <f t="shared" si="45"/>
        <v>55</v>
      </c>
      <c r="BB292">
        <f t="shared" si="46"/>
        <v>62</v>
      </c>
      <c r="BC292">
        <f t="shared" si="47"/>
        <v>62</v>
      </c>
      <c r="BD292">
        <f t="shared" si="48"/>
        <v>62</v>
      </c>
      <c r="BE292">
        <f>HLOOKUP(AV292-1,$AW$3:BD564,ROW(AV292)-2,0)</f>
        <v>55</v>
      </c>
      <c r="BF292">
        <f>HLOOKUP(AV292,$AW$3:BD564,ROW(AV292)-2,0)</f>
        <v>62</v>
      </c>
      <c r="BG292" t="str">
        <f t="shared" si="49"/>
        <v>B_II_4_KwotaA</v>
      </c>
    </row>
    <row r="293" spans="1:59" ht="16.399999999999999" x14ac:dyDescent="0.35">
      <c r="A293" t="s">
        <v>2546</v>
      </c>
      <c r="B293" t="s">
        <v>2547</v>
      </c>
      <c r="C293" s="18">
        <v>181048761.5</v>
      </c>
      <c r="AV293" s="43">
        <f t="shared" si="40"/>
        <v>6</v>
      </c>
      <c r="AW293">
        <f t="shared" si="41"/>
        <v>19</v>
      </c>
      <c r="AX293">
        <f t="shared" si="42"/>
        <v>34</v>
      </c>
      <c r="AY293">
        <f t="shared" si="43"/>
        <v>48</v>
      </c>
      <c r="AZ293">
        <f t="shared" si="44"/>
        <v>50</v>
      </c>
      <c r="BA293">
        <f t="shared" si="45"/>
        <v>56</v>
      </c>
      <c r="BB293">
        <f t="shared" si="46"/>
        <v>56</v>
      </c>
      <c r="BC293">
        <f t="shared" si="47"/>
        <v>56</v>
      </c>
      <c r="BD293">
        <f t="shared" si="48"/>
        <v>56</v>
      </c>
      <c r="BE293">
        <f>HLOOKUP(AV293-1,$AW$3:BD565,ROW(AV293)-2,0)</f>
        <v>50</v>
      </c>
      <c r="BF293">
        <f>HLOOKUP(AV293,$AW$3:BD565,ROW(AV293)-2,0)</f>
        <v>56</v>
      </c>
      <c r="BG293" t="str">
        <f t="shared" si="49"/>
        <v>B_III_KwotaA</v>
      </c>
    </row>
    <row r="294" spans="1:59" ht="16.399999999999999" x14ac:dyDescent="0.35">
      <c r="A294" t="s">
        <v>2548</v>
      </c>
      <c r="B294" t="s">
        <v>2549</v>
      </c>
      <c r="C294" s="18">
        <v>-191357934.86000001</v>
      </c>
      <c r="AV294" s="43">
        <f t="shared" si="40"/>
        <v>5</v>
      </c>
      <c r="AW294">
        <f t="shared" si="41"/>
        <v>19</v>
      </c>
      <c r="AX294">
        <f t="shared" si="42"/>
        <v>34</v>
      </c>
      <c r="AY294">
        <f t="shared" si="43"/>
        <v>48</v>
      </c>
      <c r="AZ294">
        <f t="shared" si="44"/>
        <v>50</v>
      </c>
      <c r="BA294">
        <f t="shared" si="45"/>
        <v>50</v>
      </c>
      <c r="BB294">
        <f t="shared" si="46"/>
        <v>50</v>
      </c>
      <c r="BC294">
        <f t="shared" si="47"/>
        <v>50</v>
      </c>
      <c r="BD294">
        <f t="shared" si="48"/>
        <v>50</v>
      </c>
      <c r="BE294">
        <f>HLOOKUP(AV294-1,$AW$3:BD566,ROW(AV294)-2,0)</f>
        <v>48</v>
      </c>
      <c r="BF294">
        <f>HLOOKUP(AV294,$AW$3:BD566,ROW(AV294)-2,0)</f>
        <v>50</v>
      </c>
      <c r="BG294" t="str">
        <f t="shared" si="49"/>
        <v>C_KwotaA</v>
      </c>
    </row>
    <row r="295" spans="1:59" ht="16.399999999999999" x14ac:dyDescent="0.35">
      <c r="A295" t="s">
        <v>2550</v>
      </c>
      <c r="B295" t="s">
        <v>2551</v>
      </c>
      <c r="C295" s="18">
        <v>0</v>
      </c>
      <c r="AV295" s="43">
        <f t="shared" si="40"/>
        <v>6</v>
      </c>
      <c r="AW295">
        <f t="shared" si="41"/>
        <v>19</v>
      </c>
      <c r="AX295">
        <f t="shared" si="42"/>
        <v>34</v>
      </c>
      <c r="AY295">
        <f t="shared" si="43"/>
        <v>48</v>
      </c>
      <c r="AZ295">
        <f t="shared" si="44"/>
        <v>50</v>
      </c>
      <c r="BA295">
        <f t="shared" si="45"/>
        <v>54</v>
      </c>
      <c r="BB295">
        <f t="shared" si="46"/>
        <v>54</v>
      </c>
      <c r="BC295">
        <f t="shared" si="47"/>
        <v>54</v>
      </c>
      <c r="BD295">
        <f t="shared" si="48"/>
        <v>54</v>
      </c>
      <c r="BE295">
        <f>HLOOKUP(AV295-1,$AW$3:BD567,ROW(AV295)-2,0)</f>
        <v>50</v>
      </c>
      <c r="BF295">
        <f>HLOOKUP(AV295,$AW$3:BD567,ROW(AV295)-2,0)</f>
        <v>54</v>
      </c>
      <c r="BG295" t="str">
        <f t="shared" si="49"/>
        <v>C_I_KwotaA</v>
      </c>
    </row>
    <row r="296" spans="1:59" ht="16.399999999999999" x14ac:dyDescent="0.35">
      <c r="A296" t="s">
        <v>2552</v>
      </c>
      <c r="B296" t="s">
        <v>2553</v>
      </c>
      <c r="C296" s="18">
        <v>0</v>
      </c>
      <c r="AV296" s="43">
        <f t="shared" si="40"/>
        <v>7</v>
      </c>
      <c r="AW296">
        <f t="shared" si="41"/>
        <v>19</v>
      </c>
      <c r="AX296">
        <f t="shared" si="42"/>
        <v>34</v>
      </c>
      <c r="AY296">
        <f t="shared" si="43"/>
        <v>48</v>
      </c>
      <c r="AZ296">
        <f t="shared" si="44"/>
        <v>50</v>
      </c>
      <c r="BA296">
        <f t="shared" si="45"/>
        <v>54</v>
      </c>
      <c r="BB296">
        <f t="shared" si="46"/>
        <v>60</v>
      </c>
      <c r="BC296">
        <f t="shared" si="47"/>
        <v>60</v>
      </c>
      <c r="BD296">
        <f t="shared" si="48"/>
        <v>60</v>
      </c>
      <c r="BE296">
        <f>HLOOKUP(AV296-1,$AW$3:BD568,ROW(AV296)-2,0)</f>
        <v>54</v>
      </c>
      <c r="BF296">
        <f>HLOOKUP(AV296,$AW$3:BD568,ROW(AV296)-2,0)</f>
        <v>60</v>
      </c>
      <c r="BG296" t="str">
        <f t="shared" si="49"/>
        <v>C_I_1_KwotaA</v>
      </c>
    </row>
    <row r="297" spans="1:59" ht="16.399999999999999" x14ac:dyDescent="0.35">
      <c r="A297" t="s">
        <v>2554</v>
      </c>
      <c r="B297" t="s">
        <v>2555</v>
      </c>
      <c r="C297" s="18">
        <v>0</v>
      </c>
      <c r="AV297" s="43">
        <f t="shared" si="40"/>
        <v>7</v>
      </c>
      <c r="AW297">
        <f t="shared" si="41"/>
        <v>19</v>
      </c>
      <c r="AX297">
        <f t="shared" si="42"/>
        <v>34</v>
      </c>
      <c r="AY297">
        <f t="shared" si="43"/>
        <v>48</v>
      </c>
      <c r="AZ297">
        <f t="shared" si="44"/>
        <v>50</v>
      </c>
      <c r="BA297">
        <f t="shared" si="45"/>
        <v>54</v>
      </c>
      <c r="BB297">
        <f t="shared" si="46"/>
        <v>60</v>
      </c>
      <c r="BC297">
        <f t="shared" si="47"/>
        <v>60</v>
      </c>
      <c r="BD297">
        <f t="shared" si="48"/>
        <v>60</v>
      </c>
      <c r="BE297">
        <f>HLOOKUP(AV297-1,$AW$3:BD569,ROW(AV297)-2,0)</f>
        <v>54</v>
      </c>
      <c r="BF297">
        <f>HLOOKUP(AV297,$AW$3:BD569,ROW(AV297)-2,0)</f>
        <v>60</v>
      </c>
      <c r="BG297" t="str">
        <f t="shared" si="49"/>
        <v>C_I_2_KwotaA</v>
      </c>
    </row>
    <row r="298" spans="1:59" ht="16.399999999999999" x14ac:dyDescent="0.35">
      <c r="A298" t="s">
        <v>2556</v>
      </c>
      <c r="B298" t="s">
        <v>2557</v>
      </c>
      <c r="AV298" s="43">
        <f t="shared" si="40"/>
        <v>7</v>
      </c>
      <c r="AW298">
        <f t="shared" si="41"/>
        <v>19</v>
      </c>
      <c r="AX298">
        <f t="shared" si="42"/>
        <v>34</v>
      </c>
      <c r="AY298">
        <f t="shared" si="43"/>
        <v>48</v>
      </c>
      <c r="AZ298">
        <f t="shared" si="44"/>
        <v>50</v>
      </c>
      <c r="BA298">
        <f t="shared" si="45"/>
        <v>54</v>
      </c>
      <c r="BB298">
        <f t="shared" si="46"/>
        <v>60</v>
      </c>
      <c r="BC298">
        <f t="shared" si="47"/>
        <v>60</v>
      </c>
      <c r="BD298">
        <f t="shared" si="48"/>
        <v>60</v>
      </c>
      <c r="BE298">
        <f>HLOOKUP(AV298-1,$AW$3:BD570,ROW(AV298)-2,0)</f>
        <v>54</v>
      </c>
      <c r="BF298">
        <f>HLOOKUP(AV298,$AW$3:BD570,ROW(AV298)-2,0)</f>
        <v>60</v>
      </c>
      <c r="BG298" t="str">
        <f t="shared" si="49"/>
        <v>C_I_3_KwotaA</v>
      </c>
    </row>
    <row r="299" spans="1:59" ht="16.399999999999999" x14ac:dyDescent="0.35">
      <c r="A299" t="s">
        <v>2558</v>
      </c>
      <c r="B299" t="s">
        <v>2559</v>
      </c>
      <c r="AV299" s="43">
        <f t="shared" si="40"/>
        <v>7</v>
      </c>
      <c r="AW299">
        <f t="shared" si="41"/>
        <v>19</v>
      </c>
      <c r="AX299">
        <f t="shared" si="42"/>
        <v>34</v>
      </c>
      <c r="AY299">
        <f t="shared" si="43"/>
        <v>48</v>
      </c>
      <c r="AZ299">
        <f t="shared" si="44"/>
        <v>50</v>
      </c>
      <c r="BA299">
        <f t="shared" si="45"/>
        <v>54</v>
      </c>
      <c r="BB299">
        <f t="shared" si="46"/>
        <v>60</v>
      </c>
      <c r="BC299">
        <f t="shared" si="47"/>
        <v>60</v>
      </c>
      <c r="BD299">
        <f t="shared" si="48"/>
        <v>60</v>
      </c>
      <c r="BE299">
        <f>HLOOKUP(AV299-1,$AW$3:BD571,ROW(AV299)-2,0)</f>
        <v>54</v>
      </c>
      <c r="BF299">
        <f>HLOOKUP(AV299,$AW$3:BD571,ROW(AV299)-2,0)</f>
        <v>60</v>
      </c>
      <c r="BG299" t="str">
        <f t="shared" si="49"/>
        <v>C_I_4_KwotaA</v>
      </c>
    </row>
    <row r="300" spans="1:59" ht="16.399999999999999" x14ac:dyDescent="0.35">
      <c r="A300" t="s">
        <v>2560</v>
      </c>
      <c r="B300" t="s">
        <v>2561</v>
      </c>
      <c r="C300" s="18">
        <v>191357934.86000001</v>
      </c>
      <c r="AV300" s="43">
        <f t="shared" si="40"/>
        <v>6</v>
      </c>
      <c r="AW300">
        <f t="shared" si="41"/>
        <v>19</v>
      </c>
      <c r="AX300">
        <f t="shared" si="42"/>
        <v>34</v>
      </c>
      <c r="AY300">
        <f t="shared" si="43"/>
        <v>48</v>
      </c>
      <c r="AZ300">
        <f t="shared" si="44"/>
        <v>50</v>
      </c>
      <c r="BA300">
        <f t="shared" si="45"/>
        <v>55</v>
      </c>
      <c r="BB300">
        <f t="shared" si="46"/>
        <v>55</v>
      </c>
      <c r="BC300">
        <f t="shared" si="47"/>
        <v>55</v>
      </c>
      <c r="BD300">
        <f t="shared" si="48"/>
        <v>55</v>
      </c>
      <c r="BE300">
        <f>HLOOKUP(AV300-1,$AW$3:BD572,ROW(AV300)-2,0)</f>
        <v>50</v>
      </c>
      <c r="BF300">
        <f>HLOOKUP(AV300,$AW$3:BD572,ROW(AV300)-2,0)</f>
        <v>55</v>
      </c>
      <c r="BG300" t="str">
        <f t="shared" si="49"/>
        <v>C_II_KwotaA</v>
      </c>
    </row>
    <row r="301" spans="1:59" ht="16.399999999999999" x14ac:dyDescent="0.35">
      <c r="A301" t="s">
        <v>2562</v>
      </c>
      <c r="B301" t="s">
        <v>2563</v>
      </c>
      <c r="AV301" s="43">
        <f t="shared" si="40"/>
        <v>7</v>
      </c>
      <c r="AW301">
        <f t="shared" si="41"/>
        <v>19</v>
      </c>
      <c r="AX301">
        <f t="shared" si="42"/>
        <v>34</v>
      </c>
      <c r="AY301">
        <f t="shared" si="43"/>
        <v>48</v>
      </c>
      <c r="AZ301">
        <f t="shared" si="44"/>
        <v>50</v>
      </c>
      <c r="BA301">
        <f t="shared" si="45"/>
        <v>55</v>
      </c>
      <c r="BB301">
        <f t="shared" si="46"/>
        <v>62</v>
      </c>
      <c r="BC301">
        <f t="shared" si="47"/>
        <v>62</v>
      </c>
      <c r="BD301">
        <f t="shared" si="48"/>
        <v>62</v>
      </c>
      <c r="BE301">
        <f>HLOOKUP(AV301-1,$AW$3:BD573,ROW(AV301)-2,0)</f>
        <v>55</v>
      </c>
      <c r="BF301">
        <f>HLOOKUP(AV301,$AW$3:BD573,ROW(AV301)-2,0)</f>
        <v>62</v>
      </c>
      <c r="BG301" t="str">
        <f t="shared" si="49"/>
        <v>C_II_1_KwotaA</v>
      </c>
    </row>
    <row r="302" spans="1:59" ht="16.399999999999999" x14ac:dyDescent="0.35">
      <c r="A302" t="s">
        <v>2564</v>
      </c>
      <c r="B302" t="s">
        <v>2565</v>
      </c>
      <c r="C302" s="18">
        <v>8177030</v>
      </c>
      <c r="AV302" s="43">
        <f t="shared" si="40"/>
        <v>7</v>
      </c>
      <c r="AW302">
        <f t="shared" si="41"/>
        <v>19</v>
      </c>
      <c r="AX302">
        <f t="shared" si="42"/>
        <v>34</v>
      </c>
      <c r="AY302">
        <f t="shared" si="43"/>
        <v>48</v>
      </c>
      <c r="AZ302">
        <f t="shared" si="44"/>
        <v>50</v>
      </c>
      <c r="BA302">
        <f t="shared" si="45"/>
        <v>55</v>
      </c>
      <c r="BB302">
        <f t="shared" si="46"/>
        <v>62</v>
      </c>
      <c r="BC302">
        <f t="shared" si="47"/>
        <v>62</v>
      </c>
      <c r="BD302">
        <f t="shared" si="48"/>
        <v>62</v>
      </c>
      <c r="BE302">
        <f>HLOOKUP(AV302-1,$AW$3:BD574,ROW(AV302)-2,0)</f>
        <v>55</v>
      </c>
      <c r="BF302">
        <f>HLOOKUP(AV302,$AW$3:BD574,ROW(AV302)-2,0)</f>
        <v>62</v>
      </c>
      <c r="BG302" t="str">
        <f t="shared" si="49"/>
        <v>C_II_2_KwotaA</v>
      </c>
    </row>
    <row r="303" spans="1:59" ht="16.399999999999999" x14ac:dyDescent="0.35">
      <c r="A303" t="s">
        <v>2566</v>
      </c>
      <c r="B303" t="s">
        <v>2567</v>
      </c>
      <c r="AV303" s="43">
        <f t="shared" si="40"/>
        <v>7</v>
      </c>
      <c r="AW303">
        <f t="shared" si="41"/>
        <v>19</v>
      </c>
      <c r="AX303">
        <f t="shared" si="42"/>
        <v>34</v>
      </c>
      <c r="AY303">
        <f t="shared" si="43"/>
        <v>48</v>
      </c>
      <c r="AZ303">
        <f t="shared" si="44"/>
        <v>50</v>
      </c>
      <c r="BA303">
        <f t="shared" si="45"/>
        <v>55</v>
      </c>
      <c r="BB303">
        <f t="shared" si="46"/>
        <v>62</v>
      </c>
      <c r="BC303">
        <f t="shared" si="47"/>
        <v>62</v>
      </c>
      <c r="BD303">
        <f t="shared" si="48"/>
        <v>62</v>
      </c>
      <c r="BE303">
        <f>HLOOKUP(AV303-1,$AW$3:BD575,ROW(AV303)-2,0)</f>
        <v>55</v>
      </c>
      <c r="BF303">
        <f>HLOOKUP(AV303,$AW$3:BD575,ROW(AV303)-2,0)</f>
        <v>62</v>
      </c>
      <c r="BG303" t="str">
        <f t="shared" si="49"/>
        <v>C_II_3_KwotaA</v>
      </c>
    </row>
    <row r="304" spans="1:59" ht="16.399999999999999" x14ac:dyDescent="0.35">
      <c r="A304" t="s">
        <v>2568</v>
      </c>
      <c r="B304" t="s">
        <v>2569</v>
      </c>
      <c r="C304" s="18">
        <v>140259471.90000001</v>
      </c>
      <c r="AV304" s="43">
        <f t="shared" si="40"/>
        <v>7</v>
      </c>
      <c r="AW304">
        <f t="shared" si="41"/>
        <v>19</v>
      </c>
      <c r="AX304">
        <f t="shared" si="42"/>
        <v>34</v>
      </c>
      <c r="AY304">
        <f t="shared" si="43"/>
        <v>48</v>
      </c>
      <c r="AZ304">
        <f t="shared" si="44"/>
        <v>50</v>
      </c>
      <c r="BA304">
        <f t="shared" si="45"/>
        <v>55</v>
      </c>
      <c r="BB304">
        <f t="shared" si="46"/>
        <v>62</v>
      </c>
      <c r="BC304">
        <f t="shared" si="47"/>
        <v>62</v>
      </c>
      <c r="BD304">
        <f t="shared" si="48"/>
        <v>62</v>
      </c>
      <c r="BE304">
        <f>HLOOKUP(AV304-1,$AW$3:BD576,ROW(AV304)-2,0)</f>
        <v>55</v>
      </c>
      <c r="BF304">
        <f>HLOOKUP(AV304,$AW$3:BD576,ROW(AV304)-2,0)</f>
        <v>62</v>
      </c>
      <c r="BG304" t="str">
        <f t="shared" si="49"/>
        <v>C_II_4_KwotaA</v>
      </c>
    </row>
    <row r="305" spans="1:60" ht="16.399999999999999" x14ac:dyDescent="0.35">
      <c r="A305" t="s">
        <v>2570</v>
      </c>
      <c r="B305" t="s">
        <v>2571</v>
      </c>
      <c r="AV305" s="43">
        <f t="shared" si="40"/>
        <v>7</v>
      </c>
      <c r="AW305">
        <f t="shared" si="41"/>
        <v>19</v>
      </c>
      <c r="AX305">
        <f t="shared" si="42"/>
        <v>34</v>
      </c>
      <c r="AY305">
        <f t="shared" si="43"/>
        <v>48</v>
      </c>
      <c r="AZ305">
        <f t="shared" si="44"/>
        <v>50</v>
      </c>
      <c r="BA305">
        <f t="shared" si="45"/>
        <v>55</v>
      </c>
      <c r="BB305">
        <f t="shared" si="46"/>
        <v>62</v>
      </c>
      <c r="BC305">
        <f t="shared" si="47"/>
        <v>62</v>
      </c>
      <c r="BD305">
        <f t="shared" si="48"/>
        <v>62</v>
      </c>
      <c r="BE305">
        <f>HLOOKUP(AV305-1,$AW$3:BD577,ROW(AV305)-2,0)</f>
        <v>55</v>
      </c>
      <c r="BF305">
        <f>HLOOKUP(AV305,$AW$3:BD577,ROW(AV305)-2,0)</f>
        <v>62</v>
      </c>
      <c r="BG305" t="str">
        <f t="shared" si="49"/>
        <v>C_II_5_KwotaA</v>
      </c>
    </row>
    <row r="306" spans="1:60" ht="16.399999999999999" x14ac:dyDescent="0.35">
      <c r="A306" t="s">
        <v>2572</v>
      </c>
      <c r="B306" t="s">
        <v>2573</v>
      </c>
      <c r="AV306" s="43">
        <f t="shared" si="40"/>
        <v>7</v>
      </c>
      <c r="AW306">
        <f t="shared" si="41"/>
        <v>19</v>
      </c>
      <c r="AX306">
        <f t="shared" si="42"/>
        <v>34</v>
      </c>
      <c r="AY306">
        <f t="shared" si="43"/>
        <v>48</v>
      </c>
      <c r="AZ306">
        <f t="shared" si="44"/>
        <v>50</v>
      </c>
      <c r="BA306">
        <f t="shared" si="45"/>
        <v>55</v>
      </c>
      <c r="BB306">
        <f t="shared" si="46"/>
        <v>62</v>
      </c>
      <c r="BC306">
        <f t="shared" si="47"/>
        <v>62</v>
      </c>
      <c r="BD306">
        <f t="shared" si="48"/>
        <v>62</v>
      </c>
      <c r="BE306">
        <f>HLOOKUP(AV306-1,$AW$3:BD578,ROW(AV306)-2,0)</f>
        <v>55</v>
      </c>
      <c r="BF306">
        <f>HLOOKUP(AV306,$AW$3:BD578,ROW(AV306)-2,0)</f>
        <v>62</v>
      </c>
      <c r="BG306" t="str">
        <f t="shared" si="49"/>
        <v>C_II_6_KwotaA</v>
      </c>
    </row>
    <row r="307" spans="1:60" ht="16.399999999999999" x14ac:dyDescent="0.35">
      <c r="A307" t="s">
        <v>2574</v>
      </c>
      <c r="B307" t="s">
        <v>2575</v>
      </c>
      <c r="AV307" s="43">
        <f t="shared" si="40"/>
        <v>7</v>
      </c>
      <c r="AW307">
        <f t="shared" si="41"/>
        <v>19</v>
      </c>
      <c r="AX307">
        <f t="shared" si="42"/>
        <v>34</v>
      </c>
      <c r="AY307">
        <f t="shared" si="43"/>
        <v>48</v>
      </c>
      <c r="AZ307">
        <f t="shared" si="44"/>
        <v>50</v>
      </c>
      <c r="BA307">
        <f t="shared" si="45"/>
        <v>55</v>
      </c>
      <c r="BB307">
        <f t="shared" si="46"/>
        <v>62</v>
      </c>
      <c r="BC307">
        <f t="shared" si="47"/>
        <v>62</v>
      </c>
      <c r="BD307">
        <f t="shared" si="48"/>
        <v>62</v>
      </c>
      <c r="BE307">
        <f>HLOOKUP(AV307-1,$AW$3:BD579,ROW(AV307)-2,0)</f>
        <v>55</v>
      </c>
      <c r="BF307">
        <f>HLOOKUP(AV307,$AW$3:BD579,ROW(AV307)-2,0)</f>
        <v>62</v>
      </c>
      <c r="BG307" t="str">
        <f t="shared" si="49"/>
        <v>C_II_7_KwotaA</v>
      </c>
    </row>
    <row r="308" spans="1:60" ht="16.399999999999999" x14ac:dyDescent="0.35">
      <c r="A308" t="s">
        <v>2576</v>
      </c>
      <c r="B308" t="s">
        <v>2577</v>
      </c>
      <c r="C308" s="18">
        <v>42921432.960000001</v>
      </c>
      <c r="AV308" s="43">
        <f t="shared" si="40"/>
        <v>7</v>
      </c>
      <c r="AW308">
        <f t="shared" si="41"/>
        <v>19</v>
      </c>
      <c r="AX308">
        <f t="shared" si="42"/>
        <v>34</v>
      </c>
      <c r="AY308">
        <f t="shared" si="43"/>
        <v>48</v>
      </c>
      <c r="AZ308">
        <f t="shared" si="44"/>
        <v>50</v>
      </c>
      <c r="BA308">
        <f t="shared" si="45"/>
        <v>55</v>
      </c>
      <c r="BB308">
        <f t="shared" si="46"/>
        <v>62</v>
      </c>
      <c r="BC308">
        <f t="shared" si="47"/>
        <v>62</v>
      </c>
      <c r="BD308">
        <f t="shared" si="48"/>
        <v>62</v>
      </c>
      <c r="BE308">
        <f>HLOOKUP(AV308-1,$AW$3:BD580,ROW(AV308)-2,0)</f>
        <v>55</v>
      </c>
      <c r="BF308">
        <f>HLOOKUP(AV308,$AW$3:BD580,ROW(AV308)-2,0)</f>
        <v>62</v>
      </c>
      <c r="BG308" t="str">
        <f t="shared" si="49"/>
        <v>C_II_8_KwotaA</v>
      </c>
    </row>
    <row r="309" spans="1:60" ht="16.399999999999999" x14ac:dyDescent="0.35">
      <c r="A309" t="s">
        <v>2578</v>
      </c>
      <c r="B309" t="s">
        <v>2579</v>
      </c>
      <c r="AV309" s="43">
        <f t="shared" si="40"/>
        <v>7</v>
      </c>
      <c r="AW309">
        <f t="shared" si="41"/>
        <v>19</v>
      </c>
      <c r="AX309">
        <f t="shared" si="42"/>
        <v>34</v>
      </c>
      <c r="AY309">
        <f t="shared" si="43"/>
        <v>48</v>
      </c>
      <c r="AZ309">
        <f t="shared" si="44"/>
        <v>50</v>
      </c>
      <c r="BA309">
        <f t="shared" si="45"/>
        <v>55</v>
      </c>
      <c r="BB309">
        <f t="shared" si="46"/>
        <v>62</v>
      </c>
      <c r="BC309">
        <f t="shared" si="47"/>
        <v>62</v>
      </c>
      <c r="BD309">
        <f t="shared" si="48"/>
        <v>62</v>
      </c>
      <c r="BE309">
        <f>HLOOKUP(AV309-1,$AW$3:BD581,ROW(AV309)-2,0)</f>
        <v>55</v>
      </c>
      <c r="BF309">
        <f>HLOOKUP(AV309,$AW$3:BD581,ROW(AV309)-2,0)</f>
        <v>62</v>
      </c>
      <c r="BG309" t="str">
        <f t="shared" si="49"/>
        <v>C_II_9_KwotaA</v>
      </c>
    </row>
    <row r="310" spans="1:60" ht="16.399999999999999" x14ac:dyDescent="0.35">
      <c r="A310" t="s">
        <v>2580</v>
      </c>
      <c r="B310" t="s">
        <v>2581</v>
      </c>
      <c r="C310" s="18">
        <v>-191357934.86000001</v>
      </c>
      <c r="AV310" s="43">
        <f t="shared" si="40"/>
        <v>6</v>
      </c>
      <c r="AW310">
        <f t="shared" si="41"/>
        <v>19</v>
      </c>
      <c r="AX310">
        <f t="shared" si="42"/>
        <v>34</v>
      </c>
      <c r="AY310">
        <f t="shared" si="43"/>
        <v>48</v>
      </c>
      <c r="AZ310">
        <f t="shared" si="44"/>
        <v>50</v>
      </c>
      <c r="BA310">
        <f t="shared" si="45"/>
        <v>56</v>
      </c>
      <c r="BB310">
        <f t="shared" si="46"/>
        <v>56</v>
      </c>
      <c r="BC310">
        <f t="shared" si="47"/>
        <v>56</v>
      </c>
      <c r="BD310">
        <f t="shared" si="48"/>
        <v>56</v>
      </c>
      <c r="BE310">
        <f>HLOOKUP(AV310-1,$AW$3:BD582,ROW(AV310)-2,0)</f>
        <v>50</v>
      </c>
      <c r="BF310">
        <f>HLOOKUP(AV310,$AW$3:BD582,ROW(AV310)-2,0)</f>
        <v>56</v>
      </c>
      <c r="BG310" t="str">
        <f t="shared" si="49"/>
        <v>C_III_KwotaA</v>
      </c>
    </row>
    <row r="311" spans="1:60" ht="16.399999999999999" x14ac:dyDescent="0.35">
      <c r="A311" t="s">
        <v>2582</v>
      </c>
      <c r="B311" t="s">
        <v>2583</v>
      </c>
      <c r="C311" s="18">
        <v>-8957968.6400000006</v>
      </c>
      <c r="AV311" s="43">
        <f t="shared" si="40"/>
        <v>5</v>
      </c>
      <c r="AW311">
        <f t="shared" si="41"/>
        <v>19</v>
      </c>
      <c r="AX311">
        <f t="shared" si="42"/>
        <v>34</v>
      </c>
      <c r="AY311">
        <f t="shared" si="43"/>
        <v>48</v>
      </c>
      <c r="AZ311">
        <f t="shared" si="44"/>
        <v>50</v>
      </c>
      <c r="BA311">
        <f t="shared" si="45"/>
        <v>50</v>
      </c>
      <c r="BB311">
        <f t="shared" si="46"/>
        <v>50</v>
      </c>
      <c r="BC311">
        <f t="shared" si="47"/>
        <v>50</v>
      </c>
      <c r="BD311">
        <f t="shared" si="48"/>
        <v>50</v>
      </c>
      <c r="BE311">
        <f>HLOOKUP(AV311-1,$AW$3:BD583,ROW(AV311)-2,0)</f>
        <v>48</v>
      </c>
      <c r="BF311">
        <f>HLOOKUP(AV311,$AW$3:BD583,ROW(AV311)-2,0)</f>
        <v>50</v>
      </c>
      <c r="BG311" t="str">
        <f t="shared" si="49"/>
        <v>D_KwotaA</v>
      </c>
    </row>
    <row r="312" spans="1:60" ht="16.399999999999999" x14ac:dyDescent="0.35">
      <c r="A312" t="s">
        <v>2584</v>
      </c>
      <c r="B312" t="s">
        <v>2585</v>
      </c>
      <c r="C312" s="18">
        <v>-8850441.9299999997</v>
      </c>
      <c r="AV312" s="43">
        <f t="shared" si="40"/>
        <v>5</v>
      </c>
      <c r="AW312">
        <f t="shared" si="41"/>
        <v>19</v>
      </c>
      <c r="AX312">
        <f t="shared" si="42"/>
        <v>34</v>
      </c>
      <c r="AY312">
        <f t="shared" si="43"/>
        <v>48</v>
      </c>
      <c r="AZ312">
        <f t="shared" si="44"/>
        <v>50</v>
      </c>
      <c r="BA312">
        <f t="shared" si="45"/>
        <v>50</v>
      </c>
      <c r="BB312">
        <f t="shared" si="46"/>
        <v>50</v>
      </c>
      <c r="BC312">
        <f t="shared" si="47"/>
        <v>50</v>
      </c>
      <c r="BD312">
        <f t="shared" si="48"/>
        <v>50</v>
      </c>
      <c r="BE312">
        <f>HLOOKUP(AV312-1,$AW$3:BD584,ROW(AV312)-2,0)</f>
        <v>48</v>
      </c>
      <c r="BF312">
        <f>HLOOKUP(AV312,$AW$3:BD584,ROW(AV312)-2,0)</f>
        <v>50</v>
      </c>
      <c r="BG312" t="str">
        <f t="shared" si="49"/>
        <v>E_KwotaA</v>
      </c>
    </row>
    <row r="313" spans="1:60" ht="16.399999999999999" x14ac:dyDescent="0.35">
      <c r="A313" t="s">
        <v>2586</v>
      </c>
      <c r="B313" t="s">
        <v>2587</v>
      </c>
      <c r="C313" s="18">
        <v>107526.71</v>
      </c>
      <c r="AV313" s="43">
        <f t="shared" si="40"/>
        <v>6</v>
      </c>
      <c r="AW313">
        <f t="shared" si="41"/>
        <v>19</v>
      </c>
      <c r="AX313">
        <f t="shared" si="42"/>
        <v>34</v>
      </c>
      <c r="AY313">
        <f t="shared" si="43"/>
        <v>48</v>
      </c>
      <c r="AZ313">
        <f t="shared" si="44"/>
        <v>50</v>
      </c>
      <c r="BA313">
        <f t="shared" si="45"/>
        <v>54</v>
      </c>
      <c r="BB313">
        <f t="shared" si="46"/>
        <v>54</v>
      </c>
      <c r="BC313">
        <f t="shared" si="47"/>
        <v>54</v>
      </c>
      <c r="BD313">
        <f t="shared" si="48"/>
        <v>54</v>
      </c>
      <c r="BE313">
        <f>HLOOKUP(AV313-1,$AW$3:BD585,ROW(AV313)-2,0)</f>
        <v>50</v>
      </c>
      <c r="BF313">
        <f>HLOOKUP(AV313,$AW$3:BD585,ROW(AV313)-2,0)</f>
        <v>54</v>
      </c>
      <c r="BG313" t="str">
        <f t="shared" si="49"/>
        <v>E_1_KwotaA</v>
      </c>
    </row>
    <row r="314" spans="1:60" ht="16.399999999999999" x14ac:dyDescent="0.35">
      <c r="A314" t="s">
        <v>2588</v>
      </c>
      <c r="B314" t="s">
        <v>2589</v>
      </c>
      <c r="C314" s="18">
        <v>10172456.439999999</v>
      </c>
      <c r="AV314" s="43">
        <f t="shared" si="40"/>
        <v>5</v>
      </c>
      <c r="AW314">
        <f t="shared" si="41"/>
        <v>19</v>
      </c>
      <c r="AX314">
        <f t="shared" si="42"/>
        <v>34</v>
      </c>
      <c r="AY314">
        <f t="shared" si="43"/>
        <v>48</v>
      </c>
      <c r="AZ314">
        <f t="shared" si="44"/>
        <v>50</v>
      </c>
      <c r="BA314">
        <f t="shared" si="45"/>
        <v>50</v>
      </c>
      <c r="BB314">
        <f t="shared" si="46"/>
        <v>50</v>
      </c>
      <c r="BC314">
        <f t="shared" si="47"/>
        <v>50</v>
      </c>
      <c r="BD314">
        <f t="shared" si="48"/>
        <v>50</v>
      </c>
      <c r="BE314">
        <f>HLOOKUP(AV314-1,$AW$3:BD586,ROW(AV314)-2,0)</f>
        <v>48</v>
      </c>
      <c r="BF314">
        <f>HLOOKUP(AV314,$AW$3:BD586,ROW(AV314)-2,0)</f>
        <v>50</v>
      </c>
      <c r="BG314" t="str">
        <f t="shared" si="49"/>
        <v>F_KwotaA</v>
      </c>
    </row>
    <row r="315" spans="1:60" ht="16.399999999999999" x14ac:dyDescent="0.35">
      <c r="A315" t="s">
        <v>2590</v>
      </c>
      <c r="B315" t="s">
        <v>2591</v>
      </c>
      <c r="C315" s="18">
        <v>1322014.51</v>
      </c>
      <c r="AV315" s="43">
        <f t="shared" si="40"/>
        <v>5</v>
      </c>
      <c r="AW315">
        <f t="shared" si="41"/>
        <v>19</v>
      </c>
      <c r="AX315">
        <f t="shared" si="42"/>
        <v>34</v>
      </c>
      <c r="AY315">
        <f t="shared" si="43"/>
        <v>48</v>
      </c>
      <c r="AZ315">
        <f t="shared" si="44"/>
        <v>50</v>
      </c>
      <c r="BA315">
        <f t="shared" si="45"/>
        <v>50</v>
      </c>
      <c r="BB315">
        <f t="shared" si="46"/>
        <v>50</v>
      </c>
      <c r="BC315">
        <f t="shared" si="47"/>
        <v>50</v>
      </c>
      <c r="BD315">
        <f t="shared" si="48"/>
        <v>50</v>
      </c>
      <c r="BE315">
        <f>HLOOKUP(AV315-1,$AW$3:BD587,ROW(AV315)-2,0)</f>
        <v>48</v>
      </c>
      <c r="BF315">
        <f>HLOOKUP(AV315,$AW$3:BD587,ROW(AV315)-2,0)</f>
        <v>50</v>
      </c>
      <c r="BG315" t="str">
        <f t="shared" si="49"/>
        <v>G_KwotaA</v>
      </c>
    </row>
    <row r="316" spans="1:60" ht="16.399999999999999" x14ac:dyDescent="0.35">
      <c r="A316" t="s">
        <v>2592</v>
      </c>
      <c r="B316" t="s">
        <v>2593</v>
      </c>
      <c r="AV316" s="43">
        <f t="shared" si="40"/>
        <v>6</v>
      </c>
      <c r="AW316">
        <f t="shared" si="41"/>
        <v>19</v>
      </c>
      <c r="AX316">
        <f t="shared" si="42"/>
        <v>34</v>
      </c>
      <c r="AY316">
        <f t="shared" si="43"/>
        <v>48</v>
      </c>
      <c r="AZ316">
        <f t="shared" si="44"/>
        <v>50</v>
      </c>
      <c r="BA316">
        <f t="shared" si="45"/>
        <v>54</v>
      </c>
      <c r="BB316">
        <f t="shared" si="46"/>
        <v>54</v>
      </c>
      <c r="BC316">
        <f t="shared" si="47"/>
        <v>54</v>
      </c>
      <c r="BD316">
        <f t="shared" si="48"/>
        <v>54</v>
      </c>
      <c r="BE316">
        <f>HLOOKUP(AV316-1,$AW$3:BD588,ROW(AV316)-2,0)</f>
        <v>50</v>
      </c>
      <c r="BF316">
        <f>HLOOKUP(AV316,$AW$3:BD588,ROW(AV316)-2,0)</f>
        <v>54</v>
      </c>
      <c r="BG316" t="str">
        <f t="shared" si="49"/>
        <v>G_1_KwotaA</v>
      </c>
    </row>
    <row r="317" spans="1:60" ht="16.399999999999999" x14ac:dyDescent="0.35">
      <c r="A317" t="s">
        <v>2594</v>
      </c>
      <c r="B317" t="s">
        <v>2595</v>
      </c>
      <c r="C317" s="18">
        <v>59964292.439999998</v>
      </c>
      <c r="AV317" s="43">
        <f t="shared" si="40"/>
        <v>5</v>
      </c>
      <c r="AW317">
        <f t="shared" si="41"/>
        <v>19</v>
      </c>
      <c r="AX317">
        <f t="shared" si="42"/>
        <v>63</v>
      </c>
      <c r="AY317">
        <f t="shared" si="43"/>
        <v>110</v>
      </c>
      <c r="AZ317">
        <f t="shared" si="44"/>
        <v>117</v>
      </c>
      <c r="BA317">
        <f t="shared" si="45"/>
        <v>117</v>
      </c>
      <c r="BB317">
        <f t="shared" si="46"/>
        <v>117</v>
      </c>
      <c r="BC317">
        <f t="shared" si="47"/>
        <v>117</v>
      </c>
      <c r="BD317">
        <f t="shared" si="48"/>
        <v>117</v>
      </c>
      <c r="BE317">
        <f>HLOOKUP(AV317-1,$AW$3:BD589,ROW(AV317)-2,0)</f>
        <v>110</v>
      </c>
      <c r="BF317">
        <f>HLOOKUP(AV317,$AW$3:BD589,ROW(AV317)-2,0)</f>
        <v>117</v>
      </c>
      <c r="BG317" t="str">
        <f t="shared" si="49"/>
        <v>RB</v>
      </c>
      <c r="BH317" t="str">
        <f>MID(B317,AY317+1,LEN(B317))</f>
        <v>P_ID_1/RB</v>
      </c>
    </row>
    <row r="318" spans="1:60" ht="16.399999999999999" x14ac:dyDescent="0.35">
      <c r="A318" t="s">
        <v>2596</v>
      </c>
      <c r="B318" t="s">
        <v>2597</v>
      </c>
      <c r="C318" s="18">
        <v>-123488153.38</v>
      </c>
      <c r="AV318" s="43">
        <f t="shared" si="40"/>
        <v>7</v>
      </c>
      <c r="AW318">
        <f t="shared" si="41"/>
        <v>19</v>
      </c>
      <c r="AX318">
        <f t="shared" si="42"/>
        <v>63</v>
      </c>
      <c r="AY318">
        <f t="shared" si="43"/>
        <v>110</v>
      </c>
      <c r="AZ318">
        <f t="shared" si="44"/>
        <v>117</v>
      </c>
      <c r="BA318">
        <f t="shared" si="45"/>
        <v>123</v>
      </c>
      <c r="BB318">
        <f t="shared" si="46"/>
        <v>126</v>
      </c>
      <c r="BC318">
        <f t="shared" si="47"/>
        <v>126</v>
      </c>
      <c r="BD318">
        <f t="shared" si="48"/>
        <v>126</v>
      </c>
      <c r="BE318">
        <f>HLOOKUP(AV318-1,$AW$3:BD590,ROW(AV318)-2,0)</f>
        <v>123</v>
      </c>
      <c r="BF318">
        <f>HLOOKUP(AV318,$AW$3:BD590,ROW(AV318)-2,0)</f>
        <v>126</v>
      </c>
      <c r="BG318" t="str">
        <f t="shared" si="49"/>
        <v>RB_KwotaA</v>
      </c>
      <c r="BH318" t="str">
        <f t="shared" ref="BH318:BH325" si="50">MID(B318,AY318+1,LEN(B318)-BF318)&amp;MID(B318,BE318,LEN(B318)-BE318+1)</f>
        <v>P_ID_2/RB/KwotaA</v>
      </c>
    </row>
    <row r="319" spans="1:60" ht="16.399999999999999" x14ac:dyDescent="0.35">
      <c r="A319" t="s">
        <v>2598</v>
      </c>
      <c r="B319" t="s">
        <v>2599</v>
      </c>
      <c r="C319" s="18">
        <v>-4757771.3600000003</v>
      </c>
      <c r="AV319" s="43">
        <f t="shared" si="40"/>
        <v>7</v>
      </c>
      <c r="AW319">
        <f t="shared" si="41"/>
        <v>19</v>
      </c>
      <c r="AX319">
        <f t="shared" si="42"/>
        <v>63</v>
      </c>
      <c r="AY319">
        <f t="shared" si="43"/>
        <v>110</v>
      </c>
      <c r="AZ319">
        <f t="shared" si="44"/>
        <v>117</v>
      </c>
      <c r="BA319">
        <f t="shared" si="45"/>
        <v>123</v>
      </c>
      <c r="BB319">
        <f t="shared" si="46"/>
        <v>126</v>
      </c>
      <c r="BC319">
        <f t="shared" si="47"/>
        <v>126</v>
      </c>
      <c r="BD319">
        <f t="shared" si="48"/>
        <v>126</v>
      </c>
      <c r="BE319">
        <f>HLOOKUP(AV319-1,$AW$3:BD591,ROW(AV319)-2,0)</f>
        <v>123</v>
      </c>
      <c r="BF319">
        <f>HLOOKUP(AV319,$AW$3:BD591,ROW(AV319)-2,0)</f>
        <v>126</v>
      </c>
      <c r="BG319" t="str">
        <f t="shared" si="49"/>
        <v>RB_KwotaA</v>
      </c>
      <c r="BH319" t="str">
        <f t="shared" si="50"/>
        <v>P_ID_3/RB/KwotaA</v>
      </c>
    </row>
    <row r="320" spans="1:60" ht="16.399999999999999" x14ac:dyDescent="0.35">
      <c r="A320" t="s">
        <v>2600</v>
      </c>
      <c r="B320" t="s">
        <v>2601</v>
      </c>
      <c r="C320" s="18">
        <v>723950.42</v>
      </c>
      <c r="AV320" s="43">
        <f t="shared" si="40"/>
        <v>7</v>
      </c>
      <c r="AW320">
        <f t="shared" si="41"/>
        <v>19</v>
      </c>
      <c r="AX320">
        <f t="shared" si="42"/>
        <v>63</v>
      </c>
      <c r="AY320">
        <f t="shared" si="43"/>
        <v>110</v>
      </c>
      <c r="AZ320">
        <f t="shared" si="44"/>
        <v>117</v>
      </c>
      <c r="BA320">
        <f t="shared" si="45"/>
        <v>123</v>
      </c>
      <c r="BB320">
        <f t="shared" si="46"/>
        <v>126</v>
      </c>
      <c r="BC320">
        <f t="shared" si="47"/>
        <v>126</v>
      </c>
      <c r="BD320">
        <f t="shared" si="48"/>
        <v>126</v>
      </c>
      <c r="BE320">
        <f>HLOOKUP(AV320-1,$AW$3:BD592,ROW(AV320)-2,0)</f>
        <v>123</v>
      </c>
      <c r="BF320">
        <f>HLOOKUP(AV320,$AW$3:BD592,ROW(AV320)-2,0)</f>
        <v>126</v>
      </c>
      <c r="BG320" t="str">
        <f t="shared" si="49"/>
        <v>RB_KwotaA</v>
      </c>
      <c r="BH320" t="str">
        <f t="shared" si="50"/>
        <v>P_ID_4/RB/KwotaA</v>
      </c>
    </row>
    <row r="321" spans="1:60" ht="16.399999999999999" x14ac:dyDescent="0.35">
      <c r="A321" t="s">
        <v>2602</v>
      </c>
      <c r="B321" t="s">
        <v>2603</v>
      </c>
      <c r="C321" s="18">
        <v>30655219.870000001</v>
      </c>
      <c r="AV321" s="43">
        <f t="shared" si="40"/>
        <v>7</v>
      </c>
      <c r="AW321">
        <f t="shared" si="41"/>
        <v>19</v>
      </c>
      <c r="AX321">
        <f t="shared" si="42"/>
        <v>63</v>
      </c>
      <c r="AY321">
        <f t="shared" si="43"/>
        <v>110</v>
      </c>
      <c r="AZ321">
        <f t="shared" si="44"/>
        <v>117</v>
      </c>
      <c r="BA321">
        <f t="shared" si="45"/>
        <v>123</v>
      </c>
      <c r="BB321">
        <f t="shared" si="46"/>
        <v>126</v>
      </c>
      <c r="BC321">
        <f t="shared" si="47"/>
        <v>126</v>
      </c>
      <c r="BD321">
        <f t="shared" si="48"/>
        <v>126</v>
      </c>
      <c r="BE321">
        <f>HLOOKUP(AV321-1,$AW$3:BD593,ROW(AV321)-2,0)</f>
        <v>123</v>
      </c>
      <c r="BF321">
        <f>HLOOKUP(AV321,$AW$3:BD593,ROW(AV321)-2,0)</f>
        <v>126</v>
      </c>
      <c r="BG321" t="str">
        <f t="shared" si="49"/>
        <v>RB_KwotaA</v>
      </c>
      <c r="BH321" t="str">
        <f t="shared" si="50"/>
        <v>P_ID_5/RB/KwotaA</v>
      </c>
    </row>
    <row r="322" spans="1:60" ht="16.399999999999999" x14ac:dyDescent="0.35">
      <c r="A322" t="s">
        <v>2604</v>
      </c>
      <c r="B322" t="s">
        <v>2605</v>
      </c>
      <c r="C322" s="18">
        <v>33134713.84</v>
      </c>
      <c r="AV322" s="43">
        <f t="shared" si="40"/>
        <v>7</v>
      </c>
      <c r="AW322">
        <f t="shared" si="41"/>
        <v>19</v>
      </c>
      <c r="AX322">
        <f t="shared" si="42"/>
        <v>63</v>
      </c>
      <c r="AY322">
        <f t="shared" si="43"/>
        <v>110</v>
      </c>
      <c r="AZ322">
        <f t="shared" si="44"/>
        <v>117</v>
      </c>
      <c r="BA322">
        <f t="shared" si="45"/>
        <v>123</v>
      </c>
      <c r="BB322">
        <f t="shared" si="46"/>
        <v>126</v>
      </c>
      <c r="BC322">
        <f t="shared" si="47"/>
        <v>126</v>
      </c>
      <c r="BD322">
        <f t="shared" si="48"/>
        <v>126</v>
      </c>
      <c r="BE322">
        <f>HLOOKUP(AV322-1,$AW$3:BD594,ROW(AV322)-2,0)</f>
        <v>123</v>
      </c>
      <c r="BF322">
        <f>HLOOKUP(AV322,$AW$3:BD594,ROW(AV322)-2,0)</f>
        <v>126</v>
      </c>
      <c r="BG322" t="str">
        <f t="shared" si="49"/>
        <v>RB_KwotaA</v>
      </c>
      <c r="BH322" t="str">
        <f t="shared" si="50"/>
        <v>P_ID_6/RB/KwotaA</v>
      </c>
    </row>
    <row r="323" spans="1:60" ht="16.399999999999999" x14ac:dyDescent="0.35">
      <c r="A323" t="s">
        <v>2606</v>
      </c>
      <c r="B323" t="s">
        <v>2607</v>
      </c>
      <c r="C323" s="18">
        <v>-1870331.7</v>
      </c>
      <c r="AV323" s="43">
        <f t="shared" si="40"/>
        <v>7</v>
      </c>
      <c r="AW323">
        <f t="shared" si="41"/>
        <v>19</v>
      </c>
      <c r="AX323">
        <f t="shared" si="42"/>
        <v>63</v>
      </c>
      <c r="AY323">
        <f t="shared" si="43"/>
        <v>110</v>
      </c>
      <c r="AZ323">
        <f t="shared" si="44"/>
        <v>117</v>
      </c>
      <c r="BA323">
        <f t="shared" si="45"/>
        <v>123</v>
      </c>
      <c r="BB323">
        <f t="shared" si="46"/>
        <v>126</v>
      </c>
      <c r="BC323">
        <f t="shared" si="47"/>
        <v>126</v>
      </c>
      <c r="BD323">
        <f t="shared" si="48"/>
        <v>126</v>
      </c>
      <c r="BE323">
        <f>HLOOKUP(AV323-1,$AW$3:BD595,ROW(AV323)-2,0)</f>
        <v>123</v>
      </c>
      <c r="BF323">
        <f>HLOOKUP(AV323,$AW$3:BD595,ROW(AV323)-2,0)</f>
        <v>126</v>
      </c>
      <c r="BG323" t="str">
        <f t="shared" si="49"/>
        <v>RB_KwotaA</v>
      </c>
      <c r="BH323" t="str">
        <f t="shared" si="50"/>
        <v>P_ID_7/RB/KwotaA</v>
      </c>
    </row>
    <row r="324" spans="1:60" ht="16.399999999999999" x14ac:dyDescent="0.35">
      <c r="A324" t="s">
        <v>2608</v>
      </c>
      <c r="B324" t="s">
        <v>2609</v>
      </c>
      <c r="C324" s="18">
        <v>0</v>
      </c>
      <c r="AV324" s="43">
        <f t="shared" si="40"/>
        <v>7</v>
      </c>
      <c r="AW324">
        <f t="shared" si="41"/>
        <v>19</v>
      </c>
      <c r="AX324">
        <f t="shared" ref="AX324:AX387" si="51">FIND("/",B324,AW324+1)</f>
        <v>63</v>
      </c>
      <c r="AY324">
        <f t="shared" ref="AY324:AY387" si="52">IFERROR(FIND("/",B324,AX324+1),AX324)</f>
        <v>110</v>
      </c>
      <c r="AZ324">
        <f t="shared" ref="AZ324:AZ387" si="53">IFERROR(FIND("/",B324,AY324+1),AY324)</f>
        <v>117</v>
      </c>
      <c r="BA324">
        <f t="shared" ref="BA324:BA387" si="54">IFERROR(FIND("/",B324,AZ324+1),AZ324)</f>
        <v>123</v>
      </c>
      <c r="BB324">
        <f t="shared" ref="BB324:BB387" si="55">IFERROR(FIND("/",B324,BA324+1),BA324)</f>
        <v>126</v>
      </c>
      <c r="BC324">
        <f t="shared" ref="BC324:BC387" si="56">IFERROR(FIND("/",B324,BB324+1),BB324)</f>
        <v>126</v>
      </c>
      <c r="BD324">
        <f t="shared" ref="BD324:BD387" si="57">IFERROR(FIND("/",B324,BC324+1),BC324)</f>
        <v>126</v>
      </c>
      <c r="BE324">
        <f>HLOOKUP(AV324-1,$AW$3:BD596,ROW(AV324)-2,0)</f>
        <v>123</v>
      </c>
      <c r="BF324">
        <f>HLOOKUP(AV324,$AW$3:BD596,ROW(AV324)-2,0)</f>
        <v>126</v>
      </c>
      <c r="BG324" t="str">
        <f t="shared" ref="BG324:BG387" si="58">IF(ISERROR(FIND("Kwota",B324)),IF(ISERROR(FIND("Prawna",B324)),MID(B324,BF324+1,LEN(B324)-BF324),REPLACE(MID(B324,BE324+1,LEN(B324)-BE324),FIND("/",MID(B324,BE324+1,LEN(B324)-BE324)),1,"_")),REPLACE(MID(B324,BE324+1,LEN(B324)-BE324),FIND("/",MID(B324,BE324+1,LEN(B324)-BE324)),1,"_"))</f>
        <v>RB_KwotaA</v>
      </c>
      <c r="BH324" t="str">
        <f t="shared" si="50"/>
        <v>P_ID_8/RB/KwotaA</v>
      </c>
    </row>
    <row r="325" spans="1:60" ht="16.399999999999999" x14ac:dyDescent="0.35">
      <c r="A325" t="s">
        <v>2610</v>
      </c>
      <c r="B325" t="s">
        <v>2611</v>
      </c>
      <c r="C325" s="18">
        <v>0</v>
      </c>
      <c r="AV325" s="43">
        <f t="shared" si="40"/>
        <v>7</v>
      </c>
      <c r="AW325">
        <f t="shared" si="41"/>
        <v>19</v>
      </c>
      <c r="AX325">
        <f t="shared" si="51"/>
        <v>63</v>
      </c>
      <c r="AY325">
        <f t="shared" si="52"/>
        <v>110</v>
      </c>
      <c r="AZ325">
        <f t="shared" si="53"/>
        <v>117</v>
      </c>
      <c r="BA325">
        <f t="shared" si="54"/>
        <v>123</v>
      </c>
      <c r="BB325">
        <f t="shared" si="55"/>
        <v>126</v>
      </c>
      <c r="BC325">
        <f t="shared" si="56"/>
        <v>126</v>
      </c>
      <c r="BD325">
        <f t="shared" si="57"/>
        <v>126</v>
      </c>
      <c r="BE325">
        <f>HLOOKUP(AV325-1,$AW$3:BD597,ROW(AV325)-2,0)</f>
        <v>123</v>
      </c>
      <c r="BF325">
        <f>HLOOKUP(AV325,$AW$3:BD597,ROW(AV325)-2,0)</f>
        <v>126</v>
      </c>
      <c r="BG325" t="str">
        <f t="shared" si="58"/>
        <v>RB_KwotaA</v>
      </c>
      <c r="BH325" t="str">
        <f t="shared" si="50"/>
        <v>P_ID_9/RB/KwotaA</v>
      </c>
    </row>
    <row r="326" spans="1:60" ht="16.399999999999999" x14ac:dyDescent="0.35">
      <c r="A326" t="s">
        <v>2612</v>
      </c>
      <c r="B326" t="s">
        <v>2613</v>
      </c>
      <c r="C326" s="18">
        <v>-5638079.8700000001</v>
      </c>
      <c r="AV326" s="43">
        <f t="shared" si="40"/>
        <v>5</v>
      </c>
      <c r="AW326">
        <f t="shared" si="41"/>
        <v>19</v>
      </c>
      <c r="AX326">
        <f t="shared" si="51"/>
        <v>63</v>
      </c>
      <c r="AY326">
        <f t="shared" si="52"/>
        <v>110</v>
      </c>
      <c r="AZ326">
        <f t="shared" si="53"/>
        <v>118</v>
      </c>
      <c r="BA326">
        <f t="shared" si="54"/>
        <v>118</v>
      </c>
      <c r="BB326">
        <f t="shared" si="55"/>
        <v>118</v>
      </c>
      <c r="BC326">
        <f t="shared" si="56"/>
        <v>118</v>
      </c>
      <c r="BD326">
        <f t="shared" si="57"/>
        <v>118</v>
      </c>
      <c r="BE326">
        <f>HLOOKUP(AV326-1,$AW$3:BD598,ROW(AV326)-2,0)</f>
        <v>110</v>
      </c>
      <c r="BF326">
        <f>HLOOKUP(AV326,$AW$3:BD598,ROW(AV326)-2,0)</f>
        <v>118</v>
      </c>
      <c r="BG326" t="str">
        <f t="shared" si="58"/>
        <v>RB</v>
      </c>
      <c r="BH326" t="str">
        <f>MID(B326,AY326+1,LEN(B326))</f>
        <v>P_ID_10/RB</v>
      </c>
    </row>
    <row r="327" spans="1:60" ht="16.399999999999999" x14ac:dyDescent="0.35">
      <c r="A327" t="s">
        <v>2614</v>
      </c>
      <c r="B327" t="s">
        <v>2615</v>
      </c>
      <c r="C327" s="18">
        <v>0</v>
      </c>
      <c r="AV327" s="43">
        <f t="shared" si="40"/>
        <v>5</v>
      </c>
      <c r="AW327">
        <f t="shared" si="41"/>
        <v>19</v>
      </c>
      <c r="AX327">
        <f t="shared" si="51"/>
        <v>63</v>
      </c>
      <c r="AY327">
        <f t="shared" si="52"/>
        <v>110</v>
      </c>
      <c r="AZ327">
        <f t="shared" si="53"/>
        <v>118</v>
      </c>
      <c r="BA327">
        <f t="shared" si="54"/>
        <v>118</v>
      </c>
      <c r="BB327">
        <f t="shared" si="55"/>
        <v>118</v>
      </c>
      <c r="BC327">
        <f t="shared" si="56"/>
        <v>118</v>
      </c>
      <c r="BD327">
        <f t="shared" si="57"/>
        <v>118</v>
      </c>
      <c r="BE327">
        <f>HLOOKUP(AV327-1,$AW$3:BD599,ROW(AV327)-2,0)</f>
        <v>110</v>
      </c>
      <c r="BF327">
        <f>HLOOKUP(AV327,$AW$3:BD599,ROW(AV327)-2,0)</f>
        <v>118</v>
      </c>
      <c r="BG327" t="str">
        <f t="shared" si="58"/>
        <v>RB</v>
      </c>
      <c r="BH327" t="str">
        <f>MID(B327,AY327+1,LEN(B327))</f>
        <v>P_ID_11/RB</v>
      </c>
    </row>
    <row r="328" spans="1:60" x14ac:dyDescent="0.3">
      <c r="A328" t="s">
        <v>1969</v>
      </c>
      <c r="B328" t="s">
        <v>2616</v>
      </c>
      <c r="C328" s="18">
        <v>1162057982.4400001</v>
      </c>
      <c r="AV328">
        <f t="shared" ref="AV328:AV391" si="59" xml:space="preserve"> SUM(LEN(B328)-LEN(SUBSTITUTE(B328,"/","")))/LEN("/")</f>
        <v>4</v>
      </c>
      <c r="AW328">
        <f t="shared" ref="AW328:AW391" si="60">FIND("/",B328,2)</f>
        <v>15</v>
      </c>
      <c r="AX328">
        <f t="shared" si="51"/>
        <v>22</v>
      </c>
      <c r="AY328">
        <f t="shared" si="52"/>
        <v>29</v>
      </c>
      <c r="AZ328">
        <f t="shared" si="53"/>
        <v>29</v>
      </c>
      <c r="BA328">
        <f t="shared" si="54"/>
        <v>29</v>
      </c>
      <c r="BB328">
        <f t="shared" si="55"/>
        <v>29</v>
      </c>
      <c r="BC328">
        <f t="shared" si="56"/>
        <v>29</v>
      </c>
      <c r="BD328">
        <f t="shared" si="57"/>
        <v>29</v>
      </c>
      <c r="BE328">
        <f>HLOOKUP(AV328-1,$AW$3:BD651,ROW(AV328)-2,0)</f>
        <v>22</v>
      </c>
      <c r="BF328">
        <f>HLOOKUP(AV328,$AW$3:BD651,ROW(AV328)-2,0)</f>
        <v>29</v>
      </c>
      <c r="BG328" t="str">
        <f t="shared" si="58"/>
        <v>Aktywa_KwotaA</v>
      </c>
    </row>
    <row r="329" spans="1:60" x14ac:dyDescent="0.3">
      <c r="A329" t="s">
        <v>1971</v>
      </c>
      <c r="B329" t="s">
        <v>2617</v>
      </c>
      <c r="C329" s="18">
        <v>1140175599.51</v>
      </c>
      <c r="AV329">
        <f t="shared" si="59"/>
        <v>5</v>
      </c>
      <c r="AW329">
        <f t="shared" si="60"/>
        <v>15</v>
      </c>
      <c r="AX329">
        <f t="shared" si="51"/>
        <v>22</v>
      </c>
      <c r="AY329">
        <f t="shared" si="52"/>
        <v>29</v>
      </c>
      <c r="AZ329">
        <f t="shared" si="53"/>
        <v>38</v>
      </c>
      <c r="BA329">
        <f t="shared" si="54"/>
        <v>38</v>
      </c>
      <c r="BB329">
        <f t="shared" si="55"/>
        <v>38</v>
      </c>
      <c r="BC329">
        <f t="shared" si="56"/>
        <v>38</v>
      </c>
      <c r="BD329">
        <f t="shared" si="57"/>
        <v>38</v>
      </c>
      <c r="BE329">
        <f>HLOOKUP(AV329-1,$AW$3:BD651,ROW(AV329)-2,0)</f>
        <v>29</v>
      </c>
      <c r="BF329">
        <f>HLOOKUP(AV329,$AW$3:BD651,ROW(AV329)-2,0)</f>
        <v>38</v>
      </c>
      <c r="BG329" t="str">
        <f t="shared" si="58"/>
        <v>Aktywa_A_KwotaA</v>
      </c>
    </row>
    <row r="330" spans="1:60" x14ac:dyDescent="0.3">
      <c r="A330" t="s">
        <v>1973</v>
      </c>
      <c r="B330" t="s">
        <v>2618</v>
      </c>
      <c r="AV330">
        <f t="shared" si="59"/>
        <v>6</v>
      </c>
      <c r="AW330">
        <f t="shared" si="60"/>
        <v>15</v>
      </c>
      <c r="AX330">
        <f t="shared" si="51"/>
        <v>22</v>
      </c>
      <c r="AY330">
        <f t="shared" si="52"/>
        <v>29</v>
      </c>
      <c r="AZ330">
        <f t="shared" si="53"/>
        <v>38</v>
      </c>
      <c r="BA330">
        <f t="shared" si="54"/>
        <v>49</v>
      </c>
      <c r="BB330">
        <f t="shared" si="55"/>
        <v>49</v>
      </c>
      <c r="BC330">
        <f t="shared" si="56"/>
        <v>49</v>
      </c>
      <c r="BD330">
        <f t="shared" si="57"/>
        <v>49</v>
      </c>
      <c r="BE330">
        <f>HLOOKUP(AV330-1,$AW$3:BD651,ROW(AV330)-2,0)</f>
        <v>38</v>
      </c>
      <c r="BF330">
        <f>HLOOKUP(AV330,$AW$3:BD651,ROW(AV330)-2,0)</f>
        <v>49</v>
      </c>
      <c r="BG330" t="str">
        <f t="shared" si="58"/>
        <v>Aktywa_A_I_KwotaA</v>
      </c>
    </row>
    <row r="331" spans="1:60" x14ac:dyDescent="0.3">
      <c r="A331" t="s">
        <v>1975</v>
      </c>
      <c r="B331" t="s">
        <v>2619</v>
      </c>
      <c r="AV331">
        <f t="shared" si="59"/>
        <v>7</v>
      </c>
      <c r="AW331">
        <f t="shared" si="60"/>
        <v>15</v>
      </c>
      <c r="AX331">
        <f t="shared" si="51"/>
        <v>22</v>
      </c>
      <c r="AY331">
        <f t="shared" si="52"/>
        <v>29</v>
      </c>
      <c r="AZ331">
        <f t="shared" si="53"/>
        <v>38</v>
      </c>
      <c r="BA331">
        <f t="shared" si="54"/>
        <v>49</v>
      </c>
      <c r="BB331">
        <f t="shared" si="55"/>
        <v>62</v>
      </c>
      <c r="BC331">
        <f t="shared" si="56"/>
        <v>62</v>
      </c>
      <c r="BD331">
        <f t="shared" si="57"/>
        <v>62</v>
      </c>
      <c r="BE331">
        <f>HLOOKUP(AV331-1,$AW$3:BD651,ROW(AV331)-2,0)</f>
        <v>49</v>
      </c>
      <c r="BF331">
        <f>HLOOKUP(AV331,$AW$3:BD651,ROW(AV331)-2,0)</f>
        <v>62</v>
      </c>
      <c r="BG331" t="str">
        <f t="shared" si="58"/>
        <v>Aktywa_A_I_1_KwotaA</v>
      </c>
    </row>
    <row r="332" spans="1:60" x14ac:dyDescent="0.3">
      <c r="A332" t="s">
        <v>1977</v>
      </c>
      <c r="B332" t="s">
        <v>2620</v>
      </c>
      <c r="AV332">
        <f t="shared" si="59"/>
        <v>7</v>
      </c>
      <c r="AW332">
        <f t="shared" si="60"/>
        <v>15</v>
      </c>
      <c r="AX332">
        <f t="shared" si="51"/>
        <v>22</v>
      </c>
      <c r="AY332">
        <f t="shared" si="52"/>
        <v>29</v>
      </c>
      <c r="AZ332">
        <f t="shared" si="53"/>
        <v>38</v>
      </c>
      <c r="BA332">
        <f t="shared" si="54"/>
        <v>49</v>
      </c>
      <c r="BB332">
        <f t="shared" si="55"/>
        <v>62</v>
      </c>
      <c r="BC332">
        <f t="shared" si="56"/>
        <v>62</v>
      </c>
      <c r="BD332">
        <f t="shared" si="57"/>
        <v>62</v>
      </c>
      <c r="BE332">
        <f>HLOOKUP(AV332-1,$AW$3:BD651,ROW(AV332)-2,0)</f>
        <v>49</v>
      </c>
      <c r="BF332">
        <f>HLOOKUP(AV332,$AW$3:BD651,ROW(AV332)-2,0)</f>
        <v>62</v>
      </c>
      <c r="BG332" t="str">
        <f t="shared" si="58"/>
        <v>Aktywa_A_I_2_KwotaA</v>
      </c>
    </row>
    <row r="333" spans="1:60" x14ac:dyDescent="0.3">
      <c r="A333" t="s">
        <v>1979</v>
      </c>
      <c r="B333" t="s">
        <v>2621</v>
      </c>
      <c r="AV333">
        <f t="shared" si="59"/>
        <v>7</v>
      </c>
      <c r="AW333">
        <f t="shared" si="60"/>
        <v>15</v>
      </c>
      <c r="AX333">
        <f t="shared" si="51"/>
        <v>22</v>
      </c>
      <c r="AY333">
        <f t="shared" si="52"/>
        <v>29</v>
      </c>
      <c r="AZ333">
        <f t="shared" si="53"/>
        <v>38</v>
      </c>
      <c r="BA333">
        <f t="shared" si="54"/>
        <v>49</v>
      </c>
      <c r="BB333">
        <f t="shared" si="55"/>
        <v>62</v>
      </c>
      <c r="BC333">
        <f t="shared" si="56"/>
        <v>62</v>
      </c>
      <c r="BD333">
        <f t="shared" si="57"/>
        <v>62</v>
      </c>
      <c r="BE333">
        <f>HLOOKUP(AV333-1,$AW$3:BD651,ROW(AV333)-2,0)</f>
        <v>49</v>
      </c>
      <c r="BF333">
        <f>HLOOKUP(AV333,$AW$3:BD651,ROW(AV333)-2,0)</f>
        <v>62</v>
      </c>
      <c r="BG333" t="str">
        <f t="shared" si="58"/>
        <v>Aktywa_A_I_3_KwotaA</v>
      </c>
    </row>
    <row r="334" spans="1:60" x14ac:dyDescent="0.3">
      <c r="A334" t="s">
        <v>1981</v>
      </c>
      <c r="B334" t="s">
        <v>2622</v>
      </c>
      <c r="AV334">
        <f t="shared" si="59"/>
        <v>7</v>
      </c>
      <c r="AW334">
        <f t="shared" si="60"/>
        <v>15</v>
      </c>
      <c r="AX334">
        <f t="shared" si="51"/>
        <v>22</v>
      </c>
      <c r="AY334">
        <f t="shared" si="52"/>
        <v>29</v>
      </c>
      <c r="AZ334">
        <f t="shared" si="53"/>
        <v>38</v>
      </c>
      <c r="BA334">
        <f t="shared" si="54"/>
        <v>49</v>
      </c>
      <c r="BB334">
        <f t="shared" si="55"/>
        <v>62</v>
      </c>
      <c r="BC334">
        <f t="shared" si="56"/>
        <v>62</v>
      </c>
      <c r="BD334">
        <f t="shared" si="57"/>
        <v>62</v>
      </c>
      <c r="BE334">
        <f>HLOOKUP(AV334-1,$AW$3:BD651,ROW(AV334)-2,0)</f>
        <v>49</v>
      </c>
      <c r="BF334">
        <f>HLOOKUP(AV334,$AW$3:BD651,ROW(AV334)-2,0)</f>
        <v>62</v>
      </c>
      <c r="BG334" t="str">
        <f t="shared" si="58"/>
        <v>Aktywa_A_I_4_KwotaA</v>
      </c>
    </row>
    <row r="335" spans="1:60" x14ac:dyDescent="0.3">
      <c r="A335" t="s">
        <v>1983</v>
      </c>
      <c r="B335" t="s">
        <v>2623</v>
      </c>
      <c r="AV335">
        <f t="shared" si="59"/>
        <v>6</v>
      </c>
      <c r="AW335">
        <f t="shared" si="60"/>
        <v>15</v>
      </c>
      <c r="AX335">
        <f t="shared" si="51"/>
        <v>22</v>
      </c>
      <c r="AY335">
        <f t="shared" si="52"/>
        <v>29</v>
      </c>
      <c r="AZ335">
        <f t="shared" si="53"/>
        <v>38</v>
      </c>
      <c r="BA335">
        <f t="shared" si="54"/>
        <v>50</v>
      </c>
      <c r="BB335">
        <f t="shared" si="55"/>
        <v>50</v>
      </c>
      <c r="BC335">
        <f t="shared" si="56"/>
        <v>50</v>
      </c>
      <c r="BD335">
        <f t="shared" si="57"/>
        <v>50</v>
      </c>
      <c r="BE335">
        <f>HLOOKUP(AV335-1,$AW$3:BD651,ROW(AV335)-2,0)</f>
        <v>38</v>
      </c>
      <c r="BF335">
        <f>HLOOKUP(AV335,$AW$3:BD651,ROW(AV335)-2,0)</f>
        <v>50</v>
      </c>
      <c r="BG335" t="str">
        <f t="shared" si="58"/>
        <v>Aktywa_A_II_KwotaA</v>
      </c>
    </row>
    <row r="336" spans="1:60" x14ac:dyDescent="0.3">
      <c r="A336" t="s">
        <v>1985</v>
      </c>
      <c r="B336" t="s">
        <v>2624</v>
      </c>
      <c r="AV336">
        <f t="shared" si="59"/>
        <v>7</v>
      </c>
      <c r="AW336">
        <f t="shared" si="60"/>
        <v>15</v>
      </c>
      <c r="AX336">
        <f t="shared" si="51"/>
        <v>22</v>
      </c>
      <c r="AY336">
        <f t="shared" si="52"/>
        <v>29</v>
      </c>
      <c r="AZ336">
        <f t="shared" si="53"/>
        <v>38</v>
      </c>
      <c r="BA336">
        <f t="shared" si="54"/>
        <v>50</v>
      </c>
      <c r="BB336">
        <f t="shared" si="55"/>
        <v>64</v>
      </c>
      <c r="BC336">
        <f t="shared" si="56"/>
        <v>64</v>
      </c>
      <c r="BD336">
        <f t="shared" si="57"/>
        <v>64</v>
      </c>
      <c r="BE336">
        <f>HLOOKUP(AV336-1,$AW$3:BD651,ROW(AV336)-2,0)</f>
        <v>50</v>
      </c>
      <c r="BF336">
        <f>HLOOKUP(AV336,$AW$3:BD651,ROW(AV336)-2,0)</f>
        <v>64</v>
      </c>
      <c r="BG336" t="str">
        <f t="shared" si="58"/>
        <v>Aktywa_A_II_1_KwotaA</v>
      </c>
    </row>
    <row r="337" spans="1:59" x14ac:dyDescent="0.3">
      <c r="A337" t="s">
        <v>1987</v>
      </c>
      <c r="B337" t="s">
        <v>2625</v>
      </c>
      <c r="AV337">
        <f t="shared" si="59"/>
        <v>8</v>
      </c>
      <c r="AW337">
        <f t="shared" si="60"/>
        <v>15</v>
      </c>
      <c r="AX337">
        <f t="shared" si="51"/>
        <v>22</v>
      </c>
      <c r="AY337">
        <f t="shared" si="52"/>
        <v>29</v>
      </c>
      <c r="AZ337">
        <f t="shared" si="53"/>
        <v>38</v>
      </c>
      <c r="BA337">
        <f t="shared" si="54"/>
        <v>50</v>
      </c>
      <c r="BB337">
        <f t="shared" si="55"/>
        <v>64</v>
      </c>
      <c r="BC337">
        <f t="shared" si="56"/>
        <v>80</v>
      </c>
      <c r="BD337">
        <f t="shared" si="57"/>
        <v>80</v>
      </c>
      <c r="BE337">
        <f>HLOOKUP(AV337-1,$AW$3:BD651,ROW(AV337)-2,0)</f>
        <v>64</v>
      </c>
      <c r="BF337">
        <f>HLOOKUP(AV337,$AW$3:BD651,ROW(AV337)-2,0)</f>
        <v>80</v>
      </c>
      <c r="BG337" t="str">
        <f t="shared" si="58"/>
        <v>Aktywa_A_II_1_A_KwotaA</v>
      </c>
    </row>
    <row r="338" spans="1:59" x14ac:dyDescent="0.3">
      <c r="A338" t="s">
        <v>1989</v>
      </c>
      <c r="B338" t="s">
        <v>2626</v>
      </c>
      <c r="AV338">
        <f t="shared" si="59"/>
        <v>8</v>
      </c>
      <c r="AW338">
        <f t="shared" si="60"/>
        <v>15</v>
      </c>
      <c r="AX338">
        <f t="shared" si="51"/>
        <v>22</v>
      </c>
      <c r="AY338">
        <f t="shared" si="52"/>
        <v>29</v>
      </c>
      <c r="AZ338">
        <f t="shared" si="53"/>
        <v>38</v>
      </c>
      <c r="BA338">
        <f t="shared" si="54"/>
        <v>50</v>
      </c>
      <c r="BB338">
        <f t="shared" si="55"/>
        <v>64</v>
      </c>
      <c r="BC338">
        <f t="shared" si="56"/>
        <v>80</v>
      </c>
      <c r="BD338">
        <f t="shared" si="57"/>
        <v>80</v>
      </c>
      <c r="BE338">
        <f>HLOOKUP(AV338-1,$AW$3:BD651,ROW(AV338)-2,0)</f>
        <v>64</v>
      </c>
      <c r="BF338">
        <f>HLOOKUP(AV338,$AW$3:BD651,ROW(AV338)-2,0)</f>
        <v>80</v>
      </c>
      <c r="BG338" t="str">
        <f t="shared" si="58"/>
        <v>Aktywa_A_II_1_B_KwotaA</v>
      </c>
    </row>
    <row r="339" spans="1:59" x14ac:dyDescent="0.3">
      <c r="A339" t="s">
        <v>1991</v>
      </c>
      <c r="B339" t="s">
        <v>2627</v>
      </c>
      <c r="AV339">
        <f t="shared" si="59"/>
        <v>8</v>
      </c>
      <c r="AW339">
        <f t="shared" si="60"/>
        <v>15</v>
      </c>
      <c r="AX339">
        <f t="shared" si="51"/>
        <v>22</v>
      </c>
      <c r="AY339">
        <f t="shared" si="52"/>
        <v>29</v>
      </c>
      <c r="AZ339">
        <f t="shared" si="53"/>
        <v>38</v>
      </c>
      <c r="BA339">
        <f t="shared" si="54"/>
        <v>50</v>
      </c>
      <c r="BB339">
        <f t="shared" si="55"/>
        <v>64</v>
      </c>
      <c r="BC339">
        <f t="shared" si="56"/>
        <v>80</v>
      </c>
      <c r="BD339">
        <f t="shared" si="57"/>
        <v>80</v>
      </c>
      <c r="BE339">
        <f>HLOOKUP(AV339-1,$AW$3:BD651,ROW(AV339)-2,0)</f>
        <v>64</v>
      </c>
      <c r="BF339">
        <f>HLOOKUP(AV339,$AW$3:BD651,ROW(AV339)-2,0)</f>
        <v>80</v>
      </c>
      <c r="BG339" t="str">
        <f t="shared" si="58"/>
        <v>Aktywa_A_II_1_C_KwotaA</v>
      </c>
    </row>
    <row r="340" spans="1:59" x14ac:dyDescent="0.3">
      <c r="A340" t="s">
        <v>1993</v>
      </c>
      <c r="B340" t="s">
        <v>2628</v>
      </c>
      <c r="AV340">
        <f t="shared" si="59"/>
        <v>8</v>
      </c>
      <c r="AW340">
        <f t="shared" si="60"/>
        <v>15</v>
      </c>
      <c r="AX340">
        <f t="shared" si="51"/>
        <v>22</v>
      </c>
      <c r="AY340">
        <f t="shared" si="52"/>
        <v>29</v>
      </c>
      <c r="AZ340">
        <f t="shared" si="53"/>
        <v>38</v>
      </c>
      <c r="BA340">
        <f t="shared" si="54"/>
        <v>50</v>
      </c>
      <c r="BB340">
        <f t="shared" si="55"/>
        <v>64</v>
      </c>
      <c r="BC340">
        <f t="shared" si="56"/>
        <v>80</v>
      </c>
      <c r="BD340">
        <f t="shared" si="57"/>
        <v>80</v>
      </c>
      <c r="BE340">
        <f>HLOOKUP(AV340-1,$AW$3:BD651,ROW(AV340)-2,0)</f>
        <v>64</v>
      </c>
      <c r="BF340">
        <f>HLOOKUP(AV340,$AW$3:BD651,ROW(AV340)-2,0)</f>
        <v>80</v>
      </c>
      <c r="BG340" t="str">
        <f t="shared" si="58"/>
        <v>Aktywa_A_II_1_D_KwotaA</v>
      </c>
    </row>
    <row r="341" spans="1:59" x14ac:dyDescent="0.3">
      <c r="A341" t="s">
        <v>1995</v>
      </c>
      <c r="B341" t="s">
        <v>2629</v>
      </c>
      <c r="AV341">
        <f t="shared" si="59"/>
        <v>8</v>
      </c>
      <c r="AW341">
        <f t="shared" si="60"/>
        <v>15</v>
      </c>
      <c r="AX341">
        <f t="shared" si="51"/>
        <v>22</v>
      </c>
      <c r="AY341">
        <f t="shared" si="52"/>
        <v>29</v>
      </c>
      <c r="AZ341">
        <f t="shared" si="53"/>
        <v>38</v>
      </c>
      <c r="BA341">
        <f t="shared" si="54"/>
        <v>50</v>
      </c>
      <c r="BB341">
        <f t="shared" si="55"/>
        <v>64</v>
      </c>
      <c r="BC341">
        <f t="shared" si="56"/>
        <v>80</v>
      </c>
      <c r="BD341">
        <f t="shared" si="57"/>
        <v>80</v>
      </c>
      <c r="BE341">
        <f>HLOOKUP(AV341-1,$AW$3:BD651,ROW(AV341)-2,0)</f>
        <v>64</v>
      </c>
      <c r="BF341">
        <f>HLOOKUP(AV341,$AW$3:BD651,ROW(AV341)-2,0)</f>
        <v>80</v>
      </c>
      <c r="BG341" t="str">
        <f t="shared" si="58"/>
        <v>Aktywa_A_II_1_E_KwotaA</v>
      </c>
    </row>
    <row r="342" spans="1:59" x14ac:dyDescent="0.3">
      <c r="A342" t="s">
        <v>1997</v>
      </c>
      <c r="B342" t="s">
        <v>2630</v>
      </c>
      <c r="AV342">
        <f t="shared" si="59"/>
        <v>7</v>
      </c>
      <c r="AW342">
        <f t="shared" si="60"/>
        <v>15</v>
      </c>
      <c r="AX342">
        <f t="shared" si="51"/>
        <v>22</v>
      </c>
      <c r="AY342">
        <f t="shared" si="52"/>
        <v>29</v>
      </c>
      <c r="AZ342">
        <f t="shared" si="53"/>
        <v>38</v>
      </c>
      <c r="BA342">
        <f t="shared" si="54"/>
        <v>50</v>
      </c>
      <c r="BB342">
        <f t="shared" si="55"/>
        <v>64</v>
      </c>
      <c r="BC342">
        <f t="shared" si="56"/>
        <v>64</v>
      </c>
      <c r="BD342">
        <f t="shared" si="57"/>
        <v>64</v>
      </c>
      <c r="BE342">
        <f>HLOOKUP(AV342-1,$AW$3:BD651,ROW(AV342)-2,0)</f>
        <v>50</v>
      </c>
      <c r="BF342">
        <f>HLOOKUP(AV342,$AW$3:BD651,ROW(AV342)-2,0)</f>
        <v>64</v>
      </c>
      <c r="BG342" t="str">
        <f t="shared" si="58"/>
        <v>Aktywa_A_II_2_KwotaA</v>
      </c>
    </row>
    <row r="343" spans="1:59" x14ac:dyDescent="0.3">
      <c r="A343" t="s">
        <v>1999</v>
      </c>
      <c r="B343" t="s">
        <v>2631</v>
      </c>
      <c r="AV343">
        <f t="shared" si="59"/>
        <v>7</v>
      </c>
      <c r="AW343">
        <f t="shared" si="60"/>
        <v>15</v>
      </c>
      <c r="AX343">
        <f t="shared" si="51"/>
        <v>22</v>
      </c>
      <c r="AY343">
        <f t="shared" si="52"/>
        <v>29</v>
      </c>
      <c r="AZ343">
        <f t="shared" si="53"/>
        <v>38</v>
      </c>
      <c r="BA343">
        <f t="shared" si="54"/>
        <v>50</v>
      </c>
      <c r="BB343">
        <f t="shared" si="55"/>
        <v>64</v>
      </c>
      <c r="BC343">
        <f t="shared" si="56"/>
        <v>64</v>
      </c>
      <c r="BD343">
        <f t="shared" si="57"/>
        <v>64</v>
      </c>
      <c r="BE343">
        <f>HLOOKUP(AV343-1,$AW$3:BD651,ROW(AV343)-2,0)</f>
        <v>50</v>
      </c>
      <c r="BF343">
        <f>HLOOKUP(AV343,$AW$3:BD651,ROW(AV343)-2,0)</f>
        <v>64</v>
      </c>
      <c r="BG343" t="str">
        <f t="shared" si="58"/>
        <v>Aktywa_A_II_3_KwotaA</v>
      </c>
    </row>
    <row r="344" spans="1:59" x14ac:dyDescent="0.3">
      <c r="A344" t="s">
        <v>2001</v>
      </c>
      <c r="B344" t="s">
        <v>2632</v>
      </c>
      <c r="AV344">
        <f t="shared" si="59"/>
        <v>6</v>
      </c>
      <c r="AW344">
        <f t="shared" si="60"/>
        <v>15</v>
      </c>
      <c r="AX344">
        <f t="shared" si="51"/>
        <v>22</v>
      </c>
      <c r="AY344">
        <f t="shared" si="52"/>
        <v>29</v>
      </c>
      <c r="AZ344">
        <f t="shared" si="53"/>
        <v>38</v>
      </c>
      <c r="BA344">
        <f t="shared" si="54"/>
        <v>51</v>
      </c>
      <c r="BB344">
        <f t="shared" si="55"/>
        <v>51</v>
      </c>
      <c r="BC344">
        <f t="shared" si="56"/>
        <v>51</v>
      </c>
      <c r="BD344">
        <f t="shared" si="57"/>
        <v>51</v>
      </c>
      <c r="BE344">
        <f>HLOOKUP(AV344-1,$AW$3:BD651,ROW(AV344)-2,0)</f>
        <v>38</v>
      </c>
      <c r="BF344">
        <f>HLOOKUP(AV344,$AW$3:BD651,ROW(AV344)-2,0)</f>
        <v>51</v>
      </c>
      <c r="BG344" t="str">
        <f t="shared" si="58"/>
        <v>Aktywa_A_III_KwotaA</v>
      </c>
    </row>
    <row r="345" spans="1:59" x14ac:dyDescent="0.3">
      <c r="A345" t="s">
        <v>2003</v>
      </c>
      <c r="B345" t="s">
        <v>2633</v>
      </c>
      <c r="AV345">
        <f t="shared" si="59"/>
        <v>7</v>
      </c>
      <c r="AW345">
        <f t="shared" si="60"/>
        <v>15</v>
      </c>
      <c r="AX345">
        <f t="shared" si="51"/>
        <v>22</v>
      </c>
      <c r="AY345">
        <f t="shared" si="52"/>
        <v>29</v>
      </c>
      <c r="AZ345">
        <f t="shared" si="53"/>
        <v>38</v>
      </c>
      <c r="BA345">
        <f t="shared" si="54"/>
        <v>51</v>
      </c>
      <c r="BB345">
        <f t="shared" si="55"/>
        <v>66</v>
      </c>
      <c r="BC345">
        <f t="shared" si="56"/>
        <v>66</v>
      </c>
      <c r="BD345">
        <f t="shared" si="57"/>
        <v>66</v>
      </c>
      <c r="BE345">
        <f>HLOOKUP(AV345-1,$AW$3:BD651,ROW(AV345)-2,0)</f>
        <v>51</v>
      </c>
      <c r="BF345">
        <f>HLOOKUP(AV345,$AW$3:BD651,ROW(AV345)-2,0)</f>
        <v>66</v>
      </c>
      <c r="BG345" t="str">
        <f t="shared" si="58"/>
        <v>Aktywa_A_III_1_KwotaA</v>
      </c>
    </row>
    <row r="346" spans="1:59" x14ac:dyDescent="0.3">
      <c r="A346" t="s">
        <v>2005</v>
      </c>
      <c r="B346" t="s">
        <v>2634</v>
      </c>
      <c r="AV346">
        <f t="shared" si="59"/>
        <v>7</v>
      </c>
      <c r="AW346">
        <f t="shared" si="60"/>
        <v>15</v>
      </c>
      <c r="AX346">
        <f t="shared" si="51"/>
        <v>22</v>
      </c>
      <c r="AY346">
        <f t="shared" si="52"/>
        <v>29</v>
      </c>
      <c r="AZ346">
        <f t="shared" si="53"/>
        <v>38</v>
      </c>
      <c r="BA346">
        <f t="shared" si="54"/>
        <v>51</v>
      </c>
      <c r="BB346">
        <f t="shared" si="55"/>
        <v>66</v>
      </c>
      <c r="BC346">
        <f t="shared" si="56"/>
        <v>66</v>
      </c>
      <c r="BD346">
        <f t="shared" si="57"/>
        <v>66</v>
      </c>
      <c r="BE346">
        <f>HLOOKUP(AV346-1,$AW$3:BD651,ROW(AV346)-2,0)</f>
        <v>51</v>
      </c>
      <c r="BF346">
        <f>HLOOKUP(AV346,$AW$3:BD651,ROW(AV346)-2,0)</f>
        <v>66</v>
      </c>
      <c r="BG346" t="str">
        <f t="shared" si="58"/>
        <v>Aktywa_A_III_2_KwotaA</v>
      </c>
    </row>
    <row r="347" spans="1:59" x14ac:dyDescent="0.3">
      <c r="A347" t="s">
        <v>2007</v>
      </c>
      <c r="B347" t="s">
        <v>2635</v>
      </c>
      <c r="AV347">
        <f t="shared" si="59"/>
        <v>7</v>
      </c>
      <c r="AW347">
        <f t="shared" si="60"/>
        <v>15</v>
      </c>
      <c r="AX347">
        <f t="shared" si="51"/>
        <v>22</v>
      </c>
      <c r="AY347">
        <f t="shared" si="52"/>
        <v>29</v>
      </c>
      <c r="AZ347">
        <f t="shared" si="53"/>
        <v>38</v>
      </c>
      <c r="BA347">
        <f t="shared" si="54"/>
        <v>51</v>
      </c>
      <c r="BB347">
        <f t="shared" si="55"/>
        <v>66</v>
      </c>
      <c r="BC347">
        <f t="shared" si="56"/>
        <v>66</v>
      </c>
      <c r="BD347">
        <f t="shared" si="57"/>
        <v>66</v>
      </c>
      <c r="BE347">
        <f>HLOOKUP(AV347-1,$AW$3:BD651,ROW(AV347)-2,0)</f>
        <v>51</v>
      </c>
      <c r="BF347">
        <f>HLOOKUP(AV347,$AW$3:BD651,ROW(AV347)-2,0)</f>
        <v>66</v>
      </c>
      <c r="BG347" t="str">
        <f t="shared" si="58"/>
        <v>Aktywa_A_III_3_KwotaA</v>
      </c>
    </row>
    <row r="348" spans="1:59" x14ac:dyDescent="0.3">
      <c r="A348" t="s">
        <v>2009</v>
      </c>
      <c r="B348" t="s">
        <v>2636</v>
      </c>
      <c r="C348" s="18">
        <v>1138338448.76</v>
      </c>
      <c r="AV348">
        <f t="shared" si="59"/>
        <v>6</v>
      </c>
      <c r="AW348">
        <f t="shared" si="60"/>
        <v>15</v>
      </c>
      <c r="AX348">
        <f t="shared" si="51"/>
        <v>22</v>
      </c>
      <c r="AY348">
        <f t="shared" si="52"/>
        <v>29</v>
      </c>
      <c r="AZ348">
        <f t="shared" si="53"/>
        <v>38</v>
      </c>
      <c r="BA348">
        <f t="shared" si="54"/>
        <v>50</v>
      </c>
      <c r="BB348">
        <f t="shared" si="55"/>
        <v>50</v>
      </c>
      <c r="BC348">
        <f t="shared" si="56"/>
        <v>50</v>
      </c>
      <c r="BD348">
        <f t="shared" si="57"/>
        <v>50</v>
      </c>
      <c r="BE348">
        <f>HLOOKUP(AV348-1,$AW$3:BD651,ROW(AV348)-2,0)</f>
        <v>38</v>
      </c>
      <c r="BF348">
        <f>HLOOKUP(AV348,$AW$3:BD651,ROW(AV348)-2,0)</f>
        <v>50</v>
      </c>
      <c r="BG348" t="str">
        <f t="shared" si="58"/>
        <v>Aktywa_A_IV_KwotaA</v>
      </c>
    </row>
    <row r="349" spans="1:59" x14ac:dyDescent="0.3">
      <c r="A349" t="s">
        <v>2011</v>
      </c>
      <c r="B349" t="s">
        <v>2637</v>
      </c>
      <c r="AV349">
        <f t="shared" si="59"/>
        <v>7</v>
      </c>
      <c r="AW349">
        <f t="shared" si="60"/>
        <v>15</v>
      </c>
      <c r="AX349">
        <f t="shared" si="51"/>
        <v>22</v>
      </c>
      <c r="AY349">
        <f t="shared" si="52"/>
        <v>29</v>
      </c>
      <c r="AZ349">
        <f t="shared" si="53"/>
        <v>38</v>
      </c>
      <c r="BA349">
        <f t="shared" si="54"/>
        <v>50</v>
      </c>
      <c r="BB349">
        <f t="shared" si="55"/>
        <v>64</v>
      </c>
      <c r="BC349">
        <f t="shared" si="56"/>
        <v>64</v>
      </c>
      <c r="BD349">
        <f t="shared" si="57"/>
        <v>64</v>
      </c>
      <c r="BE349">
        <f>HLOOKUP(AV349-1,$AW$3:BD651,ROW(AV349)-2,0)</f>
        <v>50</v>
      </c>
      <c r="BF349">
        <f>HLOOKUP(AV349,$AW$3:BD651,ROW(AV349)-2,0)</f>
        <v>64</v>
      </c>
      <c r="BG349" t="str">
        <f t="shared" si="58"/>
        <v>Aktywa_A_IV_1_KwotaA</v>
      </c>
    </row>
    <row r="350" spans="1:59" x14ac:dyDescent="0.3">
      <c r="A350" t="s">
        <v>2013</v>
      </c>
      <c r="B350" t="s">
        <v>2638</v>
      </c>
      <c r="AV350">
        <f t="shared" si="59"/>
        <v>7</v>
      </c>
      <c r="AW350">
        <f t="shared" si="60"/>
        <v>15</v>
      </c>
      <c r="AX350">
        <f t="shared" si="51"/>
        <v>22</v>
      </c>
      <c r="AY350">
        <f t="shared" si="52"/>
        <v>29</v>
      </c>
      <c r="AZ350">
        <f t="shared" si="53"/>
        <v>38</v>
      </c>
      <c r="BA350">
        <f t="shared" si="54"/>
        <v>50</v>
      </c>
      <c r="BB350">
        <f t="shared" si="55"/>
        <v>64</v>
      </c>
      <c r="BC350">
        <f t="shared" si="56"/>
        <v>64</v>
      </c>
      <c r="BD350">
        <f t="shared" si="57"/>
        <v>64</v>
      </c>
      <c r="BE350">
        <f>HLOOKUP(AV350-1,$AW$3:BD651,ROW(AV350)-2,0)</f>
        <v>50</v>
      </c>
      <c r="BF350">
        <f>HLOOKUP(AV350,$AW$3:BD651,ROW(AV350)-2,0)</f>
        <v>64</v>
      </c>
      <c r="BG350" t="str">
        <f t="shared" si="58"/>
        <v>Aktywa_A_IV_2_KwotaA</v>
      </c>
    </row>
    <row r="351" spans="1:59" x14ac:dyDescent="0.3">
      <c r="A351" t="s">
        <v>2015</v>
      </c>
      <c r="B351" t="s">
        <v>2639</v>
      </c>
      <c r="C351" s="18">
        <v>1138338448.76</v>
      </c>
      <c r="AV351">
        <f t="shared" si="59"/>
        <v>7</v>
      </c>
      <c r="AW351">
        <f t="shared" si="60"/>
        <v>15</v>
      </c>
      <c r="AX351">
        <f t="shared" si="51"/>
        <v>22</v>
      </c>
      <c r="AY351">
        <f t="shared" si="52"/>
        <v>29</v>
      </c>
      <c r="AZ351">
        <f t="shared" si="53"/>
        <v>38</v>
      </c>
      <c r="BA351">
        <f t="shared" si="54"/>
        <v>50</v>
      </c>
      <c r="BB351">
        <f t="shared" si="55"/>
        <v>64</v>
      </c>
      <c r="BC351">
        <f t="shared" si="56"/>
        <v>64</v>
      </c>
      <c r="BD351">
        <f t="shared" si="57"/>
        <v>64</v>
      </c>
      <c r="BE351">
        <f>HLOOKUP(AV351-1,$AW$3:BD651,ROW(AV351)-2,0)</f>
        <v>50</v>
      </c>
      <c r="BF351">
        <f>HLOOKUP(AV351,$AW$3:BD651,ROW(AV351)-2,0)</f>
        <v>64</v>
      </c>
      <c r="BG351" t="str">
        <f t="shared" si="58"/>
        <v>Aktywa_A_IV_3_KwotaA</v>
      </c>
    </row>
    <row r="352" spans="1:59" x14ac:dyDescent="0.3">
      <c r="A352" t="s">
        <v>2017</v>
      </c>
      <c r="B352" t="s">
        <v>2640</v>
      </c>
      <c r="C352" s="18">
        <v>1138338448.76</v>
      </c>
      <c r="AV352">
        <f t="shared" si="59"/>
        <v>8</v>
      </c>
      <c r="AW352">
        <f t="shared" si="60"/>
        <v>15</v>
      </c>
      <c r="AX352">
        <f t="shared" si="51"/>
        <v>22</v>
      </c>
      <c r="AY352">
        <f t="shared" si="52"/>
        <v>29</v>
      </c>
      <c r="AZ352">
        <f t="shared" si="53"/>
        <v>38</v>
      </c>
      <c r="BA352">
        <f t="shared" si="54"/>
        <v>50</v>
      </c>
      <c r="BB352">
        <f t="shared" si="55"/>
        <v>64</v>
      </c>
      <c r="BC352">
        <f t="shared" si="56"/>
        <v>80</v>
      </c>
      <c r="BD352">
        <f t="shared" si="57"/>
        <v>80</v>
      </c>
      <c r="BE352">
        <f>HLOOKUP(AV352-1,$AW$3:BD651,ROW(AV352)-2,0)</f>
        <v>64</v>
      </c>
      <c r="BF352">
        <f>HLOOKUP(AV352,$AW$3:BD651,ROW(AV352)-2,0)</f>
        <v>80</v>
      </c>
      <c r="BG352" t="str">
        <f t="shared" si="58"/>
        <v>Aktywa_A_IV_3_A_KwotaA</v>
      </c>
    </row>
    <row r="353" spans="1:59" x14ac:dyDescent="0.3">
      <c r="A353" t="s">
        <v>2019</v>
      </c>
      <c r="B353" t="s">
        <v>2641</v>
      </c>
      <c r="C353" s="18">
        <v>1138338448.76</v>
      </c>
      <c r="AV353">
        <f t="shared" si="59"/>
        <v>9</v>
      </c>
      <c r="AW353">
        <f t="shared" si="60"/>
        <v>15</v>
      </c>
      <c r="AX353">
        <f t="shared" si="51"/>
        <v>22</v>
      </c>
      <c r="AY353">
        <f t="shared" si="52"/>
        <v>29</v>
      </c>
      <c r="AZ353">
        <f t="shared" si="53"/>
        <v>38</v>
      </c>
      <c r="BA353">
        <f t="shared" si="54"/>
        <v>50</v>
      </c>
      <c r="BB353">
        <f t="shared" si="55"/>
        <v>64</v>
      </c>
      <c r="BC353">
        <f t="shared" si="56"/>
        <v>80</v>
      </c>
      <c r="BD353">
        <f t="shared" si="57"/>
        <v>98</v>
      </c>
      <c r="BE353">
        <f>HLOOKUP(AV353-1,$AW$3:BD651,ROW(AV353)-2,0)</f>
        <v>80</v>
      </c>
      <c r="BF353">
        <f>HLOOKUP(AV353,$AW$3:BD651,ROW(AV353)-2,0)</f>
        <v>98</v>
      </c>
      <c r="BG353" t="str">
        <f t="shared" si="58"/>
        <v>Aktywa_A_IV_3_A_1_KwotaA</v>
      </c>
    </row>
    <row r="354" spans="1:59" x14ac:dyDescent="0.3">
      <c r="A354" t="s">
        <v>2021</v>
      </c>
      <c r="B354" t="s">
        <v>2642</v>
      </c>
      <c r="AV354">
        <f t="shared" si="59"/>
        <v>9</v>
      </c>
      <c r="AW354">
        <f t="shared" si="60"/>
        <v>15</v>
      </c>
      <c r="AX354">
        <f t="shared" si="51"/>
        <v>22</v>
      </c>
      <c r="AY354">
        <f t="shared" si="52"/>
        <v>29</v>
      </c>
      <c r="AZ354">
        <f t="shared" si="53"/>
        <v>38</v>
      </c>
      <c r="BA354">
        <f t="shared" si="54"/>
        <v>50</v>
      </c>
      <c r="BB354">
        <f t="shared" si="55"/>
        <v>64</v>
      </c>
      <c r="BC354">
        <f t="shared" si="56"/>
        <v>80</v>
      </c>
      <c r="BD354">
        <f t="shared" si="57"/>
        <v>98</v>
      </c>
      <c r="BE354">
        <f>HLOOKUP(AV354-1,$AW$3:BD651,ROW(AV354)-2,0)</f>
        <v>80</v>
      </c>
      <c r="BF354">
        <f>HLOOKUP(AV354,$AW$3:BD651,ROW(AV354)-2,0)</f>
        <v>98</v>
      </c>
      <c r="BG354" t="str">
        <f t="shared" si="58"/>
        <v>Aktywa_A_IV_3_A_2_KwotaA</v>
      </c>
    </row>
    <row r="355" spans="1:59" x14ac:dyDescent="0.3">
      <c r="A355" t="s">
        <v>2023</v>
      </c>
      <c r="B355" t="s">
        <v>2643</v>
      </c>
      <c r="C355" s="18">
        <v>0</v>
      </c>
      <c r="AV355">
        <f t="shared" si="59"/>
        <v>9</v>
      </c>
      <c r="AW355">
        <f t="shared" si="60"/>
        <v>15</v>
      </c>
      <c r="AX355">
        <f t="shared" si="51"/>
        <v>22</v>
      </c>
      <c r="AY355">
        <f t="shared" si="52"/>
        <v>29</v>
      </c>
      <c r="AZ355">
        <f t="shared" si="53"/>
        <v>38</v>
      </c>
      <c r="BA355">
        <f t="shared" si="54"/>
        <v>50</v>
      </c>
      <c r="BB355">
        <f t="shared" si="55"/>
        <v>64</v>
      </c>
      <c r="BC355">
        <f t="shared" si="56"/>
        <v>80</v>
      </c>
      <c r="BD355">
        <f t="shared" si="57"/>
        <v>98</v>
      </c>
      <c r="BE355">
        <f>HLOOKUP(AV355-1,$AW$3:BD651,ROW(AV355)-2,0)</f>
        <v>80</v>
      </c>
      <c r="BF355">
        <f>HLOOKUP(AV355,$AW$3:BD651,ROW(AV355)-2,0)</f>
        <v>98</v>
      </c>
      <c r="BG355" t="str">
        <f t="shared" si="58"/>
        <v>Aktywa_A_IV_3_A_3_KwotaA</v>
      </c>
    </row>
    <row r="356" spans="1:59" x14ac:dyDescent="0.3">
      <c r="A356" t="s">
        <v>2025</v>
      </c>
      <c r="B356" t="s">
        <v>2644</v>
      </c>
      <c r="AV356">
        <f t="shared" si="59"/>
        <v>9</v>
      </c>
      <c r="AW356">
        <f t="shared" si="60"/>
        <v>15</v>
      </c>
      <c r="AX356">
        <f t="shared" si="51"/>
        <v>22</v>
      </c>
      <c r="AY356">
        <f t="shared" si="52"/>
        <v>29</v>
      </c>
      <c r="AZ356">
        <f t="shared" si="53"/>
        <v>38</v>
      </c>
      <c r="BA356">
        <f t="shared" si="54"/>
        <v>50</v>
      </c>
      <c r="BB356">
        <f t="shared" si="55"/>
        <v>64</v>
      </c>
      <c r="BC356">
        <f t="shared" si="56"/>
        <v>80</v>
      </c>
      <c r="BD356">
        <f t="shared" si="57"/>
        <v>98</v>
      </c>
      <c r="BE356">
        <f>HLOOKUP(AV356-1,$AW$3:BD651,ROW(AV356)-2,0)</f>
        <v>80</v>
      </c>
      <c r="BF356">
        <f>HLOOKUP(AV356,$AW$3:BD651,ROW(AV356)-2,0)</f>
        <v>98</v>
      </c>
      <c r="BG356" t="str">
        <f t="shared" si="58"/>
        <v>Aktywa_A_IV_3_A_4_KwotaA</v>
      </c>
    </row>
    <row r="357" spans="1:59" x14ac:dyDescent="0.3">
      <c r="A357" t="s">
        <v>2027</v>
      </c>
      <c r="B357" t="s">
        <v>2645</v>
      </c>
      <c r="AV357">
        <f t="shared" si="59"/>
        <v>8</v>
      </c>
      <c r="AW357">
        <f t="shared" si="60"/>
        <v>15</v>
      </c>
      <c r="AX357">
        <f t="shared" si="51"/>
        <v>22</v>
      </c>
      <c r="AY357">
        <f t="shared" si="52"/>
        <v>29</v>
      </c>
      <c r="AZ357">
        <f t="shared" si="53"/>
        <v>38</v>
      </c>
      <c r="BA357">
        <f t="shared" si="54"/>
        <v>50</v>
      </c>
      <c r="BB357">
        <f t="shared" si="55"/>
        <v>64</v>
      </c>
      <c r="BC357">
        <f t="shared" si="56"/>
        <v>80</v>
      </c>
      <c r="BD357">
        <f t="shared" si="57"/>
        <v>80</v>
      </c>
      <c r="BE357">
        <f>HLOOKUP(AV357-1,$AW$3:BD651,ROW(AV357)-2,0)</f>
        <v>64</v>
      </c>
      <c r="BF357">
        <f>HLOOKUP(AV357,$AW$3:BD651,ROW(AV357)-2,0)</f>
        <v>80</v>
      </c>
      <c r="BG357" t="str">
        <f t="shared" si="58"/>
        <v>Aktywa_A_IV_3_B_KwotaA</v>
      </c>
    </row>
    <row r="358" spans="1:59" x14ac:dyDescent="0.3">
      <c r="A358" t="s">
        <v>2029</v>
      </c>
      <c r="B358" t="s">
        <v>2646</v>
      </c>
      <c r="AV358">
        <f t="shared" si="59"/>
        <v>9</v>
      </c>
      <c r="AW358">
        <f t="shared" si="60"/>
        <v>15</v>
      </c>
      <c r="AX358">
        <f t="shared" si="51"/>
        <v>22</v>
      </c>
      <c r="AY358">
        <f t="shared" si="52"/>
        <v>29</v>
      </c>
      <c r="AZ358">
        <f t="shared" si="53"/>
        <v>38</v>
      </c>
      <c r="BA358">
        <f t="shared" si="54"/>
        <v>50</v>
      </c>
      <c r="BB358">
        <f t="shared" si="55"/>
        <v>64</v>
      </c>
      <c r="BC358">
        <f t="shared" si="56"/>
        <v>80</v>
      </c>
      <c r="BD358">
        <f t="shared" si="57"/>
        <v>98</v>
      </c>
      <c r="BE358">
        <f>HLOOKUP(AV358-1,$AW$3:BD651,ROW(AV358)-2,0)</f>
        <v>80</v>
      </c>
      <c r="BF358">
        <f>HLOOKUP(AV358,$AW$3:BD651,ROW(AV358)-2,0)</f>
        <v>98</v>
      </c>
      <c r="BG358" t="str">
        <f t="shared" si="58"/>
        <v>Aktywa_A_IV_3_B_1_KwotaA</v>
      </c>
    </row>
    <row r="359" spans="1:59" x14ac:dyDescent="0.3">
      <c r="A359" t="s">
        <v>2031</v>
      </c>
      <c r="B359" t="s">
        <v>2647</v>
      </c>
      <c r="AV359">
        <f t="shared" si="59"/>
        <v>9</v>
      </c>
      <c r="AW359">
        <f t="shared" si="60"/>
        <v>15</v>
      </c>
      <c r="AX359">
        <f t="shared" si="51"/>
        <v>22</v>
      </c>
      <c r="AY359">
        <f t="shared" si="52"/>
        <v>29</v>
      </c>
      <c r="AZ359">
        <f t="shared" si="53"/>
        <v>38</v>
      </c>
      <c r="BA359">
        <f t="shared" si="54"/>
        <v>50</v>
      </c>
      <c r="BB359">
        <f t="shared" si="55"/>
        <v>64</v>
      </c>
      <c r="BC359">
        <f t="shared" si="56"/>
        <v>80</v>
      </c>
      <c r="BD359">
        <f t="shared" si="57"/>
        <v>98</v>
      </c>
      <c r="BE359">
        <f>HLOOKUP(AV359-1,$AW$3:BD651,ROW(AV359)-2,0)</f>
        <v>80</v>
      </c>
      <c r="BF359">
        <f>HLOOKUP(AV359,$AW$3:BD651,ROW(AV359)-2,0)</f>
        <v>98</v>
      </c>
      <c r="BG359" t="str">
        <f t="shared" si="58"/>
        <v>Aktywa_A_IV_3_B_2_KwotaA</v>
      </c>
    </row>
    <row r="360" spans="1:59" x14ac:dyDescent="0.3">
      <c r="A360" t="s">
        <v>2033</v>
      </c>
      <c r="B360" t="s">
        <v>2648</v>
      </c>
      <c r="AV360">
        <f t="shared" si="59"/>
        <v>9</v>
      </c>
      <c r="AW360">
        <f t="shared" si="60"/>
        <v>15</v>
      </c>
      <c r="AX360">
        <f t="shared" si="51"/>
        <v>22</v>
      </c>
      <c r="AY360">
        <f t="shared" si="52"/>
        <v>29</v>
      </c>
      <c r="AZ360">
        <f t="shared" si="53"/>
        <v>38</v>
      </c>
      <c r="BA360">
        <f t="shared" si="54"/>
        <v>50</v>
      </c>
      <c r="BB360">
        <f t="shared" si="55"/>
        <v>64</v>
      </c>
      <c r="BC360">
        <f t="shared" si="56"/>
        <v>80</v>
      </c>
      <c r="BD360">
        <f t="shared" si="57"/>
        <v>98</v>
      </c>
      <c r="BE360">
        <f>HLOOKUP(AV360-1,$AW$3:BD651,ROW(AV360)-2,0)</f>
        <v>80</v>
      </c>
      <c r="BF360">
        <f>HLOOKUP(AV360,$AW$3:BD651,ROW(AV360)-2,0)</f>
        <v>98</v>
      </c>
      <c r="BG360" t="str">
        <f t="shared" si="58"/>
        <v>Aktywa_A_IV_3_B_3_KwotaA</v>
      </c>
    </row>
    <row r="361" spans="1:59" x14ac:dyDescent="0.3">
      <c r="A361" t="s">
        <v>2035</v>
      </c>
      <c r="B361" t="s">
        <v>2649</v>
      </c>
      <c r="AV361">
        <f t="shared" si="59"/>
        <v>9</v>
      </c>
      <c r="AW361">
        <f t="shared" si="60"/>
        <v>15</v>
      </c>
      <c r="AX361">
        <f t="shared" si="51"/>
        <v>22</v>
      </c>
      <c r="AY361">
        <f t="shared" si="52"/>
        <v>29</v>
      </c>
      <c r="AZ361">
        <f t="shared" si="53"/>
        <v>38</v>
      </c>
      <c r="BA361">
        <f t="shared" si="54"/>
        <v>50</v>
      </c>
      <c r="BB361">
        <f t="shared" si="55"/>
        <v>64</v>
      </c>
      <c r="BC361">
        <f t="shared" si="56"/>
        <v>80</v>
      </c>
      <c r="BD361">
        <f t="shared" si="57"/>
        <v>98</v>
      </c>
      <c r="BE361">
        <f>HLOOKUP(AV361-1,$AW$3:BD651,ROW(AV361)-2,0)</f>
        <v>80</v>
      </c>
      <c r="BF361">
        <f>HLOOKUP(AV361,$AW$3:BD651,ROW(AV361)-2,0)</f>
        <v>98</v>
      </c>
      <c r="BG361" t="str">
        <f t="shared" si="58"/>
        <v>Aktywa_A_IV_3_B_4_KwotaA</v>
      </c>
    </row>
    <row r="362" spans="1:59" x14ac:dyDescent="0.3">
      <c r="A362" t="s">
        <v>2037</v>
      </c>
      <c r="B362" t="s">
        <v>2650</v>
      </c>
      <c r="AV362">
        <f t="shared" si="59"/>
        <v>8</v>
      </c>
      <c r="AW362">
        <f t="shared" si="60"/>
        <v>15</v>
      </c>
      <c r="AX362">
        <f t="shared" si="51"/>
        <v>22</v>
      </c>
      <c r="AY362">
        <f t="shared" si="52"/>
        <v>29</v>
      </c>
      <c r="AZ362">
        <f t="shared" si="53"/>
        <v>38</v>
      </c>
      <c r="BA362">
        <f t="shared" si="54"/>
        <v>50</v>
      </c>
      <c r="BB362">
        <f t="shared" si="55"/>
        <v>64</v>
      </c>
      <c r="BC362">
        <f t="shared" si="56"/>
        <v>80</v>
      </c>
      <c r="BD362">
        <f t="shared" si="57"/>
        <v>80</v>
      </c>
      <c r="BE362">
        <f>HLOOKUP(AV362-1,$AW$3:BD651,ROW(AV362)-2,0)</f>
        <v>64</v>
      </c>
      <c r="BF362">
        <f>HLOOKUP(AV362,$AW$3:BD651,ROW(AV362)-2,0)</f>
        <v>80</v>
      </c>
      <c r="BG362" t="str">
        <f t="shared" si="58"/>
        <v>Aktywa_A_IV_3_C_KwotaA</v>
      </c>
    </row>
    <row r="363" spans="1:59" x14ac:dyDescent="0.3">
      <c r="A363" t="s">
        <v>2039</v>
      </c>
      <c r="B363" t="s">
        <v>2651</v>
      </c>
      <c r="AV363">
        <f t="shared" si="59"/>
        <v>9</v>
      </c>
      <c r="AW363">
        <f t="shared" si="60"/>
        <v>15</v>
      </c>
      <c r="AX363">
        <f t="shared" si="51"/>
        <v>22</v>
      </c>
      <c r="AY363">
        <f t="shared" si="52"/>
        <v>29</v>
      </c>
      <c r="AZ363">
        <f t="shared" si="53"/>
        <v>38</v>
      </c>
      <c r="BA363">
        <f t="shared" si="54"/>
        <v>50</v>
      </c>
      <c r="BB363">
        <f t="shared" si="55"/>
        <v>64</v>
      </c>
      <c r="BC363">
        <f t="shared" si="56"/>
        <v>80</v>
      </c>
      <c r="BD363">
        <f t="shared" si="57"/>
        <v>98</v>
      </c>
      <c r="BE363">
        <f>HLOOKUP(AV363-1,$AW$3:BD651,ROW(AV363)-2,0)</f>
        <v>80</v>
      </c>
      <c r="BF363">
        <f>HLOOKUP(AV363,$AW$3:BD651,ROW(AV363)-2,0)</f>
        <v>98</v>
      </c>
      <c r="BG363" t="str">
        <f t="shared" si="58"/>
        <v>Aktywa_A_IV_3_C_1_KwotaA</v>
      </c>
    </row>
    <row r="364" spans="1:59" x14ac:dyDescent="0.3">
      <c r="A364" t="s">
        <v>2041</v>
      </c>
      <c r="B364" t="s">
        <v>2652</v>
      </c>
      <c r="AV364">
        <f t="shared" si="59"/>
        <v>9</v>
      </c>
      <c r="AW364">
        <f t="shared" si="60"/>
        <v>15</v>
      </c>
      <c r="AX364">
        <f t="shared" si="51"/>
        <v>22</v>
      </c>
      <c r="AY364">
        <f t="shared" si="52"/>
        <v>29</v>
      </c>
      <c r="AZ364">
        <f t="shared" si="53"/>
        <v>38</v>
      </c>
      <c r="BA364">
        <f t="shared" si="54"/>
        <v>50</v>
      </c>
      <c r="BB364">
        <f t="shared" si="55"/>
        <v>64</v>
      </c>
      <c r="BC364">
        <f t="shared" si="56"/>
        <v>80</v>
      </c>
      <c r="BD364">
        <f t="shared" si="57"/>
        <v>98</v>
      </c>
      <c r="BE364">
        <f>HLOOKUP(AV364-1,$AW$3:BD651,ROW(AV364)-2,0)</f>
        <v>80</v>
      </c>
      <c r="BF364">
        <f>HLOOKUP(AV364,$AW$3:BD651,ROW(AV364)-2,0)</f>
        <v>98</v>
      </c>
      <c r="BG364" t="str">
        <f t="shared" si="58"/>
        <v>Aktywa_A_IV_3_C_2_KwotaA</v>
      </c>
    </row>
    <row r="365" spans="1:59" x14ac:dyDescent="0.3">
      <c r="A365" t="s">
        <v>2043</v>
      </c>
      <c r="B365" t="s">
        <v>2653</v>
      </c>
      <c r="AV365">
        <f t="shared" si="59"/>
        <v>9</v>
      </c>
      <c r="AW365">
        <f t="shared" si="60"/>
        <v>15</v>
      </c>
      <c r="AX365">
        <f t="shared" si="51"/>
        <v>22</v>
      </c>
      <c r="AY365">
        <f t="shared" si="52"/>
        <v>29</v>
      </c>
      <c r="AZ365">
        <f t="shared" si="53"/>
        <v>38</v>
      </c>
      <c r="BA365">
        <f t="shared" si="54"/>
        <v>50</v>
      </c>
      <c r="BB365">
        <f t="shared" si="55"/>
        <v>64</v>
      </c>
      <c r="BC365">
        <f t="shared" si="56"/>
        <v>80</v>
      </c>
      <c r="BD365">
        <f t="shared" si="57"/>
        <v>98</v>
      </c>
      <c r="BE365">
        <f>HLOOKUP(AV365-1,$AW$3:BD651,ROW(AV365)-2,0)</f>
        <v>80</v>
      </c>
      <c r="BF365">
        <f>HLOOKUP(AV365,$AW$3:BD651,ROW(AV365)-2,0)</f>
        <v>98</v>
      </c>
      <c r="BG365" t="str">
        <f t="shared" si="58"/>
        <v>Aktywa_A_IV_3_C_3_KwotaA</v>
      </c>
    </row>
    <row r="366" spans="1:59" x14ac:dyDescent="0.3">
      <c r="A366" t="s">
        <v>2045</v>
      </c>
      <c r="B366" t="s">
        <v>2654</v>
      </c>
      <c r="AV366">
        <f t="shared" si="59"/>
        <v>9</v>
      </c>
      <c r="AW366">
        <f t="shared" si="60"/>
        <v>15</v>
      </c>
      <c r="AX366">
        <f t="shared" si="51"/>
        <v>22</v>
      </c>
      <c r="AY366">
        <f t="shared" si="52"/>
        <v>29</v>
      </c>
      <c r="AZ366">
        <f t="shared" si="53"/>
        <v>38</v>
      </c>
      <c r="BA366">
        <f t="shared" si="54"/>
        <v>50</v>
      </c>
      <c r="BB366">
        <f t="shared" si="55"/>
        <v>64</v>
      </c>
      <c r="BC366">
        <f t="shared" si="56"/>
        <v>80</v>
      </c>
      <c r="BD366">
        <f t="shared" si="57"/>
        <v>98</v>
      </c>
      <c r="BE366">
        <f>HLOOKUP(AV366-1,$AW$3:BD651,ROW(AV366)-2,0)</f>
        <v>80</v>
      </c>
      <c r="BF366">
        <f>HLOOKUP(AV366,$AW$3:BD651,ROW(AV366)-2,0)</f>
        <v>98</v>
      </c>
      <c r="BG366" t="str">
        <f t="shared" si="58"/>
        <v>Aktywa_A_IV_3_C_4_KwotaA</v>
      </c>
    </row>
    <row r="367" spans="1:59" x14ac:dyDescent="0.3">
      <c r="A367" t="s">
        <v>2047</v>
      </c>
      <c r="B367" t="s">
        <v>2655</v>
      </c>
      <c r="AV367">
        <f t="shared" si="59"/>
        <v>7</v>
      </c>
      <c r="AW367">
        <f t="shared" si="60"/>
        <v>15</v>
      </c>
      <c r="AX367">
        <f t="shared" si="51"/>
        <v>22</v>
      </c>
      <c r="AY367">
        <f t="shared" si="52"/>
        <v>29</v>
      </c>
      <c r="AZ367">
        <f t="shared" si="53"/>
        <v>38</v>
      </c>
      <c r="BA367">
        <f t="shared" si="54"/>
        <v>50</v>
      </c>
      <c r="BB367">
        <f t="shared" si="55"/>
        <v>64</v>
      </c>
      <c r="BC367">
        <f t="shared" si="56"/>
        <v>64</v>
      </c>
      <c r="BD367">
        <f t="shared" si="57"/>
        <v>64</v>
      </c>
      <c r="BE367">
        <f>HLOOKUP(AV367-1,$AW$3:BD651,ROW(AV367)-2,0)</f>
        <v>50</v>
      </c>
      <c r="BF367">
        <f>HLOOKUP(AV367,$AW$3:BD651,ROW(AV367)-2,0)</f>
        <v>64</v>
      </c>
      <c r="BG367" t="str">
        <f t="shared" si="58"/>
        <v>Aktywa_A_IV_4_KwotaA</v>
      </c>
    </row>
    <row r="368" spans="1:59" x14ac:dyDescent="0.3">
      <c r="A368" t="s">
        <v>2049</v>
      </c>
      <c r="B368" t="s">
        <v>2656</v>
      </c>
      <c r="C368" s="18">
        <v>1837150.75</v>
      </c>
      <c r="AV368">
        <f t="shared" si="59"/>
        <v>6</v>
      </c>
      <c r="AW368">
        <f t="shared" si="60"/>
        <v>15</v>
      </c>
      <c r="AX368">
        <f t="shared" si="51"/>
        <v>22</v>
      </c>
      <c r="AY368">
        <f t="shared" si="52"/>
        <v>29</v>
      </c>
      <c r="AZ368">
        <f t="shared" si="53"/>
        <v>38</v>
      </c>
      <c r="BA368">
        <f t="shared" si="54"/>
        <v>49</v>
      </c>
      <c r="BB368">
        <f t="shared" si="55"/>
        <v>49</v>
      </c>
      <c r="BC368">
        <f t="shared" si="56"/>
        <v>49</v>
      </c>
      <c r="BD368">
        <f t="shared" si="57"/>
        <v>49</v>
      </c>
      <c r="BE368">
        <f>HLOOKUP(AV368-1,$AW$3:BD651,ROW(AV368)-2,0)</f>
        <v>38</v>
      </c>
      <c r="BF368">
        <f>HLOOKUP(AV368,$AW$3:BD651,ROW(AV368)-2,0)</f>
        <v>49</v>
      </c>
      <c r="BG368" t="str">
        <f t="shared" si="58"/>
        <v>Aktywa_A_V_KwotaA</v>
      </c>
    </row>
    <row r="369" spans="1:59" x14ac:dyDescent="0.3">
      <c r="A369" t="s">
        <v>2051</v>
      </c>
      <c r="B369" t="s">
        <v>2657</v>
      </c>
      <c r="C369" s="18">
        <v>1837150.75</v>
      </c>
      <c r="AV369">
        <f t="shared" si="59"/>
        <v>7</v>
      </c>
      <c r="AW369">
        <f t="shared" si="60"/>
        <v>15</v>
      </c>
      <c r="AX369">
        <f t="shared" si="51"/>
        <v>22</v>
      </c>
      <c r="AY369">
        <f t="shared" si="52"/>
        <v>29</v>
      </c>
      <c r="AZ369">
        <f t="shared" si="53"/>
        <v>38</v>
      </c>
      <c r="BA369">
        <f t="shared" si="54"/>
        <v>49</v>
      </c>
      <c r="BB369">
        <f t="shared" si="55"/>
        <v>62</v>
      </c>
      <c r="BC369">
        <f t="shared" si="56"/>
        <v>62</v>
      </c>
      <c r="BD369">
        <f t="shared" si="57"/>
        <v>62</v>
      </c>
      <c r="BE369">
        <f>HLOOKUP(AV369-1,$AW$3:BD651,ROW(AV369)-2,0)</f>
        <v>49</v>
      </c>
      <c r="BF369">
        <f>HLOOKUP(AV369,$AW$3:BD651,ROW(AV369)-2,0)</f>
        <v>62</v>
      </c>
      <c r="BG369" t="str">
        <f t="shared" si="58"/>
        <v>Aktywa_A_V_1_KwotaA</v>
      </c>
    </row>
    <row r="370" spans="1:59" x14ac:dyDescent="0.3">
      <c r="A370" t="s">
        <v>2053</v>
      </c>
      <c r="B370" t="s">
        <v>2658</v>
      </c>
      <c r="AV370">
        <f t="shared" si="59"/>
        <v>7</v>
      </c>
      <c r="AW370">
        <f t="shared" si="60"/>
        <v>15</v>
      </c>
      <c r="AX370">
        <f t="shared" si="51"/>
        <v>22</v>
      </c>
      <c r="AY370">
        <f t="shared" si="52"/>
        <v>29</v>
      </c>
      <c r="AZ370">
        <f t="shared" si="53"/>
        <v>38</v>
      </c>
      <c r="BA370">
        <f t="shared" si="54"/>
        <v>49</v>
      </c>
      <c r="BB370">
        <f t="shared" si="55"/>
        <v>62</v>
      </c>
      <c r="BC370">
        <f t="shared" si="56"/>
        <v>62</v>
      </c>
      <c r="BD370">
        <f t="shared" si="57"/>
        <v>62</v>
      </c>
      <c r="BE370">
        <f>HLOOKUP(AV370-1,$AW$3:BD651,ROW(AV370)-2,0)</f>
        <v>49</v>
      </c>
      <c r="BF370">
        <f>HLOOKUP(AV370,$AW$3:BD651,ROW(AV370)-2,0)</f>
        <v>62</v>
      </c>
      <c r="BG370" t="str">
        <f t="shared" si="58"/>
        <v>Aktywa_A_V_2_KwotaA</v>
      </c>
    </row>
    <row r="371" spans="1:59" x14ac:dyDescent="0.3">
      <c r="A371" t="s">
        <v>2055</v>
      </c>
      <c r="B371" t="s">
        <v>2659</v>
      </c>
      <c r="C371" s="18">
        <v>21882382.93</v>
      </c>
      <c r="AV371">
        <f t="shared" si="59"/>
        <v>5</v>
      </c>
      <c r="AW371">
        <f t="shared" si="60"/>
        <v>15</v>
      </c>
      <c r="AX371">
        <f t="shared" si="51"/>
        <v>22</v>
      </c>
      <c r="AY371">
        <f t="shared" si="52"/>
        <v>29</v>
      </c>
      <c r="AZ371">
        <f t="shared" si="53"/>
        <v>38</v>
      </c>
      <c r="BA371">
        <f t="shared" si="54"/>
        <v>38</v>
      </c>
      <c r="BB371">
        <f t="shared" si="55"/>
        <v>38</v>
      </c>
      <c r="BC371">
        <f t="shared" si="56"/>
        <v>38</v>
      </c>
      <c r="BD371">
        <f t="shared" si="57"/>
        <v>38</v>
      </c>
      <c r="BE371">
        <f>HLOOKUP(AV371-1,$AW$3:BD651,ROW(AV371)-2,0)</f>
        <v>29</v>
      </c>
      <c r="BF371">
        <f>HLOOKUP(AV371,$AW$3:BD651,ROW(AV371)-2,0)</f>
        <v>38</v>
      </c>
      <c r="BG371" t="str">
        <f t="shared" si="58"/>
        <v>Aktywa_B_KwotaA</v>
      </c>
    </row>
    <row r="372" spans="1:59" x14ac:dyDescent="0.3">
      <c r="A372" t="s">
        <v>2057</v>
      </c>
      <c r="B372" t="s">
        <v>2660</v>
      </c>
      <c r="AV372">
        <f t="shared" si="59"/>
        <v>6</v>
      </c>
      <c r="AW372">
        <f t="shared" si="60"/>
        <v>15</v>
      </c>
      <c r="AX372">
        <f t="shared" si="51"/>
        <v>22</v>
      </c>
      <c r="AY372">
        <f t="shared" si="52"/>
        <v>29</v>
      </c>
      <c r="AZ372">
        <f t="shared" si="53"/>
        <v>38</v>
      </c>
      <c r="BA372">
        <f t="shared" si="54"/>
        <v>49</v>
      </c>
      <c r="BB372">
        <f t="shared" si="55"/>
        <v>49</v>
      </c>
      <c r="BC372">
        <f t="shared" si="56"/>
        <v>49</v>
      </c>
      <c r="BD372">
        <f t="shared" si="57"/>
        <v>49</v>
      </c>
      <c r="BE372">
        <f>HLOOKUP(AV372-1,$AW$3:BD651,ROW(AV372)-2,0)</f>
        <v>38</v>
      </c>
      <c r="BF372">
        <f>HLOOKUP(AV372,$AW$3:BD651,ROW(AV372)-2,0)</f>
        <v>49</v>
      </c>
      <c r="BG372" t="str">
        <f t="shared" si="58"/>
        <v>Aktywa_B_I_KwotaA</v>
      </c>
    </row>
    <row r="373" spans="1:59" x14ac:dyDescent="0.3">
      <c r="A373" t="s">
        <v>2059</v>
      </c>
      <c r="B373" t="s">
        <v>2661</v>
      </c>
      <c r="AV373">
        <f t="shared" si="59"/>
        <v>7</v>
      </c>
      <c r="AW373">
        <f t="shared" si="60"/>
        <v>15</v>
      </c>
      <c r="AX373">
        <f t="shared" si="51"/>
        <v>22</v>
      </c>
      <c r="AY373">
        <f t="shared" si="52"/>
        <v>29</v>
      </c>
      <c r="AZ373">
        <f t="shared" si="53"/>
        <v>38</v>
      </c>
      <c r="BA373">
        <f t="shared" si="54"/>
        <v>49</v>
      </c>
      <c r="BB373">
        <f t="shared" si="55"/>
        <v>62</v>
      </c>
      <c r="BC373">
        <f t="shared" si="56"/>
        <v>62</v>
      </c>
      <c r="BD373">
        <f t="shared" si="57"/>
        <v>62</v>
      </c>
      <c r="BE373">
        <f>HLOOKUP(AV373-1,$AW$3:BD651,ROW(AV373)-2,0)</f>
        <v>49</v>
      </c>
      <c r="BF373">
        <f>HLOOKUP(AV373,$AW$3:BD651,ROW(AV373)-2,0)</f>
        <v>62</v>
      </c>
      <c r="BG373" t="str">
        <f t="shared" si="58"/>
        <v>Aktywa_B_I_1_KwotaA</v>
      </c>
    </row>
    <row r="374" spans="1:59" x14ac:dyDescent="0.3">
      <c r="A374" t="s">
        <v>2061</v>
      </c>
      <c r="B374" t="s">
        <v>2662</v>
      </c>
      <c r="AV374">
        <f t="shared" si="59"/>
        <v>7</v>
      </c>
      <c r="AW374">
        <f t="shared" si="60"/>
        <v>15</v>
      </c>
      <c r="AX374">
        <f t="shared" si="51"/>
        <v>22</v>
      </c>
      <c r="AY374">
        <f t="shared" si="52"/>
        <v>29</v>
      </c>
      <c r="AZ374">
        <f t="shared" si="53"/>
        <v>38</v>
      </c>
      <c r="BA374">
        <f t="shared" si="54"/>
        <v>49</v>
      </c>
      <c r="BB374">
        <f t="shared" si="55"/>
        <v>62</v>
      </c>
      <c r="BC374">
        <f t="shared" si="56"/>
        <v>62</v>
      </c>
      <c r="BD374">
        <f t="shared" si="57"/>
        <v>62</v>
      </c>
      <c r="BE374">
        <f>HLOOKUP(AV374-1,$AW$3:BD651,ROW(AV374)-2,0)</f>
        <v>49</v>
      </c>
      <c r="BF374">
        <f>HLOOKUP(AV374,$AW$3:BD651,ROW(AV374)-2,0)</f>
        <v>62</v>
      </c>
      <c r="BG374" t="str">
        <f t="shared" si="58"/>
        <v>Aktywa_B_I_2_KwotaA</v>
      </c>
    </row>
    <row r="375" spans="1:59" x14ac:dyDescent="0.3">
      <c r="A375" t="s">
        <v>2063</v>
      </c>
      <c r="B375" t="s">
        <v>2663</v>
      </c>
      <c r="AV375">
        <f t="shared" si="59"/>
        <v>7</v>
      </c>
      <c r="AW375">
        <f t="shared" si="60"/>
        <v>15</v>
      </c>
      <c r="AX375">
        <f t="shared" si="51"/>
        <v>22</v>
      </c>
      <c r="AY375">
        <f t="shared" si="52"/>
        <v>29</v>
      </c>
      <c r="AZ375">
        <f t="shared" si="53"/>
        <v>38</v>
      </c>
      <c r="BA375">
        <f t="shared" si="54"/>
        <v>49</v>
      </c>
      <c r="BB375">
        <f t="shared" si="55"/>
        <v>62</v>
      </c>
      <c r="BC375">
        <f t="shared" si="56"/>
        <v>62</v>
      </c>
      <c r="BD375">
        <f t="shared" si="57"/>
        <v>62</v>
      </c>
      <c r="BE375">
        <f>HLOOKUP(AV375-1,$AW$3:BD651,ROW(AV375)-2,0)</f>
        <v>49</v>
      </c>
      <c r="BF375">
        <f>HLOOKUP(AV375,$AW$3:BD651,ROW(AV375)-2,0)</f>
        <v>62</v>
      </c>
      <c r="BG375" t="str">
        <f t="shared" si="58"/>
        <v>Aktywa_B_I_3_KwotaA</v>
      </c>
    </row>
    <row r="376" spans="1:59" x14ac:dyDescent="0.3">
      <c r="A376" t="s">
        <v>2065</v>
      </c>
      <c r="B376" t="s">
        <v>2664</v>
      </c>
      <c r="AV376">
        <f t="shared" si="59"/>
        <v>7</v>
      </c>
      <c r="AW376">
        <f t="shared" si="60"/>
        <v>15</v>
      </c>
      <c r="AX376">
        <f t="shared" si="51"/>
        <v>22</v>
      </c>
      <c r="AY376">
        <f t="shared" si="52"/>
        <v>29</v>
      </c>
      <c r="AZ376">
        <f t="shared" si="53"/>
        <v>38</v>
      </c>
      <c r="BA376">
        <f t="shared" si="54"/>
        <v>49</v>
      </c>
      <c r="BB376">
        <f t="shared" si="55"/>
        <v>62</v>
      </c>
      <c r="BC376">
        <f t="shared" si="56"/>
        <v>62</v>
      </c>
      <c r="BD376">
        <f t="shared" si="57"/>
        <v>62</v>
      </c>
      <c r="BE376">
        <f>HLOOKUP(AV376-1,$AW$3:BD651,ROW(AV376)-2,0)</f>
        <v>49</v>
      </c>
      <c r="BF376">
        <f>HLOOKUP(AV376,$AW$3:BD651,ROW(AV376)-2,0)</f>
        <v>62</v>
      </c>
      <c r="BG376" t="str">
        <f t="shared" si="58"/>
        <v>Aktywa_B_I_4_KwotaA</v>
      </c>
    </row>
    <row r="377" spans="1:59" x14ac:dyDescent="0.3">
      <c r="A377" t="s">
        <v>2067</v>
      </c>
      <c r="B377" t="s">
        <v>2665</v>
      </c>
      <c r="AV377">
        <f t="shared" si="59"/>
        <v>7</v>
      </c>
      <c r="AW377">
        <f t="shared" si="60"/>
        <v>15</v>
      </c>
      <c r="AX377">
        <f t="shared" si="51"/>
        <v>22</v>
      </c>
      <c r="AY377">
        <f t="shared" si="52"/>
        <v>29</v>
      </c>
      <c r="AZ377">
        <f t="shared" si="53"/>
        <v>38</v>
      </c>
      <c r="BA377">
        <f t="shared" si="54"/>
        <v>49</v>
      </c>
      <c r="BB377">
        <f t="shared" si="55"/>
        <v>62</v>
      </c>
      <c r="BC377">
        <f t="shared" si="56"/>
        <v>62</v>
      </c>
      <c r="BD377">
        <f t="shared" si="57"/>
        <v>62</v>
      </c>
      <c r="BE377">
        <f>HLOOKUP(AV377-1,$AW$3:BD651,ROW(AV377)-2,0)</f>
        <v>49</v>
      </c>
      <c r="BF377">
        <f>HLOOKUP(AV377,$AW$3:BD651,ROW(AV377)-2,0)</f>
        <v>62</v>
      </c>
      <c r="BG377" t="str">
        <f t="shared" si="58"/>
        <v>Aktywa_B_I_5_KwotaA</v>
      </c>
    </row>
    <row r="378" spans="1:59" x14ac:dyDescent="0.3">
      <c r="A378" t="s">
        <v>2069</v>
      </c>
      <c r="B378" t="s">
        <v>2666</v>
      </c>
      <c r="C378" s="18">
        <v>98465.09</v>
      </c>
      <c r="AV378">
        <f t="shared" si="59"/>
        <v>6</v>
      </c>
      <c r="AW378">
        <f t="shared" si="60"/>
        <v>15</v>
      </c>
      <c r="AX378">
        <f t="shared" si="51"/>
        <v>22</v>
      </c>
      <c r="AY378">
        <f t="shared" si="52"/>
        <v>29</v>
      </c>
      <c r="AZ378">
        <f t="shared" si="53"/>
        <v>38</v>
      </c>
      <c r="BA378">
        <f t="shared" si="54"/>
        <v>50</v>
      </c>
      <c r="BB378">
        <f t="shared" si="55"/>
        <v>50</v>
      </c>
      <c r="BC378">
        <f t="shared" si="56"/>
        <v>50</v>
      </c>
      <c r="BD378">
        <f t="shared" si="57"/>
        <v>50</v>
      </c>
      <c r="BE378">
        <f>HLOOKUP(AV378-1,$AW$3:BD651,ROW(AV378)-2,0)</f>
        <v>38</v>
      </c>
      <c r="BF378">
        <f>HLOOKUP(AV378,$AW$3:BD651,ROW(AV378)-2,0)</f>
        <v>50</v>
      </c>
      <c r="BG378" t="str">
        <f t="shared" si="58"/>
        <v>Aktywa_B_II_KwotaA</v>
      </c>
    </row>
    <row r="379" spans="1:59" x14ac:dyDescent="0.3">
      <c r="A379" t="s">
        <v>2071</v>
      </c>
      <c r="B379" t="s">
        <v>2667</v>
      </c>
      <c r="C379" s="18">
        <v>0</v>
      </c>
      <c r="AV379">
        <f t="shared" si="59"/>
        <v>7</v>
      </c>
      <c r="AW379">
        <f t="shared" si="60"/>
        <v>15</v>
      </c>
      <c r="AX379">
        <f t="shared" si="51"/>
        <v>22</v>
      </c>
      <c r="AY379">
        <f t="shared" si="52"/>
        <v>29</v>
      </c>
      <c r="AZ379">
        <f t="shared" si="53"/>
        <v>38</v>
      </c>
      <c r="BA379">
        <f t="shared" si="54"/>
        <v>50</v>
      </c>
      <c r="BB379">
        <f t="shared" si="55"/>
        <v>64</v>
      </c>
      <c r="BC379">
        <f t="shared" si="56"/>
        <v>64</v>
      </c>
      <c r="BD379">
        <f t="shared" si="57"/>
        <v>64</v>
      </c>
      <c r="BE379">
        <f>HLOOKUP(AV379-1,$AW$3:BD651,ROW(AV379)-2,0)</f>
        <v>50</v>
      </c>
      <c r="BF379">
        <f>HLOOKUP(AV379,$AW$3:BD651,ROW(AV379)-2,0)</f>
        <v>64</v>
      </c>
      <c r="BG379" t="str">
        <f t="shared" si="58"/>
        <v>Aktywa_B_II_1_KwotaA</v>
      </c>
    </row>
    <row r="380" spans="1:59" x14ac:dyDescent="0.3">
      <c r="A380" t="s">
        <v>2073</v>
      </c>
      <c r="B380" t="s">
        <v>2668</v>
      </c>
      <c r="C380" s="18">
        <v>0</v>
      </c>
      <c r="AV380">
        <f t="shared" si="59"/>
        <v>8</v>
      </c>
      <c r="AW380">
        <f t="shared" si="60"/>
        <v>15</v>
      </c>
      <c r="AX380">
        <f t="shared" si="51"/>
        <v>22</v>
      </c>
      <c r="AY380">
        <f t="shared" si="52"/>
        <v>29</v>
      </c>
      <c r="AZ380">
        <f t="shared" si="53"/>
        <v>38</v>
      </c>
      <c r="BA380">
        <f t="shared" si="54"/>
        <v>50</v>
      </c>
      <c r="BB380">
        <f t="shared" si="55"/>
        <v>64</v>
      </c>
      <c r="BC380">
        <f t="shared" si="56"/>
        <v>80</v>
      </c>
      <c r="BD380">
        <f t="shared" si="57"/>
        <v>80</v>
      </c>
      <c r="BE380">
        <f>HLOOKUP(AV380-1,$AW$3:BD652,ROW(AV380)-2,0)</f>
        <v>64</v>
      </c>
      <c r="BF380">
        <f>HLOOKUP(AV380,$AW$3:BD652,ROW(AV380)-2,0)</f>
        <v>80</v>
      </c>
      <c r="BG380" t="str">
        <f t="shared" si="58"/>
        <v>Aktywa_B_II_1_A_KwotaA</v>
      </c>
    </row>
    <row r="381" spans="1:59" x14ac:dyDescent="0.3">
      <c r="A381" t="s">
        <v>2075</v>
      </c>
      <c r="B381" t="s">
        <v>2669</v>
      </c>
      <c r="C381" s="18">
        <v>0</v>
      </c>
      <c r="AV381">
        <f t="shared" si="59"/>
        <v>9</v>
      </c>
      <c r="AW381">
        <f t="shared" si="60"/>
        <v>15</v>
      </c>
      <c r="AX381">
        <f t="shared" si="51"/>
        <v>22</v>
      </c>
      <c r="AY381">
        <f t="shared" si="52"/>
        <v>29</v>
      </c>
      <c r="AZ381">
        <f t="shared" si="53"/>
        <v>38</v>
      </c>
      <c r="BA381">
        <f t="shared" si="54"/>
        <v>50</v>
      </c>
      <c r="BB381">
        <f t="shared" si="55"/>
        <v>64</v>
      </c>
      <c r="BC381">
        <f t="shared" si="56"/>
        <v>80</v>
      </c>
      <c r="BD381">
        <f t="shared" si="57"/>
        <v>98</v>
      </c>
      <c r="BE381">
        <f>HLOOKUP(AV381-1,$AW$3:BD653,ROW(AV381)-2,0)</f>
        <v>80</v>
      </c>
      <c r="BF381">
        <f>HLOOKUP(AV381,$AW$3:BD653,ROW(AV381)-2,0)</f>
        <v>98</v>
      </c>
      <c r="BG381" t="str">
        <f t="shared" si="58"/>
        <v>Aktywa_B_II_1_A_1_KwotaA</v>
      </c>
    </row>
    <row r="382" spans="1:59" x14ac:dyDescent="0.3">
      <c r="A382" t="s">
        <v>2077</v>
      </c>
      <c r="B382" t="s">
        <v>2670</v>
      </c>
      <c r="AV382">
        <f t="shared" si="59"/>
        <v>9</v>
      </c>
      <c r="AW382">
        <f t="shared" si="60"/>
        <v>15</v>
      </c>
      <c r="AX382">
        <f t="shared" si="51"/>
        <v>22</v>
      </c>
      <c r="AY382">
        <f t="shared" si="52"/>
        <v>29</v>
      </c>
      <c r="AZ382">
        <f t="shared" si="53"/>
        <v>38</v>
      </c>
      <c r="BA382">
        <f t="shared" si="54"/>
        <v>50</v>
      </c>
      <c r="BB382">
        <f t="shared" si="55"/>
        <v>64</v>
      </c>
      <c r="BC382">
        <f t="shared" si="56"/>
        <v>80</v>
      </c>
      <c r="BD382">
        <f t="shared" si="57"/>
        <v>98</v>
      </c>
      <c r="BE382">
        <f>HLOOKUP(AV382-1,$AW$3:BD654,ROW(AV382)-2,0)</f>
        <v>80</v>
      </c>
      <c r="BF382">
        <f>HLOOKUP(AV382,$AW$3:BD654,ROW(AV382)-2,0)</f>
        <v>98</v>
      </c>
      <c r="BG382" t="str">
        <f t="shared" si="58"/>
        <v>Aktywa_B_II_1_A_2_KwotaA</v>
      </c>
    </row>
    <row r="383" spans="1:59" x14ac:dyDescent="0.3">
      <c r="A383" t="s">
        <v>2079</v>
      </c>
      <c r="B383" t="s">
        <v>2671</v>
      </c>
      <c r="AV383">
        <f t="shared" si="59"/>
        <v>8</v>
      </c>
      <c r="AW383">
        <f t="shared" si="60"/>
        <v>15</v>
      </c>
      <c r="AX383">
        <f t="shared" si="51"/>
        <v>22</v>
      </c>
      <c r="AY383">
        <f t="shared" si="52"/>
        <v>29</v>
      </c>
      <c r="AZ383">
        <f t="shared" si="53"/>
        <v>38</v>
      </c>
      <c r="BA383">
        <f t="shared" si="54"/>
        <v>50</v>
      </c>
      <c r="BB383">
        <f t="shared" si="55"/>
        <v>64</v>
      </c>
      <c r="BC383">
        <f t="shared" si="56"/>
        <v>80</v>
      </c>
      <c r="BD383">
        <f t="shared" si="57"/>
        <v>80</v>
      </c>
      <c r="BE383">
        <f>HLOOKUP(AV383-1,$AW$3:BD655,ROW(AV383)-2,0)</f>
        <v>64</v>
      </c>
      <c r="BF383">
        <f>HLOOKUP(AV383,$AW$3:BD655,ROW(AV383)-2,0)</f>
        <v>80</v>
      </c>
      <c r="BG383" t="str">
        <f t="shared" si="58"/>
        <v>Aktywa_B_II_1_B_KwotaA</v>
      </c>
    </row>
    <row r="384" spans="1:59" x14ac:dyDescent="0.3">
      <c r="A384" t="s">
        <v>2081</v>
      </c>
      <c r="B384" t="s">
        <v>2672</v>
      </c>
      <c r="AV384">
        <f t="shared" si="59"/>
        <v>7</v>
      </c>
      <c r="AW384">
        <f t="shared" si="60"/>
        <v>15</v>
      </c>
      <c r="AX384">
        <f t="shared" si="51"/>
        <v>22</v>
      </c>
      <c r="AY384">
        <f t="shared" si="52"/>
        <v>29</v>
      </c>
      <c r="AZ384">
        <f t="shared" si="53"/>
        <v>38</v>
      </c>
      <c r="BA384">
        <f t="shared" si="54"/>
        <v>50</v>
      </c>
      <c r="BB384">
        <f t="shared" si="55"/>
        <v>64</v>
      </c>
      <c r="BC384">
        <f t="shared" si="56"/>
        <v>64</v>
      </c>
      <c r="BD384">
        <f t="shared" si="57"/>
        <v>64</v>
      </c>
      <c r="BE384">
        <f>HLOOKUP(AV384-1,$AW$3:BD656,ROW(AV384)-2,0)</f>
        <v>50</v>
      </c>
      <c r="BF384">
        <f>HLOOKUP(AV384,$AW$3:BD656,ROW(AV384)-2,0)</f>
        <v>64</v>
      </c>
      <c r="BG384" t="str">
        <f t="shared" si="58"/>
        <v>Aktywa_B_II_2_KwotaA</v>
      </c>
    </row>
    <row r="385" spans="1:59" x14ac:dyDescent="0.3">
      <c r="A385" t="s">
        <v>2083</v>
      </c>
      <c r="B385" t="s">
        <v>2673</v>
      </c>
      <c r="AV385">
        <f t="shared" si="59"/>
        <v>8</v>
      </c>
      <c r="AW385">
        <f t="shared" si="60"/>
        <v>15</v>
      </c>
      <c r="AX385">
        <f t="shared" si="51"/>
        <v>22</v>
      </c>
      <c r="AY385">
        <f t="shared" si="52"/>
        <v>29</v>
      </c>
      <c r="AZ385">
        <f t="shared" si="53"/>
        <v>38</v>
      </c>
      <c r="BA385">
        <f t="shared" si="54"/>
        <v>50</v>
      </c>
      <c r="BB385">
        <f t="shared" si="55"/>
        <v>64</v>
      </c>
      <c r="BC385">
        <f t="shared" si="56"/>
        <v>80</v>
      </c>
      <c r="BD385">
        <f t="shared" si="57"/>
        <v>80</v>
      </c>
      <c r="BE385">
        <f>HLOOKUP(AV385-1,$AW$3:BD657,ROW(AV385)-2,0)</f>
        <v>64</v>
      </c>
      <c r="BF385">
        <f>HLOOKUP(AV385,$AW$3:BD657,ROW(AV385)-2,0)</f>
        <v>80</v>
      </c>
      <c r="BG385" t="str">
        <f t="shared" si="58"/>
        <v>Aktywa_B_II_2_A_KwotaA</v>
      </c>
    </row>
    <row r="386" spans="1:59" x14ac:dyDescent="0.3">
      <c r="A386" t="s">
        <v>2085</v>
      </c>
      <c r="B386" t="s">
        <v>2674</v>
      </c>
      <c r="AV386">
        <f t="shared" si="59"/>
        <v>9</v>
      </c>
      <c r="AW386">
        <f t="shared" si="60"/>
        <v>15</v>
      </c>
      <c r="AX386">
        <f t="shared" si="51"/>
        <v>22</v>
      </c>
      <c r="AY386">
        <f t="shared" si="52"/>
        <v>29</v>
      </c>
      <c r="AZ386">
        <f t="shared" si="53"/>
        <v>38</v>
      </c>
      <c r="BA386">
        <f t="shared" si="54"/>
        <v>50</v>
      </c>
      <c r="BB386">
        <f t="shared" si="55"/>
        <v>64</v>
      </c>
      <c r="BC386">
        <f t="shared" si="56"/>
        <v>80</v>
      </c>
      <c r="BD386">
        <f t="shared" si="57"/>
        <v>98</v>
      </c>
      <c r="BE386">
        <f>HLOOKUP(AV386-1,$AW$3:BD658,ROW(AV386)-2,0)</f>
        <v>80</v>
      </c>
      <c r="BF386">
        <f>HLOOKUP(AV386,$AW$3:BD658,ROW(AV386)-2,0)</f>
        <v>98</v>
      </c>
      <c r="BG386" t="str">
        <f t="shared" si="58"/>
        <v>Aktywa_B_II_2_A_1_KwotaA</v>
      </c>
    </row>
    <row r="387" spans="1:59" x14ac:dyDescent="0.3">
      <c r="A387" t="s">
        <v>2087</v>
      </c>
      <c r="B387" t="s">
        <v>2675</v>
      </c>
      <c r="AV387">
        <f t="shared" si="59"/>
        <v>9</v>
      </c>
      <c r="AW387">
        <f t="shared" si="60"/>
        <v>15</v>
      </c>
      <c r="AX387">
        <f t="shared" si="51"/>
        <v>22</v>
      </c>
      <c r="AY387">
        <f t="shared" si="52"/>
        <v>29</v>
      </c>
      <c r="AZ387">
        <f t="shared" si="53"/>
        <v>38</v>
      </c>
      <c r="BA387">
        <f t="shared" si="54"/>
        <v>50</v>
      </c>
      <c r="BB387">
        <f t="shared" si="55"/>
        <v>64</v>
      </c>
      <c r="BC387">
        <f t="shared" si="56"/>
        <v>80</v>
      </c>
      <c r="BD387">
        <f t="shared" si="57"/>
        <v>98</v>
      </c>
      <c r="BE387">
        <f>HLOOKUP(AV387-1,$AW$3:BD659,ROW(AV387)-2,0)</f>
        <v>80</v>
      </c>
      <c r="BF387">
        <f>HLOOKUP(AV387,$AW$3:BD659,ROW(AV387)-2,0)</f>
        <v>98</v>
      </c>
      <c r="BG387" t="str">
        <f t="shared" si="58"/>
        <v>Aktywa_B_II_2_A_2_KwotaA</v>
      </c>
    </row>
    <row r="388" spans="1:59" x14ac:dyDescent="0.3">
      <c r="A388" t="s">
        <v>2089</v>
      </c>
      <c r="B388" t="s">
        <v>2676</v>
      </c>
      <c r="AV388">
        <f t="shared" si="59"/>
        <v>8</v>
      </c>
      <c r="AW388">
        <f t="shared" si="60"/>
        <v>15</v>
      </c>
      <c r="AX388">
        <f t="shared" ref="AX388:AX451" si="61">FIND("/",B388,AW388+1)</f>
        <v>22</v>
      </c>
      <c r="AY388">
        <f t="shared" ref="AY388:AY451" si="62">IFERROR(FIND("/",B388,AX388+1),AX388)</f>
        <v>29</v>
      </c>
      <c r="AZ388">
        <f t="shared" ref="AZ388:AZ451" si="63">IFERROR(FIND("/",B388,AY388+1),AY388)</f>
        <v>38</v>
      </c>
      <c r="BA388">
        <f t="shared" ref="BA388:BA451" si="64">IFERROR(FIND("/",B388,AZ388+1),AZ388)</f>
        <v>50</v>
      </c>
      <c r="BB388">
        <f t="shared" ref="BB388:BB451" si="65">IFERROR(FIND("/",B388,BA388+1),BA388)</f>
        <v>64</v>
      </c>
      <c r="BC388">
        <f t="shared" ref="BC388:BC451" si="66">IFERROR(FIND("/",B388,BB388+1),BB388)</f>
        <v>80</v>
      </c>
      <c r="BD388">
        <f t="shared" ref="BD388:BD451" si="67">IFERROR(FIND("/",B388,BC388+1),BC388)</f>
        <v>80</v>
      </c>
      <c r="BE388">
        <f>HLOOKUP(AV388-1,$AW$3:BD660,ROW(AV388)-2,0)</f>
        <v>64</v>
      </c>
      <c r="BF388">
        <f>HLOOKUP(AV388,$AW$3:BD660,ROW(AV388)-2,0)</f>
        <v>80</v>
      </c>
      <c r="BG388" t="str">
        <f t="shared" ref="BG388:BG451" si="68">IF(ISERROR(FIND("Kwota",B388)),IF(ISERROR(FIND("Prawna",B388)),MID(B388,BF388+1,LEN(B388)-BF388),REPLACE(MID(B388,BE388+1,LEN(B388)-BE388),FIND("/",MID(B388,BE388+1,LEN(B388)-BE388)),1,"_")),REPLACE(MID(B388,BE388+1,LEN(B388)-BE388),FIND("/",MID(B388,BE388+1,LEN(B388)-BE388)),1,"_"))</f>
        <v>Aktywa_B_II_2_B_KwotaA</v>
      </c>
    </row>
    <row r="389" spans="1:59" x14ac:dyDescent="0.3">
      <c r="A389" t="s">
        <v>2091</v>
      </c>
      <c r="B389" t="s">
        <v>2677</v>
      </c>
      <c r="C389" s="18">
        <v>98465.09</v>
      </c>
      <c r="AV389">
        <f t="shared" si="59"/>
        <v>7</v>
      </c>
      <c r="AW389">
        <f t="shared" si="60"/>
        <v>15</v>
      </c>
      <c r="AX389">
        <f t="shared" si="61"/>
        <v>22</v>
      </c>
      <c r="AY389">
        <f t="shared" si="62"/>
        <v>29</v>
      </c>
      <c r="AZ389">
        <f t="shared" si="63"/>
        <v>38</v>
      </c>
      <c r="BA389">
        <f t="shared" si="64"/>
        <v>50</v>
      </c>
      <c r="BB389">
        <f t="shared" si="65"/>
        <v>64</v>
      </c>
      <c r="BC389">
        <f t="shared" si="66"/>
        <v>64</v>
      </c>
      <c r="BD389">
        <f t="shared" si="67"/>
        <v>64</v>
      </c>
      <c r="BE389">
        <f>HLOOKUP(AV389-1,$AW$3:BD661,ROW(AV389)-2,0)</f>
        <v>50</v>
      </c>
      <c r="BF389">
        <f>HLOOKUP(AV389,$AW$3:BD661,ROW(AV389)-2,0)</f>
        <v>64</v>
      </c>
      <c r="BG389" t="str">
        <f t="shared" si="68"/>
        <v>Aktywa_B_II_3_KwotaA</v>
      </c>
    </row>
    <row r="390" spans="1:59" x14ac:dyDescent="0.3">
      <c r="A390" t="s">
        <v>2093</v>
      </c>
      <c r="B390" t="s">
        <v>2678</v>
      </c>
      <c r="AV390">
        <f t="shared" si="59"/>
        <v>8</v>
      </c>
      <c r="AW390">
        <f t="shared" si="60"/>
        <v>15</v>
      </c>
      <c r="AX390">
        <f t="shared" si="61"/>
        <v>22</v>
      </c>
      <c r="AY390">
        <f t="shared" si="62"/>
        <v>29</v>
      </c>
      <c r="AZ390">
        <f t="shared" si="63"/>
        <v>38</v>
      </c>
      <c r="BA390">
        <f t="shared" si="64"/>
        <v>50</v>
      </c>
      <c r="BB390">
        <f t="shared" si="65"/>
        <v>64</v>
      </c>
      <c r="BC390">
        <f t="shared" si="66"/>
        <v>80</v>
      </c>
      <c r="BD390">
        <f t="shared" si="67"/>
        <v>80</v>
      </c>
      <c r="BE390">
        <f>HLOOKUP(AV390-1,$AW$3:BD662,ROW(AV390)-2,0)</f>
        <v>64</v>
      </c>
      <c r="BF390">
        <f>HLOOKUP(AV390,$AW$3:BD662,ROW(AV390)-2,0)</f>
        <v>80</v>
      </c>
      <c r="BG390" t="str">
        <f t="shared" si="68"/>
        <v>Aktywa_B_II_3_A_KwotaA</v>
      </c>
    </row>
    <row r="391" spans="1:59" x14ac:dyDescent="0.3">
      <c r="A391" t="s">
        <v>2095</v>
      </c>
      <c r="B391" t="s">
        <v>2679</v>
      </c>
      <c r="AV391">
        <f t="shared" si="59"/>
        <v>9</v>
      </c>
      <c r="AW391">
        <f t="shared" si="60"/>
        <v>15</v>
      </c>
      <c r="AX391">
        <f t="shared" si="61"/>
        <v>22</v>
      </c>
      <c r="AY391">
        <f t="shared" si="62"/>
        <v>29</v>
      </c>
      <c r="AZ391">
        <f t="shared" si="63"/>
        <v>38</v>
      </c>
      <c r="BA391">
        <f t="shared" si="64"/>
        <v>50</v>
      </c>
      <c r="BB391">
        <f t="shared" si="65"/>
        <v>64</v>
      </c>
      <c r="BC391">
        <f t="shared" si="66"/>
        <v>80</v>
      </c>
      <c r="BD391">
        <f t="shared" si="67"/>
        <v>98</v>
      </c>
      <c r="BE391">
        <f>HLOOKUP(AV391-1,$AW$3:BD663,ROW(AV391)-2,0)</f>
        <v>80</v>
      </c>
      <c r="BF391">
        <f>HLOOKUP(AV391,$AW$3:BD663,ROW(AV391)-2,0)</f>
        <v>98</v>
      </c>
      <c r="BG391" t="str">
        <f t="shared" si="68"/>
        <v>Aktywa_B_II_3_A_1_KwotaA</v>
      </c>
    </row>
    <row r="392" spans="1:59" x14ac:dyDescent="0.3">
      <c r="A392" t="s">
        <v>2097</v>
      </c>
      <c r="B392" t="s">
        <v>2680</v>
      </c>
      <c r="AV392">
        <f t="shared" ref="AV392:AV455" si="69" xml:space="preserve"> SUM(LEN(B392)-LEN(SUBSTITUTE(B392,"/","")))/LEN("/")</f>
        <v>9</v>
      </c>
      <c r="AW392">
        <f t="shared" ref="AW392:AW455" si="70">FIND("/",B392,2)</f>
        <v>15</v>
      </c>
      <c r="AX392">
        <f t="shared" si="61"/>
        <v>22</v>
      </c>
      <c r="AY392">
        <f t="shared" si="62"/>
        <v>29</v>
      </c>
      <c r="AZ392">
        <f t="shared" si="63"/>
        <v>38</v>
      </c>
      <c r="BA392">
        <f t="shared" si="64"/>
        <v>50</v>
      </c>
      <c r="BB392">
        <f t="shared" si="65"/>
        <v>64</v>
      </c>
      <c r="BC392">
        <f t="shared" si="66"/>
        <v>80</v>
      </c>
      <c r="BD392">
        <f t="shared" si="67"/>
        <v>98</v>
      </c>
      <c r="BE392">
        <f>HLOOKUP(AV392-1,$AW$3:BD664,ROW(AV392)-2,0)</f>
        <v>80</v>
      </c>
      <c r="BF392">
        <f>HLOOKUP(AV392,$AW$3:BD664,ROW(AV392)-2,0)</f>
        <v>98</v>
      </c>
      <c r="BG392" t="str">
        <f t="shared" si="68"/>
        <v>Aktywa_B_II_3_A_2_KwotaA</v>
      </c>
    </row>
    <row r="393" spans="1:59" x14ac:dyDescent="0.3">
      <c r="A393" t="s">
        <v>2099</v>
      </c>
      <c r="B393" t="s">
        <v>2681</v>
      </c>
      <c r="C393" s="18">
        <v>98465.09</v>
      </c>
      <c r="AV393">
        <f t="shared" si="69"/>
        <v>8</v>
      </c>
      <c r="AW393">
        <f t="shared" si="70"/>
        <v>15</v>
      </c>
      <c r="AX393">
        <f t="shared" si="61"/>
        <v>22</v>
      </c>
      <c r="AY393">
        <f t="shared" si="62"/>
        <v>29</v>
      </c>
      <c r="AZ393">
        <f t="shared" si="63"/>
        <v>38</v>
      </c>
      <c r="BA393">
        <f t="shared" si="64"/>
        <v>50</v>
      </c>
      <c r="BB393">
        <f t="shared" si="65"/>
        <v>64</v>
      </c>
      <c r="BC393">
        <f t="shared" si="66"/>
        <v>80</v>
      </c>
      <c r="BD393">
        <f t="shared" si="67"/>
        <v>80</v>
      </c>
      <c r="BE393">
        <f>HLOOKUP(AV393-1,$AW$3:BD665,ROW(AV393)-2,0)</f>
        <v>64</v>
      </c>
      <c r="BF393">
        <f>HLOOKUP(AV393,$AW$3:BD665,ROW(AV393)-2,0)</f>
        <v>80</v>
      </c>
      <c r="BG393" t="str">
        <f t="shared" si="68"/>
        <v>Aktywa_B_II_3_B_KwotaA</v>
      </c>
    </row>
    <row r="394" spans="1:59" x14ac:dyDescent="0.3">
      <c r="A394" t="s">
        <v>2101</v>
      </c>
      <c r="B394" t="s">
        <v>2682</v>
      </c>
      <c r="AV394">
        <f t="shared" si="69"/>
        <v>8</v>
      </c>
      <c r="AW394">
        <f t="shared" si="70"/>
        <v>15</v>
      </c>
      <c r="AX394">
        <f t="shared" si="61"/>
        <v>22</v>
      </c>
      <c r="AY394">
        <f t="shared" si="62"/>
        <v>29</v>
      </c>
      <c r="AZ394">
        <f t="shared" si="63"/>
        <v>38</v>
      </c>
      <c r="BA394">
        <f t="shared" si="64"/>
        <v>50</v>
      </c>
      <c r="BB394">
        <f t="shared" si="65"/>
        <v>64</v>
      </c>
      <c r="BC394">
        <f t="shared" si="66"/>
        <v>80</v>
      </c>
      <c r="BD394">
        <f t="shared" si="67"/>
        <v>80</v>
      </c>
      <c r="BE394">
        <f>HLOOKUP(AV394-1,$AW$3:BD666,ROW(AV394)-2,0)</f>
        <v>64</v>
      </c>
      <c r="BF394">
        <f>HLOOKUP(AV394,$AW$3:BD666,ROW(AV394)-2,0)</f>
        <v>80</v>
      </c>
      <c r="BG394" t="str">
        <f t="shared" si="68"/>
        <v>Aktywa_B_II_3_C_KwotaA</v>
      </c>
    </row>
    <row r="395" spans="1:59" x14ac:dyDescent="0.3">
      <c r="A395" t="s">
        <v>2103</v>
      </c>
      <c r="B395" t="s">
        <v>2683</v>
      </c>
      <c r="AV395">
        <f t="shared" si="69"/>
        <v>8</v>
      </c>
      <c r="AW395">
        <f t="shared" si="70"/>
        <v>15</v>
      </c>
      <c r="AX395">
        <f t="shared" si="61"/>
        <v>22</v>
      </c>
      <c r="AY395">
        <f t="shared" si="62"/>
        <v>29</v>
      </c>
      <c r="AZ395">
        <f t="shared" si="63"/>
        <v>38</v>
      </c>
      <c r="BA395">
        <f t="shared" si="64"/>
        <v>50</v>
      </c>
      <c r="BB395">
        <f t="shared" si="65"/>
        <v>64</v>
      </c>
      <c r="BC395">
        <f t="shared" si="66"/>
        <v>80</v>
      </c>
      <c r="BD395">
        <f t="shared" si="67"/>
        <v>80</v>
      </c>
      <c r="BE395">
        <f>HLOOKUP(AV395-1,$AW$3:BD667,ROW(AV395)-2,0)</f>
        <v>64</v>
      </c>
      <c r="BF395">
        <f>HLOOKUP(AV395,$AW$3:BD667,ROW(AV395)-2,0)</f>
        <v>80</v>
      </c>
      <c r="BG395" t="str">
        <f t="shared" si="68"/>
        <v>Aktywa_B_II_3_D_KwotaA</v>
      </c>
    </row>
    <row r="396" spans="1:59" x14ac:dyDescent="0.3">
      <c r="A396" t="s">
        <v>2105</v>
      </c>
      <c r="B396" t="s">
        <v>2684</v>
      </c>
      <c r="C396" s="18">
        <v>21488112.239999998</v>
      </c>
      <c r="AV396">
        <f t="shared" si="69"/>
        <v>6</v>
      </c>
      <c r="AW396">
        <f t="shared" si="70"/>
        <v>15</v>
      </c>
      <c r="AX396">
        <f t="shared" si="61"/>
        <v>22</v>
      </c>
      <c r="AY396">
        <f t="shared" si="62"/>
        <v>29</v>
      </c>
      <c r="AZ396">
        <f t="shared" si="63"/>
        <v>38</v>
      </c>
      <c r="BA396">
        <f t="shared" si="64"/>
        <v>51</v>
      </c>
      <c r="BB396">
        <f t="shared" si="65"/>
        <v>51</v>
      </c>
      <c r="BC396">
        <f t="shared" si="66"/>
        <v>51</v>
      </c>
      <c r="BD396">
        <f t="shared" si="67"/>
        <v>51</v>
      </c>
      <c r="BE396">
        <f>HLOOKUP(AV396-1,$AW$3:BD668,ROW(AV396)-2,0)</f>
        <v>38</v>
      </c>
      <c r="BF396">
        <f>HLOOKUP(AV396,$AW$3:BD668,ROW(AV396)-2,0)</f>
        <v>51</v>
      </c>
      <c r="BG396" t="str">
        <f t="shared" si="68"/>
        <v>Aktywa_B_III_KwotaA</v>
      </c>
    </row>
    <row r="397" spans="1:59" x14ac:dyDescent="0.3">
      <c r="A397" t="s">
        <v>2107</v>
      </c>
      <c r="B397" t="s">
        <v>2685</v>
      </c>
      <c r="C397" s="18">
        <v>21488112.239999998</v>
      </c>
      <c r="AV397">
        <f t="shared" si="69"/>
        <v>7</v>
      </c>
      <c r="AW397">
        <f t="shared" si="70"/>
        <v>15</v>
      </c>
      <c r="AX397">
        <f t="shared" si="61"/>
        <v>22</v>
      </c>
      <c r="AY397">
        <f t="shared" si="62"/>
        <v>29</v>
      </c>
      <c r="AZ397">
        <f t="shared" si="63"/>
        <v>38</v>
      </c>
      <c r="BA397">
        <f t="shared" si="64"/>
        <v>51</v>
      </c>
      <c r="BB397">
        <f t="shared" si="65"/>
        <v>66</v>
      </c>
      <c r="BC397">
        <f t="shared" si="66"/>
        <v>66</v>
      </c>
      <c r="BD397">
        <f t="shared" si="67"/>
        <v>66</v>
      </c>
      <c r="BE397">
        <f>HLOOKUP(AV397-1,$AW$3:BD669,ROW(AV397)-2,0)</f>
        <v>51</v>
      </c>
      <c r="BF397">
        <f>HLOOKUP(AV397,$AW$3:BD669,ROW(AV397)-2,0)</f>
        <v>66</v>
      </c>
      <c r="BG397" t="str">
        <f t="shared" si="68"/>
        <v>Aktywa_B_III_1_KwotaA</v>
      </c>
    </row>
    <row r="398" spans="1:59" x14ac:dyDescent="0.3">
      <c r="A398" t="s">
        <v>2109</v>
      </c>
      <c r="B398" t="s">
        <v>2686</v>
      </c>
      <c r="C398" s="18">
        <v>20166097.73</v>
      </c>
      <c r="AV398">
        <f t="shared" si="69"/>
        <v>8</v>
      </c>
      <c r="AW398">
        <f t="shared" si="70"/>
        <v>15</v>
      </c>
      <c r="AX398">
        <f t="shared" si="61"/>
        <v>22</v>
      </c>
      <c r="AY398">
        <f t="shared" si="62"/>
        <v>29</v>
      </c>
      <c r="AZ398">
        <f t="shared" si="63"/>
        <v>38</v>
      </c>
      <c r="BA398">
        <f t="shared" si="64"/>
        <v>51</v>
      </c>
      <c r="BB398">
        <f t="shared" si="65"/>
        <v>66</v>
      </c>
      <c r="BC398">
        <f t="shared" si="66"/>
        <v>83</v>
      </c>
      <c r="BD398">
        <f t="shared" si="67"/>
        <v>83</v>
      </c>
      <c r="BE398">
        <f>HLOOKUP(AV398-1,$AW$3:BD670,ROW(AV398)-2,0)</f>
        <v>66</v>
      </c>
      <c r="BF398">
        <f>HLOOKUP(AV398,$AW$3:BD670,ROW(AV398)-2,0)</f>
        <v>83</v>
      </c>
      <c r="BG398" t="str">
        <f t="shared" si="68"/>
        <v>Aktywa_B_III_1_A_KwotaA</v>
      </c>
    </row>
    <row r="399" spans="1:59" x14ac:dyDescent="0.3">
      <c r="A399" t="s">
        <v>2111</v>
      </c>
      <c r="B399" t="s">
        <v>2687</v>
      </c>
      <c r="AV399">
        <f t="shared" si="69"/>
        <v>9</v>
      </c>
      <c r="AW399">
        <f t="shared" si="70"/>
        <v>15</v>
      </c>
      <c r="AX399">
        <f t="shared" si="61"/>
        <v>22</v>
      </c>
      <c r="AY399">
        <f t="shared" si="62"/>
        <v>29</v>
      </c>
      <c r="AZ399">
        <f t="shared" si="63"/>
        <v>38</v>
      </c>
      <c r="BA399">
        <f t="shared" si="64"/>
        <v>51</v>
      </c>
      <c r="BB399">
        <f t="shared" si="65"/>
        <v>66</v>
      </c>
      <c r="BC399">
        <f t="shared" si="66"/>
        <v>83</v>
      </c>
      <c r="BD399">
        <f t="shared" si="67"/>
        <v>102</v>
      </c>
      <c r="BE399">
        <f>HLOOKUP(AV399-1,$AW$3:BD671,ROW(AV399)-2,0)</f>
        <v>83</v>
      </c>
      <c r="BF399">
        <f>HLOOKUP(AV399,$AW$3:BD671,ROW(AV399)-2,0)</f>
        <v>102</v>
      </c>
      <c r="BG399" t="str">
        <f t="shared" si="68"/>
        <v>Aktywa_B_III_1_A_1_KwotaA</v>
      </c>
    </row>
    <row r="400" spans="1:59" x14ac:dyDescent="0.3">
      <c r="A400" t="s">
        <v>2113</v>
      </c>
      <c r="B400" t="s">
        <v>2688</v>
      </c>
      <c r="AV400">
        <f t="shared" si="69"/>
        <v>9</v>
      </c>
      <c r="AW400">
        <f t="shared" si="70"/>
        <v>15</v>
      </c>
      <c r="AX400">
        <f t="shared" si="61"/>
        <v>22</v>
      </c>
      <c r="AY400">
        <f t="shared" si="62"/>
        <v>29</v>
      </c>
      <c r="AZ400">
        <f t="shared" si="63"/>
        <v>38</v>
      </c>
      <c r="BA400">
        <f t="shared" si="64"/>
        <v>51</v>
      </c>
      <c r="BB400">
        <f t="shared" si="65"/>
        <v>66</v>
      </c>
      <c r="BC400">
        <f t="shared" si="66"/>
        <v>83</v>
      </c>
      <c r="BD400">
        <f t="shared" si="67"/>
        <v>102</v>
      </c>
      <c r="BE400">
        <f>HLOOKUP(AV400-1,$AW$3:BD672,ROW(AV400)-2,0)</f>
        <v>83</v>
      </c>
      <c r="BF400">
        <f>HLOOKUP(AV400,$AW$3:BD672,ROW(AV400)-2,0)</f>
        <v>102</v>
      </c>
      <c r="BG400" t="str">
        <f t="shared" si="68"/>
        <v>Aktywa_B_III_1_A_2_KwotaA</v>
      </c>
    </row>
    <row r="401" spans="1:59" x14ac:dyDescent="0.3">
      <c r="A401" t="s">
        <v>2115</v>
      </c>
      <c r="B401" t="s">
        <v>2689</v>
      </c>
      <c r="C401" s="18">
        <v>20166097.73</v>
      </c>
      <c r="AV401">
        <f t="shared" si="69"/>
        <v>9</v>
      </c>
      <c r="AW401">
        <f t="shared" si="70"/>
        <v>15</v>
      </c>
      <c r="AX401">
        <f t="shared" si="61"/>
        <v>22</v>
      </c>
      <c r="AY401">
        <f t="shared" si="62"/>
        <v>29</v>
      </c>
      <c r="AZ401">
        <f t="shared" si="63"/>
        <v>38</v>
      </c>
      <c r="BA401">
        <f t="shared" si="64"/>
        <v>51</v>
      </c>
      <c r="BB401">
        <f t="shared" si="65"/>
        <v>66</v>
      </c>
      <c r="BC401">
        <f t="shared" si="66"/>
        <v>83</v>
      </c>
      <c r="BD401">
        <f t="shared" si="67"/>
        <v>102</v>
      </c>
      <c r="BE401">
        <f>HLOOKUP(AV401-1,$AW$3:BD673,ROW(AV401)-2,0)</f>
        <v>83</v>
      </c>
      <c r="BF401">
        <f>HLOOKUP(AV401,$AW$3:BD673,ROW(AV401)-2,0)</f>
        <v>102</v>
      </c>
      <c r="BG401" t="str">
        <f t="shared" si="68"/>
        <v>Aktywa_B_III_1_A_3_KwotaA</v>
      </c>
    </row>
    <row r="402" spans="1:59" x14ac:dyDescent="0.3">
      <c r="A402" t="s">
        <v>2117</v>
      </c>
      <c r="B402" t="s">
        <v>2690</v>
      </c>
      <c r="AV402">
        <f t="shared" si="69"/>
        <v>9</v>
      </c>
      <c r="AW402">
        <f t="shared" si="70"/>
        <v>15</v>
      </c>
      <c r="AX402">
        <f t="shared" si="61"/>
        <v>22</v>
      </c>
      <c r="AY402">
        <f t="shared" si="62"/>
        <v>29</v>
      </c>
      <c r="AZ402">
        <f t="shared" si="63"/>
        <v>38</v>
      </c>
      <c r="BA402">
        <f t="shared" si="64"/>
        <v>51</v>
      </c>
      <c r="BB402">
        <f t="shared" si="65"/>
        <v>66</v>
      </c>
      <c r="BC402">
        <f t="shared" si="66"/>
        <v>83</v>
      </c>
      <c r="BD402">
        <f t="shared" si="67"/>
        <v>102</v>
      </c>
      <c r="BE402">
        <f>HLOOKUP(AV402-1,$AW$3:BD674,ROW(AV402)-2,0)</f>
        <v>83</v>
      </c>
      <c r="BF402">
        <f>HLOOKUP(AV402,$AW$3:BD674,ROW(AV402)-2,0)</f>
        <v>102</v>
      </c>
      <c r="BG402" t="str">
        <f t="shared" si="68"/>
        <v>Aktywa_B_III_1_A_4_KwotaA</v>
      </c>
    </row>
    <row r="403" spans="1:59" x14ac:dyDescent="0.3">
      <c r="A403" t="s">
        <v>2119</v>
      </c>
      <c r="B403" t="s">
        <v>2691</v>
      </c>
      <c r="AV403">
        <f t="shared" si="69"/>
        <v>8</v>
      </c>
      <c r="AW403">
        <f t="shared" si="70"/>
        <v>15</v>
      </c>
      <c r="AX403">
        <f t="shared" si="61"/>
        <v>22</v>
      </c>
      <c r="AY403">
        <f t="shared" si="62"/>
        <v>29</v>
      </c>
      <c r="AZ403">
        <f t="shared" si="63"/>
        <v>38</v>
      </c>
      <c r="BA403">
        <f t="shared" si="64"/>
        <v>51</v>
      </c>
      <c r="BB403">
        <f t="shared" si="65"/>
        <v>66</v>
      </c>
      <c r="BC403">
        <f t="shared" si="66"/>
        <v>83</v>
      </c>
      <c r="BD403">
        <f t="shared" si="67"/>
        <v>83</v>
      </c>
      <c r="BE403">
        <f>HLOOKUP(AV403-1,$AW$3:BD675,ROW(AV403)-2,0)</f>
        <v>66</v>
      </c>
      <c r="BF403">
        <f>HLOOKUP(AV403,$AW$3:BD675,ROW(AV403)-2,0)</f>
        <v>83</v>
      </c>
      <c r="BG403" t="str">
        <f t="shared" si="68"/>
        <v>Aktywa_B_III_1_B_KwotaA</v>
      </c>
    </row>
    <row r="404" spans="1:59" x14ac:dyDescent="0.3">
      <c r="A404" t="s">
        <v>2121</v>
      </c>
      <c r="B404" t="s">
        <v>2692</v>
      </c>
      <c r="AV404">
        <f t="shared" si="69"/>
        <v>9</v>
      </c>
      <c r="AW404">
        <f t="shared" si="70"/>
        <v>15</v>
      </c>
      <c r="AX404">
        <f t="shared" si="61"/>
        <v>22</v>
      </c>
      <c r="AY404">
        <f t="shared" si="62"/>
        <v>29</v>
      </c>
      <c r="AZ404">
        <f t="shared" si="63"/>
        <v>38</v>
      </c>
      <c r="BA404">
        <f t="shared" si="64"/>
        <v>51</v>
      </c>
      <c r="BB404">
        <f t="shared" si="65"/>
        <v>66</v>
      </c>
      <c r="BC404">
        <f t="shared" si="66"/>
        <v>83</v>
      </c>
      <c r="BD404">
        <f t="shared" si="67"/>
        <v>102</v>
      </c>
      <c r="BE404">
        <f>HLOOKUP(AV404-1,$AW$3:BD676,ROW(AV404)-2,0)</f>
        <v>83</v>
      </c>
      <c r="BF404">
        <f>HLOOKUP(AV404,$AW$3:BD676,ROW(AV404)-2,0)</f>
        <v>102</v>
      </c>
      <c r="BG404" t="str">
        <f t="shared" si="68"/>
        <v>Aktywa_B_III_1_B_1_KwotaA</v>
      </c>
    </row>
    <row r="405" spans="1:59" x14ac:dyDescent="0.3">
      <c r="A405" t="s">
        <v>2123</v>
      </c>
      <c r="B405" t="s">
        <v>2693</v>
      </c>
      <c r="AV405">
        <f t="shared" si="69"/>
        <v>9</v>
      </c>
      <c r="AW405">
        <f t="shared" si="70"/>
        <v>15</v>
      </c>
      <c r="AX405">
        <f t="shared" si="61"/>
        <v>22</v>
      </c>
      <c r="AY405">
        <f t="shared" si="62"/>
        <v>29</v>
      </c>
      <c r="AZ405">
        <f t="shared" si="63"/>
        <v>38</v>
      </c>
      <c r="BA405">
        <f t="shared" si="64"/>
        <v>51</v>
      </c>
      <c r="BB405">
        <f t="shared" si="65"/>
        <v>66</v>
      </c>
      <c r="BC405">
        <f t="shared" si="66"/>
        <v>83</v>
      </c>
      <c r="BD405">
        <f t="shared" si="67"/>
        <v>102</v>
      </c>
      <c r="BE405">
        <f>HLOOKUP(AV405-1,$AW$3:BD677,ROW(AV405)-2,0)</f>
        <v>83</v>
      </c>
      <c r="BF405">
        <f>HLOOKUP(AV405,$AW$3:BD677,ROW(AV405)-2,0)</f>
        <v>102</v>
      </c>
      <c r="BG405" t="str">
        <f t="shared" si="68"/>
        <v>Aktywa_B_III_1_B_2_KwotaA</v>
      </c>
    </row>
    <row r="406" spans="1:59" x14ac:dyDescent="0.3">
      <c r="A406" t="s">
        <v>2125</v>
      </c>
      <c r="B406" t="s">
        <v>2694</v>
      </c>
      <c r="AV406">
        <f t="shared" si="69"/>
        <v>9</v>
      </c>
      <c r="AW406">
        <f t="shared" si="70"/>
        <v>15</v>
      </c>
      <c r="AX406">
        <f t="shared" si="61"/>
        <v>22</v>
      </c>
      <c r="AY406">
        <f t="shared" si="62"/>
        <v>29</v>
      </c>
      <c r="AZ406">
        <f t="shared" si="63"/>
        <v>38</v>
      </c>
      <c r="BA406">
        <f t="shared" si="64"/>
        <v>51</v>
      </c>
      <c r="BB406">
        <f t="shared" si="65"/>
        <v>66</v>
      </c>
      <c r="BC406">
        <f t="shared" si="66"/>
        <v>83</v>
      </c>
      <c r="BD406">
        <f t="shared" si="67"/>
        <v>102</v>
      </c>
      <c r="BE406">
        <f>HLOOKUP(AV406-1,$AW$3:BD678,ROW(AV406)-2,0)</f>
        <v>83</v>
      </c>
      <c r="BF406">
        <f>HLOOKUP(AV406,$AW$3:BD678,ROW(AV406)-2,0)</f>
        <v>102</v>
      </c>
      <c r="BG406" t="str">
        <f t="shared" si="68"/>
        <v>Aktywa_B_III_1_B_3_KwotaA</v>
      </c>
    </row>
    <row r="407" spans="1:59" x14ac:dyDescent="0.3">
      <c r="A407" t="s">
        <v>2127</v>
      </c>
      <c r="B407" t="s">
        <v>2695</v>
      </c>
      <c r="AV407">
        <f t="shared" si="69"/>
        <v>9</v>
      </c>
      <c r="AW407">
        <f t="shared" si="70"/>
        <v>15</v>
      </c>
      <c r="AX407">
        <f t="shared" si="61"/>
        <v>22</v>
      </c>
      <c r="AY407">
        <f t="shared" si="62"/>
        <v>29</v>
      </c>
      <c r="AZ407">
        <f t="shared" si="63"/>
        <v>38</v>
      </c>
      <c r="BA407">
        <f t="shared" si="64"/>
        <v>51</v>
      </c>
      <c r="BB407">
        <f t="shared" si="65"/>
        <v>66</v>
      </c>
      <c r="BC407">
        <f t="shared" si="66"/>
        <v>83</v>
      </c>
      <c r="BD407">
        <f t="shared" si="67"/>
        <v>102</v>
      </c>
      <c r="BE407">
        <f>HLOOKUP(AV407-1,$AW$3:BD679,ROW(AV407)-2,0)</f>
        <v>83</v>
      </c>
      <c r="BF407">
        <f>HLOOKUP(AV407,$AW$3:BD679,ROW(AV407)-2,0)</f>
        <v>102</v>
      </c>
      <c r="BG407" t="str">
        <f t="shared" si="68"/>
        <v>Aktywa_B_III_1_B_4_KwotaA</v>
      </c>
    </row>
    <row r="408" spans="1:59" x14ac:dyDescent="0.3">
      <c r="A408" t="s">
        <v>2129</v>
      </c>
      <c r="B408" t="s">
        <v>2696</v>
      </c>
      <c r="C408" s="18">
        <v>1322014.51</v>
      </c>
      <c r="AV408">
        <f t="shared" si="69"/>
        <v>8</v>
      </c>
      <c r="AW408">
        <f t="shared" si="70"/>
        <v>15</v>
      </c>
      <c r="AX408">
        <f t="shared" si="61"/>
        <v>22</v>
      </c>
      <c r="AY408">
        <f t="shared" si="62"/>
        <v>29</v>
      </c>
      <c r="AZ408">
        <f t="shared" si="63"/>
        <v>38</v>
      </c>
      <c r="BA408">
        <f t="shared" si="64"/>
        <v>51</v>
      </c>
      <c r="BB408">
        <f t="shared" si="65"/>
        <v>66</v>
      </c>
      <c r="BC408">
        <f t="shared" si="66"/>
        <v>83</v>
      </c>
      <c r="BD408">
        <f t="shared" si="67"/>
        <v>83</v>
      </c>
      <c r="BE408">
        <f>HLOOKUP(AV408-1,$AW$3:BD680,ROW(AV408)-2,0)</f>
        <v>66</v>
      </c>
      <c r="BF408">
        <f>HLOOKUP(AV408,$AW$3:BD680,ROW(AV408)-2,0)</f>
        <v>83</v>
      </c>
      <c r="BG408" t="str">
        <f t="shared" si="68"/>
        <v>Aktywa_B_III_1_C_KwotaA</v>
      </c>
    </row>
    <row r="409" spans="1:59" x14ac:dyDescent="0.3">
      <c r="A409" t="s">
        <v>2131</v>
      </c>
      <c r="B409" t="s">
        <v>2697</v>
      </c>
      <c r="C409" s="18">
        <v>1322014.51</v>
      </c>
      <c r="AV409">
        <f t="shared" si="69"/>
        <v>9</v>
      </c>
      <c r="AW409">
        <f t="shared" si="70"/>
        <v>15</v>
      </c>
      <c r="AX409">
        <f t="shared" si="61"/>
        <v>22</v>
      </c>
      <c r="AY409">
        <f t="shared" si="62"/>
        <v>29</v>
      </c>
      <c r="AZ409">
        <f t="shared" si="63"/>
        <v>38</v>
      </c>
      <c r="BA409">
        <f t="shared" si="64"/>
        <v>51</v>
      </c>
      <c r="BB409">
        <f t="shared" si="65"/>
        <v>66</v>
      </c>
      <c r="BC409">
        <f t="shared" si="66"/>
        <v>83</v>
      </c>
      <c r="BD409">
        <f t="shared" si="67"/>
        <v>102</v>
      </c>
      <c r="BE409">
        <f>HLOOKUP(AV409-1,$AW$3:BD681,ROW(AV409)-2,0)</f>
        <v>83</v>
      </c>
      <c r="BF409">
        <f>HLOOKUP(AV409,$AW$3:BD681,ROW(AV409)-2,0)</f>
        <v>102</v>
      </c>
      <c r="BG409" t="str">
        <f t="shared" si="68"/>
        <v>Aktywa_B_III_1_C_1_KwotaA</v>
      </c>
    </row>
    <row r="410" spans="1:59" x14ac:dyDescent="0.3">
      <c r="A410" t="s">
        <v>2133</v>
      </c>
      <c r="B410" t="s">
        <v>2698</v>
      </c>
      <c r="AV410">
        <f t="shared" si="69"/>
        <v>9</v>
      </c>
      <c r="AW410">
        <f t="shared" si="70"/>
        <v>15</v>
      </c>
      <c r="AX410">
        <f t="shared" si="61"/>
        <v>22</v>
      </c>
      <c r="AY410">
        <f t="shared" si="62"/>
        <v>29</v>
      </c>
      <c r="AZ410">
        <f t="shared" si="63"/>
        <v>38</v>
      </c>
      <c r="BA410">
        <f t="shared" si="64"/>
        <v>51</v>
      </c>
      <c r="BB410">
        <f t="shared" si="65"/>
        <v>66</v>
      </c>
      <c r="BC410">
        <f t="shared" si="66"/>
        <v>83</v>
      </c>
      <c r="BD410">
        <f t="shared" si="67"/>
        <v>102</v>
      </c>
      <c r="BE410">
        <f>HLOOKUP(AV410-1,$AW$3:BD682,ROW(AV410)-2,0)</f>
        <v>83</v>
      </c>
      <c r="BF410">
        <f>HLOOKUP(AV410,$AW$3:BD682,ROW(AV410)-2,0)</f>
        <v>102</v>
      </c>
      <c r="BG410" t="str">
        <f t="shared" si="68"/>
        <v>Aktywa_B_III_1_C_2_KwotaA</v>
      </c>
    </row>
    <row r="411" spans="1:59" x14ac:dyDescent="0.3">
      <c r="A411" t="s">
        <v>2135</v>
      </c>
      <c r="B411" t="s">
        <v>2699</v>
      </c>
      <c r="AV411">
        <f t="shared" si="69"/>
        <v>9</v>
      </c>
      <c r="AW411">
        <f t="shared" si="70"/>
        <v>15</v>
      </c>
      <c r="AX411">
        <f t="shared" si="61"/>
        <v>22</v>
      </c>
      <c r="AY411">
        <f t="shared" si="62"/>
        <v>29</v>
      </c>
      <c r="AZ411">
        <f t="shared" si="63"/>
        <v>38</v>
      </c>
      <c r="BA411">
        <f t="shared" si="64"/>
        <v>51</v>
      </c>
      <c r="BB411">
        <f t="shared" si="65"/>
        <v>66</v>
      </c>
      <c r="BC411">
        <f t="shared" si="66"/>
        <v>83</v>
      </c>
      <c r="BD411">
        <f t="shared" si="67"/>
        <v>102</v>
      </c>
      <c r="BE411">
        <f>HLOOKUP(AV411-1,$AW$3:BD683,ROW(AV411)-2,0)</f>
        <v>83</v>
      </c>
      <c r="BF411">
        <f>HLOOKUP(AV411,$AW$3:BD683,ROW(AV411)-2,0)</f>
        <v>102</v>
      </c>
      <c r="BG411" t="str">
        <f t="shared" si="68"/>
        <v>Aktywa_B_III_1_C_3_KwotaA</v>
      </c>
    </row>
    <row r="412" spans="1:59" x14ac:dyDescent="0.3">
      <c r="A412" t="s">
        <v>2137</v>
      </c>
      <c r="B412" t="s">
        <v>2700</v>
      </c>
      <c r="C412" s="18">
        <v>295805.59999999998</v>
      </c>
      <c r="AV412">
        <f t="shared" si="69"/>
        <v>6</v>
      </c>
      <c r="AW412">
        <f t="shared" si="70"/>
        <v>15</v>
      </c>
      <c r="AX412">
        <f t="shared" si="61"/>
        <v>22</v>
      </c>
      <c r="AY412">
        <f t="shared" si="62"/>
        <v>29</v>
      </c>
      <c r="AZ412">
        <f t="shared" si="63"/>
        <v>38</v>
      </c>
      <c r="BA412">
        <f t="shared" si="64"/>
        <v>50</v>
      </c>
      <c r="BB412">
        <f t="shared" si="65"/>
        <v>50</v>
      </c>
      <c r="BC412">
        <f t="shared" si="66"/>
        <v>50</v>
      </c>
      <c r="BD412">
        <f t="shared" si="67"/>
        <v>50</v>
      </c>
      <c r="BE412">
        <f>HLOOKUP(AV412-1,$AW$3:BD684,ROW(AV412)-2,0)</f>
        <v>38</v>
      </c>
      <c r="BF412">
        <f>HLOOKUP(AV412,$AW$3:BD684,ROW(AV412)-2,0)</f>
        <v>50</v>
      </c>
      <c r="BG412" t="str">
        <f t="shared" si="68"/>
        <v>Aktywa_B_IV_KwotaA</v>
      </c>
    </row>
    <row r="413" spans="1:59" x14ac:dyDescent="0.3">
      <c r="A413" t="s">
        <v>2139</v>
      </c>
      <c r="B413" t="s">
        <v>2701</v>
      </c>
      <c r="AV413">
        <f t="shared" si="69"/>
        <v>5</v>
      </c>
      <c r="AW413">
        <f t="shared" si="70"/>
        <v>15</v>
      </c>
      <c r="AX413">
        <f t="shared" si="61"/>
        <v>22</v>
      </c>
      <c r="AY413">
        <f t="shared" si="62"/>
        <v>29</v>
      </c>
      <c r="AZ413">
        <f t="shared" si="63"/>
        <v>38</v>
      </c>
      <c r="BA413">
        <f t="shared" si="64"/>
        <v>38</v>
      </c>
      <c r="BB413">
        <f t="shared" si="65"/>
        <v>38</v>
      </c>
      <c r="BC413">
        <f t="shared" si="66"/>
        <v>38</v>
      </c>
      <c r="BD413">
        <f t="shared" si="67"/>
        <v>38</v>
      </c>
      <c r="BE413">
        <f>HLOOKUP(AV413-1,$AW$3:BD685,ROW(AV413)-2,0)</f>
        <v>29</v>
      </c>
      <c r="BF413">
        <f>HLOOKUP(AV413,$AW$3:BD685,ROW(AV413)-2,0)</f>
        <v>38</v>
      </c>
      <c r="BG413" t="str">
        <f t="shared" si="68"/>
        <v>Aktywa_C_KwotaA</v>
      </c>
    </row>
    <row r="414" spans="1:59" x14ac:dyDescent="0.3">
      <c r="A414" t="s">
        <v>2141</v>
      </c>
      <c r="B414" t="s">
        <v>2702</v>
      </c>
      <c r="AV414">
        <f t="shared" si="69"/>
        <v>5</v>
      </c>
      <c r="AW414">
        <f t="shared" si="70"/>
        <v>15</v>
      </c>
      <c r="AX414">
        <f t="shared" si="61"/>
        <v>22</v>
      </c>
      <c r="AY414">
        <f t="shared" si="62"/>
        <v>29</v>
      </c>
      <c r="AZ414">
        <f t="shared" si="63"/>
        <v>38</v>
      </c>
      <c r="BA414">
        <f t="shared" si="64"/>
        <v>38</v>
      </c>
      <c r="BB414">
        <f t="shared" si="65"/>
        <v>38</v>
      </c>
      <c r="BC414">
        <f t="shared" si="66"/>
        <v>38</v>
      </c>
      <c r="BD414">
        <f t="shared" si="67"/>
        <v>38</v>
      </c>
      <c r="BE414">
        <f>HLOOKUP(AV414-1,$AW$3:BD686,ROW(AV414)-2,0)</f>
        <v>29</v>
      </c>
      <c r="BF414">
        <f>HLOOKUP(AV414,$AW$3:BD686,ROW(AV414)-2,0)</f>
        <v>38</v>
      </c>
      <c r="BG414" t="str">
        <f t="shared" si="68"/>
        <v>Aktywa_D_KwotaA</v>
      </c>
    </row>
    <row r="415" spans="1:59" x14ac:dyDescent="0.3">
      <c r="A415" t="s">
        <v>2143</v>
      </c>
      <c r="B415" t="s">
        <v>2703</v>
      </c>
      <c r="C415" s="18">
        <v>1162057982.4400001</v>
      </c>
      <c r="AV415">
        <f t="shared" si="69"/>
        <v>4</v>
      </c>
      <c r="AW415">
        <f t="shared" si="70"/>
        <v>15</v>
      </c>
      <c r="AX415">
        <f t="shared" si="61"/>
        <v>22</v>
      </c>
      <c r="AY415">
        <f t="shared" si="62"/>
        <v>29</v>
      </c>
      <c r="AZ415">
        <f t="shared" si="63"/>
        <v>29</v>
      </c>
      <c r="BA415">
        <f t="shared" si="64"/>
        <v>29</v>
      </c>
      <c r="BB415">
        <f t="shared" si="65"/>
        <v>29</v>
      </c>
      <c r="BC415">
        <f t="shared" si="66"/>
        <v>29</v>
      </c>
      <c r="BD415">
        <f t="shared" si="67"/>
        <v>29</v>
      </c>
      <c r="BE415">
        <f>HLOOKUP(AV415-1,$AW$3:BD687,ROW(AV415)-2,0)</f>
        <v>22</v>
      </c>
      <c r="BF415">
        <f>HLOOKUP(AV415,$AW$3:BD687,ROW(AV415)-2,0)</f>
        <v>29</v>
      </c>
      <c r="BG415" t="str">
        <f t="shared" si="68"/>
        <v>Pasywa_KwotaA</v>
      </c>
    </row>
    <row r="416" spans="1:59" x14ac:dyDescent="0.3">
      <c r="A416" t="s">
        <v>2145</v>
      </c>
      <c r="B416" t="s">
        <v>2704</v>
      </c>
      <c r="C416" s="18">
        <v>335859972.45999998</v>
      </c>
      <c r="AV416">
        <f t="shared" si="69"/>
        <v>5</v>
      </c>
      <c r="AW416">
        <f t="shared" si="70"/>
        <v>15</v>
      </c>
      <c r="AX416">
        <f t="shared" si="61"/>
        <v>22</v>
      </c>
      <c r="AY416">
        <f t="shared" si="62"/>
        <v>29</v>
      </c>
      <c r="AZ416">
        <f t="shared" si="63"/>
        <v>38</v>
      </c>
      <c r="BA416">
        <f t="shared" si="64"/>
        <v>38</v>
      </c>
      <c r="BB416">
        <f t="shared" si="65"/>
        <v>38</v>
      </c>
      <c r="BC416">
        <f t="shared" si="66"/>
        <v>38</v>
      </c>
      <c r="BD416">
        <f t="shared" si="67"/>
        <v>38</v>
      </c>
      <c r="BE416">
        <f>HLOOKUP(AV416-1,$AW$3:BD688,ROW(AV416)-2,0)</f>
        <v>29</v>
      </c>
      <c r="BF416">
        <f>HLOOKUP(AV416,$AW$3:BD688,ROW(AV416)-2,0)</f>
        <v>38</v>
      </c>
      <c r="BG416" t="str">
        <f t="shared" si="68"/>
        <v>Pasywa_A_KwotaA</v>
      </c>
    </row>
    <row r="417" spans="1:59" x14ac:dyDescent="0.3">
      <c r="A417" t="s">
        <v>2147</v>
      </c>
      <c r="B417" t="s">
        <v>2705</v>
      </c>
      <c r="C417" s="18">
        <v>99989487</v>
      </c>
      <c r="AV417">
        <f t="shared" si="69"/>
        <v>6</v>
      </c>
      <c r="AW417">
        <f t="shared" si="70"/>
        <v>15</v>
      </c>
      <c r="AX417">
        <f t="shared" si="61"/>
        <v>22</v>
      </c>
      <c r="AY417">
        <f t="shared" si="62"/>
        <v>29</v>
      </c>
      <c r="AZ417">
        <f t="shared" si="63"/>
        <v>38</v>
      </c>
      <c r="BA417">
        <f t="shared" si="64"/>
        <v>49</v>
      </c>
      <c r="BB417">
        <f t="shared" si="65"/>
        <v>49</v>
      </c>
      <c r="BC417">
        <f t="shared" si="66"/>
        <v>49</v>
      </c>
      <c r="BD417">
        <f t="shared" si="67"/>
        <v>49</v>
      </c>
      <c r="BE417">
        <f>HLOOKUP(AV417-1,$AW$3:BD689,ROW(AV417)-2,0)</f>
        <v>38</v>
      </c>
      <c r="BF417">
        <f>HLOOKUP(AV417,$AW$3:BD689,ROW(AV417)-2,0)</f>
        <v>49</v>
      </c>
      <c r="BG417" t="str">
        <f t="shared" si="68"/>
        <v>Pasywa_A_I_KwotaA</v>
      </c>
    </row>
    <row r="418" spans="1:59" x14ac:dyDescent="0.3">
      <c r="A418" t="s">
        <v>2149</v>
      </c>
      <c r="B418" t="s">
        <v>2706</v>
      </c>
      <c r="C418" s="18">
        <v>44776995.479999997</v>
      </c>
      <c r="AV418">
        <f t="shared" si="69"/>
        <v>6</v>
      </c>
      <c r="AW418">
        <f t="shared" si="70"/>
        <v>15</v>
      </c>
      <c r="AX418">
        <f t="shared" si="61"/>
        <v>22</v>
      </c>
      <c r="AY418">
        <f t="shared" si="62"/>
        <v>29</v>
      </c>
      <c r="AZ418">
        <f t="shared" si="63"/>
        <v>38</v>
      </c>
      <c r="BA418">
        <f t="shared" si="64"/>
        <v>50</v>
      </c>
      <c r="BB418">
        <f t="shared" si="65"/>
        <v>50</v>
      </c>
      <c r="BC418">
        <f t="shared" si="66"/>
        <v>50</v>
      </c>
      <c r="BD418">
        <f t="shared" si="67"/>
        <v>50</v>
      </c>
      <c r="BE418">
        <f>HLOOKUP(AV418-1,$AW$3:BD690,ROW(AV418)-2,0)</f>
        <v>38</v>
      </c>
      <c r="BF418">
        <f>HLOOKUP(AV418,$AW$3:BD690,ROW(AV418)-2,0)</f>
        <v>50</v>
      </c>
      <c r="BG418" t="str">
        <f t="shared" si="68"/>
        <v>Pasywa_A_II_KwotaA</v>
      </c>
    </row>
    <row r="419" spans="1:59" x14ac:dyDescent="0.3">
      <c r="A419" t="s">
        <v>2151</v>
      </c>
      <c r="B419" t="s">
        <v>2707</v>
      </c>
      <c r="AV419">
        <f t="shared" si="69"/>
        <v>7</v>
      </c>
      <c r="AW419">
        <f t="shared" si="70"/>
        <v>15</v>
      </c>
      <c r="AX419">
        <f t="shared" si="61"/>
        <v>22</v>
      </c>
      <c r="AY419">
        <f t="shared" si="62"/>
        <v>29</v>
      </c>
      <c r="AZ419">
        <f t="shared" si="63"/>
        <v>38</v>
      </c>
      <c r="BA419">
        <f t="shared" si="64"/>
        <v>50</v>
      </c>
      <c r="BB419">
        <f t="shared" si="65"/>
        <v>64</v>
      </c>
      <c r="BC419">
        <f t="shared" si="66"/>
        <v>64</v>
      </c>
      <c r="BD419">
        <f t="shared" si="67"/>
        <v>64</v>
      </c>
      <c r="BE419">
        <f>HLOOKUP(AV419-1,$AW$3:BD691,ROW(AV419)-2,0)</f>
        <v>50</v>
      </c>
      <c r="BF419">
        <f>HLOOKUP(AV419,$AW$3:BD691,ROW(AV419)-2,0)</f>
        <v>64</v>
      </c>
      <c r="BG419" t="str">
        <f t="shared" si="68"/>
        <v>Pasywa_A_II_1_KwotaA</v>
      </c>
    </row>
    <row r="420" spans="1:59" x14ac:dyDescent="0.3">
      <c r="A420" t="s">
        <v>2153</v>
      </c>
      <c r="B420" t="s">
        <v>2708</v>
      </c>
      <c r="AV420">
        <f t="shared" si="69"/>
        <v>6</v>
      </c>
      <c r="AW420">
        <f t="shared" si="70"/>
        <v>15</v>
      </c>
      <c r="AX420">
        <f t="shared" si="61"/>
        <v>22</v>
      </c>
      <c r="AY420">
        <f t="shared" si="62"/>
        <v>29</v>
      </c>
      <c r="AZ420">
        <f t="shared" si="63"/>
        <v>38</v>
      </c>
      <c r="BA420">
        <f t="shared" si="64"/>
        <v>51</v>
      </c>
      <c r="BB420">
        <f t="shared" si="65"/>
        <v>51</v>
      </c>
      <c r="BC420">
        <f t="shared" si="66"/>
        <v>51</v>
      </c>
      <c r="BD420">
        <f t="shared" si="67"/>
        <v>51</v>
      </c>
      <c r="BE420">
        <f>HLOOKUP(AV420-1,$AW$3:BD692,ROW(AV420)-2,0)</f>
        <v>38</v>
      </c>
      <c r="BF420">
        <f>HLOOKUP(AV420,$AW$3:BD692,ROW(AV420)-2,0)</f>
        <v>51</v>
      </c>
      <c r="BG420" t="str">
        <f t="shared" si="68"/>
        <v>Pasywa_A_III_KwotaA</v>
      </c>
    </row>
    <row r="421" spans="1:59" x14ac:dyDescent="0.3">
      <c r="A421" t="s">
        <v>2155</v>
      </c>
      <c r="B421" t="s">
        <v>2709</v>
      </c>
      <c r="AV421">
        <f t="shared" si="69"/>
        <v>7</v>
      </c>
      <c r="AW421">
        <f t="shared" si="70"/>
        <v>15</v>
      </c>
      <c r="AX421">
        <f t="shared" si="61"/>
        <v>22</v>
      </c>
      <c r="AY421">
        <f t="shared" si="62"/>
        <v>29</v>
      </c>
      <c r="AZ421">
        <f t="shared" si="63"/>
        <v>38</v>
      </c>
      <c r="BA421">
        <f t="shared" si="64"/>
        <v>51</v>
      </c>
      <c r="BB421">
        <f t="shared" si="65"/>
        <v>66</v>
      </c>
      <c r="BC421">
        <f t="shared" si="66"/>
        <v>66</v>
      </c>
      <c r="BD421">
        <f t="shared" si="67"/>
        <v>66</v>
      </c>
      <c r="BE421">
        <f>HLOOKUP(AV421-1,$AW$3:BD693,ROW(AV421)-2,0)</f>
        <v>51</v>
      </c>
      <c r="BF421">
        <f>HLOOKUP(AV421,$AW$3:BD693,ROW(AV421)-2,0)</f>
        <v>66</v>
      </c>
      <c r="BG421" t="str">
        <f t="shared" si="68"/>
        <v>Pasywa_A_III_1_KwotaA</v>
      </c>
    </row>
    <row r="422" spans="1:59" x14ac:dyDescent="0.3">
      <c r="A422" t="s">
        <v>2157</v>
      </c>
      <c r="B422" t="s">
        <v>2710</v>
      </c>
      <c r="C422" s="18">
        <v>124604674.53</v>
      </c>
      <c r="AV422">
        <f t="shared" si="69"/>
        <v>6</v>
      </c>
      <c r="AW422">
        <f t="shared" si="70"/>
        <v>15</v>
      </c>
      <c r="AX422">
        <f t="shared" si="61"/>
        <v>22</v>
      </c>
      <c r="AY422">
        <f t="shared" si="62"/>
        <v>29</v>
      </c>
      <c r="AZ422">
        <f t="shared" si="63"/>
        <v>38</v>
      </c>
      <c r="BA422">
        <f t="shared" si="64"/>
        <v>50</v>
      </c>
      <c r="BB422">
        <f t="shared" si="65"/>
        <v>50</v>
      </c>
      <c r="BC422">
        <f t="shared" si="66"/>
        <v>50</v>
      </c>
      <c r="BD422">
        <f t="shared" si="67"/>
        <v>50</v>
      </c>
      <c r="BE422">
        <f>HLOOKUP(AV422-1,$AW$3:BD694,ROW(AV422)-2,0)</f>
        <v>38</v>
      </c>
      <c r="BF422">
        <f>HLOOKUP(AV422,$AW$3:BD694,ROW(AV422)-2,0)</f>
        <v>50</v>
      </c>
      <c r="BG422" t="str">
        <f t="shared" si="68"/>
        <v>Pasywa_A_IV_KwotaA</v>
      </c>
    </row>
    <row r="423" spans="1:59" x14ac:dyDescent="0.3">
      <c r="A423" t="s">
        <v>2159</v>
      </c>
      <c r="B423" t="s">
        <v>2711</v>
      </c>
      <c r="C423" s="18">
        <v>124604674.53</v>
      </c>
      <c r="AV423">
        <f t="shared" si="69"/>
        <v>7</v>
      </c>
      <c r="AW423">
        <f t="shared" si="70"/>
        <v>15</v>
      </c>
      <c r="AX423">
        <f t="shared" si="61"/>
        <v>22</v>
      </c>
      <c r="AY423">
        <f t="shared" si="62"/>
        <v>29</v>
      </c>
      <c r="AZ423">
        <f t="shared" si="63"/>
        <v>38</v>
      </c>
      <c r="BA423">
        <f t="shared" si="64"/>
        <v>50</v>
      </c>
      <c r="BB423">
        <f t="shared" si="65"/>
        <v>64</v>
      </c>
      <c r="BC423">
        <f t="shared" si="66"/>
        <v>64</v>
      </c>
      <c r="BD423">
        <f t="shared" si="67"/>
        <v>64</v>
      </c>
      <c r="BE423">
        <f>HLOOKUP(AV423-1,$AW$3:BD695,ROW(AV423)-2,0)</f>
        <v>50</v>
      </c>
      <c r="BF423">
        <f>HLOOKUP(AV423,$AW$3:BD695,ROW(AV423)-2,0)</f>
        <v>64</v>
      </c>
      <c r="BG423" t="str">
        <f t="shared" si="68"/>
        <v>Pasywa_A_IV_1_KwotaA</v>
      </c>
    </row>
    <row r="424" spans="1:59" x14ac:dyDescent="0.3">
      <c r="A424" t="s">
        <v>2161</v>
      </c>
      <c r="B424" t="s">
        <v>2712</v>
      </c>
      <c r="AV424">
        <f t="shared" si="69"/>
        <v>7</v>
      </c>
      <c r="AW424">
        <f t="shared" si="70"/>
        <v>15</v>
      </c>
      <c r="AX424">
        <f t="shared" si="61"/>
        <v>22</v>
      </c>
      <c r="AY424">
        <f t="shared" si="62"/>
        <v>29</v>
      </c>
      <c r="AZ424">
        <f t="shared" si="63"/>
        <v>38</v>
      </c>
      <c r="BA424">
        <f t="shared" si="64"/>
        <v>50</v>
      </c>
      <c r="BB424">
        <f t="shared" si="65"/>
        <v>64</v>
      </c>
      <c r="BC424">
        <f t="shared" si="66"/>
        <v>64</v>
      </c>
      <c r="BD424">
        <f t="shared" si="67"/>
        <v>64</v>
      </c>
      <c r="BE424">
        <f>HLOOKUP(AV424-1,$AW$3:BD696,ROW(AV424)-2,0)</f>
        <v>50</v>
      </c>
      <c r="BF424">
        <f>HLOOKUP(AV424,$AW$3:BD696,ROW(AV424)-2,0)</f>
        <v>64</v>
      </c>
      <c r="BG424" t="str">
        <f t="shared" si="68"/>
        <v>Pasywa_A_IV_2_KwotaA</v>
      </c>
    </row>
    <row r="425" spans="1:59" x14ac:dyDescent="0.3">
      <c r="A425" t="s">
        <v>2163</v>
      </c>
      <c r="B425" t="s">
        <v>2713</v>
      </c>
      <c r="AV425">
        <f t="shared" si="69"/>
        <v>6</v>
      </c>
      <c r="AW425">
        <f t="shared" si="70"/>
        <v>15</v>
      </c>
      <c r="AX425">
        <f t="shared" si="61"/>
        <v>22</v>
      </c>
      <c r="AY425">
        <f t="shared" si="62"/>
        <v>29</v>
      </c>
      <c r="AZ425">
        <f t="shared" si="63"/>
        <v>38</v>
      </c>
      <c r="BA425">
        <f t="shared" si="64"/>
        <v>49</v>
      </c>
      <c r="BB425">
        <f t="shared" si="65"/>
        <v>49</v>
      </c>
      <c r="BC425">
        <f t="shared" si="66"/>
        <v>49</v>
      </c>
      <c r="BD425">
        <f t="shared" si="67"/>
        <v>49</v>
      </c>
      <c r="BE425">
        <f>HLOOKUP(AV425-1,$AW$3:BD697,ROW(AV425)-2,0)</f>
        <v>38</v>
      </c>
      <c r="BF425">
        <f>HLOOKUP(AV425,$AW$3:BD697,ROW(AV425)-2,0)</f>
        <v>49</v>
      </c>
      <c r="BG425" t="str">
        <f t="shared" si="68"/>
        <v>Pasywa_A_V_KwotaA</v>
      </c>
    </row>
    <row r="426" spans="1:59" x14ac:dyDescent="0.3">
      <c r="A426" t="s">
        <v>2165</v>
      </c>
      <c r="B426" t="s">
        <v>2714</v>
      </c>
      <c r="C426" s="18">
        <v>66488815.450000003</v>
      </c>
      <c r="AV426">
        <f t="shared" si="69"/>
        <v>6</v>
      </c>
      <c r="AW426">
        <f t="shared" si="70"/>
        <v>15</v>
      </c>
      <c r="AX426">
        <f t="shared" si="61"/>
        <v>22</v>
      </c>
      <c r="AY426">
        <f t="shared" si="62"/>
        <v>29</v>
      </c>
      <c r="AZ426">
        <f t="shared" si="63"/>
        <v>38</v>
      </c>
      <c r="BA426">
        <f t="shared" si="64"/>
        <v>50</v>
      </c>
      <c r="BB426">
        <f t="shared" si="65"/>
        <v>50</v>
      </c>
      <c r="BC426">
        <f t="shared" si="66"/>
        <v>50</v>
      </c>
      <c r="BD426">
        <f t="shared" si="67"/>
        <v>50</v>
      </c>
      <c r="BE426">
        <f>HLOOKUP(AV426-1,$AW$3:BD698,ROW(AV426)-2,0)</f>
        <v>38</v>
      </c>
      <c r="BF426">
        <f>HLOOKUP(AV426,$AW$3:BD698,ROW(AV426)-2,0)</f>
        <v>50</v>
      </c>
      <c r="BG426" t="str">
        <f t="shared" si="68"/>
        <v>Pasywa_A_VI_KwotaA</v>
      </c>
    </row>
    <row r="427" spans="1:59" x14ac:dyDescent="0.3">
      <c r="A427" t="s">
        <v>2167</v>
      </c>
      <c r="B427" t="s">
        <v>2715</v>
      </c>
      <c r="AV427">
        <f t="shared" si="69"/>
        <v>6</v>
      </c>
      <c r="AW427">
        <f t="shared" si="70"/>
        <v>15</v>
      </c>
      <c r="AX427">
        <f t="shared" si="61"/>
        <v>22</v>
      </c>
      <c r="AY427">
        <f t="shared" si="62"/>
        <v>29</v>
      </c>
      <c r="AZ427">
        <f t="shared" si="63"/>
        <v>38</v>
      </c>
      <c r="BA427">
        <f t="shared" si="64"/>
        <v>51</v>
      </c>
      <c r="BB427">
        <f t="shared" si="65"/>
        <v>51</v>
      </c>
      <c r="BC427">
        <f t="shared" si="66"/>
        <v>51</v>
      </c>
      <c r="BD427">
        <f t="shared" si="67"/>
        <v>51</v>
      </c>
      <c r="BE427">
        <f>HLOOKUP(AV427-1,$AW$3:BD699,ROW(AV427)-2,0)</f>
        <v>38</v>
      </c>
      <c r="BF427">
        <f>HLOOKUP(AV427,$AW$3:BD699,ROW(AV427)-2,0)</f>
        <v>51</v>
      </c>
      <c r="BG427" t="str">
        <f t="shared" si="68"/>
        <v>Pasywa_A_VII_KwotaA</v>
      </c>
    </row>
    <row r="428" spans="1:59" x14ac:dyDescent="0.3">
      <c r="A428" t="s">
        <v>2169</v>
      </c>
      <c r="B428" t="s">
        <v>2716</v>
      </c>
      <c r="C428" s="18">
        <v>826198009.98000002</v>
      </c>
      <c r="AV428">
        <f t="shared" si="69"/>
        <v>5</v>
      </c>
      <c r="AW428">
        <f t="shared" si="70"/>
        <v>15</v>
      </c>
      <c r="AX428">
        <f t="shared" si="61"/>
        <v>22</v>
      </c>
      <c r="AY428">
        <f t="shared" si="62"/>
        <v>29</v>
      </c>
      <c r="AZ428">
        <f t="shared" si="63"/>
        <v>38</v>
      </c>
      <c r="BA428">
        <f t="shared" si="64"/>
        <v>38</v>
      </c>
      <c r="BB428">
        <f t="shared" si="65"/>
        <v>38</v>
      </c>
      <c r="BC428">
        <f t="shared" si="66"/>
        <v>38</v>
      </c>
      <c r="BD428">
        <f t="shared" si="67"/>
        <v>38</v>
      </c>
      <c r="BE428">
        <f>HLOOKUP(AV428-1,$AW$3:BD700,ROW(AV428)-2,0)</f>
        <v>29</v>
      </c>
      <c r="BF428">
        <f>HLOOKUP(AV428,$AW$3:BD700,ROW(AV428)-2,0)</f>
        <v>38</v>
      </c>
      <c r="BG428" t="str">
        <f t="shared" si="68"/>
        <v>Pasywa_B_KwotaA</v>
      </c>
    </row>
    <row r="429" spans="1:59" x14ac:dyDescent="0.3">
      <c r="A429" t="s">
        <v>2171</v>
      </c>
      <c r="B429" t="s">
        <v>2717</v>
      </c>
      <c r="C429" s="18">
        <v>594887.14</v>
      </c>
      <c r="AV429">
        <f t="shared" si="69"/>
        <v>6</v>
      </c>
      <c r="AW429">
        <f t="shared" si="70"/>
        <v>15</v>
      </c>
      <c r="AX429">
        <f t="shared" si="61"/>
        <v>22</v>
      </c>
      <c r="AY429">
        <f t="shared" si="62"/>
        <v>29</v>
      </c>
      <c r="AZ429">
        <f t="shared" si="63"/>
        <v>38</v>
      </c>
      <c r="BA429">
        <f t="shared" si="64"/>
        <v>49</v>
      </c>
      <c r="BB429">
        <f t="shared" si="65"/>
        <v>49</v>
      </c>
      <c r="BC429">
        <f t="shared" si="66"/>
        <v>49</v>
      </c>
      <c r="BD429">
        <f t="shared" si="67"/>
        <v>49</v>
      </c>
      <c r="BE429">
        <f>HLOOKUP(AV429-1,$AW$3:BD701,ROW(AV429)-2,0)</f>
        <v>38</v>
      </c>
      <c r="BF429">
        <f>HLOOKUP(AV429,$AW$3:BD701,ROW(AV429)-2,0)</f>
        <v>49</v>
      </c>
      <c r="BG429" t="str">
        <f t="shared" si="68"/>
        <v>Pasywa_B_I_KwotaA</v>
      </c>
    </row>
    <row r="430" spans="1:59" x14ac:dyDescent="0.3">
      <c r="A430" t="s">
        <v>2173</v>
      </c>
      <c r="B430" t="s">
        <v>2718</v>
      </c>
      <c r="C430" s="18">
        <v>586245.76</v>
      </c>
      <c r="AV430">
        <f t="shared" si="69"/>
        <v>7</v>
      </c>
      <c r="AW430">
        <f t="shared" si="70"/>
        <v>15</v>
      </c>
      <c r="AX430">
        <f t="shared" si="61"/>
        <v>22</v>
      </c>
      <c r="AY430">
        <f t="shared" si="62"/>
        <v>29</v>
      </c>
      <c r="AZ430">
        <f t="shared" si="63"/>
        <v>38</v>
      </c>
      <c r="BA430">
        <f t="shared" si="64"/>
        <v>49</v>
      </c>
      <c r="BB430">
        <f t="shared" si="65"/>
        <v>62</v>
      </c>
      <c r="BC430">
        <f t="shared" si="66"/>
        <v>62</v>
      </c>
      <c r="BD430">
        <f t="shared" si="67"/>
        <v>62</v>
      </c>
      <c r="BE430">
        <f>HLOOKUP(AV430-1,$AW$3:BD702,ROW(AV430)-2,0)</f>
        <v>49</v>
      </c>
      <c r="BF430">
        <f>HLOOKUP(AV430,$AW$3:BD702,ROW(AV430)-2,0)</f>
        <v>62</v>
      </c>
      <c r="BG430" t="str">
        <f t="shared" si="68"/>
        <v>Pasywa_B_I_1_KwotaA</v>
      </c>
    </row>
    <row r="431" spans="1:59" x14ac:dyDescent="0.3">
      <c r="A431" t="s">
        <v>2175</v>
      </c>
      <c r="B431" t="s">
        <v>2719</v>
      </c>
      <c r="C431" s="18">
        <v>8641.3799999999992</v>
      </c>
      <c r="AV431">
        <f t="shared" si="69"/>
        <v>7</v>
      </c>
      <c r="AW431">
        <f t="shared" si="70"/>
        <v>15</v>
      </c>
      <c r="AX431">
        <f t="shared" si="61"/>
        <v>22</v>
      </c>
      <c r="AY431">
        <f t="shared" si="62"/>
        <v>29</v>
      </c>
      <c r="AZ431">
        <f t="shared" si="63"/>
        <v>38</v>
      </c>
      <c r="BA431">
        <f t="shared" si="64"/>
        <v>49</v>
      </c>
      <c r="BB431">
        <f t="shared" si="65"/>
        <v>62</v>
      </c>
      <c r="BC431">
        <f t="shared" si="66"/>
        <v>62</v>
      </c>
      <c r="BD431">
        <f t="shared" si="67"/>
        <v>62</v>
      </c>
      <c r="BE431">
        <f>HLOOKUP(AV431-1,$AW$3:BD703,ROW(AV431)-2,0)</f>
        <v>49</v>
      </c>
      <c r="BF431">
        <f>HLOOKUP(AV431,$AW$3:BD703,ROW(AV431)-2,0)</f>
        <v>62</v>
      </c>
      <c r="BG431" t="str">
        <f t="shared" si="68"/>
        <v>Pasywa_B_I_2_KwotaA</v>
      </c>
    </row>
    <row r="432" spans="1:59" x14ac:dyDescent="0.3">
      <c r="A432" t="s">
        <v>2177</v>
      </c>
      <c r="B432" t="s">
        <v>2720</v>
      </c>
      <c r="AV432">
        <f t="shared" si="69"/>
        <v>8</v>
      </c>
      <c r="AW432">
        <f t="shared" si="70"/>
        <v>15</v>
      </c>
      <c r="AX432">
        <f t="shared" si="61"/>
        <v>22</v>
      </c>
      <c r="AY432">
        <f t="shared" si="62"/>
        <v>29</v>
      </c>
      <c r="AZ432">
        <f t="shared" si="63"/>
        <v>38</v>
      </c>
      <c r="BA432">
        <f t="shared" si="64"/>
        <v>49</v>
      </c>
      <c r="BB432">
        <f t="shared" si="65"/>
        <v>62</v>
      </c>
      <c r="BC432">
        <f t="shared" si="66"/>
        <v>77</v>
      </c>
      <c r="BD432">
        <f t="shared" si="67"/>
        <v>77</v>
      </c>
      <c r="BE432">
        <f>HLOOKUP(AV432-1,$AW$3:BD704,ROW(AV432)-2,0)</f>
        <v>62</v>
      </c>
      <c r="BF432">
        <f>HLOOKUP(AV432,$AW$3:BD704,ROW(AV432)-2,0)</f>
        <v>77</v>
      </c>
      <c r="BG432" t="str">
        <f t="shared" si="68"/>
        <v>Pasywa_B_I_2_1_KwotaA</v>
      </c>
    </row>
    <row r="433" spans="1:59" x14ac:dyDescent="0.3">
      <c r="A433" t="s">
        <v>2179</v>
      </c>
      <c r="B433" t="s">
        <v>2721</v>
      </c>
      <c r="C433" s="18">
        <v>8641.3799999999992</v>
      </c>
      <c r="AV433">
        <f t="shared" si="69"/>
        <v>8</v>
      </c>
      <c r="AW433">
        <f t="shared" si="70"/>
        <v>15</v>
      </c>
      <c r="AX433">
        <f t="shared" si="61"/>
        <v>22</v>
      </c>
      <c r="AY433">
        <f t="shared" si="62"/>
        <v>29</v>
      </c>
      <c r="AZ433">
        <f t="shared" si="63"/>
        <v>38</v>
      </c>
      <c r="BA433">
        <f t="shared" si="64"/>
        <v>49</v>
      </c>
      <c r="BB433">
        <f t="shared" si="65"/>
        <v>62</v>
      </c>
      <c r="BC433">
        <f t="shared" si="66"/>
        <v>77</v>
      </c>
      <c r="BD433">
        <f t="shared" si="67"/>
        <v>77</v>
      </c>
      <c r="BE433">
        <f>HLOOKUP(AV433-1,$AW$3:BD705,ROW(AV433)-2,0)</f>
        <v>62</v>
      </c>
      <c r="BF433">
        <f>HLOOKUP(AV433,$AW$3:BD705,ROW(AV433)-2,0)</f>
        <v>77</v>
      </c>
      <c r="BG433" t="str">
        <f t="shared" si="68"/>
        <v>Pasywa_B_I_2_2_KwotaA</v>
      </c>
    </row>
    <row r="434" spans="1:59" x14ac:dyDescent="0.3">
      <c r="A434" t="s">
        <v>2181</v>
      </c>
      <c r="B434" t="s">
        <v>2722</v>
      </c>
      <c r="AV434">
        <f t="shared" si="69"/>
        <v>7</v>
      </c>
      <c r="AW434">
        <f t="shared" si="70"/>
        <v>15</v>
      </c>
      <c r="AX434">
        <f t="shared" si="61"/>
        <v>22</v>
      </c>
      <c r="AY434">
        <f t="shared" si="62"/>
        <v>29</v>
      </c>
      <c r="AZ434">
        <f t="shared" si="63"/>
        <v>38</v>
      </c>
      <c r="BA434">
        <f t="shared" si="64"/>
        <v>49</v>
      </c>
      <c r="BB434">
        <f t="shared" si="65"/>
        <v>62</v>
      </c>
      <c r="BC434">
        <f t="shared" si="66"/>
        <v>62</v>
      </c>
      <c r="BD434">
        <f t="shared" si="67"/>
        <v>62</v>
      </c>
      <c r="BE434">
        <f>HLOOKUP(AV434-1,$AW$3:BD706,ROW(AV434)-2,0)</f>
        <v>49</v>
      </c>
      <c r="BF434">
        <f>HLOOKUP(AV434,$AW$3:BD706,ROW(AV434)-2,0)</f>
        <v>62</v>
      </c>
      <c r="BG434" t="str">
        <f t="shared" si="68"/>
        <v>Pasywa_B_I_3_KwotaA</v>
      </c>
    </row>
    <row r="435" spans="1:59" x14ac:dyDescent="0.3">
      <c r="A435" t="s">
        <v>2183</v>
      </c>
      <c r="B435" t="s">
        <v>2723</v>
      </c>
      <c r="AV435">
        <f t="shared" si="69"/>
        <v>8</v>
      </c>
      <c r="AW435">
        <f t="shared" si="70"/>
        <v>15</v>
      </c>
      <c r="AX435">
        <f t="shared" si="61"/>
        <v>22</v>
      </c>
      <c r="AY435">
        <f t="shared" si="62"/>
        <v>29</v>
      </c>
      <c r="AZ435">
        <f t="shared" si="63"/>
        <v>38</v>
      </c>
      <c r="BA435">
        <f t="shared" si="64"/>
        <v>49</v>
      </c>
      <c r="BB435">
        <f t="shared" si="65"/>
        <v>62</v>
      </c>
      <c r="BC435">
        <f t="shared" si="66"/>
        <v>77</v>
      </c>
      <c r="BD435">
        <f t="shared" si="67"/>
        <v>77</v>
      </c>
      <c r="BE435">
        <f>HLOOKUP(AV435-1,$AW$3:BD707,ROW(AV435)-2,0)</f>
        <v>62</v>
      </c>
      <c r="BF435">
        <f>HLOOKUP(AV435,$AW$3:BD707,ROW(AV435)-2,0)</f>
        <v>77</v>
      </c>
      <c r="BG435" t="str">
        <f t="shared" si="68"/>
        <v>Pasywa_B_I_3_1_KwotaA</v>
      </c>
    </row>
    <row r="436" spans="1:59" x14ac:dyDescent="0.3">
      <c r="A436" t="s">
        <v>2185</v>
      </c>
      <c r="B436" t="s">
        <v>2724</v>
      </c>
      <c r="AV436">
        <f t="shared" si="69"/>
        <v>8</v>
      </c>
      <c r="AW436">
        <f t="shared" si="70"/>
        <v>15</v>
      </c>
      <c r="AX436">
        <f t="shared" si="61"/>
        <v>22</v>
      </c>
      <c r="AY436">
        <f t="shared" si="62"/>
        <v>29</v>
      </c>
      <c r="AZ436">
        <f t="shared" si="63"/>
        <v>38</v>
      </c>
      <c r="BA436">
        <f t="shared" si="64"/>
        <v>49</v>
      </c>
      <c r="BB436">
        <f t="shared" si="65"/>
        <v>62</v>
      </c>
      <c r="BC436">
        <f t="shared" si="66"/>
        <v>77</v>
      </c>
      <c r="BD436">
        <f t="shared" si="67"/>
        <v>77</v>
      </c>
      <c r="BE436">
        <f>HLOOKUP(AV436-1,$AW$3:BD708,ROW(AV436)-2,0)</f>
        <v>62</v>
      </c>
      <c r="BF436">
        <f>HLOOKUP(AV436,$AW$3:BD708,ROW(AV436)-2,0)</f>
        <v>77</v>
      </c>
      <c r="BG436" t="str">
        <f t="shared" si="68"/>
        <v>Pasywa_B_I_3_2_KwotaA</v>
      </c>
    </row>
    <row r="437" spans="1:59" x14ac:dyDescent="0.3">
      <c r="A437" t="s">
        <v>2187</v>
      </c>
      <c r="B437" t="s">
        <v>2725</v>
      </c>
      <c r="C437" s="18">
        <v>823489964.75999999</v>
      </c>
      <c r="AV437">
        <f t="shared" si="69"/>
        <v>6</v>
      </c>
      <c r="AW437">
        <f t="shared" si="70"/>
        <v>15</v>
      </c>
      <c r="AX437">
        <f t="shared" si="61"/>
        <v>22</v>
      </c>
      <c r="AY437">
        <f t="shared" si="62"/>
        <v>29</v>
      </c>
      <c r="AZ437">
        <f t="shared" si="63"/>
        <v>38</v>
      </c>
      <c r="BA437">
        <f t="shared" si="64"/>
        <v>50</v>
      </c>
      <c r="BB437">
        <f t="shared" si="65"/>
        <v>50</v>
      </c>
      <c r="BC437">
        <f t="shared" si="66"/>
        <v>50</v>
      </c>
      <c r="BD437">
        <f t="shared" si="67"/>
        <v>50</v>
      </c>
      <c r="BE437">
        <f>HLOOKUP(AV437-1,$AW$3:BD709,ROW(AV437)-2,0)</f>
        <v>38</v>
      </c>
      <c r="BF437">
        <f>HLOOKUP(AV437,$AW$3:BD709,ROW(AV437)-2,0)</f>
        <v>50</v>
      </c>
      <c r="BG437" t="str">
        <f t="shared" si="68"/>
        <v>Pasywa_B_II_KwotaA</v>
      </c>
    </row>
    <row r="438" spans="1:59" x14ac:dyDescent="0.3">
      <c r="A438" t="s">
        <v>2189</v>
      </c>
      <c r="B438" t="s">
        <v>2726</v>
      </c>
      <c r="C438" s="18">
        <v>823489964.75999999</v>
      </c>
      <c r="AV438">
        <f t="shared" si="69"/>
        <v>7</v>
      </c>
      <c r="AW438">
        <f t="shared" si="70"/>
        <v>15</v>
      </c>
      <c r="AX438">
        <f t="shared" si="61"/>
        <v>22</v>
      </c>
      <c r="AY438">
        <f t="shared" si="62"/>
        <v>29</v>
      </c>
      <c r="AZ438">
        <f t="shared" si="63"/>
        <v>38</v>
      </c>
      <c r="BA438">
        <f t="shared" si="64"/>
        <v>50</v>
      </c>
      <c r="BB438">
        <f t="shared" si="65"/>
        <v>64</v>
      </c>
      <c r="BC438">
        <f t="shared" si="66"/>
        <v>64</v>
      </c>
      <c r="BD438">
        <f t="shared" si="67"/>
        <v>64</v>
      </c>
      <c r="BE438">
        <f>HLOOKUP(AV438-1,$AW$3:BD710,ROW(AV438)-2,0)</f>
        <v>50</v>
      </c>
      <c r="BF438">
        <f>HLOOKUP(AV438,$AW$3:BD710,ROW(AV438)-2,0)</f>
        <v>64</v>
      </c>
      <c r="BG438" t="str">
        <f t="shared" si="68"/>
        <v>Pasywa_B_II_1_KwotaA</v>
      </c>
    </row>
    <row r="439" spans="1:59" x14ac:dyDescent="0.3">
      <c r="A439" t="s">
        <v>2191</v>
      </c>
      <c r="B439" t="s">
        <v>2727</v>
      </c>
      <c r="AV439">
        <f t="shared" si="69"/>
        <v>7</v>
      </c>
      <c r="AW439">
        <f t="shared" si="70"/>
        <v>15</v>
      </c>
      <c r="AX439">
        <f t="shared" si="61"/>
        <v>22</v>
      </c>
      <c r="AY439">
        <f t="shared" si="62"/>
        <v>29</v>
      </c>
      <c r="AZ439">
        <f t="shared" si="63"/>
        <v>38</v>
      </c>
      <c r="BA439">
        <f t="shared" si="64"/>
        <v>50</v>
      </c>
      <c r="BB439">
        <f t="shared" si="65"/>
        <v>64</v>
      </c>
      <c r="BC439">
        <f t="shared" si="66"/>
        <v>64</v>
      </c>
      <c r="BD439">
        <f t="shared" si="67"/>
        <v>64</v>
      </c>
      <c r="BE439">
        <f>HLOOKUP(AV439-1,$AW$3:BD711,ROW(AV439)-2,0)</f>
        <v>50</v>
      </c>
      <c r="BF439">
        <f>HLOOKUP(AV439,$AW$3:BD711,ROW(AV439)-2,0)</f>
        <v>64</v>
      </c>
      <c r="BG439" t="str">
        <f t="shared" si="68"/>
        <v>Pasywa_B_II_2_KwotaA</v>
      </c>
    </row>
    <row r="440" spans="1:59" x14ac:dyDescent="0.3">
      <c r="A440" t="s">
        <v>2193</v>
      </c>
      <c r="B440" t="s">
        <v>2728</v>
      </c>
      <c r="AV440">
        <f t="shared" si="69"/>
        <v>7</v>
      </c>
      <c r="AW440">
        <f t="shared" si="70"/>
        <v>15</v>
      </c>
      <c r="AX440">
        <f t="shared" si="61"/>
        <v>22</v>
      </c>
      <c r="AY440">
        <f t="shared" si="62"/>
        <v>29</v>
      </c>
      <c r="AZ440">
        <f t="shared" si="63"/>
        <v>38</v>
      </c>
      <c r="BA440">
        <f t="shared" si="64"/>
        <v>50</v>
      </c>
      <c r="BB440">
        <f t="shared" si="65"/>
        <v>64</v>
      </c>
      <c r="BC440">
        <f t="shared" si="66"/>
        <v>64</v>
      </c>
      <c r="BD440">
        <f t="shared" si="67"/>
        <v>64</v>
      </c>
      <c r="BE440">
        <f>HLOOKUP(AV440-1,$AW$3:BD712,ROW(AV440)-2,0)</f>
        <v>50</v>
      </c>
      <c r="BF440">
        <f>HLOOKUP(AV440,$AW$3:BD712,ROW(AV440)-2,0)</f>
        <v>64</v>
      </c>
      <c r="BG440" t="str">
        <f t="shared" si="68"/>
        <v>Pasywa_B_II_3_KwotaA</v>
      </c>
    </row>
    <row r="441" spans="1:59" x14ac:dyDescent="0.3">
      <c r="A441" t="s">
        <v>2195</v>
      </c>
      <c r="B441" t="s">
        <v>2729</v>
      </c>
      <c r="AV441">
        <f t="shared" si="69"/>
        <v>8</v>
      </c>
      <c r="AW441">
        <f t="shared" si="70"/>
        <v>15</v>
      </c>
      <c r="AX441">
        <f t="shared" si="61"/>
        <v>22</v>
      </c>
      <c r="AY441">
        <f t="shared" si="62"/>
        <v>29</v>
      </c>
      <c r="AZ441">
        <f t="shared" si="63"/>
        <v>38</v>
      </c>
      <c r="BA441">
        <f t="shared" si="64"/>
        <v>50</v>
      </c>
      <c r="BB441">
        <f t="shared" si="65"/>
        <v>64</v>
      </c>
      <c r="BC441">
        <f t="shared" si="66"/>
        <v>80</v>
      </c>
      <c r="BD441">
        <f t="shared" si="67"/>
        <v>80</v>
      </c>
      <c r="BE441">
        <f>HLOOKUP(AV441-1,$AW$3:BD713,ROW(AV441)-2,0)</f>
        <v>64</v>
      </c>
      <c r="BF441">
        <f>HLOOKUP(AV441,$AW$3:BD713,ROW(AV441)-2,0)</f>
        <v>80</v>
      </c>
      <c r="BG441" t="str">
        <f t="shared" si="68"/>
        <v>Pasywa_B_II_3_A_KwotaA</v>
      </c>
    </row>
    <row r="442" spans="1:59" x14ac:dyDescent="0.3">
      <c r="A442" t="s">
        <v>2197</v>
      </c>
      <c r="B442" t="s">
        <v>2730</v>
      </c>
      <c r="AV442">
        <f t="shared" si="69"/>
        <v>8</v>
      </c>
      <c r="AW442">
        <f t="shared" si="70"/>
        <v>15</v>
      </c>
      <c r="AX442">
        <f t="shared" si="61"/>
        <v>22</v>
      </c>
      <c r="AY442">
        <f t="shared" si="62"/>
        <v>29</v>
      </c>
      <c r="AZ442">
        <f t="shared" si="63"/>
        <v>38</v>
      </c>
      <c r="BA442">
        <f t="shared" si="64"/>
        <v>50</v>
      </c>
      <c r="BB442">
        <f t="shared" si="65"/>
        <v>64</v>
      </c>
      <c r="BC442">
        <f t="shared" si="66"/>
        <v>80</v>
      </c>
      <c r="BD442">
        <f t="shared" si="67"/>
        <v>80</v>
      </c>
      <c r="BE442">
        <f>HLOOKUP(AV442-1,$AW$3:BD714,ROW(AV442)-2,0)</f>
        <v>64</v>
      </c>
      <c r="BF442">
        <f>HLOOKUP(AV442,$AW$3:BD714,ROW(AV442)-2,0)</f>
        <v>80</v>
      </c>
      <c r="BG442" t="str">
        <f t="shared" si="68"/>
        <v>Pasywa_B_II_3_B_KwotaA</v>
      </c>
    </row>
    <row r="443" spans="1:59" x14ac:dyDescent="0.3">
      <c r="A443" t="s">
        <v>2199</v>
      </c>
      <c r="B443" t="s">
        <v>2731</v>
      </c>
      <c r="AV443">
        <f t="shared" si="69"/>
        <v>8</v>
      </c>
      <c r="AW443">
        <f t="shared" si="70"/>
        <v>15</v>
      </c>
      <c r="AX443">
        <f t="shared" si="61"/>
        <v>22</v>
      </c>
      <c r="AY443">
        <f t="shared" si="62"/>
        <v>29</v>
      </c>
      <c r="AZ443">
        <f t="shared" si="63"/>
        <v>38</v>
      </c>
      <c r="BA443">
        <f t="shared" si="64"/>
        <v>50</v>
      </c>
      <c r="BB443">
        <f t="shared" si="65"/>
        <v>64</v>
      </c>
      <c r="BC443">
        <f t="shared" si="66"/>
        <v>80</v>
      </c>
      <c r="BD443">
        <f t="shared" si="67"/>
        <v>80</v>
      </c>
      <c r="BE443">
        <f>HLOOKUP(AV443-1,$AW$3:BD715,ROW(AV443)-2,0)</f>
        <v>64</v>
      </c>
      <c r="BF443">
        <f>HLOOKUP(AV443,$AW$3:BD715,ROW(AV443)-2,0)</f>
        <v>80</v>
      </c>
      <c r="BG443" t="str">
        <f t="shared" si="68"/>
        <v>Pasywa_B_II_3_C_KwotaA</v>
      </c>
    </row>
    <row r="444" spans="1:59" x14ac:dyDescent="0.3">
      <c r="A444" t="s">
        <v>2201</v>
      </c>
      <c r="B444" t="s">
        <v>2732</v>
      </c>
      <c r="AV444">
        <f t="shared" si="69"/>
        <v>8</v>
      </c>
      <c r="AW444">
        <f t="shared" si="70"/>
        <v>15</v>
      </c>
      <c r="AX444">
        <f t="shared" si="61"/>
        <v>22</v>
      </c>
      <c r="AY444">
        <f t="shared" si="62"/>
        <v>29</v>
      </c>
      <c r="AZ444">
        <f t="shared" si="63"/>
        <v>38</v>
      </c>
      <c r="BA444">
        <f t="shared" si="64"/>
        <v>50</v>
      </c>
      <c r="BB444">
        <f t="shared" si="65"/>
        <v>64</v>
      </c>
      <c r="BC444">
        <f t="shared" si="66"/>
        <v>80</v>
      </c>
      <c r="BD444">
        <f t="shared" si="67"/>
        <v>80</v>
      </c>
      <c r="BE444">
        <f>HLOOKUP(AV444-1,$AW$3:BD716,ROW(AV444)-2,0)</f>
        <v>64</v>
      </c>
      <c r="BF444">
        <f>HLOOKUP(AV444,$AW$3:BD716,ROW(AV444)-2,0)</f>
        <v>80</v>
      </c>
      <c r="BG444" t="str">
        <f t="shared" si="68"/>
        <v>Pasywa_B_II_3_D_KwotaA</v>
      </c>
    </row>
    <row r="445" spans="1:59" x14ac:dyDescent="0.3">
      <c r="A445" t="s">
        <v>2203</v>
      </c>
      <c r="B445" t="s">
        <v>2733</v>
      </c>
      <c r="AV445">
        <f t="shared" si="69"/>
        <v>8</v>
      </c>
      <c r="AW445">
        <f t="shared" si="70"/>
        <v>15</v>
      </c>
      <c r="AX445">
        <f t="shared" si="61"/>
        <v>22</v>
      </c>
      <c r="AY445">
        <f t="shared" si="62"/>
        <v>29</v>
      </c>
      <c r="AZ445">
        <f t="shared" si="63"/>
        <v>38</v>
      </c>
      <c r="BA445">
        <f t="shared" si="64"/>
        <v>50</v>
      </c>
      <c r="BB445">
        <f t="shared" si="65"/>
        <v>64</v>
      </c>
      <c r="BC445">
        <f t="shared" si="66"/>
        <v>80</v>
      </c>
      <c r="BD445">
        <f t="shared" si="67"/>
        <v>80</v>
      </c>
      <c r="BE445">
        <f>HLOOKUP(AV445-1,$AW$3:BD717,ROW(AV445)-2,0)</f>
        <v>64</v>
      </c>
      <c r="BF445">
        <f>HLOOKUP(AV445,$AW$3:BD717,ROW(AV445)-2,0)</f>
        <v>80</v>
      </c>
      <c r="BG445" t="str">
        <f t="shared" si="68"/>
        <v>Pasywa_B_II_3_E_KwotaA</v>
      </c>
    </row>
    <row r="446" spans="1:59" x14ac:dyDescent="0.3">
      <c r="A446" t="s">
        <v>2205</v>
      </c>
      <c r="B446" t="s">
        <v>2734</v>
      </c>
      <c r="C446" s="18">
        <v>2113158.08</v>
      </c>
      <c r="AV446">
        <f t="shared" si="69"/>
        <v>6</v>
      </c>
      <c r="AW446">
        <f t="shared" si="70"/>
        <v>15</v>
      </c>
      <c r="AX446">
        <f t="shared" si="61"/>
        <v>22</v>
      </c>
      <c r="AY446">
        <f t="shared" si="62"/>
        <v>29</v>
      </c>
      <c r="AZ446">
        <f t="shared" si="63"/>
        <v>38</v>
      </c>
      <c r="BA446">
        <f t="shared" si="64"/>
        <v>51</v>
      </c>
      <c r="BB446">
        <f t="shared" si="65"/>
        <v>51</v>
      </c>
      <c r="BC446">
        <f t="shared" si="66"/>
        <v>51</v>
      </c>
      <c r="BD446">
        <f t="shared" si="67"/>
        <v>51</v>
      </c>
      <c r="BE446">
        <f>HLOOKUP(AV446-1,$AW$3:BD718,ROW(AV446)-2,0)</f>
        <v>38</v>
      </c>
      <c r="BF446">
        <f>HLOOKUP(AV446,$AW$3:BD718,ROW(AV446)-2,0)</f>
        <v>51</v>
      </c>
      <c r="BG446" t="str">
        <f t="shared" si="68"/>
        <v>Pasywa_B_III_KwotaA</v>
      </c>
    </row>
    <row r="447" spans="1:59" x14ac:dyDescent="0.3">
      <c r="A447" t="s">
        <v>2207</v>
      </c>
      <c r="B447" t="s">
        <v>2735</v>
      </c>
      <c r="C447" s="18">
        <v>1874182.31</v>
      </c>
      <c r="AV447">
        <f t="shared" si="69"/>
        <v>7</v>
      </c>
      <c r="AW447">
        <f t="shared" si="70"/>
        <v>15</v>
      </c>
      <c r="AX447">
        <f t="shared" si="61"/>
        <v>22</v>
      </c>
      <c r="AY447">
        <f t="shared" si="62"/>
        <v>29</v>
      </c>
      <c r="AZ447">
        <f t="shared" si="63"/>
        <v>38</v>
      </c>
      <c r="BA447">
        <f t="shared" si="64"/>
        <v>51</v>
      </c>
      <c r="BB447">
        <f t="shared" si="65"/>
        <v>66</v>
      </c>
      <c r="BC447">
        <f t="shared" si="66"/>
        <v>66</v>
      </c>
      <c r="BD447">
        <f t="shared" si="67"/>
        <v>66</v>
      </c>
      <c r="BE447">
        <f>HLOOKUP(AV447-1,$AW$3:BD719,ROW(AV447)-2,0)</f>
        <v>51</v>
      </c>
      <c r="BF447">
        <f>HLOOKUP(AV447,$AW$3:BD719,ROW(AV447)-2,0)</f>
        <v>66</v>
      </c>
      <c r="BG447" t="str">
        <f t="shared" si="68"/>
        <v>Pasywa_B_III_1_KwotaA</v>
      </c>
    </row>
    <row r="448" spans="1:59" x14ac:dyDescent="0.3">
      <c r="A448" t="s">
        <v>2209</v>
      </c>
      <c r="B448" t="s">
        <v>2736</v>
      </c>
      <c r="C448" s="18">
        <v>844819.84</v>
      </c>
      <c r="AV448">
        <f t="shared" si="69"/>
        <v>8</v>
      </c>
      <c r="AW448">
        <f t="shared" si="70"/>
        <v>15</v>
      </c>
      <c r="AX448">
        <f t="shared" si="61"/>
        <v>22</v>
      </c>
      <c r="AY448">
        <f t="shared" si="62"/>
        <v>29</v>
      </c>
      <c r="AZ448">
        <f t="shared" si="63"/>
        <v>38</v>
      </c>
      <c r="BA448">
        <f t="shared" si="64"/>
        <v>51</v>
      </c>
      <c r="BB448">
        <f t="shared" si="65"/>
        <v>66</v>
      </c>
      <c r="BC448">
        <f t="shared" si="66"/>
        <v>83</v>
      </c>
      <c r="BD448">
        <f t="shared" si="67"/>
        <v>83</v>
      </c>
      <c r="BE448">
        <f>HLOOKUP(AV448-1,$AW$3:BD720,ROW(AV448)-2,0)</f>
        <v>66</v>
      </c>
      <c r="BF448">
        <f>HLOOKUP(AV448,$AW$3:BD720,ROW(AV448)-2,0)</f>
        <v>83</v>
      </c>
      <c r="BG448" t="str">
        <f t="shared" si="68"/>
        <v>Pasywa_B_III_1_A_KwotaA</v>
      </c>
    </row>
    <row r="449" spans="1:59" x14ac:dyDescent="0.3">
      <c r="A449" t="s">
        <v>2211</v>
      </c>
      <c r="B449" t="s">
        <v>2737</v>
      </c>
      <c r="C449" s="18">
        <v>844819.84</v>
      </c>
      <c r="AV449">
        <f t="shared" si="69"/>
        <v>9</v>
      </c>
      <c r="AW449">
        <f t="shared" si="70"/>
        <v>15</v>
      </c>
      <c r="AX449">
        <f t="shared" si="61"/>
        <v>22</v>
      </c>
      <c r="AY449">
        <f t="shared" si="62"/>
        <v>29</v>
      </c>
      <c r="AZ449">
        <f t="shared" si="63"/>
        <v>38</v>
      </c>
      <c r="BA449">
        <f t="shared" si="64"/>
        <v>51</v>
      </c>
      <c r="BB449">
        <f t="shared" si="65"/>
        <v>66</v>
      </c>
      <c r="BC449">
        <f t="shared" si="66"/>
        <v>83</v>
      </c>
      <c r="BD449">
        <f t="shared" si="67"/>
        <v>102</v>
      </c>
      <c r="BE449">
        <f>HLOOKUP(AV449-1,$AW$3:BD721,ROW(AV449)-2,0)</f>
        <v>83</v>
      </c>
      <c r="BF449">
        <f>HLOOKUP(AV449,$AW$3:BD721,ROW(AV449)-2,0)</f>
        <v>102</v>
      </c>
      <c r="BG449" t="str">
        <f t="shared" si="68"/>
        <v>Pasywa_B_III_1_A_1_KwotaA</v>
      </c>
    </row>
    <row r="450" spans="1:59" x14ac:dyDescent="0.3">
      <c r="A450" t="s">
        <v>2213</v>
      </c>
      <c r="B450" t="s">
        <v>2738</v>
      </c>
      <c r="AV450">
        <f t="shared" si="69"/>
        <v>9</v>
      </c>
      <c r="AW450">
        <f t="shared" si="70"/>
        <v>15</v>
      </c>
      <c r="AX450">
        <f t="shared" si="61"/>
        <v>22</v>
      </c>
      <c r="AY450">
        <f t="shared" si="62"/>
        <v>29</v>
      </c>
      <c r="AZ450">
        <f t="shared" si="63"/>
        <v>38</v>
      </c>
      <c r="BA450">
        <f t="shared" si="64"/>
        <v>51</v>
      </c>
      <c r="BB450">
        <f t="shared" si="65"/>
        <v>66</v>
      </c>
      <c r="BC450">
        <f t="shared" si="66"/>
        <v>83</v>
      </c>
      <c r="BD450">
        <f t="shared" si="67"/>
        <v>102</v>
      </c>
      <c r="BE450">
        <f>HLOOKUP(AV450-1,$AW$3:BD722,ROW(AV450)-2,0)</f>
        <v>83</v>
      </c>
      <c r="BF450">
        <f>HLOOKUP(AV450,$AW$3:BD722,ROW(AV450)-2,0)</f>
        <v>102</v>
      </c>
      <c r="BG450" t="str">
        <f t="shared" si="68"/>
        <v>Pasywa_B_III_1_A_2_KwotaA</v>
      </c>
    </row>
    <row r="451" spans="1:59" x14ac:dyDescent="0.3">
      <c r="A451" t="s">
        <v>2215</v>
      </c>
      <c r="B451" t="s">
        <v>2739</v>
      </c>
      <c r="C451" s="18">
        <v>1029362.47</v>
      </c>
      <c r="AV451">
        <f t="shared" si="69"/>
        <v>8</v>
      </c>
      <c r="AW451">
        <f t="shared" si="70"/>
        <v>15</v>
      </c>
      <c r="AX451">
        <f t="shared" si="61"/>
        <v>22</v>
      </c>
      <c r="AY451">
        <f t="shared" si="62"/>
        <v>29</v>
      </c>
      <c r="AZ451">
        <f t="shared" si="63"/>
        <v>38</v>
      </c>
      <c r="BA451">
        <f t="shared" si="64"/>
        <v>51</v>
      </c>
      <c r="BB451">
        <f t="shared" si="65"/>
        <v>66</v>
      </c>
      <c r="BC451">
        <f t="shared" si="66"/>
        <v>83</v>
      </c>
      <c r="BD451">
        <f t="shared" si="67"/>
        <v>83</v>
      </c>
      <c r="BE451">
        <f>HLOOKUP(AV451-1,$AW$3:BD723,ROW(AV451)-2,0)</f>
        <v>66</v>
      </c>
      <c r="BF451">
        <f>HLOOKUP(AV451,$AW$3:BD723,ROW(AV451)-2,0)</f>
        <v>83</v>
      </c>
      <c r="BG451" t="str">
        <f t="shared" si="68"/>
        <v>Pasywa_B_III_1_B_KwotaA</v>
      </c>
    </row>
    <row r="452" spans="1:59" x14ac:dyDescent="0.3">
      <c r="A452" t="s">
        <v>2217</v>
      </c>
      <c r="B452" t="s">
        <v>2740</v>
      </c>
      <c r="AV452">
        <f t="shared" si="69"/>
        <v>7</v>
      </c>
      <c r="AW452">
        <f t="shared" si="70"/>
        <v>15</v>
      </c>
      <c r="AX452">
        <f t="shared" ref="AX452:AX515" si="71">FIND("/",B452,AW452+1)</f>
        <v>22</v>
      </c>
      <c r="AY452">
        <f t="shared" ref="AY452:AY515" si="72">IFERROR(FIND("/",B452,AX452+1),AX452)</f>
        <v>29</v>
      </c>
      <c r="AZ452">
        <f t="shared" ref="AZ452:AZ515" si="73">IFERROR(FIND("/",B452,AY452+1),AY452)</f>
        <v>38</v>
      </c>
      <c r="BA452">
        <f t="shared" ref="BA452:BA515" si="74">IFERROR(FIND("/",B452,AZ452+1),AZ452)</f>
        <v>51</v>
      </c>
      <c r="BB452">
        <f t="shared" ref="BB452:BB515" si="75">IFERROR(FIND("/",B452,BA452+1),BA452)</f>
        <v>66</v>
      </c>
      <c r="BC452">
        <f t="shared" ref="BC452:BC515" si="76">IFERROR(FIND("/",B452,BB452+1),BB452)</f>
        <v>66</v>
      </c>
      <c r="BD452">
        <f t="shared" ref="BD452:BD515" si="77">IFERROR(FIND("/",B452,BC452+1),BC452)</f>
        <v>66</v>
      </c>
      <c r="BE452">
        <f>HLOOKUP(AV452-1,$AW$3:BD724,ROW(AV452)-2,0)</f>
        <v>51</v>
      </c>
      <c r="BF452">
        <f>HLOOKUP(AV452,$AW$3:BD724,ROW(AV452)-2,0)</f>
        <v>66</v>
      </c>
      <c r="BG452" t="str">
        <f t="shared" ref="BG452:BG515" si="78">IF(ISERROR(FIND("Kwota",B452)),IF(ISERROR(FIND("Prawna",B452)),MID(B452,BF452+1,LEN(B452)-BF452),REPLACE(MID(B452,BE452+1,LEN(B452)-BE452),FIND("/",MID(B452,BE452+1,LEN(B452)-BE452)),1,"_")),REPLACE(MID(B452,BE452+1,LEN(B452)-BE452),FIND("/",MID(B452,BE452+1,LEN(B452)-BE452)),1,"_"))</f>
        <v>Pasywa_B_III_2_KwotaA</v>
      </c>
    </row>
    <row r="453" spans="1:59" x14ac:dyDescent="0.3">
      <c r="A453" t="s">
        <v>2219</v>
      </c>
      <c r="B453" t="s">
        <v>2741</v>
      </c>
      <c r="AV453">
        <f t="shared" si="69"/>
        <v>8</v>
      </c>
      <c r="AW453">
        <f t="shared" si="70"/>
        <v>15</v>
      </c>
      <c r="AX453">
        <f t="shared" si="71"/>
        <v>22</v>
      </c>
      <c r="AY453">
        <f t="shared" si="72"/>
        <v>29</v>
      </c>
      <c r="AZ453">
        <f t="shared" si="73"/>
        <v>38</v>
      </c>
      <c r="BA453">
        <f t="shared" si="74"/>
        <v>51</v>
      </c>
      <c r="BB453">
        <f t="shared" si="75"/>
        <v>66</v>
      </c>
      <c r="BC453">
        <f t="shared" si="76"/>
        <v>83</v>
      </c>
      <c r="BD453">
        <f t="shared" si="77"/>
        <v>83</v>
      </c>
      <c r="BE453">
        <f>HLOOKUP(AV453-1,$AW$3:BD725,ROW(AV453)-2,0)</f>
        <v>66</v>
      </c>
      <c r="BF453">
        <f>HLOOKUP(AV453,$AW$3:BD725,ROW(AV453)-2,0)</f>
        <v>83</v>
      </c>
      <c r="BG453" t="str">
        <f t="shared" si="78"/>
        <v>Pasywa_B_III_2_A_KwotaA</v>
      </c>
    </row>
    <row r="454" spans="1:59" x14ac:dyDescent="0.3">
      <c r="A454" t="s">
        <v>2221</v>
      </c>
      <c r="B454" t="s">
        <v>2742</v>
      </c>
      <c r="AV454">
        <f t="shared" si="69"/>
        <v>9</v>
      </c>
      <c r="AW454">
        <f t="shared" si="70"/>
        <v>15</v>
      </c>
      <c r="AX454">
        <f t="shared" si="71"/>
        <v>22</v>
      </c>
      <c r="AY454">
        <f t="shared" si="72"/>
        <v>29</v>
      </c>
      <c r="AZ454">
        <f t="shared" si="73"/>
        <v>38</v>
      </c>
      <c r="BA454">
        <f t="shared" si="74"/>
        <v>51</v>
      </c>
      <c r="BB454">
        <f t="shared" si="75"/>
        <v>66</v>
      </c>
      <c r="BC454">
        <f t="shared" si="76"/>
        <v>83</v>
      </c>
      <c r="BD454">
        <f t="shared" si="77"/>
        <v>102</v>
      </c>
      <c r="BE454">
        <f>HLOOKUP(AV454-1,$AW$3:BD726,ROW(AV454)-2,0)</f>
        <v>83</v>
      </c>
      <c r="BF454">
        <f>HLOOKUP(AV454,$AW$3:BD726,ROW(AV454)-2,0)</f>
        <v>102</v>
      </c>
      <c r="BG454" t="str">
        <f t="shared" si="78"/>
        <v>Pasywa_B_III_2_A_1_KwotaA</v>
      </c>
    </row>
    <row r="455" spans="1:59" x14ac:dyDescent="0.3">
      <c r="A455" t="s">
        <v>2223</v>
      </c>
      <c r="B455" t="s">
        <v>2743</v>
      </c>
      <c r="AV455">
        <f t="shared" si="69"/>
        <v>9</v>
      </c>
      <c r="AW455">
        <f t="shared" si="70"/>
        <v>15</v>
      </c>
      <c r="AX455">
        <f t="shared" si="71"/>
        <v>22</v>
      </c>
      <c r="AY455">
        <f t="shared" si="72"/>
        <v>29</v>
      </c>
      <c r="AZ455">
        <f t="shared" si="73"/>
        <v>38</v>
      </c>
      <c r="BA455">
        <f t="shared" si="74"/>
        <v>51</v>
      </c>
      <c r="BB455">
        <f t="shared" si="75"/>
        <v>66</v>
      </c>
      <c r="BC455">
        <f t="shared" si="76"/>
        <v>83</v>
      </c>
      <c r="BD455">
        <f t="shared" si="77"/>
        <v>102</v>
      </c>
      <c r="BE455">
        <f>HLOOKUP(AV455-1,$AW$3:BD727,ROW(AV455)-2,0)</f>
        <v>83</v>
      </c>
      <c r="BF455">
        <f>HLOOKUP(AV455,$AW$3:BD727,ROW(AV455)-2,0)</f>
        <v>102</v>
      </c>
      <c r="BG455" t="str">
        <f t="shared" si="78"/>
        <v>Pasywa_B_III_2_A_2_KwotaA</v>
      </c>
    </row>
    <row r="456" spans="1:59" x14ac:dyDescent="0.3">
      <c r="A456" t="s">
        <v>2225</v>
      </c>
      <c r="B456" t="s">
        <v>2744</v>
      </c>
      <c r="AV456">
        <f t="shared" ref="AV456:AV519" si="79" xml:space="preserve"> SUM(LEN(B456)-LEN(SUBSTITUTE(B456,"/","")))/LEN("/")</f>
        <v>8</v>
      </c>
      <c r="AW456">
        <f t="shared" ref="AW456:AW519" si="80">FIND("/",B456,2)</f>
        <v>15</v>
      </c>
      <c r="AX456">
        <f t="shared" si="71"/>
        <v>22</v>
      </c>
      <c r="AY456">
        <f t="shared" si="72"/>
        <v>29</v>
      </c>
      <c r="AZ456">
        <f t="shared" si="73"/>
        <v>38</v>
      </c>
      <c r="BA456">
        <f t="shared" si="74"/>
        <v>51</v>
      </c>
      <c r="BB456">
        <f t="shared" si="75"/>
        <v>66</v>
      </c>
      <c r="BC456">
        <f t="shared" si="76"/>
        <v>83</v>
      </c>
      <c r="BD456">
        <f t="shared" si="77"/>
        <v>83</v>
      </c>
      <c r="BE456">
        <f>HLOOKUP(AV456-1,$AW$3:BD728,ROW(AV456)-2,0)</f>
        <v>66</v>
      </c>
      <c r="BF456">
        <f>HLOOKUP(AV456,$AW$3:BD728,ROW(AV456)-2,0)</f>
        <v>83</v>
      </c>
      <c r="BG456" t="str">
        <f t="shared" si="78"/>
        <v>Pasywa_B_III_2_B_KwotaA</v>
      </c>
    </row>
    <row r="457" spans="1:59" x14ac:dyDescent="0.3">
      <c r="A457" t="s">
        <v>2227</v>
      </c>
      <c r="B457" t="s">
        <v>2745</v>
      </c>
      <c r="C457" s="18">
        <v>238975.77</v>
      </c>
      <c r="AV457">
        <f t="shared" si="79"/>
        <v>7</v>
      </c>
      <c r="AW457">
        <f t="shared" si="80"/>
        <v>15</v>
      </c>
      <c r="AX457">
        <f t="shared" si="71"/>
        <v>22</v>
      </c>
      <c r="AY457">
        <f t="shared" si="72"/>
        <v>29</v>
      </c>
      <c r="AZ457">
        <f t="shared" si="73"/>
        <v>38</v>
      </c>
      <c r="BA457">
        <f t="shared" si="74"/>
        <v>51</v>
      </c>
      <c r="BB457">
        <f t="shared" si="75"/>
        <v>66</v>
      </c>
      <c r="BC457">
        <f t="shared" si="76"/>
        <v>66</v>
      </c>
      <c r="BD457">
        <f t="shared" si="77"/>
        <v>66</v>
      </c>
      <c r="BE457">
        <f>HLOOKUP(AV457-1,$AW$3:BD729,ROW(AV457)-2,0)</f>
        <v>51</v>
      </c>
      <c r="BF457">
        <f>HLOOKUP(AV457,$AW$3:BD729,ROW(AV457)-2,0)</f>
        <v>66</v>
      </c>
      <c r="BG457" t="str">
        <f t="shared" si="78"/>
        <v>Pasywa_B_III_3_KwotaA</v>
      </c>
    </row>
    <row r="458" spans="1:59" x14ac:dyDescent="0.3">
      <c r="A458" t="s">
        <v>2229</v>
      </c>
      <c r="B458" t="s">
        <v>2746</v>
      </c>
      <c r="AV458">
        <f t="shared" si="79"/>
        <v>8</v>
      </c>
      <c r="AW458">
        <f t="shared" si="80"/>
        <v>15</v>
      </c>
      <c r="AX458">
        <f t="shared" si="71"/>
        <v>22</v>
      </c>
      <c r="AY458">
        <f t="shared" si="72"/>
        <v>29</v>
      </c>
      <c r="AZ458">
        <f t="shared" si="73"/>
        <v>38</v>
      </c>
      <c r="BA458">
        <f t="shared" si="74"/>
        <v>51</v>
      </c>
      <c r="BB458">
        <f t="shared" si="75"/>
        <v>66</v>
      </c>
      <c r="BC458">
        <f t="shared" si="76"/>
        <v>83</v>
      </c>
      <c r="BD458">
        <f t="shared" si="77"/>
        <v>83</v>
      </c>
      <c r="BE458">
        <f>HLOOKUP(AV458-1,$AW$3:BD730,ROW(AV458)-2,0)</f>
        <v>66</v>
      </c>
      <c r="BF458">
        <f>HLOOKUP(AV458,$AW$3:BD730,ROW(AV458)-2,0)</f>
        <v>83</v>
      </c>
      <c r="BG458" t="str">
        <f t="shared" si="78"/>
        <v>Pasywa_B_III_3_A_KwotaA</v>
      </c>
    </row>
    <row r="459" spans="1:59" x14ac:dyDescent="0.3">
      <c r="A459" t="s">
        <v>2231</v>
      </c>
      <c r="B459" t="s">
        <v>2747</v>
      </c>
      <c r="AV459">
        <f t="shared" si="79"/>
        <v>8</v>
      </c>
      <c r="AW459">
        <f t="shared" si="80"/>
        <v>15</v>
      </c>
      <c r="AX459">
        <f t="shared" si="71"/>
        <v>22</v>
      </c>
      <c r="AY459">
        <f t="shared" si="72"/>
        <v>29</v>
      </c>
      <c r="AZ459">
        <f t="shared" si="73"/>
        <v>38</v>
      </c>
      <c r="BA459">
        <f t="shared" si="74"/>
        <v>51</v>
      </c>
      <c r="BB459">
        <f t="shared" si="75"/>
        <v>66</v>
      </c>
      <c r="BC459">
        <f t="shared" si="76"/>
        <v>83</v>
      </c>
      <c r="BD459">
        <f t="shared" si="77"/>
        <v>83</v>
      </c>
      <c r="BE459">
        <f>HLOOKUP(AV459-1,$AW$3:BD731,ROW(AV459)-2,0)</f>
        <v>66</v>
      </c>
      <c r="BF459">
        <f>HLOOKUP(AV459,$AW$3:BD731,ROW(AV459)-2,0)</f>
        <v>83</v>
      </c>
      <c r="BG459" t="str">
        <f t="shared" si="78"/>
        <v>Pasywa_B_III_3_B_KwotaA</v>
      </c>
    </row>
    <row r="460" spans="1:59" x14ac:dyDescent="0.3">
      <c r="A460" t="s">
        <v>2233</v>
      </c>
      <c r="B460" t="s">
        <v>2748</v>
      </c>
      <c r="AV460">
        <f t="shared" si="79"/>
        <v>8</v>
      </c>
      <c r="AW460">
        <f t="shared" si="80"/>
        <v>15</v>
      </c>
      <c r="AX460">
        <f t="shared" si="71"/>
        <v>22</v>
      </c>
      <c r="AY460">
        <f t="shared" si="72"/>
        <v>29</v>
      </c>
      <c r="AZ460">
        <f t="shared" si="73"/>
        <v>38</v>
      </c>
      <c r="BA460">
        <f t="shared" si="74"/>
        <v>51</v>
      </c>
      <c r="BB460">
        <f t="shared" si="75"/>
        <v>66</v>
      </c>
      <c r="BC460">
        <f t="shared" si="76"/>
        <v>83</v>
      </c>
      <c r="BD460">
        <f t="shared" si="77"/>
        <v>83</v>
      </c>
      <c r="BE460">
        <f>HLOOKUP(AV460-1,$AW$3:BD732,ROW(AV460)-2,0)</f>
        <v>66</v>
      </c>
      <c r="BF460">
        <f>HLOOKUP(AV460,$AW$3:BD732,ROW(AV460)-2,0)</f>
        <v>83</v>
      </c>
      <c r="BG460" t="str">
        <f t="shared" si="78"/>
        <v>Pasywa_B_III_3_C_KwotaA</v>
      </c>
    </row>
    <row r="461" spans="1:59" x14ac:dyDescent="0.3">
      <c r="A461" t="s">
        <v>2235</v>
      </c>
      <c r="B461" t="s">
        <v>2749</v>
      </c>
      <c r="C461" s="18">
        <v>226222.77</v>
      </c>
      <c r="AV461">
        <f t="shared" si="79"/>
        <v>8</v>
      </c>
      <c r="AW461">
        <f t="shared" si="80"/>
        <v>15</v>
      </c>
      <c r="AX461">
        <f t="shared" si="71"/>
        <v>22</v>
      </c>
      <c r="AY461">
        <f t="shared" si="72"/>
        <v>29</v>
      </c>
      <c r="AZ461">
        <f t="shared" si="73"/>
        <v>38</v>
      </c>
      <c r="BA461">
        <f t="shared" si="74"/>
        <v>51</v>
      </c>
      <c r="BB461">
        <f t="shared" si="75"/>
        <v>66</v>
      </c>
      <c r="BC461">
        <f t="shared" si="76"/>
        <v>83</v>
      </c>
      <c r="BD461">
        <f t="shared" si="77"/>
        <v>83</v>
      </c>
      <c r="BE461">
        <f>HLOOKUP(AV461-1,$AW$3:BD733,ROW(AV461)-2,0)</f>
        <v>66</v>
      </c>
      <c r="BF461">
        <f>HLOOKUP(AV461,$AW$3:BD733,ROW(AV461)-2,0)</f>
        <v>83</v>
      </c>
      <c r="BG461" t="str">
        <f t="shared" si="78"/>
        <v>Pasywa_B_III_3_D_KwotaA</v>
      </c>
    </row>
    <row r="462" spans="1:59" x14ac:dyDescent="0.3">
      <c r="A462" t="s">
        <v>2237</v>
      </c>
      <c r="B462" t="s">
        <v>2750</v>
      </c>
      <c r="C462" s="18">
        <v>226222.77</v>
      </c>
      <c r="AV462">
        <f t="shared" si="79"/>
        <v>9</v>
      </c>
      <c r="AW462">
        <f t="shared" si="80"/>
        <v>15</v>
      </c>
      <c r="AX462">
        <f t="shared" si="71"/>
        <v>22</v>
      </c>
      <c r="AY462">
        <f t="shared" si="72"/>
        <v>29</v>
      </c>
      <c r="AZ462">
        <f t="shared" si="73"/>
        <v>38</v>
      </c>
      <c r="BA462">
        <f t="shared" si="74"/>
        <v>51</v>
      </c>
      <c r="BB462">
        <f t="shared" si="75"/>
        <v>66</v>
      </c>
      <c r="BC462">
        <f t="shared" si="76"/>
        <v>83</v>
      </c>
      <c r="BD462">
        <f t="shared" si="77"/>
        <v>102</v>
      </c>
      <c r="BE462">
        <f>HLOOKUP(AV462-1,$AW$3:BD734,ROW(AV462)-2,0)</f>
        <v>83</v>
      </c>
      <c r="BF462">
        <f>HLOOKUP(AV462,$AW$3:BD734,ROW(AV462)-2,0)</f>
        <v>102</v>
      </c>
      <c r="BG462" t="str">
        <f t="shared" si="78"/>
        <v>Pasywa_B_III_3_D_1_KwotaA</v>
      </c>
    </row>
    <row r="463" spans="1:59" x14ac:dyDescent="0.3">
      <c r="A463" t="s">
        <v>2239</v>
      </c>
      <c r="B463" t="s">
        <v>2751</v>
      </c>
      <c r="AV463">
        <f t="shared" si="79"/>
        <v>9</v>
      </c>
      <c r="AW463">
        <f t="shared" si="80"/>
        <v>15</v>
      </c>
      <c r="AX463">
        <f t="shared" si="71"/>
        <v>22</v>
      </c>
      <c r="AY463">
        <f t="shared" si="72"/>
        <v>29</v>
      </c>
      <c r="AZ463">
        <f t="shared" si="73"/>
        <v>38</v>
      </c>
      <c r="BA463">
        <f t="shared" si="74"/>
        <v>51</v>
      </c>
      <c r="BB463">
        <f t="shared" si="75"/>
        <v>66</v>
      </c>
      <c r="BC463">
        <f t="shared" si="76"/>
        <v>83</v>
      </c>
      <c r="BD463">
        <f t="shared" si="77"/>
        <v>102</v>
      </c>
      <c r="BE463">
        <f>HLOOKUP(AV463-1,$AW$3:BD735,ROW(AV463)-2,0)</f>
        <v>83</v>
      </c>
      <c r="BF463">
        <f>HLOOKUP(AV463,$AW$3:BD735,ROW(AV463)-2,0)</f>
        <v>102</v>
      </c>
      <c r="BG463" t="str">
        <f t="shared" si="78"/>
        <v>Pasywa_B_III_3_D_2_KwotaA</v>
      </c>
    </row>
    <row r="464" spans="1:59" x14ac:dyDescent="0.3">
      <c r="A464" t="s">
        <v>2241</v>
      </c>
      <c r="B464" t="s">
        <v>2752</v>
      </c>
      <c r="AV464">
        <f t="shared" si="79"/>
        <v>8</v>
      </c>
      <c r="AW464">
        <f t="shared" si="80"/>
        <v>15</v>
      </c>
      <c r="AX464">
        <f t="shared" si="71"/>
        <v>22</v>
      </c>
      <c r="AY464">
        <f t="shared" si="72"/>
        <v>29</v>
      </c>
      <c r="AZ464">
        <f t="shared" si="73"/>
        <v>38</v>
      </c>
      <c r="BA464">
        <f t="shared" si="74"/>
        <v>51</v>
      </c>
      <c r="BB464">
        <f t="shared" si="75"/>
        <v>66</v>
      </c>
      <c r="BC464">
        <f t="shared" si="76"/>
        <v>83</v>
      </c>
      <c r="BD464">
        <f t="shared" si="77"/>
        <v>83</v>
      </c>
      <c r="BE464">
        <f>HLOOKUP(AV464-1,$AW$3:BD736,ROW(AV464)-2,0)</f>
        <v>66</v>
      </c>
      <c r="BF464">
        <f>HLOOKUP(AV464,$AW$3:BD736,ROW(AV464)-2,0)</f>
        <v>83</v>
      </c>
      <c r="BG464" t="str">
        <f t="shared" si="78"/>
        <v>Pasywa_B_III_3_E_KwotaA</v>
      </c>
    </row>
    <row r="465" spans="1:59" x14ac:dyDescent="0.3">
      <c r="A465" t="s">
        <v>2243</v>
      </c>
      <c r="B465" t="s">
        <v>2753</v>
      </c>
      <c r="AV465">
        <f t="shared" si="79"/>
        <v>8</v>
      </c>
      <c r="AW465">
        <f t="shared" si="80"/>
        <v>15</v>
      </c>
      <c r="AX465">
        <f t="shared" si="71"/>
        <v>22</v>
      </c>
      <c r="AY465">
        <f t="shared" si="72"/>
        <v>29</v>
      </c>
      <c r="AZ465">
        <f t="shared" si="73"/>
        <v>38</v>
      </c>
      <c r="BA465">
        <f t="shared" si="74"/>
        <v>51</v>
      </c>
      <c r="BB465">
        <f t="shared" si="75"/>
        <v>66</v>
      </c>
      <c r="BC465">
        <f t="shared" si="76"/>
        <v>83</v>
      </c>
      <c r="BD465">
        <f t="shared" si="77"/>
        <v>83</v>
      </c>
      <c r="BE465">
        <f>HLOOKUP(AV465-1,$AW$3:BD737,ROW(AV465)-2,0)</f>
        <v>66</v>
      </c>
      <c r="BF465">
        <f>HLOOKUP(AV465,$AW$3:BD737,ROW(AV465)-2,0)</f>
        <v>83</v>
      </c>
      <c r="BG465" t="str">
        <f t="shared" si="78"/>
        <v>Pasywa_B_III_3_F_KwotaA</v>
      </c>
    </row>
    <row r="466" spans="1:59" x14ac:dyDescent="0.3">
      <c r="A466" t="s">
        <v>2245</v>
      </c>
      <c r="B466" t="s">
        <v>2754</v>
      </c>
      <c r="C466" s="18">
        <v>12753</v>
      </c>
      <c r="AV466">
        <f t="shared" si="79"/>
        <v>8</v>
      </c>
      <c r="AW466">
        <f t="shared" si="80"/>
        <v>15</v>
      </c>
      <c r="AX466">
        <f t="shared" si="71"/>
        <v>22</v>
      </c>
      <c r="AY466">
        <f t="shared" si="72"/>
        <v>29</v>
      </c>
      <c r="AZ466">
        <f t="shared" si="73"/>
        <v>38</v>
      </c>
      <c r="BA466">
        <f t="shared" si="74"/>
        <v>51</v>
      </c>
      <c r="BB466">
        <f t="shared" si="75"/>
        <v>66</v>
      </c>
      <c r="BC466">
        <f t="shared" si="76"/>
        <v>83</v>
      </c>
      <c r="BD466">
        <f t="shared" si="77"/>
        <v>83</v>
      </c>
      <c r="BE466">
        <f>HLOOKUP(AV466-1,$AW$3:BD738,ROW(AV466)-2,0)</f>
        <v>66</v>
      </c>
      <c r="BF466">
        <f>HLOOKUP(AV466,$AW$3:BD738,ROW(AV466)-2,0)</f>
        <v>83</v>
      </c>
      <c r="BG466" t="str">
        <f t="shared" si="78"/>
        <v>Pasywa_B_III_3_G_KwotaA</v>
      </c>
    </row>
    <row r="467" spans="1:59" x14ac:dyDescent="0.3">
      <c r="A467" t="s">
        <v>2247</v>
      </c>
      <c r="B467" t="s">
        <v>2755</v>
      </c>
      <c r="AV467">
        <f t="shared" si="79"/>
        <v>8</v>
      </c>
      <c r="AW467">
        <f t="shared" si="80"/>
        <v>15</v>
      </c>
      <c r="AX467">
        <f t="shared" si="71"/>
        <v>22</v>
      </c>
      <c r="AY467">
        <f t="shared" si="72"/>
        <v>29</v>
      </c>
      <c r="AZ467">
        <f t="shared" si="73"/>
        <v>38</v>
      </c>
      <c r="BA467">
        <f t="shared" si="74"/>
        <v>51</v>
      </c>
      <c r="BB467">
        <f t="shared" si="75"/>
        <v>66</v>
      </c>
      <c r="BC467">
        <f t="shared" si="76"/>
        <v>83</v>
      </c>
      <c r="BD467">
        <f t="shared" si="77"/>
        <v>83</v>
      </c>
      <c r="BE467">
        <f>HLOOKUP(AV467-1,$AW$3:BD739,ROW(AV467)-2,0)</f>
        <v>66</v>
      </c>
      <c r="BF467">
        <f>HLOOKUP(AV467,$AW$3:BD739,ROW(AV467)-2,0)</f>
        <v>83</v>
      </c>
      <c r="BG467" t="str">
        <f t="shared" si="78"/>
        <v>Pasywa_B_III_3_H_KwotaA</v>
      </c>
    </row>
    <row r="468" spans="1:59" x14ac:dyDescent="0.3">
      <c r="A468" t="s">
        <v>2249</v>
      </c>
      <c r="B468" t="s">
        <v>2756</v>
      </c>
      <c r="C468" s="18">
        <v>0</v>
      </c>
      <c r="AV468">
        <f t="shared" si="79"/>
        <v>8</v>
      </c>
      <c r="AW468">
        <f t="shared" si="80"/>
        <v>15</v>
      </c>
      <c r="AX468">
        <f t="shared" si="71"/>
        <v>22</v>
      </c>
      <c r="AY468">
        <f t="shared" si="72"/>
        <v>29</v>
      </c>
      <c r="AZ468">
        <f t="shared" si="73"/>
        <v>38</v>
      </c>
      <c r="BA468">
        <f t="shared" si="74"/>
        <v>51</v>
      </c>
      <c r="BB468">
        <f t="shared" si="75"/>
        <v>66</v>
      </c>
      <c r="BC468">
        <f t="shared" si="76"/>
        <v>83</v>
      </c>
      <c r="BD468">
        <f t="shared" si="77"/>
        <v>83</v>
      </c>
      <c r="BE468">
        <f>HLOOKUP(AV468-1,$AW$3:BD740,ROW(AV468)-2,0)</f>
        <v>66</v>
      </c>
      <c r="BF468">
        <f>HLOOKUP(AV468,$AW$3:BD740,ROW(AV468)-2,0)</f>
        <v>83</v>
      </c>
      <c r="BG468" t="str">
        <f t="shared" si="78"/>
        <v>Pasywa_B_III_3_I_KwotaA</v>
      </c>
    </row>
    <row r="469" spans="1:59" x14ac:dyDescent="0.3">
      <c r="A469" t="s">
        <v>2251</v>
      </c>
      <c r="B469" t="s">
        <v>2757</v>
      </c>
      <c r="AV469">
        <f t="shared" si="79"/>
        <v>7</v>
      </c>
      <c r="AW469">
        <f t="shared" si="80"/>
        <v>15</v>
      </c>
      <c r="AX469">
        <f t="shared" si="71"/>
        <v>22</v>
      </c>
      <c r="AY469">
        <f t="shared" si="72"/>
        <v>29</v>
      </c>
      <c r="AZ469">
        <f t="shared" si="73"/>
        <v>38</v>
      </c>
      <c r="BA469">
        <f t="shared" si="74"/>
        <v>51</v>
      </c>
      <c r="BB469">
        <f t="shared" si="75"/>
        <v>66</v>
      </c>
      <c r="BC469">
        <f t="shared" si="76"/>
        <v>66</v>
      </c>
      <c r="BD469">
        <f t="shared" si="77"/>
        <v>66</v>
      </c>
      <c r="BE469">
        <f>HLOOKUP(AV469-1,$AW$3:BD741,ROW(AV469)-2,0)</f>
        <v>51</v>
      </c>
      <c r="BF469">
        <f>HLOOKUP(AV469,$AW$3:BD741,ROW(AV469)-2,0)</f>
        <v>66</v>
      </c>
      <c r="BG469" t="str">
        <f t="shared" si="78"/>
        <v>Pasywa_B_III_4_KwotaA</v>
      </c>
    </row>
    <row r="470" spans="1:59" x14ac:dyDescent="0.3">
      <c r="A470" t="s">
        <v>2253</v>
      </c>
      <c r="B470" t="s">
        <v>2758</v>
      </c>
      <c r="AV470">
        <f t="shared" si="79"/>
        <v>6</v>
      </c>
      <c r="AW470">
        <f t="shared" si="80"/>
        <v>15</v>
      </c>
      <c r="AX470">
        <f t="shared" si="71"/>
        <v>22</v>
      </c>
      <c r="AY470">
        <f t="shared" si="72"/>
        <v>29</v>
      </c>
      <c r="AZ470">
        <f t="shared" si="73"/>
        <v>38</v>
      </c>
      <c r="BA470">
        <f t="shared" si="74"/>
        <v>50</v>
      </c>
      <c r="BB470">
        <f t="shared" si="75"/>
        <v>50</v>
      </c>
      <c r="BC470">
        <f t="shared" si="76"/>
        <v>50</v>
      </c>
      <c r="BD470">
        <f t="shared" si="77"/>
        <v>50</v>
      </c>
      <c r="BE470">
        <f>HLOOKUP(AV470-1,$AW$3:BD742,ROW(AV470)-2,0)</f>
        <v>38</v>
      </c>
      <c r="BF470">
        <f>HLOOKUP(AV470,$AW$3:BD742,ROW(AV470)-2,0)</f>
        <v>50</v>
      </c>
      <c r="BG470" t="str">
        <f t="shared" si="78"/>
        <v>Pasywa_B_IV_KwotaA</v>
      </c>
    </row>
    <row r="471" spans="1:59" x14ac:dyDescent="0.3">
      <c r="A471" t="s">
        <v>2255</v>
      </c>
      <c r="B471" t="s">
        <v>2759</v>
      </c>
      <c r="AV471">
        <f t="shared" si="79"/>
        <v>7</v>
      </c>
      <c r="AW471">
        <f t="shared" si="80"/>
        <v>15</v>
      </c>
      <c r="AX471">
        <f t="shared" si="71"/>
        <v>22</v>
      </c>
      <c r="AY471">
        <f t="shared" si="72"/>
        <v>29</v>
      </c>
      <c r="AZ471">
        <f t="shared" si="73"/>
        <v>38</v>
      </c>
      <c r="BA471">
        <f t="shared" si="74"/>
        <v>50</v>
      </c>
      <c r="BB471">
        <f t="shared" si="75"/>
        <v>64</v>
      </c>
      <c r="BC471">
        <f t="shared" si="76"/>
        <v>64</v>
      </c>
      <c r="BD471">
        <f t="shared" si="77"/>
        <v>64</v>
      </c>
      <c r="BE471">
        <f>HLOOKUP(AV471-1,$AW$3:BD743,ROW(AV471)-2,0)</f>
        <v>50</v>
      </c>
      <c r="BF471">
        <f>HLOOKUP(AV471,$AW$3:BD743,ROW(AV471)-2,0)</f>
        <v>64</v>
      </c>
      <c r="BG471" t="str">
        <f t="shared" si="78"/>
        <v>Pasywa_B_IV_1_KwotaA</v>
      </c>
    </row>
    <row r="472" spans="1:59" x14ac:dyDescent="0.3">
      <c r="A472" t="s">
        <v>2257</v>
      </c>
      <c r="B472" t="s">
        <v>2760</v>
      </c>
      <c r="AV472">
        <f t="shared" si="79"/>
        <v>7</v>
      </c>
      <c r="AW472">
        <f t="shared" si="80"/>
        <v>15</v>
      </c>
      <c r="AX472">
        <f t="shared" si="71"/>
        <v>22</v>
      </c>
      <c r="AY472">
        <f t="shared" si="72"/>
        <v>29</v>
      </c>
      <c r="AZ472">
        <f t="shared" si="73"/>
        <v>38</v>
      </c>
      <c r="BA472">
        <f t="shared" si="74"/>
        <v>50</v>
      </c>
      <c r="BB472">
        <f t="shared" si="75"/>
        <v>64</v>
      </c>
      <c r="BC472">
        <f t="shared" si="76"/>
        <v>64</v>
      </c>
      <c r="BD472">
        <f t="shared" si="77"/>
        <v>64</v>
      </c>
      <c r="BE472">
        <f>HLOOKUP(AV472-1,$AW$3:BD744,ROW(AV472)-2,0)</f>
        <v>50</v>
      </c>
      <c r="BF472">
        <f>HLOOKUP(AV472,$AW$3:BD744,ROW(AV472)-2,0)</f>
        <v>64</v>
      </c>
      <c r="BG472" t="str">
        <f t="shared" si="78"/>
        <v>Pasywa_B_IV_2_KwotaA</v>
      </c>
    </row>
    <row r="473" spans="1:59" x14ac:dyDescent="0.3">
      <c r="A473" t="s">
        <v>2259</v>
      </c>
      <c r="B473" t="s">
        <v>2761</v>
      </c>
      <c r="AV473">
        <f t="shared" si="79"/>
        <v>8</v>
      </c>
      <c r="AW473">
        <f t="shared" si="80"/>
        <v>15</v>
      </c>
      <c r="AX473">
        <f t="shared" si="71"/>
        <v>22</v>
      </c>
      <c r="AY473">
        <f t="shared" si="72"/>
        <v>29</v>
      </c>
      <c r="AZ473">
        <f t="shared" si="73"/>
        <v>38</v>
      </c>
      <c r="BA473">
        <f t="shared" si="74"/>
        <v>50</v>
      </c>
      <c r="BB473">
        <f t="shared" si="75"/>
        <v>64</v>
      </c>
      <c r="BC473">
        <f t="shared" si="76"/>
        <v>80</v>
      </c>
      <c r="BD473">
        <f t="shared" si="77"/>
        <v>80</v>
      </c>
      <c r="BE473">
        <f>HLOOKUP(AV473-1,$AW$3:BD745,ROW(AV473)-2,0)</f>
        <v>64</v>
      </c>
      <c r="BF473">
        <f>HLOOKUP(AV473,$AW$3:BD745,ROW(AV473)-2,0)</f>
        <v>80</v>
      </c>
      <c r="BG473" t="str">
        <f t="shared" si="78"/>
        <v>Pasywa_B_IV_2_1_KwotaA</v>
      </c>
    </row>
    <row r="474" spans="1:59" x14ac:dyDescent="0.3">
      <c r="A474" t="s">
        <v>2261</v>
      </c>
      <c r="B474" t="s">
        <v>2762</v>
      </c>
      <c r="AV474">
        <f t="shared" si="79"/>
        <v>8</v>
      </c>
      <c r="AW474">
        <f t="shared" si="80"/>
        <v>15</v>
      </c>
      <c r="AX474">
        <f t="shared" si="71"/>
        <v>22</v>
      </c>
      <c r="AY474">
        <f t="shared" si="72"/>
        <v>29</v>
      </c>
      <c r="AZ474">
        <f t="shared" si="73"/>
        <v>38</v>
      </c>
      <c r="BA474">
        <f t="shared" si="74"/>
        <v>50</v>
      </c>
      <c r="BB474">
        <f t="shared" si="75"/>
        <v>64</v>
      </c>
      <c r="BC474">
        <f t="shared" si="76"/>
        <v>80</v>
      </c>
      <c r="BD474">
        <f t="shared" si="77"/>
        <v>80</v>
      </c>
      <c r="BE474">
        <f>HLOOKUP(AV474-1,$AW$3:BD746,ROW(AV474)-2,0)</f>
        <v>64</v>
      </c>
      <c r="BF474">
        <f>HLOOKUP(AV474,$AW$3:BD746,ROW(AV474)-2,0)</f>
        <v>80</v>
      </c>
      <c r="BG474" t="str">
        <f t="shared" si="78"/>
        <v>Pasywa_B_IV_2_2_KwotaA</v>
      </c>
    </row>
    <row r="475" spans="1:59" x14ac:dyDescent="0.3">
      <c r="A475" t="s">
        <v>2263</v>
      </c>
      <c r="B475" t="s">
        <v>2763</v>
      </c>
      <c r="C475" s="18">
        <v>4450593.4400000004</v>
      </c>
      <c r="AV475">
        <f t="shared" si="79"/>
        <v>5</v>
      </c>
      <c r="AW475">
        <f t="shared" si="80"/>
        <v>15</v>
      </c>
      <c r="AX475">
        <f t="shared" si="71"/>
        <v>20</v>
      </c>
      <c r="AY475">
        <f t="shared" si="72"/>
        <v>28</v>
      </c>
      <c r="AZ475">
        <f t="shared" si="73"/>
        <v>30</v>
      </c>
      <c r="BA475">
        <f t="shared" si="74"/>
        <v>30</v>
      </c>
      <c r="BB475">
        <f t="shared" si="75"/>
        <v>30</v>
      </c>
      <c r="BC475">
        <f t="shared" si="76"/>
        <v>30</v>
      </c>
      <c r="BD475">
        <f t="shared" si="77"/>
        <v>30</v>
      </c>
      <c r="BE475">
        <f>HLOOKUP(AV475-1,$AW$3:BD747,ROW(AV475)-2,0)</f>
        <v>28</v>
      </c>
      <c r="BF475">
        <f>HLOOKUP(AV475,$AW$3:BD747,ROW(AV475)-2,0)</f>
        <v>30</v>
      </c>
      <c r="BG475" t="str">
        <f t="shared" si="78"/>
        <v>A_KwotaA</v>
      </c>
    </row>
    <row r="476" spans="1:59" x14ac:dyDescent="0.3">
      <c r="A476" t="s">
        <v>2265</v>
      </c>
      <c r="B476" t="s">
        <v>2764</v>
      </c>
      <c r="C476" s="18">
        <v>4450593.4400000004</v>
      </c>
      <c r="AV476">
        <f t="shared" si="79"/>
        <v>6</v>
      </c>
      <c r="AW476">
        <f t="shared" si="80"/>
        <v>15</v>
      </c>
      <c r="AX476">
        <f t="shared" si="71"/>
        <v>20</v>
      </c>
      <c r="AY476">
        <f t="shared" si="72"/>
        <v>28</v>
      </c>
      <c r="AZ476">
        <f t="shared" si="73"/>
        <v>30</v>
      </c>
      <c r="BA476">
        <f t="shared" si="74"/>
        <v>34</v>
      </c>
      <c r="BB476">
        <f t="shared" si="75"/>
        <v>34</v>
      </c>
      <c r="BC476">
        <f t="shared" si="76"/>
        <v>34</v>
      </c>
      <c r="BD476">
        <f t="shared" si="77"/>
        <v>34</v>
      </c>
      <c r="BE476">
        <f>HLOOKUP(AV476-1,$AW$3:BD748,ROW(AV476)-2,0)</f>
        <v>30</v>
      </c>
      <c r="BF476">
        <f>HLOOKUP(AV476,$AW$3:BD748,ROW(AV476)-2,0)</f>
        <v>34</v>
      </c>
      <c r="BG476" t="str">
        <f t="shared" si="78"/>
        <v>A_J_KwotaA</v>
      </c>
    </row>
    <row r="477" spans="1:59" x14ac:dyDescent="0.3">
      <c r="A477" t="s">
        <v>2267</v>
      </c>
      <c r="B477" t="s">
        <v>2765</v>
      </c>
      <c r="C477" s="18">
        <v>4450593.4400000004</v>
      </c>
      <c r="AV477">
        <f t="shared" si="79"/>
        <v>6</v>
      </c>
      <c r="AW477">
        <f t="shared" si="80"/>
        <v>15</v>
      </c>
      <c r="AX477">
        <f t="shared" si="71"/>
        <v>20</v>
      </c>
      <c r="AY477">
        <f t="shared" si="72"/>
        <v>28</v>
      </c>
      <c r="AZ477">
        <f t="shared" si="73"/>
        <v>30</v>
      </c>
      <c r="BA477">
        <f t="shared" si="74"/>
        <v>34</v>
      </c>
      <c r="BB477">
        <f t="shared" si="75"/>
        <v>34</v>
      </c>
      <c r="BC477">
        <f t="shared" si="76"/>
        <v>34</v>
      </c>
      <c r="BD477">
        <f t="shared" si="77"/>
        <v>34</v>
      </c>
      <c r="BE477">
        <f>HLOOKUP(AV477-1,$AW$3:BD749,ROW(AV477)-2,0)</f>
        <v>30</v>
      </c>
      <c r="BF477">
        <f>HLOOKUP(AV477,$AW$3:BD749,ROW(AV477)-2,0)</f>
        <v>34</v>
      </c>
      <c r="BG477" t="str">
        <f t="shared" si="78"/>
        <v>A_I_KwotaA</v>
      </c>
    </row>
    <row r="478" spans="1:59" x14ac:dyDescent="0.3">
      <c r="A478" t="s">
        <v>2269</v>
      </c>
      <c r="B478" t="s">
        <v>2766</v>
      </c>
      <c r="AV478">
        <f t="shared" si="79"/>
        <v>6</v>
      </c>
      <c r="AW478">
        <f t="shared" si="80"/>
        <v>15</v>
      </c>
      <c r="AX478">
        <f t="shared" si="71"/>
        <v>20</v>
      </c>
      <c r="AY478">
        <f t="shared" si="72"/>
        <v>28</v>
      </c>
      <c r="AZ478">
        <f t="shared" si="73"/>
        <v>30</v>
      </c>
      <c r="BA478">
        <f t="shared" si="74"/>
        <v>35</v>
      </c>
      <c r="BB478">
        <f t="shared" si="75"/>
        <v>35</v>
      </c>
      <c r="BC478">
        <f t="shared" si="76"/>
        <v>35</v>
      </c>
      <c r="BD478">
        <f t="shared" si="77"/>
        <v>35</v>
      </c>
      <c r="BE478">
        <f>HLOOKUP(AV478-1,$AW$3:BD750,ROW(AV478)-2,0)</f>
        <v>30</v>
      </c>
      <c r="BF478">
        <f>HLOOKUP(AV478,$AW$3:BD750,ROW(AV478)-2,0)</f>
        <v>35</v>
      </c>
      <c r="BG478" t="str">
        <f t="shared" si="78"/>
        <v>A_II_KwotaA</v>
      </c>
    </row>
    <row r="479" spans="1:59" x14ac:dyDescent="0.3">
      <c r="A479" t="s">
        <v>2271</v>
      </c>
      <c r="B479" t="s">
        <v>2767</v>
      </c>
      <c r="AV479">
        <f t="shared" si="79"/>
        <v>6</v>
      </c>
      <c r="AW479">
        <f t="shared" si="80"/>
        <v>15</v>
      </c>
      <c r="AX479">
        <f t="shared" si="71"/>
        <v>20</v>
      </c>
      <c r="AY479">
        <f t="shared" si="72"/>
        <v>28</v>
      </c>
      <c r="AZ479">
        <f t="shared" si="73"/>
        <v>30</v>
      </c>
      <c r="BA479">
        <f t="shared" si="74"/>
        <v>36</v>
      </c>
      <c r="BB479">
        <f t="shared" si="75"/>
        <v>36</v>
      </c>
      <c r="BC479">
        <f t="shared" si="76"/>
        <v>36</v>
      </c>
      <c r="BD479">
        <f t="shared" si="77"/>
        <v>36</v>
      </c>
      <c r="BE479">
        <f>HLOOKUP(AV479-1,$AW$3:BD751,ROW(AV479)-2,0)</f>
        <v>30</v>
      </c>
      <c r="BF479">
        <f>HLOOKUP(AV479,$AW$3:BD751,ROW(AV479)-2,0)</f>
        <v>36</v>
      </c>
      <c r="BG479" t="str">
        <f t="shared" si="78"/>
        <v>A_III_KwotaA</v>
      </c>
    </row>
    <row r="480" spans="1:59" x14ac:dyDescent="0.3">
      <c r="A480" t="s">
        <v>2273</v>
      </c>
      <c r="B480" t="s">
        <v>2768</v>
      </c>
      <c r="AV480">
        <f t="shared" si="79"/>
        <v>6</v>
      </c>
      <c r="AW480">
        <f t="shared" si="80"/>
        <v>15</v>
      </c>
      <c r="AX480">
        <f t="shared" si="71"/>
        <v>20</v>
      </c>
      <c r="AY480">
        <f t="shared" si="72"/>
        <v>28</v>
      </c>
      <c r="AZ480">
        <f t="shared" si="73"/>
        <v>30</v>
      </c>
      <c r="BA480">
        <f t="shared" si="74"/>
        <v>35</v>
      </c>
      <c r="BB480">
        <f t="shared" si="75"/>
        <v>35</v>
      </c>
      <c r="BC480">
        <f t="shared" si="76"/>
        <v>35</v>
      </c>
      <c r="BD480">
        <f t="shared" si="77"/>
        <v>35</v>
      </c>
      <c r="BE480">
        <f>HLOOKUP(AV480-1,$AW$3:BD752,ROW(AV480)-2,0)</f>
        <v>30</v>
      </c>
      <c r="BF480">
        <f>HLOOKUP(AV480,$AW$3:BD752,ROW(AV480)-2,0)</f>
        <v>35</v>
      </c>
      <c r="BG480" t="str">
        <f t="shared" si="78"/>
        <v>A_IV_KwotaA</v>
      </c>
    </row>
    <row r="481" spans="1:59" x14ac:dyDescent="0.3">
      <c r="A481" t="s">
        <v>2275</v>
      </c>
      <c r="B481" t="s">
        <v>2769</v>
      </c>
      <c r="C481" s="18">
        <v>4183503.35</v>
      </c>
      <c r="AV481">
        <f t="shared" si="79"/>
        <v>5</v>
      </c>
      <c r="AW481">
        <f t="shared" si="80"/>
        <v>15</v>
      </c>
      <c r="AX481">
        <f t="shared" si="71"/>
        <v>20</v>
      </c>
      <c r="AY481">
        <f t="shared" si="72"/>
        <v>28</v>
      </c>
      <c r="AZ481">
        <f t="shared" si="73"/>
        <v>30</v>
      </c>
      <c r="BA481">
        <f t="shared" si="74"/>
        <v>30</v>
      </c>
      <c r="BB481">
        <f t="shared" si="75"/>
        <v>30</v>
      </c>
      <c r="BC481">
        <f t="shared" si="76"/>
        <v>30</v>
      </c>
      <c r="BD481">
        <f t="shared" si="77"/>
        <v>30</v>
      </c>
      <c r="BE481">
        <f>HLOOKUP(AV481-1,$AW$3:BD753,ROW(AV481)-2,0)</f>
        <v>28</v>
      </c>
      <c r="BF481">
        <f>HLOOKUP(AV481,$AW$3:BD753,ROW(AV481)-2,0)</f>
        <v>30</v>
      </c>
      <c r="BG481" t="str">
        <f t="shared" si="78"/>
        <v>B_KwotaA</v>
      </c>
    </row>
    <row r="482" spans="1:59" x14ac:dyDescent="0.3">
      <c r="A482" t="s">
        <v>2277</v>
      </c>
      <c r="B482" t="s">
        <v>2770</v>
      </c>
      <c r="AV482">
        <f t="shared" si="79"/>
        <v>6</v>
      </c>
      <c r="AW482">
        <f t="shared" si="80"/>
        <v>15</v>
      </c>
      <c r="AX482">
        <f t="shared" si="71"/>
        <v>20</v>
      </c>
      <c r="AY482">
        <f t="shared" si="72"/>
        <v>28</v>
      </c>
      <c r="AZ482">
        <f t="shared" si="73"/>
        <v>30</v>
      </c>
      <c r="BA482">
        <f t="shared" si="74"/>
        <v>34</v>
      </c>
      <c r="BB482">
        <f t="shared" si="75"/>
        <v>34</v>
      </c>
      <c r="BC482">
        <f t="shared" si="76"/>
        <v>34</v>
      </c>
      <c r="BD482">
        <f t="shared" si="77"/>
        <v>34</v>
      </c>
      <c r="BE482">
        <f>HLOOKUP(AV482-1,$AW$3:BD754,ROW(AV482)-2,0)</f>
        <v>30</v>
      </c>
      <c r="BF482">
        <f>HLOOKUP(AV482,$AW$3:BD754,ROW(AV482)-2,0)</f>
        <v>34</v>
      </c>
      <c r="BG482" t="str">
        <f t="shared" si="78"/>
        <v>B_I_KwotaA</v>
      </c>
    </row>
    <row r="483" spans="1:59" x14ac:dyDescent="0.3">
      <c r="A483" t="s">
        <v>2279</v>
      </c>
      <c r="B483" t="s">
        <v>2771</v>
      </c>
      <c r="C483" s="18">
        <v>18957.25</v>
      </c>
      <c r="AV483">
        <f t="shared" si="79"/>
        <v>6</v>
      </c>
      <c r="AW483">
        <f t="shared" si="80"/>
        <v>15</v>
      </c>
      <c r="AX483">
        <f t="shared" si="71"/>
        <v>20</v>
      </c>
      <c r="AY483">
        <f t="shared" si="72"/>
        <v>28</v>
      </c>
      <c r="AZ483">
        <f t="shared" si="73"/>
        <v>30</v>
      </c>
      <c r="BA483">
        <f t="shared" si="74"/>
        <v>35</v>
      </c>
      <c r="BB483">
        <f t="shared" si="75"/>
        <v>35</v>
      </c>
      <c r="BC483">
        <f t="shared" si="76"/>
        <v>35</v>
      </c>
      <c r="BD483">
        <f t="shared" si="77"/>
        <v>35</v>
      </c>
      <c r="BE483">
        <f>HLOOKUP(AV483-1,$AW$3:BD755,ROW(AV483)-2,0)</f>
        <v>30</v>
      </c>
      <c r="BF483">
        <f>HLOOKUP(AV483,$AW$3:BD755,ROW(AV483)-2,0)</f>
        <v>35</v>
      </c>
      <c r="BG483" t="str">
        <f t="shared" si="78"/>
        <v>B_II_KwotaA</v>
      </c>
    </row>
    <row r="484" spans="1:59" x14ac:dyDescent="0.3">
      <c r="A484" t="s">
        <v>2281</v>
      </c>
      <c r="B484" t="s">
        <v>2772</v>
      </c>
      <c r="C484" s="18">
        <v>2621877.94</v>
      </c>
      <c r="AV484">
        <f t="shared" si="79"/>
        <v>6</v>
      </c>
      <c r="AW484">
        <f t="shared" si="80"/>
        <v>15</v>
      </c>
      <c r="AX484">
        <f t="shared" si="71"/>
        <v>20</v>
      </c>
      <c r="AY484">
        <f t="shared" si="72"/>
        <v>28</v>
      </c>
      <c r="AZ484">
        <f t="shared" si="73"/>
        <v>30</v>
      </c>
      <c r="BA484">
        <f t="shared" si="74"/>
        <v>36</v>
      </c>
      <c r="BB484">
        <f t="shared" si="75"/>
        <v>36</v>
      </c>
      <c r="BC484">
        <f t="shared" si="76"/>
        <v>36</v>
      </c>
      <c r="BD484">
        <f t="shared" si="77"/>
        <v>36</v>
      </c>
      <c r="BE484">
        <f>HLOOKUP(AV484-1,$AW$3:BD756,ROW(AV484)-2,0)</f>
        <v>30</v>
      </c>
      <c r="BF484">
        <f>HLOOKUP(AV484,$AW$3:BD756,ROW(AV484)-2,0)</f>
        <v>36</v>
      </c>
      <c r="BG484" t="str">
        <f t="shared" si="78"/>
        <v>B_III_KwotaA</v>
      </c>
    </row>
    <row r="485" spans="1:59" x14ac:dyDescent="0.3">
      <c r="A485" t="s">
        <v>2283</v>
      </c>
      <c r="B485" t="s">
        <v>2773</v>
      </c>
      <c r="C485" s="18">
        <v>513.48</v>
      </c>
      <c r="AV485">
        <f t="shared" si="79"/>
        <v>6</v>
      </c>
      <c r="AW485">
        <f t="shared" si="80"/>
        <v>15</v>
      </c>
      <c r="AX485">
        <f t="shared" si="71"/>
        <v>20</v>
      </c>
      <c r="AY485">
        <f t="shared" si="72"/>
        <v>28</v>
      </c>
      <c r="AZ485">
        <f t="shared" si="73"/>
        <v>30</v>
      </c>
      <c r="BA485">
        <f t="shared" si="74"/>
        <v>35</v>
      </c>
      <c r="BB485">
        <f t="shared" si="75"/>
        <v>35</v>
      </c>
      <c r="BC485">
        <f t="shared" si="76"/>
        <v>35</v>
      </c>
      <c r="BD485">
        <f t="shared" si="77"/>
        <v>35</v>
      </c>
      <c r="BE485">
        <f>HLOOKUP(AV485-1,$AW$3:BD757,ROW(AV485)-2,0)</f>
        <v>30</v>
      </c>
      <c r="BF485">
        <f>HLOOKUP(AV485,$AW$3:BD757,ROW(AV485)-2,0)</f>
        <v>35</v>
      </c>
      <c r="BG485" t="str">
        <f t="shared" si="78"/>
        <v>B_IV_KwotaA</v>
      </c>
    </row>
    <row r="486" spans="1:59" x14ac:dyDescent="0.3">
      <c r="A486" t="s">
        <v>2285</v>
      </c>
      <c r="B486" t="s">
        <v>2774</v>
      </c>
      <c r="AV486">
        <f t="shared" si="79"/>
        <v>7</v>
      </c>
      <c r="AW486">
        <f t="shared" si="80"/>
        <v>15</v>
      </c>
      <c r="AX486">
        <f t="shared" si="71"/>
        <v>20</v>
      </c>
      <c r="AY486">
        <f t="shared" si="72"/>
        <v>28</v>
      </c>
      <c r="AZ486">
        <f t="shared" si="73"/>
        <v>30</v>
      </c>
      <c r="BA486">
        <f t="shared" si="74"/>
        <v>35</v>
      </c>
      <c r="BB486">
        <f t="shared" si="75"/>
        <v>42</v>
      </c>
      <c r="BC486">
        <f t="shared" si="76"/>
        <v>42</v>
      </c>
      <c r="BD486">
        <f t="shared" si="77"/>
        <v>42</v>
      </c>
      <c r="BE486">
        <f>HLOOKUP(AV486-1,$AW$3:BD758,ROW(AV486)-2,0)</f>
        <v>35</v>
      </c>
      <c r="BF486">
        <f>HLOOKUP(AV486,$AW$3:BD758,ROW(AV486)-2,0)</f>
        <v>42</v>
      </c>
      <c r="BG486" t="str">
        <f t="shared" si="78"/>
        <v>B_IV_1_KwotaA</v>
      </c>
    </row>
    <row r="487" spans="1:59" x14ac:dyDescent="0.3">
      <c r="A487" t="s">
        <v>2287</v>
      </c>
      <c r="B487" t="s">
        <v>2775</v>
      </c>
      <c r="C487" s="18">
        <v>1421317.23</v>
      </c>
      <c r="AV487">
        <f t="shared" si="79"/>
        <v>6</v>
      </c>
      <c r="AW487">
        <f t="shared" si="80"/>
        <v>15</v>
      </c>
      <c r="AX487">
        <f t="shared" si="71"/>
        <v>20</v>
      </c>
      <c r="AY487">
        <f t="shared" si="72"/>
        <v>28</v>
      </c>
      <c r="AZ487">
        <f t="shared" si="73"/>
        <v>30</v>
      </c>
      <c r="BA487">
        <f t="shared" si="74"/>
        <v>34</v>
      </c>
      <c r="BB487">
        <f t="shared" si="75"/>
        <v>34</v>
      </c>
      <c r="BC487">
        <f t="shared" si="76"/>
        <v>34</v>
      </c>
      <c r="BD487">
        <f t="shared" si="77"/>
        <v>34</v>
      </c>
      <c r="BE487">
        <f>HLOOKUP(AV487-1,$AW$3:BD759,ROW(AV487)-2,0)</f>
        <v>30</v>
      </c>
      <c r="BF487">
        <f>HLOOKUP(AV487,$AW$3:BD759,ROW(AV487)-2,0)</f>
        <v>34</v>
      </c>
      <c r="BG487" t="str">
        <f t="shared" si="78"/>
        <v>B_V_KwotaA</v>
      </c>
    </row>
    <row r="488" spans="1:59" x14ac:dyDescent="0.3">
      <c r="A488" t="s">
        <v>2289</v>
      </c>
      <c r="B488" t="s">
        <v>2776</v>
      </c>
      <c r="C488" s="18">
        <v>93582.12</v>
      </c>
      <c r="AV488">
        <f t="shared" si="79"/>
        <v>6</v>
      </c>
      <c r="AW488">
        <f t="shared" si="80"/>
        <v>15</v>
      </c>
      <c r="AX488">
        <f t="shared" si="71"/>
        <v>20</v>
      </c>
      <c r="AY488">
        <f t="shared" si="72"/>
        <v>28</v>
      </c>
      <c r="AZ488">
        <f t="shared" si="73"/>
        <v>30</v>
      </c>
      <c r="BA488">
        <f t="shared" si="74"/>
        <v>35</v>
      </c>
      <c r="BB488">
        <f t="shared" si="75"/>
        <v>35</v>
      </c>
      <c r="BC488">
        <f t="shared" si="76"/>
        <v>35</v>
      </c>
      <c r="BD488">
        <f t="shared" si="77"/>
        <v>35</v>
      </c>
      <c r="BE488">
        <f>HLOOKUP(AV488-1,$AW$3:BD760,ROW(AV488)-2,0)</f>
        <v>30</v>
      </c>
      <c r="BF488">
        <f>HLOOKUP(AV488,$AW$3:BD760,ROW(AV488)-2,0)</f>
        <v>35</v>
      </c>
      <c r="BG488" t="str">
        <f t="shared" si="78"/>
        <v>B_VI_KwotaA</v>
      </c>
    </row>
    <row r="489" spans="1:59" x14ac:dyDescent="0.3">
      <c r="A489" t="s">
        <v>2291</v>
      </c>
      <c r="B489" t="s">
        <v>2777</v>
      </c>
      <c r="C489" s="18">
        <v>26018.2</v>
      </c>
      <c r="AV489">
        <f t="shared" si="79"/>
        <v>7</v>
      </c>
      <c r="AW489">
        <f t="shared" si="80"/>
        <v>15</v>
      </c>
      <c r="AX489">
        <f t="shared" si="71"/>
        <v>20</v>
      </c>
      <c r="AY489">
        <f t="shared" si="72"/>
        <v>28</v>
      </c>
      <c r="AZ489">
        <f t="shared" si="73"/>
        <v>30</v>
      </c>
      <c r="BA489">
        <f t="shared" si="74"/>
        <v>35</v>
      </c>
      <c r="BB489">
        <f t="shared" si="75"/>
        <v>42</v>
      </c>
      <c r="BC489">
        <f t="shared" si="76"/>
        <v>42</v>
      </c>
      <c r="BD489">
        <f t="shared" si="77"/>
        <v>42</v>
      </c>
      <c r="BE489">
        <f>HLOOKUP(AV489-1,$AW$3:BD761,ROW(AV489)-2,0)</f>
        <v>35</v>
      </c>
      <c r="BF489">
        <f>HLOOKUP(AV489,$AW$3:BD761,ROW(AV489)-2,0)</f>
        <v>42</v>
      </c>
      <c r="BG489" t="str">
        <f t="shared" si="78"/>
        <v>B_VI_1_KwotaA</v>
      </c>
    </row>
    <row r="490" spans="1:59" x14ac:dyDescent="0.3">
      <c r="A490" t="s">
        <v>2293</v>
      </c>
      <c r="B490" t="s">
        <v>2778</v>
      </c>
      <c r="C490" s="18">
        <v>27255.33</v>
      </c>
      <c r="AV490">
        <f t="shared" si="79"/>
        <v>6</v>
      </c>
      <c r="AW490">
        <f t="shared" si="80"/>
        <v>15</v>
      </c>
      <c r="AX490">
        <f t="shared" si="71"/>
        <v>20</v>
      </c>
      <c r="AY490">
        <f t="shared" si="72"/>
        <v>28</v>
      </c>
      <c r="AZ490">
        <f t="shared" si="73"/>
        <v>30</v>
      </c>
      <c r="BA490">
        <f t="shared" si="74"/>
        <v>36</v>
      </c>
      <c r="BB490">
        <f t="shared" si="75"/>
        <v>36</v>
      </c>
      <c r="BC490">
        <f t="shared" si="76"/>
        <v>36</v>
      </c>
      <c r="BD490">
        <f t="shared" si="77"/>
        <v>36</v>
      </c>
      <c r="BE490">
        <f>HLOOKUP(AV490-1,$AW$3:BD762,ROW(AV490)-2,0)</f>
        <v>30</v>
      </c>
      <c r="BF490">
        <f>HLOOKUP(AV490,$AW$3:BD762,ROW(AV490)-2,0)</f>
        <v>36</v>
      </c>
      <c r="BG490" t="str">
        <f t="shared" si="78"/>
        <v>B_VII_KwotaA</v>
      </c>
    </row>
    <row r="491" spans="1:59" x14ac:dyDescent="0.3">
      <c r="A491" t="s">
        <v>2295</v>
      </c>
      <c r="B491" t="s">
        <v>2779</v>
      </c>
      <c r="AV491">
        <f t="shared" si="79"/>
        <v>6</v>
      </c>
      <c r="AW491">
        <f t="shared" si="80"/>
        <v>15</v>
      </c>
      <c r="AX491">
        <f t="shared" si="71"/>
        <v>20</v>
      </c>
      <c r="AY491">
        <f t="shared" si="72"/>
        <v>28</v>
      </c>
      <c r="AZ491">
        <f t="shared" si="73"/>
        <v>30</v>
      </c>
      <c r="BA491">
        <f t="shared" si="74"/>
        <v>37</v>
      </c>
      <c r="BB491">
        <f t="shared" si="75"/>
        <v>37</v>
      </c>
      <c r="BC491">
        <f t="shared" si="76"/>
        <v>37</v>
      </c>
      <c r="BD491">
        <f t="shared" si="77"/>
        <v>37</v>
      </c>
      <c r="BE491">
        <f>HLOOKUP(AV491-1,$AW$3:BD763,ROW(AV491)-2,0)</f>
        <v>30</v>
      </c>
      <c r="BF491">
        <f>HLOOKUP(AV491,$AW$3:BD763,ROW(AV491)-2,0)</f>
        <v>37</v>
      </c>
      <c r="BG491" t="str">
        <f t="shared" si="78"/>
        <v>B_VIII_KwotaA</v>
      </c>
    </row>
    <row r="492" spans="1:59" x14ac:dyDescent="0.3">
      <c r="A492" t="s">
        <v>2297</v>
      </c>
      <c r="B492" t="s">
        <v>2780</v>
      </c>
      <c r="C492" s="18">
        <v>267090.09000000003</v>
      </c>
      <c r="AV492">
        <f t="shared" si="79"/>
        <v>5</v>
      </c>
      <c r="AW492">
        <f t="shared" si="80"/>
        <v>15</v>
      </c>
      <c r="AX492">
        <f t="shared" si="71"/>
        <v>20</v>
      </c>
      <c r="AY492">
        <f t="shared" si="72"/>
        <v>28</v>
      </c>
      <c r="AZ492">
        <f t="shared" si="73"/>
        <v>30</v>
      </c>
      <c r="BA492">
        <f t="shared" si="74"/>
        <v>30</v>
      </c>
      <c r="BB492">
        <f t="shared" si="75"/>
        <v>30</v>
      </c>
      <c r="BC492">
        <f t="shared" si="76"/>
        <v>30</v>
      </c>
      <c r="BD492">
        <f t="shared" si="77"/>
        <v>30</v>
      </c>
      <c r="BE492">
        <f>HLOOKUP(AV492-1,$AW$3:BD764,ROW(AV492)-2,0)</f>
        <v>28</v>
      </c>
      <c r="BF492">
        <f>HLOOKUP(AV492,$AW$3:BD764,ROW(AV492)-2,0)</f>
        <v>30</v>
      </c>
      <c r="BG492" t="str">
        <f t="shared" si="78"/>
        <v>C_KwotaA</v>
      </c>
    </row>
    <row r="493" spans="1:59" x14ac:dyDescent="0.3">
      <c r="A493" t="s">
        <v>2299</v>
      </c>
      <c r="B493" t="s">
        <v>2781</v>
      </c>
      <c r="C493" s="18">
        <v>2341.67</v>
      </c>
      <c r="AV493">
        <f t="shared" si="79"/>
        <v>5</v>
      </c>
      <c r="AW493">
        <f t="shared" si="80"/>
        <v>15</v>
      </c>
      <c r="AX493">
        <f t="shared" si="71"/>
        <v>20</v>
      </c>
      <c r="AY493">
        <f t="shared" si="72"/>
        <v>28</v>
      </c>
      <c r="AZ493">
        <f t="shared" si="73"/>
        <v>30</v>
      </c>
      <c r="BA493">
        <f t="shared" si="74"/>
        <v>30</v>
      </c>
      <c r="BB493">
        <f t="shared" si="75"/>
        <v>30</v>
      </c>
      <c r="BC493">
        <f t="shared" si="76"/>
        <v>30</v>
      </c>
      <c r="BD493">
        <f t="shared" si="77"/>
        <v>30</v>
      </c>
      <c r="BE493">
        <f>HLOOKUP(AV493-1,$AW$3:BD765,ROW(AV493)-2,0)</f>
        <v>28</v>
      </c>
      <c r="BF493">
        <f>HLOOKUP(AV493,$AW$3:BD765,ROW(AV493)-2,0)</f>
        <v>30</v>
      </c>
      <c r="BG493" t="str">
        <f t="shared" si="78"/>
        <v>D_KwotaA</v>
      </c>
    </row>
    <row r="494" spans="1:59" x14ac:dyDescent="0.3">
      <c r="A494" t="s">
        <v>2301</v>
      </c>
      <c r="B494" t="s">
        <v>2782</v>
      </c>
      <c r="AV494">
        <f t="shared" si="79"/>
        <v>6</v>
      </c>
      <c r="AW494">
        <f t="shared" si="80"/>
        <v>15</v>
      </c>
      <c r="AX494">
        <f t="shared" si="71"/>
        <v>20</v>
      </c>
      <c r="AY494">
        <f t="shared" si="72"/>
        <v>28</v>
      </c>
      <c r="AZ494">
        <f t="shared" si="73"/>
        <v>30</v>
      </c>
      <c r="BA494">
        <f t="shared" si="74"/>
        <v>34</v>
      </c>
      <c r="BB494">
        <f t="shared" si="75"/>
        <v>34</v>
      </c>
      <c r="BC494">
        <f t="shared" si="76"/>
        <v>34</v>
      </c>
      <c r="BD494">
        <f t="shared" si="77"/>
        <v>34</v>
      </c>
      <c r="BE494">
        <f>HLOOKUP(AV494-1,$AW$3:BD766,ROW(AV494)-2,0)</f>
        <v>30</v>
      </c>
      <c r="BF494">
        <f>HLOOKUP(AV494,$AW$3:BD766,ROW(AV494)-2,0)</f>
        <v>34</v>
      </c>
      <c r="BG494" t="str">
        <f t="shared" si="78"/>
        <v>D_I_KwotaA</v>
      </c>
    </row>
    <row r="495" spans="1:59" x14ac:dyDescent="0.3">
      <c r="A495" t="s">
        <v>2303</v>
      </c>
      <c r="B495" t="s">
        <v>2783</v>
      </c>
      <c r="AV495">
        <f t="shared" si="79"/>
        <v>6</v>
      </c>
      <c r="AW495">
        <f t="shared" si="80"/>
        <v>15</v>
      </c>
      <c r="AX495">
        <f t="shared" si="71"/>
        <v>20</v>
      </c>
      <c r="AY495">
        <f t="shared" si="72"/>
        <v>28</v>
      </c>
      <c r="AZ495">
        <f t="shared" si="73"/>
        <v>30</v>
      </c>
      <c r="BA495">
        <f t="shared" si="74"/>
        <v>35</v>
      </c>
      <c r="BB495">
        <f t="shared" si="75"/>
        <v>35</v>
      </c>
      <c r="BC495">
        <f t="shared" si="76"/>
        <v>35</v>
      </c>
      <c r="BD495">
        <f t="shared" si="77"/>
        <v>35</v>
      </c>
      <c r="BE495">
        <f>HLOOKUP(AV495-1,$AW$3:BD767,ROW(AV495)-2,0)</f>
        <v>30</v>
      </c>
      <c r="BF495">
        <f>HLOOKUP(AV495,$AW$3:BD767,ROW(AV495)-2,0)</f>
        <v>35</v>
      </c>
      <c r="BG495" t="str">
        <f t="shared" si="78"/>
        <v>D_II_KwotaA</v>
      </c>
    </row>
    <row r="496" spans="1:59" x14ac:dyDescent="0.3">
      <c r="A496" t="s">
        <v>2305</v>
      </c>
      <c r="B496" t="s">
        <v>2784</v>
      </c>
      <c r="AV496">
        <f t="shared" si="79"/>
        <v>6</v>
      </c>
      <c r="AW496">
        <f t="shared" si="80"/>
        <v>15</v>
      </c>
      <c r="AX496">
        <f t="shared" si="71"/>
        <v>20</v>
      </c>
      <c r="AY496">
        <f t="shared" si="72"/>
        <v>28</v>
      </c>
      <c r="AZ496">
        <f t="shared" si="73"/>
        <v>30</v>
      </c>
      <c r="BA496">
        <f t="shared" si="74"/>
        <v>36</v>
      </c>
      <c r="BB496">
        <f t="shared" si="75"/>
        <v>36</v>
      </c>
      <c r="BC496">
        <f t="shared" si="76"/>
        <v>36</v>
      </c>
      <c r="BD496">
        <f t="shared" si="77"/>
        <v>36</v>
      </c>
      <c r="BE496">
        <f>HLOOKUP(AV496-1,$AW$3:BD768,ROW(AV496)-2,0)</f>
        <v>30</v>
      </c>
      <c r="BF496">
        <f>HLOOKUP(AV496,$AW$3:BD768,ROW(AV496)-2,0)</f>
        <v>36</v>
      </c>
      <c r="BG496" t="str">
        <f t="shared" si="78"/>
        <v>D_III_KwotaA</v>
      </c>
    </row>
    <row r="497" spans="1:59" x14ac:dyDescent="0.3">
      <c r="A497" t="s">
        <v>2307</v>
      </c>
      <c r="B497" t="s">
        <v>2785</v>
      </c>
      <c r="C497" s="18">
        <v>2341.67</v>
      </c>
      <c r="AV497">
        <f t="shared" si="79"/>
        <v>6</v>
      </c>
      <c r="AW497">
        <f t="shared" si="80"/>
        <v>15</v>
      </c>
      <c r="AX497">
        <f t="shared" si="71"/>
        <v>20</v>
      </c>
      <c r="AY497">
        <f t="shared" si="72"/>
        <v>28</v>
      </c>
      <c r="AZ497">
        <f t="shared" si="73"/>
        <v>30</v>
      </c>
      <c r="BA497">
        <f t="shared" si="74"/>
        <v>35</v>
      </c>
      <c r="BB497">
        <f t="shared" si="75"/>
        <v>35</v>
      </c>
      <c r="BC497">
        <f t="shared" si="76"/>
        <v>35</v>
      </c>
      <c r="BD497">
        <f t="shared" si="77"/>
        <v>35</v>
      </c>
      <c r="BE497">
        <f>HLOOKUP(AV497-1,$AW$3:BD769,ROW(AV497)-2,0)</f>
        <v>30</v>
      </c>
      <c r="BF497">
        <f>HLOOKUP(AV497,$AW$3:BD769,ROW(AV497)-2,0)</f>
        <v>35</v>
      </c>
      <c r="BG497" t="str">
        <f t="shared" si="78"/>
        <v>D_IV_KwotaA</v>
      </c>
    </row>
    <row r="498" spans="1:59" x14ac:dyDescent="0.3">
      <c r="A498" t="s">
        <v>2309</v>
      </c>
      <c r="B498" t="s">
        <v>2786</v>
      </c>
      <c r="C498" s="18">
        <v>4411.13</v>
      </c>
      <c r="AV498">
        <f t="shared" si="79"/>
        <v>5</v>
      </c>
      <c r="AW498">
        <f t="shared" si="80"/>
        <v>15</v>
      </c>
      <c r="AX498">
        <f t="shared" si="71"/>
        <v>20</v>
      </c>
      <c r="AY498">
        <f t="shared" si="72"/>
        <v>28</v>
      </c>
      <c r="AZ498">
        <f t="shared" si="73"/>
        <v>30</v>
      </c>
      <c r="BA498">
        <f t="shared" si="74"/>
        <v>30</v>
      </c>
      <c r="BB498">
        <f t="shared" si="75"/>
        <v>30</v>
      </c>
      <c r="BC498">
        <f t="shared" si="76"/>
        <v>30</v>
      </c>
      <c r="BD498">
        <f t="shared" si="77"/>
        <v>30</v>
      </c>
      <c r="BE498">
        <f>HLOOKUP(AV498-1,$AW$3:BD770,ROW(AV498)-2,0)</f>
        <v>28</v>
      </c>
      <c r="BF498">
        <f>HLOOKUP(AV498,$AW$3:BD770,ROW(AV498)-2,0)</f>
        <v>30</v>
      </c>
      <c r="BG498" t="str">
        <f t="shared" si="78"/>
        <v>E_KwotaA</v>
      </c>
    </row>
    <row r="499" spans="1:59" x14ac:dyDescent="0.3">
      <c r="A499" t="s">
        <v>2309</v>
      </c>
      <c r="B499" t="s">
        <v>2787</v>
      </c>
      <c r="AV499">
        <f t="shared" si="79"/>
        <v>6</v>
      </c>
      <c r="AW499">
        <f t="shared" si="80"/>
        <v>15</v>
      </c>
      <c r="AX499">
        <f t="shared" si="71"/>
        <v>20</v>
      </c>
      <c r="AY499">
        <f t="shared" si="72"/>
        <v>28</v>
      </c>
      <c r="AZ499">
        <f t="shared" si="73"/>
        <v>30</v>
      </c>
      <c r="BA499">
        <f t="shared" si="74"/>
        <v>34</v>
      </c>
      <c r="BB499">
        <f t="shared" si="75"/>
        <v>34</v>
      </c>
      <c r="BC499">
        <f t="shared" si="76"/>
        <v>34</v>
      </c>
      <c r="BD499">
        <f t="shared" si="77"/>
        <v>34</v>
      </c>
      <c r="BE499">
        <f>HLOOKUP(AV499-1,$AW$3:BD771,ROW(AV499)-2,0)</f>
        <v>30</v>
      </c>
      <c r="BF499">
        <f>HLOOKUP(AV499,$AW$3:BD771,ROW(AV499)-2,0)</f>
        <v>34</v>
      </c>
      <c r="BG499" t="str">
        <f t="shared" si="78"/>
        <v>E_I_KwotaA</v>
      </c>
    </row>
    <row r="500" spans="1:59" x14ac:dyDescent="0.3">
      <c r="A500" t="s">
        <v>2312</v>
      </c>
      <c r="B500" t="s">
        <v>2788</v>
      </c>
      <c r="AV500">
        <f t="shared" si="79"/>
        <v>6</v>
      </c>
      <c r="AW500">
        <f t="shared" si="80"/>
        <v>15</v>
      </c>
      <c r="AX500">
        <f t="shared" si="71"/>
        <v>20</v>
      </c>
      <c r="AY500">
        <f t="shared" si="72"/>
        <v>28</v>
      </c>
      <c r="AZ500">
        <f t="shared" si="73"/>
        <v>30</v>
      </c>
      <c r="BA500">
        <f t="shared" si="74"/>
        <v>35</v>
      </c>
      <c r="BB500">
        <f t="shared" si="75"/>
        <v>35</v>
      </c>
      <c r="BC500">
        <f t="shared" si="76"/>
        <v>35</v>
      </c>
      <c r="BD500">
        <f t="shared" si="77"/>
        <v>35</v>
      </c>
      <c r="BE500">
        <f>HLOOKUP(AV500-1,$AW$3:BD772,ROW(AV500)-2,0)</f>
        <v>30</v>
      </c>
      <c r="BF500">
        <f>HLOOKUP(AV500,$AW$3:BD772,ROW(AV500)-2,0)</f>
        <v>35</v>
      </c>
      <c r="BG500" t="str">
        <f t="shared" si="78"/>
        <v>E_II_KwotaA</v>
      </c>
    </row>
    <row r="501" spans="1:59" x14ac:dyDescent="0.3">
      <c r="A501" t="s">
        <v>2314</v>
      </c>
      <c r="B501" t="s">
        <v>2789</v>
      </c>
      <c r="C501" s="18">
        <v>4411.13</v>
      </c>
      <c r="AV501">
        <f t="shared" si="79"/>
        <v>6</v>
      </c>
      <c r="AW501">
        <f t="shared" si="80"/>
        <v>15</v>
      </c>
      <c r="AX501">
        <f t="shared" si="71"/>
        <v>20</v>
      </c>
      <c r="AY501">
        <f t="shared" si="72"/>
        <v>28</v>
      </c>
      <c r="AZ501">
        <f t="shared" si="73"/>
        <v>30</v>
      </c>
      <c r="BA501">
        <f t="shared" si="74"/>
        <v>36</v>
      </c>
      <c r="BB501">
        <f t="shared" si="75"/>
        <v>36</v>
      </c>
      <c r="BC501">
        <f t="shared" si="76"/>
        <v>36</v>
      </c>
      <c r="BD501">
        <f t="shared" si="77"/>
        <v>36</v>
      </c>
      <c r="BE501">
        <f>HLOOKUP(AV501-1,$AW$3:BD773,ROW(AV501)-2,0)</f>
        <v>30</v>
      </c>
      <c r="BF501">
        <f>HLOOKUP(AV501,$AW$3:BD773,ROW(AV501)-2,0)</f>
        <v>36</v>
      </c>
      <c r="BG501" t="str">
        <f t="shared" si="78"/>
        <v>E_III_KwotaA</v>
      </c>
    </row>
    <row r="502" spans="1:59" x14ac:dyDescent="0.3">
      <c r="A502" t="s">
        <v>2316</v>
      </c>
      <c r="B502" t="s">
        <v>2790</v>
      </c>
      <c r="C502" s="18">
        <v>265020.63</v>
      </c>
      <c r="AV502">
        <f t="shared" si="79"/>
        <v>5</v>
      </c>
      <c r="AW502">
        <f t="shared" si="80"/>
        <v>15</v>
      </c>
      <c r="AX502">
        <f t="shared" si="71"/>
        <v>20</v>
      </c>
      <c r="AY502">
        <f t="shared" si="72"/>
        <v>28</v>
      </c>
      <c r="AZ502">
        <f t="shared" si="73"/>
        <v>30</v>
      </c>
      <c r="BA502">
        <f t="shared" si="74"/>
        <v>30</v>
      </c>
      <c r="BB502">
        <f t="shared" si="75"/>
        <v>30</v>
      </c>
      <c r="BC502">
        <f t="shared" si="76"/>
        <v>30</v>
      </c>
      <c r="BD502">
        <f t="shared" si="77"/>
        <v>30</v>
      </c>
      <c r="BE502">
        <f>HLOOKUP(AV502-1,$AW$3:BD774,ROW(AV502)-2,0)</f>
        <v>28</v>
      </c>
      <c r="BF502">
        <f>HLOOKUP(AV502,$AW$3:BD774,ROW(AV502)-2,0)</f>
        <v>30</v>
      </c>
      <c r="BG502" t="str">
        <f t="shared" si="78"/>
        <v>F_KwotaA</v>
      </c>
    </row>
    <row r="503" spans="1:59" x14ac:dyDescent="0.3">
      <c r="A503" t="s">
        <v>2318</v>
      </c>
      <c r="B503" t="s">
        <v>2791</v>
      </c>
      <c r="C503" s="18">
        <v>127747946.12</v>
      </c>
      <c r="AV503">
        <f t="shared" si="79"/>
        <v>5</v>
      </c>
      <c r="AW503">
        <f t="shared" si="80"/>
        <v>15</v>
      </c>
      <c r="AX503">
        <f t="shared" si="71"/>
        <v>20</v>
      </c>
      <c r="AY503">
        <f t="shared" si="72"/>
        <v>28</v>
      </c>
      <c r="AZ503">
        <f t="shared" si="73"/>
        <v>30</v>
      </c>
      <c r="BA503">
        <f t="shared" si="74"/>
        <v>30</v>
      </c>
      <c r="BB503">
        <f t="shared" si="75"/>
        <v>30</v>
      </c>
      <c r="BC503">
        <f t="shared" si="76"/>
        <v>30</v>
      </c>
      <c r="BD503">
        <f t="shared" si="77"/>
        <v>30</v>
      </c>
      <c r="BE503">
        <f>HLOOKUP(AV503-1,$AW$3:BD775,ROW(AV503)-2,0)</f>
        <v>28</v>
      </c>
      <c r="BF503">
        <f>HLOOKUP(AV503,$AW$3:BD775,ROW(AV503)-2,0)</f>
        <v>30</v>
      </c>
      <c r="BG503" t="str">
        <f t="shared" si="78"/>
        <v>G_KwotaA</v>
      </c>
    </row>
    <row r="504" spans="1:59" x14ac:dyDescent="0.3">
      <c r="A504" t="s">
        <v>2320</v>
      </c>
      <c r="B504" t="s">
        <v>2792</v>
      </c>
      <c r="C504" s="18">
        <v>123478624.28</v>
      </c>
      <c r="AV504">
        <f t="shared" si="79"/>
        <v>6</v>
      </c>
      <c r="AW504">
        <f t="shared" si="80"/>
        <v>15</v>
      </c>
      <c r="AX504">
        <f t="shared" si="71"/>
        <v>20</v>
      </c>
      <c r="AY504">
        <f t="shared" si="72"/>
        <v>28</v>
      </c>
      <c r="AZ504">
        <f t="shared" si="73"/>
        <v>30</v>
      </c>
      <c r="BA504">
        <f t="shared" si="74"/>
        <v>34</v>
      </c>
      <c r="BB504">
        <f t="shared" si="75"/>
        <v>34</v>
      </c>
      <c r="BC504">
        <f t="shared" si="76"/>
        <v>34</v>
      </c>
      <c r="BD504">
        <f t="shared" si="77"/>
        <v>34</v>
      </c>
      <c r="BE504">
        <f>HLOOKUP(AV504-1,$AW$3:BD776,ROW(AV504)-2,0)</f>
        <v>30</v>
      </c>
      <c r="BF504">
        <f>HLOOKUP(AV504,$AW$3:BD776,ROW(AV504)-2,0)</f>
        <v>34</v>
      </c>
      <c r="BG504" t="str">
        <f t="shared" si="78"/>
        <v>G_I_KwotaA</v>
      </c>
    </row>
    <row r="505" spans="1:59" x14ac:dyDescent="0.3">
      <c r="A505" t="s">
        <v>2322</v>
      </c>
      <c r="B505" t="s">
        <v>2793</v>
      </c>
      <c r="C505" s="18">
        <v>123478624.28</v>
      </c>
      <c r="AV505">
        <f t="shared" si="79"/>
        <v>7</v>
      </c>
      <c r="AW505">
        <f t="shared" si="80"/>
        <v>15</v>
      </c>
      <c r="AX505">
        <f t="shared" si="71"/>
        <v>20</v>
      </c>
      <c r="AY505">
        <f t="shared" si="72"/>
        <v>28</v>
      </c>
      <c r="AZ505">
        <f t="shared" si="73"/>
        <v>30</v>
      </c>
      <c r="BA505">
        <f t="shared" si="74"/>
        <v>34</v>
      </c>
      <c r="BB505">
        <f t="shared" si="75"/>
        <v>40</v>
      </c>
      <c r="BC505">
        <f t="shared" si="76"/>
        <v>40</v>
      </c>
      <c r="BD505">
        <f t="shared" si="77"/>
        <v>40</v>
      </c>
      <c r="BE505">
        <f>HLOOKUP(AV505-1,$AW$3:BD777,ROW(AV505)-2,0)</f>
        <v>34</v>
      </c>
      <c r="BF505">
        <f>HLOOKUP(AV505,$AW$3:BD777,ROW(AV505)-2,0)</f>
        <v>40</v>
      </c>
      <c r="BG505" t="str">
        <f t="shared" si="78"/>
        <v>G_I_A_KwotaA</v>
      </c>
    </row>
    <row r="506" spans="1:59" x14ac:dyDescent="0.3">
      <c r="A506" t="s">
        <v>2324</v>
      </c>
      <c r="B506" t="s">
        <v>2794</v>
      </c>
      <c r="AV506">
        <f t="shared" si="79"/>
        <v>8</v>
      </c>
      <c r="AW506">
        <f t="shared" si="80"/>
        <v>15</v>
      </c>
      <c r="AX506">
        <f t="shared" si="71"/>
        <v>20</v>
      </c>
      <c r="AY506">
        <f t="shared" si="72"/>
        <v>28</v>
      </c>
      <c r="AZ506">
        <f t="shared" si="73"/>
        <v>30</v>
      </c>
      <c r="BA506">
        <f t="shared" si="74"/>
        <v>34</v>
      </c>
      <c r="BB506">
        <f t="shared" si="75"/>
        <v>40</v>
      </c>
      <c r="BC506">
        <f t="shared" si="76"/>
        <v>48</v>
      </c>
      <c r="BD506">
        <f t="shared" si="77"/>
        <v>48</v>
      </c>
      <c r="BE506">
        <f>HLOOKUP(AV506-1,$AW$3:BD778,ROW(AV506)-2,0)</f>
        <v>40</v>
      </c>
      <c r="BF506">
        <f>HLOOKUP(AV506,$AW$3:BD778,ROW(AV506)-2,0)</f>
        <v>48</v>
      </c>
      <c r="BG506" t="str">
        <f t="shared" si="78"/>
        <v>G_I_A_1_KwotaA</v>
      </c>
    </row>
    <row r="507" spans="1:59" x14ac:dyDescent="0.3">
      <c r="A507" t="s">
        <v>2326</v>
      </c>
      <c r="B507" t="s">
        <v>2795</v>
      </c>
      <c r="AV507">
        <f t="shared" si="79"/>
        <v>7</v>
      </c>
      <c r="AW507">
        <f t="shared" si="80"/>
        <v>15</v>
      </c>
      <c r="AX507">
        <f t="shared" si="71"/>
        <v>20</v>
      </c>
      <c r="AY507">
        <f t="shared" si="72"/>
        <v>28</v>
      </c>
      <c r="AZ507">
        <f t="shared" si="73"/>
        <v>30</v>
      </c>
      <c r="BA507">
        <f t="shared" si="74"/>
        <v>34</v>
      </c>
      <c r="BB507">
        <f t="shared" si="75"/>
        <v>40</v>
      </c>
      <c r="BC507">
        <f t="shared" si="76"/>
        <v>40</v>
      </c>
      <c r="BD507">
        <f t="shared" si="77"/>
        <v>40</v>
      </c>
      <c r="BE507">
        <f>HLOOKUP(AV507-1,$AW$3:BD779,ROW(AV507)-2,0)</f>
        <v>34</v>
      </c>
      <c r="BF507">
        <f>HLOOKUP(AV507,$AW$3:BD779,ROW(AV507)-2,0)</f>
        <v>40</v>
      </c>
      <c r="BG507" t="str">
        <f t="shared" si="78"/>
        <v>G_I_B_KwotaA</v>
      </c>
    </row>
    <row r="508" spans="1:59" x14ac:dyDescent="0.3">
      <c r="A508" t="s">
        <v>2328</v>
      </c>
      <c r="B508" t="s">
        <v>2796</v>
      </c>
      <c r="AV508">
        <f t="shared" si="79"/>
        <v>8</v>
      </c>
      <c r="AW508">
        <f t="shared" si="80"/>
        <v>15</v>
      </c>
      <c r="AX508">
        <f t="shared" si="71"/>
        <v>20</v>
      </c>
      <c r="AY508">
        <f t="shared" si="72"/>
        <v>28</v>
      </c>
      <c r="AZ508">
        <f t="shared" si="73"/>
        <v>30</v>
      </c>
      <c r="BA508">
        <f t="shared" si="74"/>
        <v>34</v>
      </c>
      <c r="BB508">
        <f t="shared" si="75"/>
        <v>40</v>
      </c>
      <c r="BC508">
        <f t="shared" si="76"/>
        <v>48</v>
      </c>
      <c r="BD508">
        <f t="shared" si="77"/>
        <v>48</v>
      </c>
      <c r="BE508">
        <f>HLOOKUP(AV508-1,$AW$3:BD780,ROW(AV508)-2,0)</f>
        <v>40</v>
      </c>
      <c r="BF508">
        <f>HLOOKUP(AV508,$AW$3:BD780,ROW(AV508)-2,0)</f>
        <v>48</v>
      </c>
      <c r="BG508" t="str">
        <f t="shared" si="78"/>
        <v>G_I_B_1_KwotaA</v>
      </c>
    </row>
    <row r="509" spans="1:59" x14ac:dyDescent="0.3">
      <c r="A509" t="s">
        <v>2330</v>
      </c>
      <c r="B509" t="s">
        <v>2797</v>
      </c>
      <c r="C509" s="18">
        <v>4269321.84</v>
      </c>
      <c r="AV509">
        <f t="shared" si="79"/>
        <v>6</v>
      </c>
      <c r="AW509">
        <f t="shared" si="80"/>
        <v>15</v>
      </c>
      <c r="AX509">
        <f t="shared" si="71"/>
        <v>20</v>
      </c>
      <c r="AY509">
        <f t="shared" si="72"/>
        <v>28</v>
      </c>
      <c r="AZ509">
        <f t="shared" si="73"/>
        <v>30</v>
      </c>
      <c r="BA509">
        <f t="shared" si="74"/>
        <v>35</v>
      </c>
      <c r="BB509">
        <f t="shared" si="75"/>
        <v>35</v>
      </c>
      <c r="BC509">
        <f t="shared" si="76"/>
        <v>35</v>
      </c>
      <c r="BD509">
        <f t="shared" si="77"/>
        <v>35</v>
      </c>
      <c r="BE509">
        <f>HLOOKUP(AV509-1,$AW$3:BD781,ROW(AV509)-2,0)</f>
        <v>30</v>
      </c>
      <c r="BF509">
        <f>HLOOKUP(AV509,$AW$3:BD781,ROW(AV509)-2,0)</f>
        <v>35</v>
      </c>
      <c r="BG509" t="str">
        <f t="shared" si="78"/>
        <v>G_II_KwotaA</v>
      </c>
    </row>
    <row r="510" spans="1:59" x14ac:dyDescent="0.3">
      <c r="A510" t="s">
        <v>2332</v>
      </c>
      <c r="B510" t="s">
        <v>2798</v>
      </c>
      <c r="C510" s="18">
        <v>4268793.1900000004</v>
      </c>
      <c r="AV510">
        <f t="shared" si="79"/>
        <v>7</v>
      </c>
      <c r="AW510">
        <f t="shared" si="80"/>
        <v>15</v>
      </c>
      <c r="AX510">
        <f t="shared" si="71"/>
        <v>20</v>
      </c>
      <c r="AY510">
        <f t="shared" si="72"/>
        <v>28</v>
      </c>
      <c r="AZ510">
        <f t="shared" si="73"/>
        <v>30</v>
      </c>
      <c r="BA510">
        <f t="shared" si="74"/>
        <v>35</v>
      </c>
      <c r="BB510">
        <f t="shared" si="75"/>
        <v>42</v>
      </c>
      <c r="BC510">
        <f t="shared" si="76"/>
        <v>42</v>
      </c>
      <c r="BD510">
        <f t="shared" si="77"/>
        <v>42</v>
      </c>
      <c r="BE510">
        <f>HLOOKUP(AV510-1,$AW$3:BD782,ROW(AV510)-2,0)</f>
        <v>35</v>
      </c>
      <c r="BF510">
        <f>HLOOKUP(AV510,$AW$3:BD782,ROW(AV510)-2,0)</f>
        <v>42</v>
      </c>
      <c r="BG510" t="str">
        <f t="shared" si="78"/>
        <v>G_II_J_KwotaA</v>
      </c>
    </row>
    <row r="511" spans="1:59" x14ac:dyDescent="0.3">
      <c r="A511" t="s">
        <v>2334</v>
      </c>
      <c r="B511" t="s">
        <v>2799</v>
      </c>
      <c r="AV511">
        <f t="shared" si="79"/>
        <v>6</v>
      </c>
      <c r="AW511">
        <f t="shared" si="80"/>
        <v>15</v>
      </c>
      <c r="AX511">
        <f t="shared" si="71"/>
        <v>20</v>
      </c>
      <c r="AY511">
        <f t="shared" si="72"/>
        <v>28</v>
      </c>
      <c r="AZ511">
        <f t="shared" si="73"/>
        <v>30</v>
      </c>
      <c r="BA511">
        <f t="shared" si="74"/>
        <v>36</v>
      </c>
      <c r="BB511">
        <f t="shared" si="75"/>
        <v>36</v>
      </c>
      <c r="BC511">
        <f t="shared" si="76"/>
        <v>36</v>
      </c>
      <c r="BD511">
        <f t="shared" si="77"/>
        <v>36</v>
      </c>
      <c r="BE511">
        <f>HLOOKUP(AV511-1,$AW$3:BD783,ROW(AV511)-2,0)</f>
        <v>30</v>
      </c>
      <c r="BF511">
        <f>HLOOKUP(AV511,$AW$3:BD783,ROW(AV511)-2,0)</f>
        <v>36</v>
      </c>
      <c r="BG511" t="str">
        <f t="shared" si="78"/>
        <v>G_III_KwotaA</v>
      </c>
    </row>
    <row r="512" spans="1:59" x14ac:dyDescent="0.3">
      <c r="A512" t="s">
        <v>2336</v>
      </c>
      <c r="B512" t="s">
        <v>2800</v>
      </c>
      <c r="AV512">
        <f t="shared" si="79"/>
        <v>7</v>
      </c>
      <c r="AW512">
        <f t="shared" si="80"/>
        <v>15</v>
      </c>
      <c r="AX512">
        <f t="shared" si="71"/>
        <v>20</v>
      </c>
      <c r="AY512">
        <f t="shared" si="72"/>
        <v>28</v>
      </c>
      <c r="AZ512">
        <f t="shared" si="73"/>
        <v>30</v>
      </c>
      <c r="BA512">
        <f t="shared" si="74"/>
        <v>36</v>
      </c>
      <c r="BB512">
        <f t="shared" si="75"/>
        <v>44</v>
      </c>
      <c r="BC512">
        <f t="shared" si="76"/>
        <v>44</v>
      </c>
      <c r="BD512">
        <f t="shared" si="77"/>
        <v>44</v>
      </c>
      <c r="BE512">
        <f>HLOOKUP(AV512-1,$AW$3:BD784,ROW(AV512)-2,0)</f>
        <v>36</v>
      </c>
      <c r="BF512">
        <f>HLOOKUP(AV512,$AW$3:BD784,ROW(AV512)-2,0)</f>
        <v>44</v>
      </c>
      <c r="BG512" t="str">
        <f t="shared" si="78"/>
        <v>G_III_J_KwotaA</v>
      </c>
    </row>
    <row r="513" spans="1:59" x14ac:dyDescent="0.3">
      <c r="A513" t="s">
        <v>2338</v>
      </c>
      <c r="B513" t="s">
        <v>2801</v>
      </c>
      <c r="AV513">
        <f t="shared" si="79"/>
        <v>6</v>
      </c>
      <c r="AW513">
        <f t="shared" si="80"/>
        <v>15</v>
      </c>
      <c r="AX513">
        <f t="shared" si="71"/>
        <v>20</v>
      </c>
      <c r="AY513">
        <f t="shared" si="72"/>
        <v>28</v>
      </c>
      <c r="AZ513">
        <f t="shared" si="73"/>
        <v>30</v>
      </c>
      <c r="BA513">
        <f t="shared" si="74"/>
        <v>35</v>
      </c>
      <c r="BB513">
        <f t="shared" si="75"/>
        <v>35</v>
      </c>
      <c r="BC513">
        <f t="shared" si="76"/>
        <v>35</v>
      </c>
      <c r="BD513">
        <f t="shared" si="77"/>
        <v>35</v>
      </c>
      <c r="BE513">
        <f>HLOOKUP(AV513-1,$AW$3:BD785,ROW(AV513)-2,0)</f>
        <v>30</v>
      </c>
      <c r="BF513">
        <f>HLOOKUP(AV513,$AW$3:BD785,ROW(AV513)-2,0)</f>
        <v>35</v>
      </c>
      <c r="BG513" t="str">
        <f t="shared" si="78"/>
        <v>G_IV_KwotaA</v>
      </c>
    </row>
    <row r="514" spans="1:59" x14ac:dyDescent="0.3">
      <c r="A514" t="s">
        <v>2340</v>
      </c>
      <c r="B514" t="s">
        <v>2802</v>
      </c>
      <c r="C514" s="18">
        <v>0</v>
      </c>
      <c r="AV514">
        <f t="shared" si="79"/>
        <v>6</v>
      </c>
      <c r="AW514">
        <f t="shared" si="80"/>
        <v>15</v>
      </c>
      <c r="AX514">
        <f t="shared" si="71"/>
        <v>20</v>
      </c>
      <c r="AY514">
        <f t="shared" si="72"/>
        <v>28</v>
      </c>
      <c r="AZ514">
        <f t="shared" si="73"/>
        <v>30</v>
      </c>
      <c r="BA514">
        <f t="shared" si="74"/>
        <v>34</v>
      </c>
      <c r="BB514">
        <f t="shared" si="75"/>
        <v>34</v>
      </c>
      <c r="BC514">
        <f t="shared" si="76"/>
        <v>34</v>
      </c>
      <c r="BD514">
        <f t="shared" si="77"/>
        <v>34</v>
      </c>
      <c r="BE514">
        <f>HLOOKUP(AV514-1,$AW$3:BD786,ROW(AV514)-2,0)</f>
        <v>30</v>
      </c>
      <c r="BF514">
        <f>HLOOKUP(AV514,$AW$3:BD786,ROW(AV514)-2,0)</f>
        <v>34</v>
      </c>
      <c r="BG514" t="str">
        <f t="shared" si="78"/>
        <v>G_V_KwotaA</v>
      </c>
    </row>
    <row r="515" spans="1:59" x14ac:dyDescent="0.3">
      <c r="A515" t="s">
        <v>2342</v>
      </c>
      <c r="B515" t="s">
        <v>2803</v>
      </c>
      <c r="C515" s="18">
        <v>68048674.310000002</v>
      </c>
      <c r="AV515">
        <f t="shared" si="79"/>
        <v>5</v>
      </c>
      <c r="AW515">
        <f t="shared" si="80"/>
        <v>15</v>
      </c>
      <c r="AX515">
        <f t="shared" si="71"/>
        <v>20</v>
      </c>
      <c r="AY515">
        <f t="shared" si="72"/>
        <v>28</v>
      </c>
      <c r="AZ515">
        <f t="shared" si="73"/>
        <v>30</v>
      </c>
      <c r="BA515">
        <f t="shared" si="74"/>
        <v>30</v>
      </c>
      <c r="BB515">
        <f t="shared" si="75"/>
        <v>30</v>
      </c>
      <c r="BC515">
        <f t="shared" si="76"/>
        <v>30</v>
      </c>
      <c r="BD515">
        <f t="shared" si="77"/>
        <v>30</v>
      </c>
      <c r="BE515">
        <f>HLOOKUP(AV515-1,$AW$3:BD787,ROW(AV515)-2,0)</f>
        <v>28</v>
      </c>
      <c r="BF515">
        <f>HLOOKUP(AV515,$AW$3:BD787,ROW(AV515)-2,0)</f>
        <v>30</v>
      </c>
      <c r="BG515" t="str">
        <f t="shared" si="78"/>
        <v>H_KwotaA</v>
      </c>
    </row>
    <row r="516" spans="1:59" x14ac:dyDescent="0.3">
      <c r="A516" t="s">
        <v>2344</v>
      </c>
      <c r="B516" t="s">
        <v>2804</v>
      </c>
      <c r="C516" s="18">
        <v>42080463.729999997</v>
      </c>
      <c r="AV516">
        <f t="shared" si="79"/>
        <v>6</v>
      </c>
      <c r="AW516">
        <f t="shared" si="80"/>
        <v>15</v>
      </c>
      <c r="AX516">
        <f t="shared" ref="AX516:AX579" si="81">FIND("/",B516,AW516+1)</f>
        <v>20</v>
      </c>
      <c r="AY516">
        <f t="shared" ref="AY516:AY579" si="82">IFERROR(FIND("/",B516,AX516+1),AX516)</f>
        <v>28</v>
      </c>
      <c r="AZ516">
        <f t="shared" ref="AZ516:AZ579" si="83">IFERROR(FIND("/",B516,AY516+1),AY516)</f>
        <v>30</v>
      </c>
      <c r="BA516">
        <f t="shared" ref="BA516:BA579" si="84">IFERROR(FIND("/",B516,AZ516+1),AZ516)</f>
        <v>34</v>
      </c>
      <c r="BB516">
        <f t="shared" ref="BB516:BB579" si="85">IFERROR(FIND("/",B516,BA516+1),BA516)</f>
        <v>34</v>
      </c>
      <c r="BC516">
        <f t="shared" ref="BC516:BC579" si="86">IFERROR(FIND("/",B516,BB516+1),BB516)</f>
        <v>34</v>
      </c>
      <c r="BD516">
        <f t="shared" ref="BD516:BD579" si="87">IFERROR(FIND("/",B516,BC516+1),BC516)</f>
        <v>34</v>
      </c>
      <c r="BE516">
        <f>HLOOKUP(AV516-1,$AW$3:BD788,ROW(AV516)-2,0)</f>
        <v>30</v>
      </c>
      <c r="BF516">
        <f>HLOOKUP(AV516,$AW$3:BD788,ROW(AV516)-2,0)</f>
        <v>34</v>
      </c>
      <c r="BG516" t="str">
        <f t="shared" ref="BG516:BG579" si="88">IF(ISERROR(FIND("Kwota",B516)),IF(ISERROR(FIND("Prawna",B516)),MID(B516,BF516+1,LEN(B516)-BF516),REPLACE(MID(B516,BE516+1,LEN(B516)-BE516),FIND("/",MID(B516,BE516+1,LEN(B516)-BE516)),1,"_")),REPLACE(MID(B516,BE516+1,LEN(B516)-BE516),FIND("/",MID(B516,BE516+1,LEN(B516)-BE516)),1,"_"))</f>
        <v>H_I_KwotaA</v>
      </c>
    </row>
    <row r="517" spans="1:59" x14ac:dyDescent="0.3">
      <c r="A517" t="s">
        <v>2346</v>
      </c>
      <c r="B517" t="s">
        <v>2805</v>
      </c>
      <c r="C517" s="18">
        <v>42080463.729999997</v>
      </c>
      <c r="AV517">
        <f t="shared" si="79"/>
        <v>7</v>
      </c>
      <c r="AW517">
        <f t="shared" si="80"/>
        <v>15</v>
      </c>
      <c r="AX517">
        <f t="shared" si="81"/>
        <v>20</v>
      </c>
      <c r="AY517">
        <f t="shared" si="82"/>
        <v>28</v>
      </c>
      <c r="AZ517">
        <f t="shared" si="83"/>
        <v>30</v>
      </c>
      <c r="BA517">
        <f t="shared" si="84"/>
        <v>34</v>
      </c>
      <c r="BB517">
        <f t="shared" si="85"/>
        <v>40</v>
      </c>
      <c r="BC517">
        <f t="shared" si="86"/>
        <v>40</v>
      </c>
      <c r="BD517">
        <f t="shared" si="87"/>
        <v>40</v>
      </c>
      <c r="BE517">
        <f>HLOOKUP(AV517-1,$AW$3:BD789,ROW(AV517)-2,0)</f>
        <v>34</v>
      </c>
      <c r="BF517">
        <f>HLOOKUP(AV517,$AW$3:BD789,ROW(AV517)-2,0)</f>
        <v>40</v>
      </c>
      <c r="BG517" t="str">
        <f t="shared" si="88"/>
        <v>H_I_J_KwotaA</v>
      </c>
    </row>
    <row r="518" spans="1:59" x14ac:dyDescent="0.3">
      <c r="A518" t="s">
        <v>2348</v>
      </c>
      <c r="B518" t="s">
        <v>2806</v>
      </c>
      <c r="C518" s="18">
        <v>0</v>
      </c>
      <c r="AV518">
        <f t="shared" si="79"/>
        <v>6</v>
      </c>
      <c r="AW518">
        <f t="shared" si="80"/>
        <v>15</v>
      </c>
      <c r="AX518">
        <f t="shared" si="81"/>
        <v>20</v>
      </c>
      <c r="AY518">
        <f t="shared" si="82"/>
        <v>28</v>
      </c>
      <c r="AZ518">
        <f t="shared" si="83"/>
        <v>30</v>
      </c>
      <c r="BA518">
        <f t="shared" si="84"/>
        <v>35</v>
      </c>
      <c r="BB518">
        <f t="shared" si="85"/>
        <v>35</v>
      </c>
      <c r="BC518">
        <f t="shared" si="86"/>
        <v>35</v>
      </c>
      <c r="BD518">
        <f t="shared" si="87"/>
        <v>35</v>
      </c>
      <c r="BE518">
        <f>HLOOKUP(AV518-1,$AW$3:BD790,ROW(AV518)-2,0)</f>
        <v>30</v>
      </c>
      <c r="BF518">
        <f>HLOOKUP(AV518,$AW$3:BD790,ROW(AV518)-2,0)</f>
        <v>35</v>
      </c>
      <c r="BG518" t="str">
        <f t="shared" si="88"/>
        <v>H_II_KwotaA</v>
      </c>
    </row>
    <row r="519" spans="1:59" x14ac:dyDescent="0.3">
      <c r="A519" t="s">
        <v>2350</v>
      </c>
      <c r="B519" t="s">
        <v>2807</v>
      </c>
      <c r="AV519">
        <f t="shared" si="79"/>
        <v>7</v>
      </c>
      <c r="AW519">
        <f t="shared" si="80"/>
        <v>15</v>
      </c>
      <c r="AX519">
        <f t="shared" si="81"/>
        <v>20</v>
      </c>
      <c r="AY519">
        <f t="shared" si="82"/>
        <v>28</v>
      </c>
      <c r="AZ519">
        <f t="shared" si="83"/>
        <v>30</v>
      </c>
      <c r="BA519">
        <f t="shared" si="84"/>
        <v>35</v>
      </c>
      <c r="BB519">
        <f t="shared" si="85"/>
        <v>42</v>
      </c>
      <c r="BC519">
        <f t="shared" si="86"/>
        <v>42</v>
      </c>
      <c r="BD519">
        <f t="shared" si="87"/>
        <v>42</v>
      </c>
      <c r="BE519">
        <f>HLOOKUP(AV519-1,$AW$3:BD791,ROW(AV519)-2,0)</f>
        <v>35</v>
      </c>
      <c r="BF519">
        <f>HLOOKUP(AV519,$AW$3:BD791,ROW(AV519)-2,0)</f>
        <v>42</v>
      </c>
      <c r="BG519" t="str">
        <f t="shared" si="88"/>
        <v>H_II_J_KwotaA</v>
      </c>
    </row>
    <row r="520" spans="1:59" x14ac:dyDescent="0.3">
      <c r="A520" t="s">
        <v>2352</v>
      </c>
      <c r="B520" t="s">
        <v>2808</v>
      </c>
      <c r="AV520">
        <f t="shared" ref="AV520:AV583" si="89" xml:space="preserve"> SUM(LEN(B520)-LEN(SUBSTITUTE(B520,"/","")))/LEN("/")</f>
        <v>6</v>
      </c>
      <c r="AW520">
        <f t="shared" ref="AW520:AW583" si="90">FIND("/",B520,2)</f>
        <v>15</v>
      </c>
      <c r="AX520">
        <f t="shared" si="81"/>
        <v>20</v>
      </c>
      <c r="AY520">
        <f t="shared" si="82"/>
        <v>28</v>
      </c>
      <c r="AZ520">
        <f t="shared" si="83"/>
        <v>30</v>
      </c>
      <c r="BA520">
        <f t="shared" si="84"/>
        <v>36</v>
      </c>
      <c r="BB520">
        <f t="shared" si="85"/>
        <v>36</v>
      </c>
      <c r="BC520">
        <f t="shared" si="86"/>
        <v>36</v>
      </c>
      <c r="BD520">
        <f t="shared" si="87"/>
        <v>36</v>
      </c>
      <c r="BE520">
        <f>HLOOKUP(AV520-1,$AW$3:BD792,ROW(AV520)-2,0)</f>
        <v>30</v>
      </c>
      <c r="BF520">
        <f>HLOOKUP(AV520,$AW$3:BD792,ROW(AV520)-2,0)</f>
        <v>36</v>
      </c>
      <c r="BG520" t="str">
        <f t="shared" si="88"/>
        <v>H_III_KwotaA</v>
      </c>
    </row>
    <row r="521" spans="1:59" x14ac:dyDescent="0.3">
      <c r="A521" t="s">
        <v>2354</v>
      </c>
      <c r="B521" t="s">
        <v>2809</v>
      </c>
      <c r="C521" s="18">
        <v>25968210.579999998</v>
      </c>
      <c r="AV521">
        <f t="shared" si="89"/>
        <v>6</v>
      </c>
      <c r="AW521">
        <f t="shared" si="90"/>
        <v>15</v>
      </c>
      <c r="AX521">
        <f t="shared" si="81"/>
        <v>20</v>
      </c>
      <c r="AY521">
        <f t="shared" si="82"/>
        <v>28</v>
      </c>
      <c r="AZ521">
        <f t="shared" si="83"/>
        <v>30</v>
      </c>
      <c r="BA521">
        <f t="shared" si="84"/>
        <v>35</v>
      </c>
      <c r="BB521">
        <f t="shared" si="85"/>
        <v>35</v>
      </c>
      <c r="BC521">
        <f t="shared" si="86"/>
        <v>35</v>
      </c>
      <c r="BD521">
        <f t="shared" si="87"/>
        <v>35</v>
      </c>
      <c r="BE521">
        <f>HLOOKUP(AV521-1,$AW$3:BD793,ROW(AV521)-2,0)</f>
        <v>30</v>
      </c>
      <c r="BF521">
        <f>HLOOKUP(AV521,$AW$3:BD793,ROW(AV521)-2,0)</f>
        <v>35</v>
      </c>
      <c r="BG521" t="str">
        <f t="shared" si="88"/>
        <v>H_IV_KwotaA</v>
      </c>
    </row>
    <row r="522" spans="1:59" x14ac:dyDescent="0.3">
      <c r="A522" t="s">
        <v>2356</v>
      </c>
      <c r="B522" t="s">
        <v>2810</v>
      </c>
      <c r="C522" s="18">
        <v>59964292.439999998</v>
      </c>
      <c r="AV522">
        <f t="shared" si="89"/>
        <v>5</v>
      </c>
      <c r="AW522">
        <f t="shared" si="90"/>
        <v>15</v>
      </c>
      <c r="AX522">
        <f t="shared" si="81"/>
        <v>20</v>
      </c>
      <c r="AY522">
        <f t="shared" si="82"/>
        <v>28</v>
      </c>
      <c r="AZ522">
        <f t="shared" si="83"/>
        <v>30</v>
      </c>
      <c r="BA522">
        <f t="shared" si="84"/>
        <v>30</v>
      </c>
      <c r="BB522">
        <f t="shared" si="85"/>
        <v>30</v>
      </c>
      <c r="BC522">
        <f t="shared" si="86"/>
        <v>30</v>
      </c>
      <c r="BD522">
        <f t="shared" si="87"/>
        <v>30</v>
      </c>
      <c r="BE522">
        <f>HLOOKUP(AV522-1,$AW$3:BD794,ROW(AV522)-2,0)</f>
        <v>28</v>
      </c>
      <c r="BF522">
        <f>HLOOKUP(AV522,$AW$3:BD794,ROW(AV522)-2,0)</f>
        <v>30</v>
      </c>
      <c r="BG522" t="str">
        <f t="shared" si="88"/>
        <v>I_KwotaA</v>
      </c>
    </row>
    <row r="523" spans="1:59" x14ac:dyDescent="0.3">
      <c r="A523" t="s">
        <v>2358</v>
      </c>
      <c r="B523" t="s">
        <v>2811</v>
      </c>
      <c r="C523" s="18">
        <v>-6524523.0099999998</v>
      </c>
      <c r="AV523">
        <f t="shared" si="89"/>
        <v>5</v>
      </c>
      <c r="AW523">
        <f t="shared" si="90"/>
        <v>15</v>
      </c>
      <c r="AX523">
        <f t="shared" si="81"/>
        <v>20</v>
      </c>
      <c r="AY523">
        <f t="shared" si="82"/>
        <v>28</v>
      </c>
      <c r="AZ523">
        <f t="shared" si="83"/>
        <v>30</v>
      </c>
      <c r="BA523">
        <f t="shared" si="84"/>
        <v>30</v>
      </c>
      <c r="BB523">
        <f t="shared" si="85"/>
        <v>30</v>
      </c>
      <c r="BC523">
        <f t="shared" si="86"/>
        <v>30</v>
      </c>
      <c r="BD523">
        <f t="shared" si="87"/>
        <v>30</v>
      </c>
      <c r="BE523">
        <f>HLOOKUP(AV523-1,$AW$3:BD795,ROW(AV523)-2,0)</f>
        <v>28</v>
      </c>
      <c r="BF523">
        <f>HLOOKUP(AV523,$AW$3:BD795,ROW(AV523)-2,0)</f>
        <v>30</v>
      </c>
      <c r="BG523" t="str">
        <f t="shared" si="88"/>
        <v>J_KwotaA</v>
      </c>
    </row>
    <row r="524" spans="1:59" x14ac:dyDescent="0.3">
      <c r="A524" t="s">
        <v>2360</v>
      </c>
      <c r="B524" t="s">
        <v>2812</v>
      </c>
      <c r="AV524">
        <f t="shared" si="89"/>
        <v>5</v>
      </c>
      <c r="AW524">
        <f t="shared" si="90"/>
        <v>15</v>
      </c>
      <c r="AX524">
        <f t="shared" si="81"/>
        <v>20</v>
      </c>
      <c r="AY524">
        <f t="shared" si="82"/>
        <v>28</v>
      </c>
      <c r="AZ524">
        <f t="shared" si="83"/>
        <v>30</v>
      </c>
      <c r="BA524">
        <f t="shared" si="84"/>
        <v>30</v>
      </c>
      <c r="BB524">
        <f t="shared" si="85"/>
        <v>30</v>
      </c>
      <c r="BC524">
        <f t="shared" si="86"/>
        <v>30</v>
      </c>
      <c r="BD524">
        <f t="shared" si="87"/>
        <v>30</v>
      </c>
      <c r="BE524">
        <f>HLOOKUP(AV524-1,$AW$3:BD796,ROW(AV524)-2,0)</f>
        <v>28</v>
      </c>
      <c r="BF524">
        <f>HLOOKUP(AV524,$AW$3:BD796,ROW(AV524)-2,0)</f>
        <v>30</v>
      </c>
      <c r="BG524" t="str">
        <f t="shared" si="88"/>
        <v>K_KwotaA</v>
      </c>
    </row>
    <row r="525" spans="1:59" x14ac:dyDescent="0.3">
      <c r="A525" t="s">
        <v>2362</v>
      </c>
      <c r="B525" t="s">
        <v>2813</v>
      </c>
      <c r="C525" s="18">
        <v>66488815.450000003</v>
      </c>
      <c r="AV525">
        <f t="shared" si="89"/>
        <v>5</v>
      </c>
      <c r="AW525">
        <f t="shared" si="90"/>
        <v>15</v>
      </c>
      <c r="AX525">
        <f t="shared" si="81"/>
        <v>20</v>
      </c>
      <c r="AY525">
        <f t="shared" si="82"/>
        <v>28</v>
      </c>
      <c r="AZ525">
        <f t="shared" si="83"/>
        <v>30</v>
      </c>
      <c r="BA525">
        <f t="shared" si="84"/>
        <v>30</v>
      </c>
      <c r="BB525">
        <f t="shared" si="85"/>
        <v>30</v>
      </c>
      <c r="BC525">
        <f t="shared" si="86"/>
        <v>30</v>
      </c>
      <c r="BD525">
        <f t="shared" si="87"/>
        <v>30</v>
      </c>
      <c r="BE525">
        <f>HLOOKUP(AV525-1,$AW$3:BD797,ROW(AV525)-2,0)</f>
        <v>28</v>
      </c>
      <c r="BF525">
        <f>HLOOKUP(AV525,$AW$3:BD797,ROW(AV525)-2,0)</f>
        <v>30</v>
      </c>
      <c r="BG525" t="str">
        <f t="shared" si="88"/>
        <v>L_KwotaA</v>
      </c>
    </row>
    <row r="526" spans="1:59" x14ac:dyDescent="0.3">
      <c r="A526" t="s">
        <v>2364</v>
      </c>
      <c r="B526" t="s">
        <v>2814</v>
      </c>
      <c r="C526" s="18">
        <v>277548187.00999999</v>
      </c>
      <c r="AV526">
        <f t="shared" si="89"/>
        <v>4</v>
      </c>
      <c r="AW526">
        <f t="shared" si="90"/>
        <v>15</v>
      </c>
      <c r="AX526">
        <f t="shared" si="81"/>
        <v>34</v>
      </c>
      <c r="AY526">
        <f t="shared" si="82"/>
        <v>36</v>
      </c>
      <c r="AZ526">
        <f t="shared" si="83"/>
        <v>36</v>
      </c>
      <c r="BA526">
        <f t="shared" si="84"/>
        <v>36</v>
      </c>
      <c r="BB526">
        <f t="shared" si="85"/>
        <v>36</v>
      </c>
      <c r="BC526">
        <f t="shared" si="86"/>
        <v>36</v>
      </c>
      <c r="BD526">
        <f t="shared" si="87"/>
        <v>36</v>
      </c>
      <c r="BE526">
        <f>HLOOKUP(AV526-1,$AW$3:BD798,ROW(AV526)-2,0)</f>
        <v>34</v>
      </c>
      <c r="BF526">
        <f>HLOOKUP(AV526,$AW$3:BD798,ROW(AV526)-2,0)</f>
        <v>36</v>
      </c>
      <c r="BG526" t="str">
        <f t="shared" si="88"/>
        <v>I_KwotaA</v>
      </c>
    </row>
    <row r="527" spans="1:59" x14ac:dyDescent="0.3">
      <c r="A527" t="s">
        <v>2366</v>
      </c>
      <c r="B527" t="s">
        <v>2815</v>
      </c>
      <c r="AV527">
        <f t="shared" si="89"/>
        <v>5</v>
      </c>
      <c r="AW527">
        <f t="shared" si="90"/>
        <v>15</v>
      </c>
      <c r="AX527">
        <f t="shared" si="81"/>
        <v>34</v>
      </c>
      <c r="AY527">
        <f t="shared" si="82"/>
        <v>36</v>
      </c>
      <c r="AZ527">
        <f t="shared" si="83"/>
        <v>40</v>
      </c>
      <c r="BA527">
        <f t="shared" si="84"/>
        <v>40</v>
      </c>
      <c r="BB527">
        <f t="shared" si="85"/>
        <v>40</v>
      </c>
      <c r="BC527">
        <f t="shared" si="86"/>
        <v>40</v>
      </c>
      <c r="BD527">
        <f t="shared" si="87"/>
        <v>40</v>
      </c>
      <c r="BE527">
        <f>HLOOKUP(AV527-1,$AW$3:BD799,ROW(AV527)-2,0)</f>
        <v>36</v>
      </c>
      <c r="BF527">
        <f>HLOOKUP(AV527,$AW$3:BD799,ROW(AV527)-2,0)</f>
        <v>40</v>
      </c>
      <c r="BG527" t="str">
        <f t="shared" si="88"/>
        <v>I_1_KwotaA</v>
      </c>
    </row>
    <row r="528" spans="1:59" x14ac:dyDescent="0.3">
      <c r="A528" t="s">
        <v>2368</v>
      </c>
      <c r="B528" t="s">
        <v>2816</v>
      </c>
      <c r="AV528">
        <f t="shared" si="89"/>
        <v>5</v>
      </c>
      <c r="AW528">
        <f t="shared" si="90"/>
        <v>15</v>
      </c>
      <c r="AX528">
        <f t="shared" si="81"/>
        <v>34</v>
      </c>
      <c r="AY528">
        <f t="shared" si="82"/>
        <v>36</v>
      </c>
      <c r="AZ528">
        <f t="shared" si="83"/>
        <v>40</v>
      </c>
      <c r="BA528">
        <f t="shared" si="84"/>
        <v>40</v>
      </c>
      <c r="BB528">
        <f t="shared" si="85"/>
        <v>40</v>
      </c>
      <c r="BC528">
        <f t="shared" si="86"/>
        <v>40</v>
      </c>
      <c r="BD528">
        <f t="shared" si="87"/>
        <v>40</v>
      </c>
      <c r="BE528">
        <f>HLOOKUP(AV528-1,$AW$3:BD800,ROW(AV528)-2,0)</f>
        <v>36</v>
      </c>
      <c r="BF528">
        <f>HLOOKUP(AV528,$AW$3:BD800,ROW(AV528)-2,0)</f>
        <v>40</v>
      </c>
      <c r="BG528" t="str">
        <f t="shared" si="88"/>
        <v>I_2_KwotaA</v>
      </c>
    </row>
    <row r="529" spans="1:59" x14ac:dyDescent="0.3">
      <c r="A529" t="s">
        <v>2370</v>
      </c>
      <c r="B529" t="s">
        <v>2817</v>
      </c>
      <c r="C529" s="18">
        <v>277548187.00999999</v>
      </c>
      <c r="AV529">
        <f t="shared" si="89"/>
        <v>4</v>
      </c>
      <c r="AW529">
        <f t="shared" si="90"/>
        <v>15</v>
      </c>
      <c r="AX529">
        <f t="shared" si="81"/>
        <v>34</v>
      </c>
      <c r="AY529">
        <f t="shared" si="82"/>
        <v>37</v>
      </c>
      <c r="AZ529">
        <f t="shared" si="83"/>
        <v>37</v>
      </c>
      <c r="BA529">
        <f t="shared" si="84"/>
        <v>37</v>
      </c>
      <c r="BB529">
        <f t="shared" si="85"/>
        <v>37</v>
      </c>
      <c r="BC529">
        <f t="shared" si="86"/>
        <v>37</v>
      </c>
      <c r="BD529">
        <f t="shared" si="87"/>
        <v>37</v>
      </c>
      <c r="BE529">
        <f>HLOOKUP(AV529-1,$AW$3:BD801,ROW(AV529)-2,0)</f>
        <v>34</v>
      </c>
      <c r="BF529">
        <f>HLOOKUP(AV529,$AW$3:BD801,ROW(AV529)-2,0)</f>
        <v>37</v>
      </c>
      <c r="BG529" t="str">
        <f t="shared" si="88"/>
        <v>IA_KwotaA</v>
      </c>
    </row>
    <row r="530" spans="1:59" x14ac:dyDescent="0.3">
      <c r="A530" t="s">
        <v>2372</v>
      </c>
      <c r="B530" t="s">
        <v>2818</v>
      </c>
      <c r="C530" s="18">
        <v>99989487</v>
      </c>
      <c r="AV530">
        <f t="shared" si="89"/>
        <v>5</v>
      </c>
      <c r="AW530">
        <f t="shared" si="90"/>
        <v>15</v>
      </c>
      <c r="AX530">
        <f t="shared" si="81"/>
        <v>34</v>
      </c>
      <c r="AY530">
        <f t="shared" si="82"/>
        <v>37</v>
      </c>
      <c r="AZ530">
        <f t="shared" si="83"/>
        <v>42</v>
      </c>
      <c r="BA530">
        <f t="shared" si="84"/>
        <v>42</v>
      </c>
      <c r="BB530">
        <f t="shared" si="85"/>
        <v>42</v>
      </c>
      <c r="BC530">
        <f t="shared" si="86"/>
        <v>42</v>
      </c>
      <c r="BD530">
        <f t="shared" si="87"/>
        <v>42</v>
      </c>
      <c r="BE530">
        <f>HLOOKUP(AV530-1,$AW$3:BD802,ROW(AV530)-2,0)</f>
        <v>37</v>
      </c>
      <c r="BF530">
        <f>HLOOKUP(AV530,$AW$3:BD802,ROW(AV530)-2,0)</f>
        <v>42</v>
      </c>
      <c r="BG530" t="str">
        <f t="shared" si="88"/>
        <v>IA_1_KwotaA</v>
      </c>
    </row>
    <row r="531" spans="1:59" x14ac:dyDescent="0.3">
      <c r="A531" t="s">
        <v>2374</v>
      </c>
      <c r="B531" t="s">
        <v>2819</v>
      </c>
      <c r="C531" s="18">
        <v>0</v>
      </c>
      <c r="AV531">
        <f t="shared" si="89"/>
        <v>6</v>
      </c>
      <c r="AW531">
        <f t="shared" si="90"/>
        <v>15</v>
      </c>
      <c r="AX531">
        <f t="shared" si="81"/>
        <v>34</v>
      </c>
      <c r="AY531">
        <f t="shared" si="82"/>
        <v>37</v>
      </c>
      <c r="AZ531">
        <f t="shared" si="83"/>
        <v>42</v>
      </c>
      <c r="BA531">
        <f t="shared" si="84"/>
        <v>49</v>
      </c>
      <c r="BB531">
        <f t="shared" si="85"/>
        <v>49</v>
      </c>
      <c r="BC531">
        <f t="shared" si="86"/>
        <v>49</v>
      </c>
      <c r="BD531">
        <f t="shared" si="87"/>
        <v>49</v>
      </c>
      <c r="BE531">
        <f>HLOOKUP(AV531-1,$AW$3:BD803,ROW(AV531)-2,0)</f>
        <v>42</v>
      </c>
      <c r="BF531">
        <f>HLOOKUP(AV531,$AW$3:BD803,ROW(AV531)-2,0)</f>
        <v>49</v>
      </c>
      <c r="BG531" t="str">
        <f t="shared" si="88"/>
        <v>IA_1_1_KwotaA</v>
      </c>
    </row>
    <row r="532" spans="1:59" x14ac:dyDescent="0.3">
      <c r="A532" t="s">
        <v>2376</v>
      </c>
      <c r="B532" t="s">
        <v>2820</v>
      </c>
      <c r="C532" s="18">
        <v>0</v>
      </c>
      <c r="AV532">
        <f t="shared" si="89"/>
        <v>7</v>
      </c>
      <c r="AW532">
        <f t="shared" si="90"/>
        <v>15</v>
      </c>
      <c r="AX532">
        <f t="shared" si="81"/>
        <v>34</v>
      </c>
      <c r="AY532">
        <f t="shared" si="82"/>
        <v>37</v>
      </c>
      <c r="AZ532">
        <f t="shared" si="83"/>
        <v>42</v>
      </c>
      <c r="BA532">
        <f t="shared" si="84"/>
        <v>49</v>
      </c>
      <c r="BB532">
        <f t="shared" si="85"/>
        <v>58</v>
      </c>
      <c r="BC532">
        <f t="shared" si="86"/>
        <v>58</v>
      </c>
      <c r="BD532">
        <f t="shared" si="87"/>
        <v>58</v>
      </c>
      <c r="BE532">
        <f>HLOOKUP(AV532-1,$AW$3:BD804,ROW(AV532)-2,0)</f>
        <v>49</v>
      </c>
      <c r="BF532">
        <f>HLOOKUP(AV532,$AW$3:BD804,ROW(AV532)-2,0)</f>
        <v>58</v>
      </c>
      <c r="BG532" t="str">
        <f t="shared" si="88"/>
        <v>IA_1_1_A_KwotaA</v>
      </c>
    </row>
    <row r="533" spans="1:59" x14ac:dyDescent="0.3">
      <c r="A533" t="s">
        <v>2378</v>
      </c>
      <c r="B533" t="s">
        <v>2821</v>
      </c>
      <c r="C533" s="18">
        <v>0</v>
      </c>
      <c r="AV533">
        <f t="shared" si="89"/>
        <v>8</v>
      </c>
      <c r="AW533">
        <f t="shared" si="90"/>
        <v>15</v>
      </c>
      <c r="AX533">
        <f t="shared" si="81"/>
        <v>34</v>
      </c>
      <c r="AY533">
        <f t="shared" si="82"/>
        <v>37</v>
      </c>
      <c r="AZ533">
        <f t="shared" si="83"/>
        <v>42</v>
      </c>
      <c r="BA533">
        <f t="shared" si="84"/>
        <v>49</v>
      </c>
      <c r="BB533">
        <f t="shared" si="85"/>
        <v>58</v>
      </c>
      <c r="BC533">
        <f t="shared" si="86"/>
        <v>69</v>
      </c>
      <c r="BD533">
        <f t="shared" si="87"/>
        <v>69</v>
      </c>
      <c r="BE533">
        <f>HLOOKUP(AV533-1,$AW$3:BD805,ROW(AV533)-2,0)</f>
        <v>58</v>
      </c>
      <c r="BF533">
        <f>HLOOKUP(AV533,$AW$3:BD805,ROW(AV533)-2,0)</f>
        <v>69</v>
      </c>
      <c r="BG533" t="str">
        <f t="shared" si="88"/>
        <v>IA_1_1_A_1_KwotaA</v>
      </c>
    </row>
    <row r="534" spans="1:59" x14ac:dyDescent="0.3">
      <c r="A534" t="s">
        <v>2380</v>
      </c>
      <c r="B534" t="s">
        <v>2822</v>
      </c>
      <c r="AV534">
        <f t="shared" si="89"/>
        <v>7</v>
      </c>
      <c r="AW534">
        <f t="shared" si="90"/>
        <v>15</v>
      </c>
      <c r="AX534">
        <f t="shared" si="81"/>
        <v>34</v>
      </c>
      <c r="AY534">
        <f t="shared" si="82"/>
        <v>37</v>
      </c>
      <c r="AZ534">
        <f t="shared" si="83"/>
        <v>42</v>
      </c>
      <c r="BA534">
        <f t="shared" si="84"/>
        <v>49</v>
      </c>
      <c r="BB534">
        <f t="shared" si="85"/>
        <v>58</v>
      </c>
      <c r="BC534">
        <f t="shared" si="86"/>
        <v>58</v>
      </c>
      <c r="BD534">
        <f t="shared" si="87"/>
        <v>58</v>
      </c>
      <c r="BE534">
        <f>HLOOKUP(AV534-1,$AW$3:BD806,ROW(AV534)-2,0)</f>
        <v>49</v>
      </c>
      <c r="BF534">
        <f>HLOOKUP(AV534,$AW$3:BD806,ROW(AV534)-2,0)</f>
        <v>58</v>
      </c>
      <c r="BG534" t="str">
        <f t="shared" si="88"/>
        <v>IA_1_1_B_KwotaA</v>
      </c>
    </row>
    <row r="535" spans="1:59" x14ac:dyDescent="0.3">
      <c r="A535" t="s">
        <v>2382</v>
      </c>
      <c r="B535" t="s">
        <v>2823</v>
      </c>
      <c r="AV535">
        <f t="shared" si="89"/>
        <v>8</v>
      </c>
      <c r="AW535">
        <f t="shared" si="90"/>
        <v>15</v>
      </c>
      <c r="AX535">
        <f t="shared" si="81"/>
        <v>34</v>
      </c>
      <c r="AY535">
        <f t="shared" si="82"/>
        <v>37</v>
      </c>
      <c r="AZ535">
        <f t="shared" si="83"/>
        <v>42</v>
      </c>
      <c r="BA535">
        <f t="shared" si="84"/>
        <v>49</v>
      </c>
      <c r="BB535">
        <f t="shared" si="85"/>
        <v>58</v>
      </c>
      <c r="BC535">
        <f t="shared" si="86"/>
        <v>69</v>
      </c>
      <c r="BD535">
        <f t="shared" si="87"/>
        <v>69</v>
      </c>
      <c r="BE535">
        <f>HLOOKUP(AV535-1,$AW$3:BD807,ROW(AV535)-2,0)</f>
        <v>58</v>
      </c>
      <c r="BF535">
        <f>HLOOKUP(AV535,$AW$3:BD807,ROW(AV535)-2,0)</f>
        <v>69</v>
      </c>
      <c r="BG535" t="str">
        <f t="shared" si="88"/>
        <v>IA_1_1_B_1_KwotaA</v>
      </c>
    </row>
    <row r="536" spans="1:59" x14ac:dyDescent="0.3">
      <c r="A536" t="s">
        <v>2384</v>
      </c>
      <c r="B536" t="s">
        <v>2824</v>
      </c>
      <c r="C536" s="18">
        <v>99989487</v>
      </c>
      <c r="AV536">
        <f t="shared" si="89"/>
        <v>6</v>
      </c>
      <c r="AW536">
        <f t="shared" si="90"/>
        <v>15</v>
      </c>
      <c r="AX536">
        <f t="shared" si="81"/>
        <v>34</v>
      </c>
      <c r="AY536">
        <f t="shared" si="82"/>
        <v>37</v>
      </c>
      <c r="AZ536">
        <f t="shared" si="83"/>
        <v>42</v>
      </c>
      <c r="BA536">
        <f t="shared" si="84"/>
        <v>49</v>
      </c>
      <c r="BB536">
        <f t="shared" si="85"/>
        <v>49</v>
      </c>
      <c r="BC536">
        <f t="shared" si="86"/>
        <v>49</v>
      </c>
      <c r="BD536">
        <f t="shared" si="87"/>
        <v>49</v>
      </c>
      <c r="BE536">
        <f>HLOOKUP(AV536-1,$AW$3:BD808,ROW(AV536)-2,0)</f>
        <v>42</v>
      </c>
      <c r="BF536">
        <f>HLOOKUP(AV536,$AW$3:BD808,ROW(AV536)-2,0)</f>
        <v>49</v>
      </c>
      <c r="BG536" t="str">
        <f t="shared" si="88"/>
        <v>IA_1_2_KwotaA</v>
      </c>
    </row>
    <row r="537" spans="1:59" x14ac:dyDescent="0.3">
      <c r="A537" t="s">
        <v>2386</v>
      </c>
      <c r="B537" t="s">
        <v>2825</v>
      </c>
      <c r="C537" s="18">
        <v>44776995.479999997</v>
      </c>
      <c r="AV537">
        <f t="shared" si="89"/>
        <v>5</v>
      </c>
      <c r="AW537">
        <f t="shared" si="90"/>
        <v>15</v>
      </c>
      <c r="AX537">
        <f t="shared" si="81"/>
        <v>34</v>
      </c>
      <c r="AY537">
        <f t="shared" si="82"/>
        <v>37</v>
      </c>
      <c r="AZ537">
        <f t="shared" si="83"/>
        <v>42</v>
      </c>
      <c r="BA537">
        <f t="shared" si="84"/>
        <v>42</v>
      </c>
      <c r="BB537">
        <f t="shared" si="85"/>
        <v>42</v>
      </c>
      <c r="BC537">
        <f t="shared" si="86"/>
        <v>42</v>
      </c>
      <c r="BD537">
        <f t="shared" si="87"/>
        <v>42</v>
      </c>
      <c r="BE537">
        <f>HLOOKUP(AV537-1,$AW$3:BD809,ROW(AV537)-2,0)</f>
        <v>37</v>
      </c>
      <c r="BF537">
        <f>HLOOKUP(AV537,$AW$3:BD809,ROW(AV537)-2,0)</f>
        <v>42</v>
      </c>
      <c r="BG537" t="str">
        <f t="shared" si="88"/>
        <v>IA_2_KwotaA</v>
      </c>
    </row>
    <row r="538" spans="1:59" x14ac:dyDescent="0.3">
      <c r="A538" t="s">
        <v>2388</v>
      </c>
      <c r="B538" t="s">
        <v>2826</v>
      </c>
      <c r="C538" s="18">
        <v>0</v>
      </c>
      <c r="AV538">
        <f t="shared" si="89"/>
        <v>6</v>
      </c>
      <c r="AW538">
        <f t="shared" si="90"/>
        <v>15</v>
      </c>
      <c r="AX538">
        <f t="shared" si="81"/>
        <v>34</v>
      </c>
      <c r="AY538">
        <f t="shared" si="82"/>
        <v>37</v>
      </c>
      <c r="AZ538">
        <f t="shared" si="83"/>
        <v>42</v>
      </c>
      <c r="BA538">
        <f t="shared" si="84"/>
        <v>49</v>
      </c>
      <c r="BB538">
        <f t="shared" si="85"/>
        <v>49</v>
      </c>
      <c r="BC538">
        <f t="shared" si="86"/>
        <v>49</v>
      </c>
      <c r="BD538">
        <f t="shared" si="87"/>
        <v>49</v>
      </c>
      <c r="BE538">
        <f>HLOOKUP(AV538-1,$AW$3:BD810,ROW(AV538)-2,0)</f>
        <v>42</v>
      </c>
      <c r="BF538">
        <f>HLOOKUP(AV538,$AW$3:BD810,ROW(AV538)-2,0)</f>
        <v>49</v>
      </c>
      <c r="BG538" t="str">
        <f t="shared" si="88"/>
        <v>IA_2_1_KwotaA</v>
      </c>
    </row>
    <row r="539" spans="1:59" x14ac:dyDescent="0.3">
      <c r="A539" t="s">
        <v>2390</v>
      </c>
      <c r="B539" t="s">
        <v>2827</v>
      </c>
      <c r="C539" s="18">
        <v>0</v>
      </c>
      <c r="AV539">
        <f t="shared" si="89"/>
        <v>7</v>
      </c>
      <c r="AW539">
        <f t="shared" si="90"/>
        <v>15</v>
      </c>
      <c r="AX539">
        <f t="shared" si="81"/>
        <v>34</v>
      </c>
      <c r="AY539">
        <f t="shared" si="82"/>
        <v>37</v>
      </c>
      <c r="AZ539">
        <f t="shared" si="83"/>
        <v>42</v>
      </c>
      <c r="BA539">
        <f t="shared" si="84"/>
        <v>49</v>
      </c>
      <c r="BB539">
        <f t="shared" si="85"/>
        <v>58</v>
      </c>
      <c r="BC539">
        <f t="shared" si="86"/>
        <v>58</v>
      </c>
      <c r="BD539">
        <f t="shared" si="87"/>
        <v>58</v>
      </c>
      <c r="BE539">
        <f>HLOOKUP(AV539-1,$AW$3:BD811,ROW(AV539)-2,0)</f>
        <v>49</v>
      </c>
      <c r="BF539">
        <f>HLOOKUP(AV539,$AW$3:BD811,ROW(AV539)-2,0)</f>
        <v>58</v>
      </c>
      <c r="BG539" t="str">
        <f t="shared" si="88"/>
        <v>IA_2_1_A_KwotaA</v>
      </c>
    </row>
    <row r="540" spans="1:59" x14ac:dyDescent="0.3">
      <c r="A540" t="s">
        <v>2392</v>
      </c>
      <c r="B540" t="s">
        <v>2828</v>
      </c>
      <c r="AV540">
        <f t="shared" si="89"/>
        <v>8</v>
      </c>
      <c r="AW540">
        <f t="shared" si="90"/>
        <v>15</v>
      </c>
      <c r="AX540">
        <f t="shared" si="81"/>
        <v>34</v>
      </c>
      <c r="AY540">
        <f t="shared" si="82"/>
        <v>37</v>
      </c>
      <c r="AZ540">
        <f t="shared" si="83"/>
        <v>42</v>
      </c>
      <c r="BA540">
        <f t="shared" si="84"/>
        <v>49</v>
      </c>
      <c r="BB540">
        <f t="shared" si="85"/>
        <v>58</v>
      </c>
      <c r="BC540">
        <f t="shared" si="86"/>
        <v>69</v>
      </c>
      <c r="BD540">
        <f t="shared" si="87"/>
        <v>69</v>
      </c>
      <c r="BE540">
        <f>HLOOKUP(AV540-1,$AW$3:BD812,ROW(AV540)-2,0)</f>
        <v>58</v>
      </c>
      <c r="BF540">
        <f>HLOOKUP(AV540,$AW$3:BD812,ROW(AV540)-2,0)</f>
        <v>69</v>
      </c>
      <c r="BG540" t="str">
        <f t="shared" si="88"/>
        <v>IA_2_1_A_1_KwotaA</v>
      </c>
    </row>
    <row r="541" spans="1:59" x14ac:dyDescent="0.3">
      <c r="A541" t="s">
        <v>2394</v>
      </c>
      <c r="B541" t="s">
        <v>2829</v>
      </c>
      <c r="C541" s="18">
        <v>0</v>
      </c>
      <c r="AV541">
        <f t="shared" si="89"/>
        <v>8</v>
      </c>
      <c r="AW541">
        <f t="shared" si="90"/>
        <v>15</v>
      </c>
      <c r="AX541">
        <f t="shared" si="81"/>
        <v>34</v>
      </c>
      <c r="AY541">
        <f t="shared" si="82"/>
        <v>37</v>
      </c>
      <c r="AZ541">
        <f t="shared" si="83"/>
        <v>42</v>
      </c>
      <c r="BA541">
        <f t="shared" si="84"/>
        <v>49</v>
      </c>
      <c r="BB541">
        <f t="shared" si="85"/>
        <v>58</v>
      </c>
      <c r="BC541">
        <f t="shared" si="86"/>
        <v>69</v>
      </c>
      <c r="BD541">
        <f t="shared" si="87"/>
        <v>69</v>
      </c>
      <c r="BE541">
        <f>HLOOKUP(AV541-1,$AW$3:BD813,ROW(AV541)-2,0)</f>
        <v>58</v>
      </c>
      <c r="BF541">
        <f>HLOOKUP(AV541,$AW$3:BD813,ROW(AV541)-2,0)</f>
        <v>69</v>
      </c>
      <c r="BG541" t="str">
        <f t="shared" si="88"/>
        <v>IA_2_1_A_2_KwotaA</v>
      </c>
    </row>
    <row r="542" spans="1:59" x14ac:dyDescent="0.3">
      <c r="A542" t="s">
        <v>2396</v>
      </c>
      <c r="B542" t="s">
        <v>2830</v>
      </c>
      <c r="AV542">
        <f t="shared" si="89"/>
        <v>8</v>
      </c>
      <c r="AW542">
        <f t="shared" si="90"/>
        <v>15</v>
      </c>
      <c r="AX542">
        <f t="shared" si="81"/>
        <v>34</v>
      </c>
      <c r="AY542">
        <f t="shared" si="82"/>
        <v>37</v>
      </c>
      <c r="AZ542">
        <f t="shared" si="83"/>
        <v>42</v>
      </c>
      <c r="BA542">
        <f t="shared" si="84"/>
        <v>49</v>
      </c>
      <c r="BB542">
        <f t="shared" si="85"/>
        <v>58</v>
      </c>
      <c r="BC542">
        <f t="shared" si="86"/>
        <v>69</v>
      </c>
      <c r="BD542">
        <f t="shared" si="87"/>
        <v>69</v>
      </c>
      <c r="BE542">
        <f>HLOOKUP(AV542-1,$AW$3:BD814,ROW(AV542)-2,0)</f>
        <v>58</v>
      </c>
      <c r="BF542">
        <f>HLOOKUP(AV542,$AW$3:BD814,ROW(AV542)-2,0)</f>
        <v>69</v>
      </c>
      <c r="BG542" t="str">
        <f t="shared" si="88"/>
        <v>IA_2_1_A_3_KwotaA</v>
      </c>
    </row>
    <row r="543" spans="1:59" x14ac:dyDescent="0.3">
      <c r="A543" t="s">
        <v>2398</v>
      </c>
      <c r="B543" t="s">
        <v>2831</v>
      </c>
      <c r="AV543">
        <f t="shared" si="89"/>
        <v>7</v>
      </c>
      <c r="AW543">
        <f t="shared" si="90"/>
        <v>15</v>
      </c>
      <c r="AX543">
        <f t="shared" si="81"/>
        <v>34</v>
      </c>
      <c r="AY543">
        <f t="shared" si="82"/>
        <v>37</v>
      </c>
      <c r="AZ543">
        <f t="shared" si="83"/>
        <v>42</v>
      </c>
      <c r="BA543">
        <f t="shared" si="84"/>
        <v>49</v>
      </c>
      <c r="BB543">
        <f t="shared" si="85"/>
        <v>58</v>
      </c>
      <c r="BC543">
        <f t="shared" si="86"/>
        <v>58</v>
      </c>
      <c r="BD543">
        <f t="shared" si="87"/>
        <v>58</v>
      </c>
      <c r="BE543">
        <f>HLOOKUP(AV543-1,$AW$3:BD815,ROW(AV543)-2,0)</f>
        <v>49</v>
      </c>
      <c r="BF543">
        <f>HLOOKUP(AV543,$AW$3:BD815,ROW(AV543)-2,0)</f>
        <v>58</v>
      </c>
      <c r="BG543" t="str">
        <f t="shared" si="88"/>
        <v>IA_2_1_B_KwotaA</v>
      </c>
    </row>
    <row r="544" spans="1:59" x14ac:dyDescent="0.3">
      <c r="A544" t="s">
        <v>2400</v>
      </c>
      <c r="B544" t="s">
        <v>2832</v>
      </c>
      <c r="AV544">
        <f t="shared" si="89"/>
        <v>8</v>
      </c>
      <c r="AW544">
        <f t="shared" si="90"/>
        <v>15</v>
      </c>
      <c r="AX544">
        <f t="shared" si="81"/>
        <v>34</v>
      </c>
      <c r="AY544">
        <f t="shared" si="82"/>
        <v>37</v>
      </c>
      <c r="AZ544">
        <f t="shared" si="83"/>
        <v>42</v>
      </c>
      <c r="BA544">
        <f t="shared" si="84"/>
        <v>49</v>
      </c>
      <c r="BB544">
        <f t="shared" si="85"/>
        <v>58</v>
      </c>
      <c r="BC544">
        <f t="shared" si="86"/>
        <v>69</v>
      </c>
      <c r="BD544">
        <f t="shared" si="87"/>
        <v>69</v>
      </c>
      <c r="BE544">
        <f>HLOOKUP(AV544-1,$AW$3:BD816,ROW(AV544)-2,0)</f>
        <v>58</v>
      </c>
      <c r="BF544">
        <f>HLOOKUP(AV544,$AW$3:BD816,ROW(AV544)-2,0)</f>
        <v>69</v>
      </c>
      <c r="BG544" t="str">
        <f t="shared" si="88"/>
        <v>IA_2_1_B_1_KwotaA</v>
      </c>
    </row>
    <row r="545" spans="1:59" x14ac:dyDescent="0.3">
      <c r="A545" t="s">
        <v>2402</v>
      </c>
      <c r="B545" t="s">
        <v>2833</v>
      </c>
      <c r="C545" s="18">
        <v>44776995.479999997</v>
      </c>
      <c r="AV545">
        <f t="shared" si="89"/>
        <v>6</v>
      </c>
      <c r="AW545">
        <f t="shared" si="90"/>
        <v>15</v>
      </c>
      <c r="AX545">
        <f t="shared" si="81"/>
        <v>34</v>
      </c>
      <c r="AY545">
        <f t="shared" si="82"/>
        <v>37</v>
      </c>
      <c r="AZ545">
        <f t="shared" si="83"/>
        <v>42</v>
      </c>
      <c r="BA545">
        <f t="shared" si="84"/>
        <v>49</v>
      </c>
      <c r="BB545">
        <f t="shared" si="85"/>
        <v>49</v>
      </c>
      <c r="BC545">
        <f t="shared" si="86"/>
        <v>49</v>
      </c>
      <c r="BD545">
        <f t="shared" si="87"/>
        <v>49</v>
      </c>
      <c r="BE545">
        <f>HLOOKUP(AV545-1,$AW$3:BD817,ROW(AV545)-2,0)</f>
        <v>42</v>
      </c>
      <c r="BF545">
        <f>HLOOKUP(AV545,$AW$3:BD817,ROW(AV545)-2,0)</f>
        <v>49</v>
      </c>
      <c r="BG545" t="str">
        <f t="shared" si="88"/>
        <v>IA_2_2_KwotaA</v>
      </c>
    </row>
    <row r="546" spans="1:59" x14ac:dyDescent="0.3">
      <c r="A546" t="s">
        <v>2404</v>
      </c>
      <c r="B546" t="s">
        <v>2834</v>
      </c>
      <c r="AV546">
        <f t="shared" si="89"/>
        <v>5</v>
      </c>
      <c r="AW546">
        <f t="shared" si="90"/>
        <v>15</v>
      </c>
      <c r="AX546">
        <f t="shared" si="81"/>
        <v>34</v>
      </c>
      <c r="AY546">
        <f t="shared" si="82"/>
        <v>37</v>
      </c>
      <c r="AZ546">
        <f t="shared" si="83"/>
        <v>42</v>
      </c>
      <c r="BA546">
        <f t="shared" si="84"/>
        <v>42</v>
      </c>
      <c r="BB546">
        <f t="shared" si="85"/>
        <v>42</v>
      </c>
      <c r="BC546">
        <f t="shared" si="86"/>
        <v>42</v>
      </c>
      <c r="BD546">
        <f t="shared" si="87"/>
        <v>42</v>
      </c>
      <c r="BE546">
        <f>HLOOKUP(AV546-1,$AW$3:BD818,ROW(AV546)-2,0)</f>
        <v>37</v>
      </c>
      <c r="BF546">
        <f>HLOOKUP(AV546,$AW$3:BD818,ROW(AV546)-2,0)</f>
        <v>42</v>
      </c>
      <c r="BG546" t="str">
        <f t="shared" si="88"/>
        <v>IA_3_KwotaA</v>
      </c>
    </row>
    <row r="547" spans="1:59" x14ac:dyDescent="0.3">
      <c r="A547" t="s">
        <v>2406</v>
      </c>
      <c r="B547" t="s">
        <v>2835</v>
      </c>
      <c r="AV547">
        <f t="shared" si="89"/>
        <v>6</v>
      </c>
      <c r="AW547">
        <f t="shared" si="90"/>
        <v>15</v>
      </c>
      <c r="AX547">
        <f t="shared" si="81"/>
        <v>34</v>
      </c>
      <c r="AY547">
        <f t="shared" si="82"/>
        <v>37</v>
      </c>
      <c r="AZ547">
        <f t="shared" si="83"/>
        <v>42</v>
      </c>
      <c r="BA547">
        <f t="shared" si="84"/>
        <v>49</v>
      </c>
      <c r="BB547">
        <f t="shared" si="85"/>
        <v>49</v>
      </c>
      <c r="BC547">
        <f t="shared" si="86"/>
        <v>49</v>
      </c>
      <c r="BD547">
        <f t="shared" si="87"/>
        <v>49</v>
      </c>
      <c r="BE547">
        <f>HLOOKUP(AV547-1,$AW$3:BD819,ROW(AV547)-2,0)</f>
        <v>42</v>
      </c>
      <c r="BF547">
        <f>HLOOKUP(AV547,$AW$3:BD819,ROW(AV547)-2,0)</f>
        <v>49</v>
      </c>
      <c r="BG547" t="str">
        <f t="shared" si="88"/>
        <v>IA_3_1_KwotaA</v>
      </c>
    </row>
    <row r="548" spans="1:59" x14ac:dyDescent="0.3">
      <c r="A548" t="s">
        <v>2408</v>
      </c>
      <c r="B548" t="s">
        <v>2836</v>
      </c>
      <c r="AV548">
        <f t="shared" si="89"/>
        <v>7</v>
      </c>
      <c r="AW548">
        <f t="shared" si="90"/>
        <v>15</v>
      </c>
      <c r="AX548">
        <f t="shared" si="81"/>
        <v>34</v>
      </c>
      <c r="AY548">
        <f t="shared" si="82"/>
        <v>37</v>
      </c>
      <c r="AZ548">
        <f t="shared" si="83"/>
        <v>42</v>
      </c>
      <c r="BA548">
        <f t="shared" si="84"/>
        <v>49</v>
      </c>
      <c r="BB548">
        <f t="shared" si="85"/>
        <v>58</v>
      </c>
      <c r="BC548">
        <f t="shared" si="86"/>
        <v>58</v>
      </c>
      <c r="BD548">
        <f t="shared" si="87"/>
        <v>58</v>
      </c>
      <c r="BE548">
        <f>HLOOKUP(AV548-1,$AW$3:BD820,ROW(AV548)-2,0)</f>
        <v>49</v>
      </c>
      <c r="BF548">
        <f>HLOOKUP(AV548,$AW$3:BD820,ROW(AV548)-2,0)</f>
        <v>58</v>
      </c>
      <c r="BG548" t="str">
        <f t="shared" si="88"/>
        <v>IA_3_1_A_KwotaA</v>
      </c>
    </row>
    <row r="549" spans="1:59" x14ac:dyDescent="0.3">
      <c r="A549" t="s">
        <v>2410</v>
      </c>
      <c r="B549" t="s">
        <v>2837</v>
      </c>
      <c r="AV549">
        <f t="shared" si="89"/>
        <v>7</v>
      </c>
      <c r="AW549">
        <f t="shared" si="90"/>
        <v>15</v>
      </c>
      <c r="AX549">
        <f t="shared" si="81"/>
        <v>34</v>
      </c>
      <c r="AY549">
        <f t="shared" si="82"/>
        <v>37</v>
      </c>
      <c r="AZ549">
        <f t="shared" si="83"/>
        <v>42</v>
      </c>
      <c r="BA549">
        <f t="shared" si="84"/>
        <v>49</v>
      </c>
      <c r="BB549">
        <f t="shared" si="85"/>
        <v>58</v>
      </c>
      <c r="BC549">
        <f t="shared" si="86"/>
        <v>58</v>
      </c>
      <c r="BD549">
        <f t="shared" si="87"/>
        <v>58</v>
      </c>
      <c r="BE549">
        <f>HLOOKUP(AV549-1,$AW$3:BD821,ROW(AV549)-2,0)</f>
        <v>49</v>
      </c>
      <c r="BF549">
        <f>HLOOKUP(AV549,$AW$3:BD821,ROW(AV549)-2,0)</f>
        <v>58</v>
      </c>
      <c r="BG549" t="str">
        <f t="shared" si="88"/>
        <v>IA_3_1_B_KwotaA</v>
      </c>
    </row>
    <row r="550" spans="1:59" x14ac:dyDescent="0.3">
      <c r="A550" t="s">
        <v>2412</v>
      </c>
      <c r="B550" t="s">
        <v>2838</v>
      </c>
      <c r="AV550">
        <f t="shared" si="89"/>
        <v>8</v>
      </c>
      <c r="AW550">
        <f t="shared" si="90"/>
        <v>15</v>
      </c>
      <c r="AX550">
        <f t="shared" si="81"/>
        <v>34</v>
      </c>
      <c r="AY550">
        <f t="shared" si="82"/>
        <v>37</v>
      </c>
      <c r="AZ550">
        <f t="shared" si="83"/>
        <v>42</v>
      </c>
      <c r="BA550">
        <f t="shared" si="84"/>
        <v>49</v>
      </c>
      <c r="BB550">
        <f t="shared" si="85"/>
        <v>58</v>
      </c>
      <c r="BC550">
        <f t="shared" si="86"/>
        <v>69</v>
      </c>
      <c r="BD550">
        <f t="shared" si="87"/>
        <v>69</v>
      </c>
      <c r="BE550">
        <f>HLOOKUP(AV550-1,$AW$3:BD822,ROW(AV550)-2,0)</f>
        <v>58</v>
      </c>
      <c r="BF550">
        <f>HLOOKUP(AV550,$AW$3:BD822,ROW(AV550)-2,0)</f>
        <v>69</v>
      </c>
      <c r="BG550" t="str">
        <f t="shared" si="88"/>
        <v>IA_3_1_B_1_KwotaA</v>
      </c>
    </row>
    <row r="551" spans="1:59" x14ac:dyDescent="0.3">
      <c r="A551" t="s">
        <v>2414</v>
      </c>
      <c r="B551" t="s">
        <v>2839</v>
      </c>
      <c r="AV551">
        <f t="shared" si="89"/>
        <v>6</v>
      </c>
      <c r="AW551">
        <f t="shared" si="90"/>
        <v>15</v>
      </c>
      <c r="AX551">
        <f t="shared" si="81"/>
        <v>34</v>
      </c>
      <c r="AY551">
        <f t="shared" si="82"/>
        <v>37</v>
      </c>
      <c r="AZ551">
        <f t="shared" si="83"/>
        <v>42</v>
      </c>
      <c r="BA551">
        <f t="shared" si="84"/>
        <v>49</v>
      </c>
      <c r="BB551">
        <f t="shared" si="85"/>
        <v>49</v>
      </c>
      <c r="BC551">
        <f t="shared" si="86"/>
        <v>49</v>
      </c>
      <c r="BD551">
        <f t="shared" si="87"/>
        <v>49</v>
      </c>
      <c r="BE551">
        <f>HLOOKUP(AV551-1,$AW$3:BD823,ROW(AV551)-2,0)</f>
        <v>42</v>
      </c>
      <c r="BF551">
        <f>HLOOKUP(AV551,$AW$3:BD823,ROW(AV551)-2,0)</f>
        <v>49</v>
      </c>
      <c r="BG551" t="str">
        <f t="shared" si="88"/>
        <v>IA_3_2_KwotaA</v>
      </c>
    </row>
    <row r="552" spans="1:59" x14ac:dyDescent="0.3">
      <c r="A552" t="s">
        <v>2416</v>
      </c>
      <c r="B552" t="s">
        <v>2840</v>
      </c>
      <c r="C552" s="18">
        <v>0</v>
      </c>
      <c r="AV552">
        <f t="shared" si="89"/>
        <v>5</v>
      </c>
      <c r="AW552">
        <f t="shared" si="90"/>
        <v>15</v>
      </c>
      <c r="AX552">
        <f t="shared" si="81"/>
        <v>34</v>
      </c>
      <c r="AY552">
        <f t="shared" si="82"/>
        <v>37</v>
      </c>
      <c r="AZ552">
        <f t="shared" si="83"/>
        <v>42</v>
      </c>
      <c r="BA552">
        <f t="shared" si="84"/>
        <v>42</v>
      </c>
      <c r="BB552">
        <f t="shared" si="85"/>
        <v>42</v>
      </c>
      <c r="BC552">
        <f t="shared" si="86"/>
        <v>42</v>
      </c>
      <c r="BD552">
        <f t="shared" si="87"/>
        <v>42</v>
      </c>
      <c r="BE552">
        <f>HLOOKUP(AV552-1,$AW$3:BD824,ROW(AV552)-2,0)</f>
        <v>37</v>
      </c>
      <c r="BF552">
        <f>HLOOKUP(AV552,$AW$3:BD824,ROW(AV552)-2,0)</f>
        <v>42</v>
      </c>
      <c r="BG552" t="str">
        <f t="shared" si="88"/>
        <v>IA_4_KwotaA</v>
      </c>
    </row>
    <row r="553" spans="1:59" x14ac:dyDescent="0.3">
      <c r="A553" t="s">
        <v>2418</v>
      </c>
      <c r="B553" t="s">
        <v>2841</v>
      </c>
      <c r="C553" s="18">
        <v>124604674.53</v>
      </c>
      <c r="AV553">
        <f t="shared" si="89"/>
        <v>6</v>
      </c>
      <c r="AW553">
        <f t="shared" si="90"/>
        <v>15</v>
      </c>
      <c r="AX553">
        <f t="shared" si="81"/>
        <v>34</v>
      </c>
      <c r="AY553">
        <f t="shared" si="82"/>
        <v>37</v>
      </c>
      <c r="AZ553">
        <f t="shared" si="83"/>
        <v>42</v>
      </c>
      <c r="BA553">
        <f t="shared" si="84"/>
        <v>49</v>
      </c>
      <c r="BB553">
        <f t="shared" si="85"/>
        <v>49</v>
      </c>
      <c r="BC553">
        <f t="shared" si="86"/>
        <v>49</v>
      </c>
      <c r="BD553">
        <f t="shared" si="87"/>
        <v>49</v>
      </c>
      <c r="BE553">
        <f>HLOOKUP(AV553-1,$AW$3:BD825,ROW(AV553)-2,0)</f>
        <v>42</v>
      </c>
      <c r="BF553">
        <f>HLOOKUP(AV553,$AW$3:BD825,ROW(AV553)-2,0)</f>
        <v>49</v>
      </c>
      <c r="BG553" t="str">
        <f t="shared" si="88"/>
        <v>IA_4_1_KwotaA</v>
      </c>
    </row>
    <row r="554" spans="1:59" x14ac:dyDescent="0.3">
      <c r="A554" t="s">
        <v>2420</v>
      </c>
      <c r="B554" t="s">
        <v>2842</v>
      </c>
      <c r="C554" s="18">
        <v>124604674.53</v>
      </c>
      <c r="AV554">
        <f t="shared" si="89"/>
        <v>7</v>
      </c>
      <c r="AW554">
        <f t="shared" si="90"/>
        <v>15</v>
      </c>
      <c r="AX554">
        <f t="shared" si="81"/>
        <v>34</v>
      </c>
      <c r="AY554">
        <f t="shared" si="82"/>
        <v>37</v>
      </c>
      <c r="AZ554">
        <f t="shared" si="83"/>
        <v>42</v>
      </c>
      <c r="BA554">
        <f t="shared" si="84"/>
        <v>49</v>
      </c>
      <c r="BB554">
        <f t="shared" si="85"/>
        <v>58</v>
      </c>
      <c r="BC554">
        <f t="shared" si="86"/>
        <v>58</v>
      </c>
      <c r="BD554">
        <f t="shared" si="87"/>
        <v>58</v>
      </c>
      <c r="BE554">
        <f>HLOOKUP(AV554-1,$AW$3:BD826,ROW(AV554)-2,0)</f>
        <v>49</v>
      </c>
      <c r="BF554">
        <f>HLOOKUP(AV554,$AW$3:BD826,ROW(AV554)-2,0)</f>
        <v>58</v>
      </c>
      <c r="BG554" t="str">
        <f t="shared" si="88"/>
        <v>IA_4_1_A_KwotaA</v>
      </c>
    </row>
    <row r="555" spans="1:59" x14ac:dyDescent="0.3">
      <c r="A555" t="s">
        <v>2422</v>
      </c>
      <c r="B555" t="s">
        <v>2843</v>
      </c>
      <c r="AV555">
        <f t="shared" si="89"/>
        <v>7</v>
      </c>
      <c r="AW555">
        <f t="shared" si="90"/>
        <v>15</v>
      </c>
      <c r="AX555">
        <f t="shared" si="81"/>
        <v>34</v>
      </c>
      <c r="AY555">
        <f t="shared" si="82"/>
        <v>37</v>
      </c>
      <c r="AZ555">
        <f t="shared" si="83"/>
        <v>42</v>
      </c>
      <c r="BA555">
        <f t="shared" si="84"/>
        <v>49</v>
      </c>
      <c r="BB555">
        <f t="shared" si="85"/>
        <v>58</v>
      </c>
      <c r="BC555">
        <f t="shared" si="86"/>
        <v>58</v>
      </c>
      <c r="BD555">
        <f t="shared" si="87"/>
        <v>58</v>
      </c>
      <c r="BE555">
        <f>HLOOKUP(AV555-1,$AW$3:BD827,ROW(AV555)-2,0)</f>
        <v>49</v>
      </c>
      <c r="BF555">
        <f>HLOOKUP(AV555,$AW$3:BD827,ROW(AV555)-2,0)</f>
        <v>58</v>
      </c>
      <c r="BG555" t="str">
        <f t="shared" si="88"/>
        <v>IA_4_1_B_KwotaA</v>
      </c>
    </row>
    <row r="556" spans="1:59" x14ac:dyDescent="0.3">
      <c r="A556" t="s">
        <v>2424</v>
      </c>
      <c r="B556" t="s">
        <v>2844</v>
      </c>
      <c r="C556" s="18">
        <v>124604674.53</v>
      </c>
      <c r="AV556">
        <f t="shared" si="89"/>
        <v>6</v>
      </c>
      <c r="AW556">
        <f t="shared" si="90"/>
        <v>15</v>
      </c>
      <c r="AX556">
        <f t="shared" si="81"/>
        <v>34</v>
      </c>
      <c r="AY556">
        <f t="shared" si="82"/>
        <v>37</v>
      </c>
      <c r="AZ556">
        <f t="shared" si="83"/>
        <v>42</v>
      </c>
      <c r="BA556">
        <f t="shared" si="84"/>
        <v>49</v>
      </c>
      <c r="BB556">
        <f t="shared" si="85"/>
        <v>49</v>
      </c>
      <c r="BC556">
        <f t="shared" si="86"/>
        <v>49</v>
      </c>
      <c r="BD556">
        <f t="shared" si="87"/>
        <v>49</v>
      </c>
      <c r="BE556">
        <f>HLOOKUP(AV556-1,$AW$3:BD828,ROW(AV556)-2,0)</f>
        <v>42</v>
      </c>
      <c r="BF556">
        <f>HLOOKUP(AV556,$AW$3:BD828,ROW(AV556)-2,0)</f>
        <v>49</v>
      </c>
      <c r="BG556" t="str">
        <f t="shared" si="88"/>
        <v>IA_4_2_KwotaA</v>
      </c>
    </row>
    <row r="557" spans="1:59" x14ac:dyDescent="0.3">
      <c r="A557" t="s">
        <v>2426</v>
      </c>
      <c r="B557" t="s">
        <v>2845</v>
      </c>
      <c r="C557" s="18">
        <v>132781704.53</v>
      </c>
      <c r="AV557">
        <f t="shared" si="89"/>
        <v>5</v>
      </c>
      <c r="AW557">
        <f t="shared" si="90"/>
        <v>15</v>
      </c>
      <c r="AX557">
        <f t="shared" si="81"/>
        <v>34</v>
      </c>
      <c r="AY557">
        <f t="shared" si="82"/>
        <v>37</v>
      </c>
      <c r="AZ557">
        <f t="shared" si="83"/>
        <v>42</v>
      </c>
      <c r="BA557">
        <f t="shared" si="84"/>
        <v>42</v>
      </c>
      <c r="BB557">
        <f t="shared" si="85"/>
        <v>42</v>
      </c>
      <c r="BC557">
        <f t="shared" si="86"/>
        <v>42</v>
      </c>
      <c r="BD557">
        <f t="shared" si="87"/>
        <v>42</v>
      </c>
      <c r="BE557">
        <f>HLOOKUP(AV557-1,$AW$3:BD829,ROW(AV557)-2,0)</f>
        <v>37</v>
      </c>
      <c r="BF557">
        <f>HLOOKUP(AV557,$AW$3:BD829,ROW(AV557)-2,0)</f>
        <v>42</v>
      </c>
      <c r="BG557" t="str">
        <f t="shared" si="88"/>
        <v>IA_5_KwotaA</v>
      </c>
    </row>
    <row r="558" spans="1:59" x14ac:dyDescent="0.3">
      <c r="A558" t="s">
        <v>2428</v>
      </c>
      <c r="B558" t="s">
        <v>2846</v>
      </c>
      <c r="C558" s="18">
        <v>132781704.53</v>
      </c>
      <c r="AV558">
        <f t="shared" si="89"/>
        <v>6</v>
      </c>
      <c r="AW558">
        <f t="shared" si="90"/>
        <v>15</v>
      </c>
      <c r="AX558">
        <f t="shared" si="81"/>
        <v>34</v>
      </c>
      <c r="AY558">
        <f t="shared" si="82"/>
        <v>37</v>
      </c>
      <c r="AZ558">
        <f t="shared" si="83"/>
        <v>42</v>
      </c>
      <c r="BA558">
        <f t="shared" si="84"/>
        <v>49</v>
      </c>
      <c r="BB558">
        <f t="shared" si="85"/>
        <v>49</v>
      </c>
      <c r="BC558">
        <f t="shared" si="86"/>
        <v>49</v>
      </c>
      <c r="BD558">
        <f t="shared" si="87"/>
        <v>49</v>
      </c>
      <c r="BE558">
        <f>HLOOKUP(AV558-1,$AW$3:BD830,ROW(AV558)-2,0)</f>
        <v>42</v>
      </c>
      <c r="BF558">
        <f>HLOOKUP(AV558,$AW$3:BD830,ROW(AV558)-2,0)</f>
        <v>49</v>
      </c>
      <c r="BG558" t="str">
        <f t="shared" si="88"/>
        <v>IA_5_1_KwotaA</v>
      </c>
    </row>
    <row r="559" spans="1:59" x14ac:dyDescent="0.3">
      <c r="A559" t="s">
        <v>2430</v>
      </c>
      <c r="B559" t="s">
        <v>2847</v>
      </c>
      <c r="AV559">
        <f t="shared" si="89"/>
        <v>7</v>
      </c>
      <c r="AW559">
        <f t="shared" si="90"/>
        <v>15</v>
      </c>
      <c r="AX559">
        <f t="shared" si="81"/>
        <v>34</v>
      </c>
      <c r="AY559">
        <f t="shared" si="82"/>
        <v>37</v>
      </c>
      <c r="AZ559">
        <f t="shared" si="83"/>
        <v>42</v>
      </c>
      <c r="BA559">
        <f t="shared" si="84"/>
        <v>49</v>
      </c>
      <c r="BB559">
        <f t="shared" si="85"/>
        <v>58</v>
      </c>
      <c r="BC559">
        <f t="shared" si="86"/>
        <v>58</v>
      </c>
      <c r="BD559">
        <f t="shared" si="87"/>
        <v>58</v>
      </c>
      <c r="BE559">
        <f>HLOOKUP(AV559-1,$AW$3:BD831,ROW(AV559)-2,0)</f>
        <v>49</v>
      </c>
      <c r="BF559">
        <f>HLOOKUP(AV559,$AW$3:BD831,ROW(AV559)-2,0)</f>
        <v>58</v>
      </c>
      <c r="BG559" t="str">
        <f t="shared" si="88"/>
        <v>IA_5_1_1_KwotaA</v>
      </c>
    </row>
    <row r="560" spans="1:59" x14ac:dyDescent="0.3">
      <c r="A560" t="s">
        <v>2432</v>
      </c>
      <c r="B560" t="s">
        <v>2848</v>
      </c>
      <c r="AV560">
        <f t="shared" si="89"/>
        <v>7</v>
      </c>
      <c r="AW560">
        <f t="shared" si="90"/>
        <v>15</v>
      </c>
      <c r="AX560">
        <f t="shared" si="81"/>
        <v>34</v>
      </c>
      <c r="AY560">
        <f t="shared" si="82"/>
        <v>37</v>
      </c>
      <c r="AZ560">
        <f t="shared" si="83"/>
        <v>42</v>
      </c>
      <c r="BA560">
        <f t="shared" si="84"/>
        <v>49</v>
      </c>
      <c r="BB560">
        <f t="shared" si="85"/>
        <v>58</v>
      </c>
      <c r="BC560">
        <f t="shared" si="86"/>
        <v>58</v>
      </c>
      <c r="BD560">
        <f t="shared" si="87"/>
        <v>58</v>
      </c>
      <c r="BE560">
        <f>HLOOKUP(AV560-1,$AW$3:BD832,ROW(AV560)-2,0)</f>
        <v>49</v>
      </c>
      <c r="BF560">
        <f>HLOOKUP(AV560,$AW$3:BD832,ROW(AV560)-2,0)</f>
        <v>58</v>
      </c>
      <c r="BG560" t="str">
        <f t="shared" si="88"/>
        <v>IA_5_1_2_KwotaA</v>
      </c>
    </row>
    <row r="561" spans="1:59" x14ac:dyDescent="0.3">
      <c r="A561" t="s">
        <v>2434</v>
      </c>
      <c r="B561" t="s">
        <v>2849</v>
      </c>
      <c r="C561" s="18">
        <v>132781704.53</v>
      </c>
      <c r="AV561">
        <f t="shared" si="89"/>
        <v>6</v>
      </c>
      <c r="AW561">
        <f t="shared" si="90"/>
        <v>15</v>
      </c>
      <c r="AX561">
        <f t="shared" si="81"/>
        <v>34</v>
      </c>
      <c r="AY561">
        <f t="shared" si="82"/>
        <v>37</v>
      </c>
      <c r="AZ561">
        <f t="shared" si="83"/>
        <v>42</v>
      </c>
      <c r="BA561">
        <f t="shared" si="84"/>
        <v>49</v>
      </c>
      <c r="BB561">
        <f t="shared" si="85"/>
        <v>49</v>
      </c>
      <c r="BC561">
        <f t="shared" si="86"/>
        <v>49</v>
      </c>
      <c r="BD561">
        <f t="shared" si="87"/>
        <v>49</v>
      </c>
      <c r="BE561">
        <f>HLOOKUP(AV561-1,$AW$3:BD833,ROW(AV561)-2,0)</f>
        <v>42</v>
      </c>
      <c r="BF561">
        <f>HLOOKUP(AV561,$AW$3:BD833,ROW(AV561)-2,0)</f>
        <v>49</v>
      </c>
      <c r="BG561" t="str">
        <f t="shared" si="88"/>
        <v>IA_5_2_KwotaA</v>
      </c>
    </row>
    <row r="562" spans="1:59" x14ac:dyDescent="0.3">
      <c r="A562" t="s">
        <v>2436</v>
      </c>
      <c r="B562" t="s">
        <v>2850</v>
      </c>
      <c r="AV562">
        <f t="shared" si="89"/>
        <v>7</v>
      </c>
      <c r="AW562">
        <f t="shared" si="90"/>
        <v>15</v>
      </c>
      <c r="AX562">
        <f t="shared" si="81"/>
        <v>34</v>
      </c>
      <c r="AY562">
        <f t="shared" si="82"/>
        <v>37</v>
      </c>
      <c r="AZ562">
        <f t="shared" si="83"/>
        <v>42</v>
      </c>
      <c r="BA562">
        <f t="shared" si="84"/>
        <v>49</v>
      </c>
      <c r="BB562">
        <f t="shared" si="85"/>
        <v>58</v>
      </c>
      <c r="BC562">
        <f t="shared" si="86"/>
        <v>58</v>
      </c>
      <c r="BD562">
        <f t="shared" si="87"/>
        <v>58</v>
      </c>
      <c r="BE562">
        <f>HLOOKUP(AV562-1,$AW$3:BD834,ROW(AV562)-2,0)</f>
        <v>49</v>
      </c>
      <c r="BF562">
        <f>HLOOKUP(AV562,$AW$3:BD834,ROW(AV562)-2,0)</f>
        <v>58</v>
      </c>
      <c r="BG562" t="str">
        <f t="shared" si="88"/>
        <v>IA_5_2_A_KwotaA</v>
      </c>
    </row>
    <row r="563" spans="1:59" x14ac:dyDescent="0.3">
      <c r="A563" t="s">
        <v>2438</v>
      </c>
      <c r="B563" t="s">
        <v>2851</v>
      </c>
      <c r="AV563">
        <f t="shared" si="89"/>
        <v>8</v>
      </c>
      <c r="AW563">
        <f t="shared" si="90"/>
        <v>15</v>
      </c>
      <c r="AX563">
        <f t="shared" si="81"/>
        <v>34</v>
      </c>
      <c r="AY563">
        <f t="shared" si="82"/>
        <v>37</v>
      </c>
      <c r="AZ563">
        <f t="shared" si="83"/>
        <v>42</v>
      </c>
      <c r="BA563">
        <f t="shared" si="84"/>
        <v>49</v>
      </c>
      <c r="BB563">
        <f t="shared" si="85"/>
        <v>58</v>
      </c>
      <c r="BC563">
        <f t="shared" si="86"/>
        <v>69</v>
      </c>
      <c r="BD563">
        <f t="shared" si="87"/>
        <v>69</v>
      </c>
      <c r="BE563">
        <f>HLOOKUP(AV563-1,$AW$3:BD835,ROW(AV563)-2,0)</f>
        <v>58</v>
      </c>
      <c r="BF563">
        <f>HLOOKUP(AV563,$AW$3:BD835,ROW(AV563)-2,0)</f>
        <v>69</v>
      </c>
      <c r="BG563" t="str">
        <f t="shared" si="88"/>
        <v>IA_5_2_A_1_KwotaA</v>
      </c>
    </row>
    <row r="564" spans="1:59" x14ac:dyDescent="0.3">
      <c r="A564" t="s">
        <v>2440</v>
      </c>
      <c r="B564" t="s">
        <v>2852</v>
      </c>
      <c r="C564" s="18">
        <v>-132781704.53</v>
      </c>
      <c r="AV564">
        <f t="shared" si="89"/>
        <v>7</v>
      </c>
      <c r="AW564">
        <f t="shared" si="90"/>
        <v>15</v>
      </c>
      <c r="AX564">
        <f t="shared" si="81"/>
        <v>34</v>
      </c>
      <c r="AY564">
        <f t="shared" si="82"/>
        <v>37</v>
      </c>
      <c r="AZ564">
        <f t="shared" si="83"/>
        <v>42</v>
      </c>
      <c r="BA564">
        <f t="shared" si="84"/>
        <v>49</v>
      </c>
      <c r="BB564">
        <f t="shared" si="85"/>
        <v>58</v>
      </c>
      <c r="BC564">
        <f t="shared" si="86"/>
        <v>58</v>
      </c>
      <c r="BD564">
        <f t="shared" si="87"/>
        <v>58</v>
      </c>
      <c r="BE564">
        <f>HLOOKUP(AV564-1,$AW$3:BD836,ROW(AV564)-2,0)</f>
        <v>49</v>
      </c>
      <c r="BF564">
        <f>HLOOKUP(AV564,$AW$3:BD836,ROW(AV564)-2,0)</f>
        <v>58</v>
      </c>
      <c r="BG564" t="str">
        <f t="shared" si="88"/>
        <v>IA_5_2_B_KwotaA</v>
      </c>
    </row>
    <row r="565" spans="1:59" x14ac:dyDescent="0.3">
      <c r="A565" t="s">
        <v>2442</v>
      </c>
      <c r="B565" t="s">
        <v>2853</v>
      </c>
      <c r="AV565">
        <f t="shared" si="89"/>
        <v>6</v>
      </c>
      <c r="AW565">
        <f t="shared" si="90"/>
        <v>15</v>
      </c>
      <c r="AX565">
        <f t="shared" si="81"/>
        <v>34</v>
      </c>
      <c r="AY565">
        <f t="shared" si="82"/>
        <v>37</v>
      </c>
      <c r="AZ565">
        <f t="shared" si="83"/>
        <v>42</v>
      </c>
      <c r="BA565">
        <f t="shared" si="84"/>
        <v>49</v>
      </c>
      <c r="BB565">
        <f t="shared" si="85"/>
        <v>49</v>
      </c>
      <c r="BC565">
        <f t="shared" si="86"/>
        <v>49</v>
      </c>
      <c r="BD565">
        <f t="shared" si="87"/>
        <v>49</v>
      </c>
      <c r="BE565">
        <f>HLOOKUP(AV565-1,$AW$3:BD837,ROW(AV565)-2,0)</f>
        <v>42</v>
      </c>
      <c r="BF565">
        <f>HLOOKUP(AV565,$AW$3:BD837,ROW(AV565)-2,0)</f>
        <v>49</v>
      </c>
      <c r="BG565" t="str">
        <f t="shared" si="88"/>
        <v>IA_5_3_KwotaA</v>
      </c>
    </row>
    <row r="566" spans="1:59" x14ac:dyDescent="0.3">
      <c r="A566" t="s">
        <v>2444</v>
      </c>
      <c r="B566" t="s">
        <v>2854</v>
      </c>
      <c r="AV566">
        <f t="shared" si="89"/>
        <v>6</v>
      </c>
      <c r="AW566">
        <f t="shared" si="90"/>
        <v>15</v>
      </c>
      <c r="AX566">
        <f t="shared" si="81"/>
        <v>34</v>
      </c>
      <c r="AY566">
        <f t="shared" si="82"/>
        <v>37</v>
      </c>
      <c r="AZ566">
        <f t="shared" si="83"/>
        <v>42</v>
      </c>
      <c r="BA566">
        <f t="shared" si="84"/>
        <v>49</v>
      </c>
      <c r="BB566">
        <f t="shared" si="85"/>
        <v>49</v>
      </c>
      <c r="BC566">
        <f t="shared" si="86"/>
        <v>49</v>
      </c>
      <c r="BD566">
        <f t="shared" si="87"/>
        <v>49</v>
      </c>
      <c r="BE566">
        <f>HLOOKUP(AV566-1,$AW$3:BD838,ROW(AV566)-2,0)</f>
        <v>42</v>
      </c>
      <c r="BF566">
        <f>HLOOKUP(AV566,$AW$3:BD838,ROW(AV566)-2,0)</f>
        <v>49</v>
      </c>
      <c r="BG566" t="str">
        <f t="shared" si="88"/>
        <v>IA_5_4_KwotaA</v>
      </c>
    </row>
    <row r="567" spans="1:59" x14ac:dyDescent="0.3">
      <c r="A567" t="s">
        <v>2446</v>
      </c>
      <c r="B567" t="s">
        <v>2855</v>
      </c>
      <c r="AV567">
        <f t="shared" si="89"/>
        <v>7</v>
      </c>
      <c r="AW567">
        <f t="shared" si="90"/>
        <v>15</v>
      </c>
      <c r="AX567">
        <f t="shared" si="81"/>
        <v>34</v>
      </c>
      <c r="AY567">
        <f t="shared" si="82"/>
        <v>37</v>
      </c>
      <c r="AZ567">
        <f t="shared" si="83"/>
        <v>42</v>
      </c>
      <c r="BA567">
        <f t="shared" si="84"/>
        <v>49</v>
      </c>
      <c r="BB567">
        <f t="shared" si="85"/>
        <v>58</v>
      </c>
      <c r="BC567">
        <f t="shared" si="86"/>
        <v>58</v>
      </c>
      <c r="BD567">
        <f t="shared" si="87"/>
        <v>58</v>
      </c>
      <c r="BE567">
        <f>HLOOKUP(AV567-1,$AW$3:BD839,ROW(AV567)-2,0)</f>
        <v>49</v>
      </c>
      <c r="BF567">
        <f>HLOOKUP(AV567,$AW$3:BD839,ROW(AV567)-2,0)</f>
        <v>58</v>
      </c>
      <c r="BG567" t="str">
        <f t="shared" si="88"/>
        <v>IA_5_4_1_KwotaA</v>
      </c>
    </row>
    <row r="568" spans="1:59" x14ac:dyDescent="0.3">
      <c r="A568" t="s">
        <v>2448</v>
      </c>
      <c r="B568" t="s">
        <v>2856</v>
      </c>
      <c r="AV568">
        <f t="shared" si="89"/>
        <v>7</v>
      </c>
      <c r="AW568">
        <f t="shared" si="90"/>
        <v>15</v>
      </c>
      <c r="AX568">
        <f t="shared" si="81"/>
        <v>34</v>
      </c>
      <c r="AY568">
        <f t="shared" si="82"/>
        <v>37</v>
      </c>
      <c r="AZ568">
        <f t="shared" si="83"/>
        <v>42</v>
      </c>
      <c r="BA568">
        <f t="shared" si="84"/>
        <v>49</v>
      </c>
      <c r="BB568">
        <f t="shared" si="85"/>
        <v>58</v>
      </c>
      <c r="BC568">
        <f t="shared" si="86"/>
        <v>58</v>
      </c>
      <c r="BD568">
        <f t="shared" si="87"/>
        <v>58</v>
      </c>
      <c r="BE568">
        <f>HLOOKUP(AV568-1,$AW$3:BD840,ROW(AV568)-2,0)</f>
        <v>49</v>
      </c>
      <c r="BF568">
        <f>HLOOKUP(AV568,$AW$3:BD840,ROW(AV568)-2,0)</f>
        <v>58</v>
      </c>
      <c r="BG568" t="str">
        <f t="shared" si="88"/>
        <v>IA_5_4_2_KwotaA</v>
      </c>
    </row>
    <row r="569" spans="1:59" x14ac:dyDescent="0.3">
      <c r="A569" t="s">
        <v>2450</v>
      </c>
      <c r="B569" t="s">
        <v>2857</v>
      </c>
      <c r="AV569">
        <f t="shared" si="89"/>
        <v>6</v>
      </c>
      <c r="AW569">
        <f t="shared" si="90"/>
        <v>15</v>
      </c>
      <c r="AX569">
        <f t="shared" si="81"/>
        <v>34</v>
      </c>
      <c r="AY569">
        <f t="shared" si="82"/>
        <v>37</v>
      </c>
      <c r="AZ569">
        <f t="shared" si="83"/>
        <v>42</v>
      </c>
      <c r="BA569">
        <f t="shared" si="84"/>
        <v>49</v>
      </c>
      <c r="BB569">
        <f t="shared" si="85"/>
        <v>49</v>
      </c>
      <c r="BC569">
        <f t="shared" si="86"/>
        <v>49</v>
      </c>
      <c r="BD569">
        <f t="shared" si="87"/>
        <v>49</v>
      </c>
      <c r="BE569">
        <f>HLOOKUP(AV569-1,$AW$3:BD841,ROW(AV569)-2,0)</f>
        <v>42</v>
      </c>
      <c r="BF569">
        <f>HLOOKUP(AV569,$AW$3:BD841,ROW(AV569)-2,0)</f>
        <v>49</v>
      </c>
      <c r="BG569" t="str">
        <f t="shared" si="88"/>
        <v>IA_5_5_KwotaA</v>
      </c>
    </row>
    <row r="570" spans="1:59" x14ac:dyDescent="0.3">
      <c r="A570" t="s">
        <v>2452</v>
      </c>
      <c r="B570" t="s">
        <v>2858</v>
      </c>
      <c r="AV570">
        <f t="shared" si="89"/>
        <v>7</v>
      </c>
      <c r="AW570">
        <f t="shared" si="90"/>
        <v>15</v>
      </c>
      <c r="AX570">
        <f t="shared" si="81"/>
        <v>34</v>
      </c>
      <c r="AY570">
        <f t="shared" si="82"/>
        <v>37</v>
      </c>
      <c r="AZ570">
        <f t="shared" si="83"/>
        <v>42</v>
      </c>
      <c r="BA570">
        <f t="shared" si="84"/>
        <v>49</v>
      </c>
      <c r="BB570">
        <f t="shared" si="85"/>
        <v>58</v>
      </c>
      <c r="BC570">
        <f t="shared" si="86"/>
        <v>58</v>
      </c>
      <c r="BD570">
        <f t="shared" si="87"/>
        <v>58</v>
      </c>
      <c r="BE570">
        <f>HLOOKUP(AV570-1,$AW$3:BD842,ROW(AV570)-2,0)</f>
        <v>49</v>
      </c>
      <c r="BF570">
        <f>HLOOKUP(AV570,$AW$3:BD842,ROW(AV570)-2,0)</f>
        <v>58</v>
      </c>
      <c r="BG570" t="str">
        <f t="shared" si="88"/>
        <v>IA_5_5_A_KwotaA</v>
      </c>
    </row>
    <row r="571" spans="1:59" x14ac:dyDescent="0.3">
      <c r="A571" t="s">
        <v>2454</v>
      </c>
      <c r="B571" t="s">
        <v>2859</v>
      </c>
      <c r="AV571">
        <f t="shared" si="89"/>
        <v>8</v>
      </c>
      <c r="AW571">
        <f t="shared" si="90"/>
        <v>15</v>
      </c>
      <c r="AX571">
        <f t="shared" si="81"/>
        <v>34</v>
      </c>
      <c r="AY571">
        <f t="shared" si="82"/>
        <v>37</v>
      </c>
      <c r="AZ571">
        <f t="shared" si="83"/>
        <v>42</v>
      </c>
      <c r="BA571">
        <f t="shared" si="84"/>
        <v>49</v>
      </c>
      <c r="BB571">
        <f t="shared" si="85"/>
        <v>58</v>
      </c>
      <c r="BC571">
        <f t="shared" si="86"/>
        <v>69</v>
      </c>
      <c r="BD571">
        <f t="shared" si="87"/>
        <v>69</v>
      </c>
      <c r="BE571">
        <f>HLOOKUP(AV571-1,$AW$3:BD843,ROW(AV571)-2,0)</f>
        <v>58</v>
      </c>
      <c r="BF571">
        <f>HLOOKUP(AV571,$AW$3:BD843,ROW(AV571)-2,0)</f>
        <v>69</v>
      </c>
      <c r="BG571" t="str">
        <f t="shared" si="88"/>
        <v>IA_5_5_A_1_KwotaA</v>
      </c>
    </row>
    <row r="572" spans="1:59" x14ac:dyDescent="0.3">
      <c r="A572" t="s">
        <v>2456</v>
      </c>
      <c r="B572" t="s">
        <v>2860</v>
      </c>
      <c r="AV572">
        <f t="shared" si="89"/>
        <v>7</v>
      </c>
      <c r="AW572">
        <f t="shared" si="90"/>
        <v>15</v>
      </c>
      <c r="AX572">
        <f t="shared" si="81"/>
        <v>34</v>
      </c>
      <c r="AY572">
        <f t="shared" si="82"/>
        <v>37</v>
      </c>
      <c r="AZ572">
        <f t="shared" si="83"/>
        <v>42</v>
      </c>
      <c r="BA572">
        <f t="shared" si="84"/>
        <v>49</v>
      </c>
      <c r="BB572">
        <f t="shared" si="85"/>
        <v>58</v>
      </c>
      <c r="BC572">
        <f t="shared" si="86"/>
        <v>58</v>
      </c>
      <c r="BD572">
        <f t="shared" si="87"/>
        <v>58</v>
      </c>
      <c r="BE572">
        <f>HLOOKUP(AV572-1,$AW$3:BD844,ROW(AV572)-2,0)</f>
        <v>49</v>
      </c>
      <c r="BF572">
        <f>HLOOKUP(AV572,$AW$3:BD844,ROW(AV572)-2,0)</f>
        <v>58</v>
      </c>
      <c r="BG572" t="str">
        <f t="shared" si="88"/>
        <v>IA_5_5_B_KwotaA</v>
      </c>
    </row>
    <row r="573" spans="1:59" x14ac:dyDescent="0.3">
      <c r="A573" t="s">
        <v>2458</v>
      </c>
      <c r="B573" t="s">
        <v>2861</v>
      </c>
      <c r="AV573">
        <f t="shared" si="89"/>
        <v>6</v>
      </c>
      <c r="AW573">
        <f t="shared" si="90"/>
        <v>15</v>
      </c>
      <c r="AX573">
        <f t="shared" si="81"/>
        <v>34</v>
      </c>
      <c r="AY573">
        <f t="shared" si="82"/>
        <v>37</v>
      </c>
      <c r="AZ573">
        <f t="shared" si="83"/>
        <v>42</v>
      </c>
      <c r="BA573">
        <f t="shared" si="84"/>
        <v>49</v>
      </c>
      <c r="BB573">
        <f t="shared" si="85"/>
        <v>49</v>
      </c>
      <c r="BC573">
        <f t="shared" si="86"/>
        <v>49</v>
      </c>
      <c r="BD573">
        <f t="shared" si="87"/>
        <v>49</v>
      </c>
      <c r="BE573">
        <f>HLOOKUP(AV573-1,$AW$3:BD845,ROW(AV573)-2,0)</f>
        <v>42</v>
      </c>
      <c r="BF573">
        <f>HLOOKUP(AV573,$AW$3:BD845,ROW(AV573)-2,0)</f>
        <v>49</v>
      </c>
      <c r="BG573" t="str">
        <f t="shared" si="88"/>
        <v>IA_5_6_KwotaA</v>
      </c>
    </row>
    <row r="574" spans="1:59" x14ac:dyDescent="0.3">
      <c r="A574" t="s">
        <v>2460</v>
      </c>
      <c r="B574" t="s">
        <v>2862</v>
      </c>
      <c r="AV574">
        <f t="shared" si="89"/>
        <v>6</v>
      </c>
      <c r="AW574">
        <f t="shared" si="90"/>
        <v>15</v>
      </c>
      <c r="AX574">
        <f t="shared" si="81"/>
        <v>34</v>
      </c>
      <c r="AY574">
        <f t="shared" si="82"/>
        <v>37</v>
      </c>
      <c r="AZ574">
        <f t="shared" si="83"/>
        <v>42</v>
      </c>
      <c r="BA574">
        <f t="shared" si="84"/>
        <v>49</v>
      </c>
      <c r="BB574">
        <f t="shared" si="85"/>
        <v>49</v>
      </c>
      <c r="BC574">
        <f t="shared" si="86"/>
        <v>49</v>
      </c>
      <c r="BD574">
        <f t="shared" si="87"/>
        <v>49</v>
      </c>
      <c r="BE574">
        <f>HLOOKUP(AV574-1,$AW$3:BD846,ROW(AV574)-2,0)</f>
        <v>42</v>
      </c>
      <c r="BF574">
        <f>HLOOKUP(AV574,$AW$3:BD846,ROW(AV574)-2,0)</f>
        <v>49</v>
      </c>
      <c r="BG574" t="str">
        <f t="shared" si="88"/>
        <v>IA_5_7_KwotaA</v>
      </c>
    </row>
    <row r="575" spans="1:59" x14ac:dyDescent="0.3">
      <c r="A575" t="s">
        <v>2462</v>
      </c>
      <c r="B575" t="s">
        <v>2863</v>
      </c>
      <c r="C575" s="18">
        <v>66488815.450000003</v>
      </c>
      <c r="AV575">
        <f t="shared" si="89"/>
        <v>5</v>
      </c>
      <c r="AW575">
        <f t="shared" si="90"/>
        <v>15</v>
      </c>
      <c r="AX575">
        <f t="shared" si="81"/>
        <v>34</v>
      </c>
      <c r="AY575">
        <f t="shared" si="82"/>
        <v>37</v>
      </c>
      <c r="AZ575">
        <f t="shared" si="83"/>
        <v>42</v>
      </c>
      <c r="BA575">
        <f t="shared" si="84"/>
        <v>42</v>
      </c>
      <c r="BB575">
        <f t="shared" si="85"/>
        <v>42</v>
      </c>
      <c r="BC575">
        <f t="shared" si="86"/>
        <v>42</v>
      </c>
      <c r="BD575">
        <f t="shared" si="87"/>
        <v>42</v>
      </c>
      <c r="BE575">
        <f>HLOOKUP(AV575-1,$AW$3:BD847,ROW(AV575)-2,0)</f>
        <v>37</v>
      </c>
      <c r="BF575">
        <f>HLOOKUP(AV575,$AW$3:BD847,ROW(AV575)-2,0)</f>
        <v>42</v>
      </c>
      <c r="BG575" t="str">
        <f t="shared" si="88"/>
        <v>IA_6_KwotaA</v>
      </c>
    </row>
    <row r="576" spans="1:59" x14ac:dyDescent="0.3">
      <c r="A576" t="s">
        <v>2464</v>
      </c>
      <c r="B576" t="s">
        <v>2864</v>
      </c>
      <c r="C576" s="18">
        <v>66488815.450000003</v>
      </c>
      <c r="AV576">
        <f t="shared" si="89"/>
        <v>6</v>
      </c>
      <c r="AW576">
        <f t="shared" si="90"/>
        <v>15</v>
      </c>
      <c r="AX576">
        <f t="shared" si="81"/>
        <v>34</v>
      </c>
      <c r="AY576">
        <f t="shared" si="82"/>
        <v>37</v>
      </c>
      <c r="AZ576">
        <f t="shared" si="83"/>
        <v>42</v>
      </c>
      <c r="BA576">
        <f t="shared" si="84"/>
        <v>49</v>
      </c>
      <c r="BB576">
        <f t="shared" si="85"/>
        <v>49</v>
      </c>
      <c r="BC576">
        <f t="shared" si="86"/>
        <v>49</v>
      </c>
      <c r="BD576">
        <f t="shared" si="87"/>
        <v>49</v>
      </c>
      <c r="BE576">
        <f>HLOOKUP(AV576-1,$AW$3:BD848,ROW(AV576)-2,0)</f>
        <v>42</v>
      </c>
      <c r="BF576">
        <f>HLOOKUP(AV576,$AW$3:BD848,ROW(AV576)-2,0)</f>
        <v>49</v>
      </c>
      <c r="BG576" t="str">
        <f t="shared" si="88"/>
        <v>IA_6_A_KwotaA</v>
      </c>
    </row>
    <row r="577" spans="1:59" x14ac:dyDescent="0.3">
      <c r="A577" t="s">
        <v>2466</v>
      </c>
      <c r="B577" t="s">
        <v>2865</v>
      </c>
      <c r="AV577">
        <f t="shared" si="89"/>
        <v>6</v>
      </c>
      <c r="AW577">
        <f t="shared" si="90"/>
        <v>15</v>
      </c>
      <c r="AX577">
        <f t="shared" si="81"/>
        <v>34</v>
      </c>
      <c r="AY577">
        <f t="shared" si="82"/>
        <v>37</v>
      </c>
      <c r="AZ577">
        <f t="shared" si="83"/>
        <v>42</v>
      </c>
      <c r="BA577">
        <f t="shared" si="84"/>
        <v>49</v>
      </c>
      <c r="BB577">
        <f t="shared" si="85"/>
        <v>49</v>
      </c>
      <c r="BC577">
        <f t="shared" si="86"/>
        <v>49</v>
      </c>
      <c r="BD577">
        <f t="shared" si="87"/>
        <v>49</v>
      </c>
      <c r="BE577">
        <f>HLOOKUP(AV577-1,$AW$3:BD849,ROW(AV577)-2,0)</f>
        <v>42</v>
      </c>
      <c r="BF577">
        <f>HLOOKUP(AV577,$AW$3:BD849,ROW(AV577)-2,0)</f>
        <v>49</v>
      </c>
      <c r="BG577" t="str">
        <f t="shared" si="88"/>
        <v>IA_6_B_KwotaA</v>
      </c>
    </row>
    <row r="578" spans="1:59" x14ac:dyDescent="0.3">
      <c r="A578" t="s">
        <v>2468</v>
      </c>
      <c r="B578" t="s">
        <v>2866</v>
      </c>
      <c r="AV578">
        <f t="shared" si="89"/>
        <v>6</v>
      </c>
      <c r="AW578">
        <f t="shared" si="90"/>
        <v>15</v>
      </c>
      <c r="AX578">
        <f t="shared" si="81"/>
        <v>34</v>
      </c>
      <c r="AY578">
        <f t="shared" si="82"/>
        <v>37</v>
      </c>
      <c r="AZ578">
        <f t="shared" si="83"/>
        <v>42</v>
      </c>
      <c r="BA578">
        <f t="shared" si="84"/>
        <v>49</v>
      </c>
      <c r="BB578">
        <f t="shared" si="85"/>
        <v>49</v>
      </c>
      <c r="BC578">
        <f t="shared" si="86"/>
        <v>49</v>
      </c>
      <c r="BD578">
        <f t="shared" si="87"/>
        <v>49</v>
      </c>
      <c r="BE578">
        <f>HLOOKUP(AV578-1,$AW$3:BD850,ROW(AV578)-2,0)</f>
        <v>42</v>
      </c>
      <c r="BF578">
        <f>HLOOKUP(AV578,$AW$3:BD850,ROW(AV578)-2,0)</f>
        <v>49</v>
      </c>
      <c r="BG578" t="str">
        <f t="shared" si="88"/>
        <v>IA_6_C_KwotaA</v>
      </c>
    </row>
    <row r="579" spans="1:59" x14ac:dyDescent="0.3">
      <c r="A579" t="s">
        <v>2470</v>
      </c>
      <c r="B579" t="s">
        <v>2867</v>
      </c>
      <c r="C579" s="18">
        <v>335859972.45999998</v>
      </c>
      <c r="AV579">
        <f t="shared" si="89"/>
        <v>4</v>
      </c>
      <c r="AW579">
        <f t="shared" si="90"/>
        <v>15</v>
      </c>
      <c r="AX579">
        <f t="shared" si="81"/>
        <v>34</v>
      </c>
      <c r="AY579">
        <f t="shared" si="82"/>
        <v>37</v>
      </c>
      <c r="AZ579">
        <f t="shared" si="83"/>
        <v>37</v>
      </c>
      <c r="BA579">
        <f t="shared" si="84"/>
        <v>37</v>
      </c>
      <c r="BB579">
        <f t="shared" si="85"/>
        <v>37</v>
      </c>
      <c r="BC579">
        <f t="shared" si="86"/>
        <v>37</v>
      </c>
      <c r="BD579">
        <f t="shared" si="87"/>
        <v>37</v>
      </c>
      <c r="BE579">
        <f>HLOOKUP(AV579-1,$AW$3:BD851,ROW(AV579)-2,0)</f>
        <v>34</v>
      </c>
      <c r="BF579">
        <f>HLOOKUP(AV579,$AW$3:BD851,ROW(AV579)-2,0)</f>
        <v>37</v>
      </c>
      <c r="BG579" t="str">
        <f t="shared" si="88"/>
        <v>II_KwotaA</v>
      </c>
    </row>
    <row r="580" spans="1:59" x14ac:dyDescent="0.3">
      <c r="A580" t="s">
        <v>2472</v>
      </c>
      <c r="B580" t="s">
        <v>2868</v>
      </c>
      <c r="C580" s="18">
        <v>335859972.45999998</v>
      </c>
      <c r="AV580">
        <f t="shared" si="89"/>
        <v>4</v>
      </c>
      <c r="AW580">
        <f t="shared" si="90"/>
        <v>15</v>
      </c>
      <c r="AX580">
        <f t="shared" ref="AX580:AX643" si="91">FIND("/",B580,AW580+1)</f>
        <v>34</v>
      </c>
      <c r="AY580">
        <f t="shared" ref="AY580:AY643" si="92">IFERROR(FIND("/",B580,AX580+1),AX580)</f>
        <v>38</v>
      </c>
      <c r="AZ580">
        <f t="shared" ref="AZ580:AZ643" si="93">IFERROR(FIND("/",B580,AY580+1),AY580)</f>
        <v>38</v>
      </c>
      <c r="BA580">
        <f t="shared" ref="BA580:BA643" si="94">IFERROR(FIND("/",B580,AZ580+1),AZ580)</f>
        <v>38</v>
      </c>
      <c r="BB580">
        <f t="shared" ref="BB580:BB643" si="95">IFERROR(FIND("/",B580,BA580+1),BA580)</f>
        <v>38</v>
      </c>
      <c r="BC580">
        <f t="shared" ref="BC580:BC643" si="96">IFERROR(FIND("/",B580,BB580+1),BB580)</f>
        <v>38</v>
      </c>
      <c r="BD580">
        <f t="shared" ref="BD580:BD643" si="97">IFERROR(FIND("/",B580,BC580+1),BC580)</f>
        <v>38</v>
      </c>
      <c r="BE580">
        <f>HLOOKUP(AV580-1,$AW$3:BD852,ROW(AV580)-2,0)</f>
        <v>34</v>
      </c>
      <c r="BF580">
        <f>HLOOKUP(AV580,$AW$3:BD852,ROW(AV580)-2,0)</f>
        <v>38</v>
      </c>
      <c r="BG580" t="str">
        <f t="shared" ref="BG580:BG643" si="98">IF(ISERROR(FIND("Kwota",B580)),IF(ISERROR(FIND("Prawna",B580)),MID(B580,BF580+1,LEN(B580)-BF580),REPLACE(MID(B580,BE580+1,LEN(B580)-BE580),FIND("/",MID(B580,BE580+1,LEN(B580)-BE580)),1,"_")),REPLACE(MID(B580,BE580+1,LEN(B580)-BE580),FIND("/",MID(B580,BE580+1,LEN(B580)-BE580)),1,"_"))</f>
        <v>III_KwotaA</v>
      </c>
    </row>
    <row r="581" spans="1:59" x14ac:dyDescent="0.3">
      <c r="A581" t="s">
        <v>2474</v>
      </c>
      <c r="B581" t="s">
        <v>2869</v>
      </c>
      <c r="C581" s="18">
        <v>1351204.72</v>
      </c>
      <c r="AV581">
        <f t="shared" si="89"/>
        <v>5</v>
      </c>
      <c r="AW581">
        <f t="shared" si="90"/>
        <v>15</v>
      </c>
      <c r="AX581">
        <f t="shared" si="91"/>
        <v>30</v>
      </c>
      <c r="AY581">
        <f t="shared" si="92"/>
        <v>44</v>
      </c>
      <c r="AZ581">
        <f t="shared" si="93"/>
        <v>46</v>
      </c>
      <c r="BA581">
        <f t="shared" si="94"/>
        <v>46</v>
      </c>
      <c r="BB581">
        <f t="shared" si="95"/>
        <v>46</v>
      </c>
      <c r="BC581">
        <f t="shared" si="96"/>
        <v>46</v>
      </c>
      <c r="BD581">
        <f t="shared" si="97"/>
        <v>46</v>
      </c>
      <c r="BE581">
        <f>HLOOKUP(AV581-1,$AW$3:BD853,ROW(AV581)-2,0)</f>
        <v>44</v>
      </c>
      <c r="BF581">
        <f>HLOOKUP(AV581,$AW$3:BD853,ROW(AV581)-2,0)</f>
        <v>46</v>
      </c>
      <c r="BG581" t="str">
        <f t="shared" si="98"/>
        <v>A_KwotaA</v>
      </c>
    </row>
    <row r="582" spans="1:59" x14ac:dyDescent="0.3">
      <c r="A582" t="s">
        <v>2476</v>
      </c>
      <c r="B582" t="s">
        <v>2870</v>
      </c>
      <c r="C582" s="18">
        <v>66488815.450000003</v>
      </c>
      <c r="AV582">
        <f t="shared" si="89"/>
        <v>6</v>
      </c>
      <c r="AW582">
        <f t="shared" si="90"/>
        <v>15</v>
      </c>
      <c r="AX582">
        <f t="shared" si="91"/>
        <v>30</v>
      </c>
      <c r="AY582">
        <f t="shared" si="92"/>
        <v>44</v>
      </c>
      <c r="AZ582">
        <f t="shared" si="93"/>
        <v>46</v>
      </c>
      <c r="BA582">
        <f t="shared" si="94"/>
        <v>50</v>
      </c>
      <c r="BB582">
        <f t="shared" si="95"/>
        <v>50</v>
      </c>
      <c r="BC582">
        <f t="shared" si="96"/>
        <v>50</v>
      </c>
      <c r="BD582">
        <f t="shared" si="97"/>
        <v>50</v>
      </c>
      <c r="BE582">
        <f>HLOOKUP(AV582-1,$AW$3:BD854,ROW(AV582)-2,0)</f>
        <v>46</v>
      </c>
      <c r="BF582">
        <f>HLOOKUP(AV582,$AW$3:BD854,ROW(AV582)-2,0)</f>
        <v>50</v>
      </c>
      <c r="BG582" t="str">
        <f t="shared" si="98"/>
        <v>A_I_KwotaA</v>
      </c>
    </row>
    <row r="583" spans="1:59" x14ac:dyDescent="0.3">
      <c r="A583" t="s">
        <v>2478</v>
      </c>
      <c r="B583" t="s">
        <v>2871</v>
      </c>
      <c r="C583" s="18">
        <v>-65137610.729999997</v>
      </c>
      <c r="AV583">
        <f t="shared" si="89"/>
        <v>6</v>
      </c>
      <c r="AW583">
        <f t="shared" si="90"/>
        <v>15</v>
      </c>
      <c r="AX583">
        <f t="shared" si="91"/>
        <v>30</v>
      </c>
      <c r="AY583">
        <f t="shared" si="92"/>
        <v>44</v>
      </c>
      <c r="AZ583">
        <f t="shared" si="93"/>
        <v>46</v>
      </c>
      <c r="BA583">
        <f t="shared" si="94"/>
        <v>51</v>
      </c>
      <c r="BB583">
        <f t="shared" si="95"/>
        <v>51</v>
      </c>
      <c r="BC583">
        <f t="shared" si="96"/>
        <v>51</v>
      </c>
      <c r="BD583">
        <f t="shared" si="97"/>
        <v>51</v>
      </c>
      <c r="BE583">
        <f>HLOOKUP(AV583-1,$AW$3:BD855,ROW(AV583)-2,0)</f>
        <v>46</v>
      </c>
      <c r="BF583">
        <f>HLOOKUP(AV583,$AW$3:BD855,ROW(AV583)-2,0)</f>
        <v>51</v>
      </c>
      <c r="BG583" t="str">
        <f t="shared" si="98"/>
        <v>A_II_KwotaA</v>
      </c>
    </row>
    <row r="584" spans="1:59" x14ac:dyDescent="0.3">
      <c r="A584" t="s">
        <v>2480</v>
      </c>
      <c r="B584" t="s">
        <v>2872</v>
      </c>
      <c r="AV584">
        <f t="shared" ref="AV584:AV651" si="99" xml:space="preserve"> SUM(LEN(B584)-LEN(SUBSTITUTE(B584,"/","")))/LEN("/")</f>
        <v>7</v>
      </c>
      <c r="AW584">
        <f t="shared" ref="AW584:AW651" si="100">FIND("/",B584,2)</f>
        <v>15</v>
      </c>
      <c r="AX584">
        <f t="shared" si="91"/>
        <v>30</v>
      </c>
      <c r="AY584">
        <f t="shared" si="92"/>
        <v>44</v>
      </c>
      <c r="AZ584">
        <f t="shared" si="93"/>
        <v>46</v>
      </c>
      <c r="BA584">
        <f t="shared" si="94"/>
        <v>51</v>
      </c>
      <c r="BB584">
        <f t="shared" si="95"/>
        <v>58</v>
      </c>
      <c r="BC584">
        <f t="shared" si="96"/>
        <v>58</v>
      </c>
      <c r="BD584">
        <f t="shared" si="97"/>
        <v>58</v>
      </c>
      <c r="BE584">
        <f>HLOOKUP(AV584-1,$AW$3:BD856,ROW(AV584)-2,0)</f>
        <v>51</v>
      </c>
      <c r="BF584">
        <f>HLOOKUP(AV584,$AW$3:BD856,ROW(AV584)-2,0)</f>
        <v>58</v>
      </c>
      <c r="BG584" t="str">
        <f t="shared" si="98"/>
        <v>A_II_1_KwotaA</v>
      </c>
    </row>
    <row r="585" spans="1:59" x14ac:dyDescent="0.3">
      <c r="A585" t="s">
        <v>2482</v>
      </c>
      <c r="B585" t="s">
        <v>2873</v>
      </c>
      <c r="C585" s="18">
        <v>26553815.760000002</v>
      </c>
      <c r="AV585">
        <f t="shared" si="99"/>
        <v>7</v>
      </c>
      <c r="AW585">
        <f t="shared" si="100"/>
        <v>15</v>
      </c>
      <c r="AX585">
        <f t="shared" si="91"/>
        <v>30</v>
      </c>
      <c r="AY585">
        <f t="shared" si="92"/>
        <v>44</v>
      </c>
      <c r="AZ585">
        <f t="shared" si="93"/>
        <v>46</v>
      </c>
      <c r="BA585">
        <f t="shared" si="94"/>
        <v>51</v>
      </c>
      <c r="BB585">
        <f t="shared" si="95"/>
        <v>58</v>
      </c>
      <c r="BC585">
        <f t="shared" si="96"/>
        <v>58</v>
      </c>
      <c r="BD585">
        <f t="shared" si="97"/>
        <v>58</v>
      </c>
      <c r="BE585">
        <f>HLOOKUP(AV585-1,$AW$3:BD857,ROW(AV585)-2,0)</f>
        <v>51</v>
      </c>
      <c r="BF585">
        <f>HLOOKUP(AV585,$AW$3:BD857,ROW(AV585)-2,0)</f>
        <v>58</v>
      </c>
      <c r="BG585" t="str">
        <f t="shared" si="98"/>
        <v>A_II_2_KwotaA</v>
      </c>
    </row>
    <row r="586" spans="1:59" x14ac:dyDescent="0.3">
      <c r="A586" t="s">
        <v>2484</v>
      </c>
      <c r="B586" t="s">
        <v>2874</v>
      </c>
      <c r="C586" s="18">
        <v>-85666953.739999995</v>
      </c>
      <c r="AV586">
        <f t="shared" si="99"/>
        <v>7</v>
      </c>
      <c r="AW586">
        <f t="shared" si="100"/>
        <v>15</v>
      </c>
      <c r="AX586">
        <f t="shared" si="91"/>
        <v>30</v>
      </c>
      <c r="AY586">
        <f t="shared" si="92"/>
        <v>44</v>
      </c>
      <c r="AZ586">
        <f t="shared" si="93"/>
        <v>46</v>
      </c>
      <c r="BA586">
        <f t="shared" si="94"/>
        <v>51</v>
      </c>
      <c r="BB586">
        <f t="shared" si="95"/>
        <v>58</v>
      </c>
      <c r="BC586">
        <f t="shared" si="96"/>
        <v>58</v>
      </c>
      <c r="BD586">
        <f t="shared" si="97"/>
        <v>58</v>
      </c>
      <c r="BE586">
        <f>HLOOKUP(AV586-1,$AW$3:BD858,ROW(AV586)-2,0)</f>
        <v>51</v>
      </c>
      <c r="BF586">
        <f>HLOOKUP(AV586,$AW$3:BD858,ROW(AV586)-2,0)</f>
        <v>58</v>
      </c>
      <c r="BG586" t="str">
        <f t="shared" si="98"/>
        <v>A_II_3_KwotaA</v>
      </c>
    </row>
    <row r="587" spans="1:59" x14ac:dyDescent="0.3">
      <c r="A587" t="s">
        <v>2486</v>
      </c>
      <c r="B587" t="s">
        <v>2875</v>
      </c>
      <c r="AV587">
        <f t="shared" si="99"/>
        <v>7</v>
      </c>
      <c r="AW587">
        <f t="shared" si="100"/>
        <v>15</v>
      </c>
      <c r="AX587">
        <f t="shared" si="91"/>
        <v>30</v>
      </c>
      <c r="AY587">
        <f t="shared" si="92"/>
        <v>44</v>
      </c>
      <c r="AZ587">
        <f t="shared" si="93"/>
        <v>46</v>
      </c>
      <c r="BA587">
        <f t="shared" si="94"/>
        <v>51</v>
      </c>
      <c r="BB587">
        <f t="shared" si="95"/>
        <v>58</v>
      </c>
      <c r="BC587">
        <f t="shared" si="96"/>
        <v>58</v>
      </c>
      <c r="BD587">
        <f t="shared" si="97"/>
        <v>58</v>
      </c>
      <c r="BE587">
        <f>HLOOKUP(AV587-1,$AW$3:BD859,ROW(AV587)-2,0)</f>
        <v>51</v>
      </c>
      <c r="BF587">
        <f>HLOOKUP(AV587,$AW$3:BD859,ROW(AV587)-2,0)</f>
        <v>58</v>
      </c>
      <c r="BG587" t="str">
        <f t="shared" si="98"/>
        <v>A_II_4_KwotaA</v>
      </c>
    </row>
    <row r="588" spans="1:59" x14ac:dyDescent="0.3">
      <c r="A588" t="s">
        <v>2488</v>
      </c>
      <c r="B588" t="s">
        <v>2876</v>
      </c>
      <c r="C588" s="18">
        <v>-5605983.7599999998</v>
      </c>
      <c r="AV588">
        <f t="shared" si="99"/>
        <v>7</v>
      </c>
      <c r="AW588">
        <f t="shared" si="100"/>
        <v>15</v>
      </c>
      <c r="AX588">
        <f t="shared" si="91"/>
        <v>30</v>
      </c>
      <c r="AY588">
        <f t="shared" si="92"/>
        <v>44</v>
      </c>
      <c r="AZ588">
        <f t="shared" si="93"/>
        <v>46</v>
      </c>
      <c r="BA588">
        <f t="shared" si="94"/>
        <v>51</v>
      </c>
      <c r="BB588">
        <f t="shared" si="95"/>
        <v>58</v>
      </c>
      <c r="BC588">
        <f t="shared" si="96"/>
        <v>58</v>
      </c>
      <c r="BD588">
        <f t="shared" si="97"/>
        <v>58</v>
      </c>
      <c r="BE588">
        <f>HLOOKUP(AV588-1,$AW$3:BD860,ROW(AV588)-2,0)</f>
        <v>51</v>
      </c>
      <c r="BF588">
        <f>HLOOKUP(AV588,$AW$3:BD860,ROW(AV588)-2,0)</f>
        <v>58</v>
      </c>
      <c r="BG588" t="str">
        <f t="shared" si="98"/>
        <v>A_II_5_KwotaA</v>
      </c>
    </row>
    <row r="589" spans="1:59" x14ac:dyDescent="0.3">
      <c r="A589" t="s">
        <v>2490</v>
      </c>
      <c r="B589" t="s">
        <v>2877</v>
      </c>
      <c r="AV589">
        <f t="shared" si="99"/>
        <v>7</v>
      </c>
      <c r="AW589">
        <f t="shared" si="100"/>
        <v>15</v>
      </c>
      <c r="AX589">
        <f t="shared" si="91"/>
        <v>30</v>
      </c>
      <c r="AY589">
        <f t="shared" si="92"/>
        <v>44</v>
      </c>
      <c r="AZ589">
        <f t="shared" si="93"/>
        <v>46</v>
      </c>
      <c r="BA589">
        <f t="shared" si="94"/>
        <v>51</v>
      </c>
      <c r="BB589">
        <f t="shared" si="95"/>
        <v>58</v>
      </c>
      <c r="BC589">
        <f t="shared" si="96"/>
        <v>58</v>
      </c>
      <c r="BD589">
        <f t="shared" si="97"/>
        <v>58</v>
      </c>
      <c r="BE589">
        <f>HLOOKUP(AV589-1,$AW$3:BD861,ROW(AV589)-2,0)</f>
        <v>51</v>
      </c>
      <c r="BF589">
        <f>HLOOKUP(AV589,$AW$3:BD861,ROW(AV589)-2,0)</f>
        <v>58</v>
      </c>
      <c r="BG589" t="str">
        <f t="shared" si="98"/>
        <v>A_II_6_KwotaA</v>
      </c>
    </row>
    <row r="590" spans="1:59" x14ac:dyDescent="0.3">
      <c r="A590" t="s">
        <v>2492</v>
      </c>
      <c r="B590" t="s">
        <v>2878</v>
      </c>
      <c r="C590" s="18">
        <v>390492.81</v>
      </c>
      <c r="AV590">
        <f t="shared" si="99"/>
        <v>7</v>
      </c>
      <c r="AW590">
        <f t="shared" si="100"/>
        <v>15</v>
      </c>
      <c r="AX590">
        <f t="shared" si="91"/>
        <v>30</v>
      </c>
      <c r="AY590">
        <f t="shared" si="92"/>
        <v>44</v>
      </c>
      <c r="AZ590">
        <f t="shared" si="93"/>
        <v>46</v>
      </c>
      <c r="BA590">
        <f t="shared" si="94"/>
        <v>51</v>
      </c>
      <c r="BB590">
        <f t="shared" si="95"/>
        <v>58</v>
      </c>
      <c r="BC590">
        <f t="shared" si="96"/>
        <v>58</v>
      </c>
      <c r="BD590">
        <f t="shared" si="97"/>
        <v>58</v>
      </c>
      <c r="BE590">
        <f>HLOOKUP(AV590-1,$AW$3:BD862,ROW(AV590)-2,0)</f>
        <v>51</v>
      </c>
      <c r="BF590">
        <f>HLOOKUP(AV590,$AW$3:BD862,ROW(AV590)-2,0)</f>
        <v>58</v>
      </c>
      <c r="BG590" t="str">
        <f t="shared" si="98"/>
        <v>A_II_7_KwotaA</v>
      </c>
    </row>
    <row r="591" spans="1:59" x14ac:dyDescent="0.3">
      <c r="A591" t="s">
        <v>2494</v>
      </c>
      <c r="B591" t="s">
        <v>2879</v>
      </c>
      <c r="C591" s="18">
        <v>63385.120000000003</v>
      </c>
      <c r="AV591">
        <f t="shared" si="99"/>
        <v>7</v>
      </c>
      <c r="AW591">
        <f t="shared" si="100"/>
        <v>15</v>
      </c>
      <c r="AX591">
        <f t="shared" si="91"/>
        <v>30</v>
      </c>
      <c r="AY591">
        <f t="shared" si="92"/>
        <v>44</v>
      </c>
      <c r="AZ591">
        <f t="shared" si="93"/>
        <v>46</v>
      </c>
      <c r="BA591">
        <f t="shared" si="94"/>
        <v>51</v>
      </c>
      <c r="BB591">
        <f t="shared" si="95"/>
        <v>58</v>
      </c>
      <c r="BC591">
        <f t="shared" si="96"/>
        <v>58</v>
      </c>
      <c r="BD591">
        <f t="shared" si="97"/>
        <v>58</v>
      </c>
      <c r="BE591">
        <f>HLOOKUP(AV591-1,$AW$3:BD863,ROW(AV591)-2,0)</f>
        <v>51</v>
      </c>
      <c r="BF591">
        <f>HLOOKUP(AV591,$AW$3:BD863,ROW(AV591)-2,0)</f>
        <v>58</v>
      </c>
      <c r="BG591" t="str">
        <f t="shared" si="98"/>
        <v>A_II_8_KwotaA</v>
      </c>
    </row>
    <row r="592" spans="1:59" x14ac:dyDescent="0.3">
      <c r="A592" t="s">
        <v>2496</v>
      </c>
      <c r="B592" t="s">
        <v>2880</v>
      </c>
      <c r="C592" s="18">
        <v>-872366.92</v>
      </c>
      <c r="AV592">
        <f t="shared" si="99"/>
        <v>7</v>
      </c>
      <c r="AW592">
        <f t="shared" si="100"/>
        <v>15</v>
      </c>
      <c r="AX592">
        <f t="shared" si="91"/>
        <v>30</v>
      </c>
      <c r="AY592">
        <f t="shared" si="92"/>
        <v>44</v>
      </c>
      <c r="AZ592">
        <f t="shared" si="93"/>
        <v>46</v>
      </c>
      <c r="BA592">
        <f t="shared" si="94"/>
        <v>51</v>
      </c>
      <c r="BB592">
        <f t="shared" si="95"/>
        <v>58</v>
      </c>
      <c r="BC592">
        <f t="shared" si="96"/>
        <v>58</v>
      </c>
      <c r="BD592">
        <f t="shared" si="97"/>
        <v>58</v>
      </c>
      <c r="BE592">
        <f>HLOOKUP(AV592-1,$AW$3:BD864,ROW(AV592)-2,0)</f>
        <v>51</v>
      </c>
      <c r="BF592">
        <f>HLOOKUP(AV592,$AW$3:BD864,ROW(AV592)-2,0)</f>
        <v>58</v>
      </c>
      <c r="BG592" t="str">
        <f t="shared" si="98"/>
        <v>A_II_9_KwotaA</v>
      </c>
    </row>
    <row r="593" spans="1:59" x14ac:dyDescent="0.3">
      <c r="A593" t="s">
        <v>2498</v>
      </c>
      <c r="B593" t="s">
        <v>2881</v>
      </c>
      <c r="AV593">
        <f t="shared" si="99"/>
        <v>7</v>
      </c>
      <c r="AW593">
        <f t="shared" si="100"/>
        <v>15</v>
      </c>
      <c r="AX593">
        <f t="shared" si="91"/>
        <v>30</v>
      </c>
      <c r="AY593">
        <f t="shared" si="92"/>
        <v>44</v>
      </c>
      <c r="AZ593">
        <f t="shared" si="93"/>
        <v>46</v>
      </c>
      <c r="BA593">
        <f t="shared" si="94"/>
        <v>51</v>
      </c>
      <c r="BB593">
        <f t="shared" si="95"/>
        <v>59</v>
      </c>
      <c r="BC593">
        <f t="shared" si="96"/>
        <v>59</v>
      </c>
      <c r="BD593">
        <f t="shared" si="97"/>
        <v>59</v>
      </c>
      <c r="BE593">
        <f>HLOOKUP(AV593-1,$AW$3:BD865,ROW(AV593)-2,0)</f>
        <v>51</v>
      </c>
      <c r="BF593">
        <f>HLOOKUP(AV593,$AW$3:BD865,ROW(AV593)-2,0)</f>
        <v>59</v>
      </c>
      <c r="BG593" t="str">
        <f t="shared" si="98"/>
        <v>A_II_10_KwotaA</v>
      </c>
    </row>
    <row r="594" spans="1:59" x14ac:dyDescent="0.3">
      <c r="A594" t="s">
        <v>2500</v>
      </c>
      <c r="B594" t="s">
        <v>2882</v>
      </c>
      <c r="C594" s="18">
        <v>1351204.72</v>
      </c>
      <c r="AV594">
        <f t="shared" si="99"/>
        <v>6</v>
      </c>
      <c r="AW594">
        <f t="shared" si="100"/>
        <v>15</v>
      </c>
      <c r="AX594">
        <f t="shared" si="91"/>
        <v>30</v>
      </c>
      <c r="AY594">
        <f t="shared" si="92"/>
        <v>44</v>
      </c>
      <c r="AZ594">
        <f t="shared" si="93"/>
        <v>46</v>
      </c>
      <c r="BA594">
        <f t="shared" si="94"/>
        <v>52</v>
      </c>
      <c r="BB594">
        <f t="shared" si="95"/>
        <v>52</v>
      </c>
      <c r="BC594">
        <f t="shared" si="96"/>
        <v>52</v>
      </c>
      <c r="BD594">
        <f t="shared" si="97"/>
        <v>52</v>
      </c>
      <c r="BE594">
        <f>HLOOKUP(AV594-1,$AW$3:BD866,ROW(AV594)-2,0)</f>
        <v>46</v>
      </c>
      <c r="BF594">
        <f>HLOOKUP(AV594,$AW$3:BD866,ROW(AV594)-2,0)</f>
        <v>52</v>
      </c>
      <c r="BG594" t="str">
        <f t="shared" si="98"/>
        <v>A_III_KwotaA</v>
      </c>
    </row>
    <row r="595" spans="1:59" x14ac:dyDescent="0.3">
      <c r="A595" t="s">
        <v>2502</v>
      </c>
      <c r="B595" t="s">
        <v>2883</v>
      </c>
      <c r="C595" s="18">
        <v>181048761.5</v>
      </c>
      <c r="AV595">
        <f t="shared" si="99"/>
        <v>5</v>
      </c>
      <c r="AW595">
        <f t="shared" si="100"/>
        <v>15</v>
      </c>
      <c r="AX595">
        <f t="shared" si="91"/>
        <v>30</v>
      </c>
      <c r="AY595">
        <f t="shared" si="92"/>
        <v>44</v>
      </c>
      <c r="AZ595">
        <f t="shared" si="93"/>
        <v>46</v>
      </c>
      <c r="BA595">
        <f t="shared" si="94"/>
        <v>46</v>
      </c>
      <c r="BB595">
        <f t="shared" si="95"/>
        <v>46</v>
      </c>
      <c r="BC595">
        <f t="shared" si="96"/>
        <v>46</v>
      </c>
      <c r="BD595">
        <f t="shared" si="97"/>
        <v>46</v>
      </c>
      <c r="BE595">
        <f>HLOOKUP(AV595-1,$AW$3:BD867,ROW(AV595)-2,0)</f>
        <v>44</v>
      </c>
      <c r="BF595">
        <f>HLOOKUP(AV595,$AW$3:BD867,ROW(AV595)-2,0)</f>
        <v>46</v>
      </c>
      <c r="BG595" t="str">
        <f t="shared" si="98"/>
        <v>B_KwotaA</v>
      </c>
    </row>
    <row r="596" spans="1:59" x14ac:dyDescent="0.3">
      <c r="A596" t="s">
        <v>2504</v>
      </c>
      <c r="B596" t="s">
        <v>2884</v>
      </c>
      <c r="C596" s="18">
        <v>181048761.5</v>
      </c>
      <c r="AV596">
        <f t="shared" si="99"/>
        <v>6</v>
      </c>
      <c r="AW596">
        <f t="shared" si="100"/>
        <v>15</v>
      </c>
      <c r="AX596">
        <f t="shared" si="91"/>
        <v>30</v>
      </c>
      <c r="AY596">
        <f t="shared" si="92"/>
        <v>44</v>
      </c>
      <c r="AZ596">
        <f t="shared" si="93"/>
        <v>46</v>
      </c>
      <c r="BA596">
        <f t="shared" si="94"/>
        <v>50</v>
      </c>
      <c r="BB596">
        <f t="shared" si="95"/>
        <v>50</v>
      </c>
      <c r="BC596">
        <f t="shared" si="96"/>
        <v>50</v>
      </c>
      <c r="BD596">
        <f t="shared" si="97"/>
        <v>50</v>
      </c>
      <c r="BE596">
        <f>HLOOKUP(AV596-1,$AW$3:BD868,ROW(AV596)-2,0)</f>
        <v>46</v>
      </c>
      <c r="BF596">
        <f>HLOOKUP(AV596,$AW$3:BD868,ROW(AV596)-2,0)</f>
        <v>50</v>
      </c>
      <c r="BG596" t="str">
        <f t="shared" si="98"/>
        <v>B_I_KwotaA</v>
      </c>
    </row>
    <row r="597" spans="1:59" x14ac:dyDescent="0.3">
      <c r="A597" t="s">
        <v>2506</v>
      </c>
      <c r="B597" t="s">
        <v>2885</v>
      </c>
      <c r="AV597">
        <f t="shared" si="99"/>
        <v>7</v>
      </c>
      <c r="AW597">
        <f t="shared" si="100"/>
        <v>15</v>
      </c>
      <c r="AX597">
        <f t="shared" si="91"/>
        <v>30</v>
      </c>
      <c r="AY597">
        <f t="shared" si="92"/>
        <v>44</v>
      </c>
      <c r="AZ597">
        <f t="shared" si="93"/>
        <v>46</v>
      </c>
      <c r="BA597">
        <f t="shared" si="94"/>
        <v>50</v>
      </c>
      <c r="BB597">
        <f t="shared" si="95"/>
        <v>56</v>
      </c>
      <c r="BC597">
        <f t="shared" si="96"/>
        <v>56</v>
      </c>
      <c r="BD597">
        <f t="shared" si="97"/>
        <v>56</v>
      </c>
      <c r="BE597">
        <f>HLOOKUP(AV597-1,$AW$3:BD869,ROW(AV597)-2,0)</f>
        <v>50</v>
      </c>
      <c r="BF597">
        <f>HLOOKUP(AV597,$AW$3:BD869,ROW(AV597)-2,0)</f>
        <v>56</v>
      </c>
      <c r="BG597" t="str">
        <f t="shared" si="98"/>
        <v>B_I_1_KwotaA</v>
      </c>
    </row>
    <row r="598" spans="1:59" x14ac:dyDescent="0.3">
      <c r="A598" t="s">
        <v>2508</v>
      </c>
      <c r="B598" t="s">
        <v>2886</v>
      </c>
      <c r="AV598">
        <f t="shared" si="99"/>
        <v>7</v>
      </c>
      <c r="AW598">
        <f t="shared" si="100"/>
        <v>15</v>
      </c>
      <c r="AX598">
        <f t="shared" si="91"/>
        <v>30</v>
      </c>
      <c r="AY598">
        <f t="shared" si="92"/>
        <v>44</v>
      </c>
      <c r="AZ598">
        <f t="shared" si="93"/>
        <v>46</v>
      </c>
      <c r="BA598">
        <f t="shared" si="94"/>
        <v>50</v>
      </c>
      <c r="BB598">
        <f t="shared" si="95"/>
        <v>56</v>
      </c>
      <c r="BC598">
        <f t="shared" si="96"/>
        <v>56</v>
      </c>
      <c r="BD598">
        <f t="shared" si="97"/>
        <v>56</v>
      </c>
      <c r="BE598">
        <f>HLOOKUP(AV598-1,$AW$3:BD870,ROW(AV598)-2,0)</f>
        <v>50</v>
      </c>
      <c r="BF598">
        <f>HLOOKUP(AV598,$AW$3:BD870,ROW(AV598)-2,0)</f>
        <v>56</v>
      </c>
      <c r="BG598" t="str">
        <f t="shared" si="98"/>
        <v>B_I_2_KwotaA</v>
      </c>
    </row>
    <row r="599" spans="1:59" x14ac:dyDescent="0.3">
      <c r="A599" t="s">
        <v>2510</v>
      </c>
      <c r="B599" t="s">
        <v>2887</v>
      </c>
      <c r="C599" s="18">
        <v>181048761.5</v>
      </c>
      <c r="AV599">
        <f t="shared" si="99"/>
        <v>7</v>
      </c>
      <c r="AW599">
        <f t="shared" si="100"/>
        <v>15</v>
      </c>
      <c r="AX599">
        <f t="shared" si="91"/>
        <v>30</v>
      </c>
      <c r="AY599">
        <f t="shared" si="92"/>
        <v>44</v>
      </c>
      <c r="AZ599">
        <f t="shared" si="93"/>
        <v>46</v>
      </c>
      <c r="BA599">
        <f t="shared" si="94"/>
        <v>50</v>
      </c>
      <c r="BB599">
        <f t="shared" si="95"/>
        <v>56</v>
      </c>
      <c r="BC599">
        <f t="shared" si="96"/>
        <v>56</v>
      </c>
      <c r="BD599">
        <f t="shared" si="97"/>
        <v>56</v>
      </c>
      <c r="BE599">
        <f>HLOOKUP(AV599-1,$AW$3:BD871,ROW(AV599)-2,0)</f>
        <v>50</v>
      </c>
      <c r="BF599">
        <f>HLOOKUP(AV599,$AW$3:BD871,ROW(AV599)-2,0)</f>
        <v>56</v>
      </c>
      <c r="BG599" t="str">
        <f t="shared" si="98"/>
        <v>B_I_3_KwotaA</v>
      </c>
    </row>
    <row r="600" spans="1:59" x14ac:dyDescent="0.3">
      <c r="A600" t="s">
        <v>2512</v>
      </c>
      <c r="B600" t="s">
        <v>2888</v>
      </c>
      <c r="AV600">
        <f t="shared" si="99"/>
        <v>8</v>
      </c>
      <c r="AW600">
        <f t="shared" si="100"/>
        <v>15</v>
      </c>
      <c r="AX600">
        <f t="shared" si="91"/>
        <v>30</v>
      </c>
      <c r="AY600">
        <f t="shared" si="92"/>
        <v>44</v>
      </c>
      <c r="AZ600">
        <f t="shared" si="93"/>
        <v>46</v>
      </c>
      <c r="BA600">
        <f t="shared" si="94"/>
        <v>50</v>
      </c>
      <c r="BB600">
        <f t="shared" si="95"/>
        <v>56</v>
      </c>
      <c r="BC600">
        <f t="shared" si="96"/>
        <v>64</v>
      </c>
      <c r="BD600">
        <f t="shared" si="97"/>
        <v>64</v>
      </c>
      <c r="BE600">
        <f>HLOOKUP(AV600-1,$AW$3:BD872,ROW(AV600)-2,0)</f>
        <v>56</v>
      </c>
      <c r="BF600">
        <f>HLOOKUP(AV600,$AW$3:BD872,ROW(AV600)-2,0)</f>
        <v>64</v>
      </c>
      <c r="BG600" t="str">
        <f t="shared" si="98"/>
        <v>B_I_3_A_KwotaA</v>
      </c>
    </row>
    <row r="601" spans="1:59" x14ac:dyDescent="0.3">
      <c r="A601" t="s">
        <v>2514</v>
      </c>
      <c r="B601" t="s">
        <v>2889</v>
      </c>
      <c r="C601" s="18">
        <v>181048761.5</v>
      </c>
      <c r="AV601">
        <f t="shared" si="99"/>
        <v>8</v>
      </c>
      <c r="AW601">
        <f t="shared" si="100"/>
        <v>15</v>
      </c>
      <c r="AX601">
        <f t="shared" si="91"/>
        <v>30</v>
      </c>
      <c r="AY601">
        <f t="shared" si="92"/>
        <v>44</v>
      </c>
      <c r="AZ601">
        <f t="shared" si="93"/>
        <v>46</v>
      </c>
      <c r="BA601">
        <f t="shared" si="94"/>
        <v>50</v>
      </c>
      <c r="BB601">
        <f t="shared" si="95"/>
        <v>56</v>
      </c>
      <c r="BC601">
        <f t="shared" si="96"/>
        <v>64</v>
      </c>
      <c r="BD601">
        <f t="shared" si="97"/>
        <v>64</v>
      </c>
      <c r="BE601">
        <f>HLOOKUP(AV601-1,$AW$3:BD873,ROW(AV601)-2,0)</f>
        <v>56</v>
      </c>
      <c r="BF601">
        <f>HLOOKUP(AV601,$AW$3:BD873,ROW(AV601)-2,0)</f>
        <v>64</v>
      </c>
      <c r="BG601" t="str">
        <f t="shared" si="98"/>
        <v>B_I_3_B_KwotaA</v>
      </c>
    </row>
    <row r="602" spans="1:59" x14ac:dyDescent="0.3">
      <c r="A602" t="s">
        <v>2516</v>
      </c>
      <c r="B602" t="s">
        <v>2890</v>
      </c>
      <c r="AV602">
        <f t="shared" si="99"/>
        <v>9</v>
      </c>
      <c r="AW602">
        <f t="shared" si="100"/>
        <v>15</v>
      </c>
      <c r="AX602">
        <f t="shared" si="91"/>
        <v>30</v>
      </c>
      <c r="AY602">
        <f t="shared" si="92"/>
        <v>44</v>
      </c>
      <c r="AZ602">
        <f t="shared" si="93"/>
        <v>46</v>
      </c>
      <c r="BA602">
        <f t="shared" si="94"/>
        <v>50</v>
      </c>
      <c r="BB602">
        <f t="shared" si="95"/>
        <v>56</v>
      </c>
      <c r="BC602">
        <f t="shared" si="96"/>
        <v>64</v>
      </c>
      <c r="BD602">
        <f t="shared" si="97"/>
        <v>74</v>
      </c>
      <c r="BE602">
        <f>HLOOKUP(AV602-1,$AW$3:BD874,ROW(AV602)-2,0)</f>
        <v>64</v>
      </c>
      <c r="BF602">
        <f>HLOOKUP(AV602,$AW$3:BD874,ROW(AV602)-2,0)</f>
        <v>74</v>
      </c>
      <c r="BG602" t="str">
        <f t="shared" si="98"/>
        <v>B_I_3_B_1_KwotaA</v>
      </c>
    </row>
    <row r="603" spans="1:59" x14ac:dyDescent="0.3">
      <c r="A603" t="s">
        <v>2518</v>
      </c>
      <c r="B603" t="s">
        <v>2891</v>
      </c>
      <c r="C603" s="18">
        <v>123478624.28</v>
      </c>
      <c r="AV603">
        <f t="shared" si="99"/>
        <v>9</v>
      </c>
      <c r="AW603">
        <f t="shared" si="100"/>
        <v>15</v>
      </c>
      <c r="AX603">
        <f t="shared" si="91"/>
        <v>30</v>
      </c>
      <c r="AY603">
        <f t="shared" si="92"/>
        <v>44</v>
      </c>
      <c r="AZ603">
        <f t="shared" si="93"/>
        <v>46</v>
      </c>
      <c r="BA603">
        <f t="shared" si="94"/>
        <v>50</v>
      </c>
      <c r="BB603">
        <f t="shared" si="95"/>
        <v>56</v>
      </c>
      <c r="BC603">
        <f t="shared" si="96"/>
        <v>64</v>
      </c>
      <c r="BD603">
        <f t="shared" si="97"/>
        <v>74</v>
      </c>
      <c r="BE603">
        <f>HLOOKUP(AV603-1,$AW$3:BD875,ROW(AV603)-2,0)</f>
        <v>64</v>
      </c>
      <c r="BF603">
        <f>HLOOKUP(AV603,$AW$3:BD875,ROW(AV603)-2,0)</f>
        <v>74</v>
      </c>
      <c r="BG603" t="str">
        <f t="shared" si="98"/>
        <v>B_I_3_B_2_KwotaA</v>
      </c>
    </row>
    <row r="604" spans="1:59" x14ac:dyDescent="0.3">
      <c r="A604" t="s">
        <v>2520</v>
      </c>
      <c r="B604" t="s">
        <v>2892</v>
      </c>
      <c r="C604" s="18">
        <v>52781450.079999998</v>
      </c>
      <c r="AV604">
        <f t="shared" si="99"/>
        <v>9</v>
      </c>
      <c r="AW604">
        <f t="shared" si="100"/>
        <v>15</v>
      </c>
      <c r="AX604">
        <f t="shared" si="91"/>
        <v>30</v>
      </c>
      <c r="AY604">
        <f t="shared" si="92"/>
        <v>44</v>
      </c>
      <c r="AZ604">
        <f t="shared" si="93"/>
        <v>46</v>
      </c>
      <c r="BA604">
        <f t="shared" si="94"/>
        <v>50</v>
      </c>
      <c r="BB604">
        <f t="shared" si="95"/>
        <v>56</v>
      </c>
      <c r="BC604">
        <f t="shared" si="96"/>
        <v>64</v>
      </c>
      <c r="BD604">
        <f t="shared" si="97"/>
        <v>74</v>
      </c>
      <c r="BE604">
        <f>HLOOKUP(AV604-1,$AW$3:BD876,ROW(AV604)-2,0)</f>
        <v>64</v>
      </c>
      <c r="BF604">
        <f>HLOOKUP(AV604,$AW$3:BD876,ROW(AV604)-2,0)</f>
        <v>74</v>
      </c>
      <c r="BG604" t="str">
        <f t="shared" si="98"/>
        <v>B_I_3_B_3_KwotaA</v>
      </c>
    </row>
    <row r="605" spans="1:59" x14ac:dyDescent="0.3">
      <c r="A605" t="s">
        <v>2522</v>
      </c>
      <c r="B605" t="s">
        <v>2893</v>
      </c>
      <c r="C605" s="18">
        <v>4788687.1399999997</v>
      </c>
      <c r="AV605">
        <f t="shared" si="99"/>
        <v>9</v>
      </c>
      <c r="AW605">
        <f t="shared" si="100"/>
        <v>15</v>
      </c>
      <c r="AX605">
        <f t="shared" si="91"/>
        <v>30</v>
      </c>
      <c r="AY605">
        <f t="shared" si="92"/>
        <v>44</v>
      </c>
      <c r="AZ605">
        <f t="shared" si="93"/>
        <v>46</v>
      </c>
      <c r="BA605">
        <f t="shared" si="94"/>
        <v>50</v>
      </c>
      <c r="BB605">
        <f t="shared" si="95"/>
        <v>56</v>
      </c>
      <c r="BC605">
        <f t="shared" si="96"/>
        <v>64</v>
      </c>
      <c r="BD605">
        <f t="shared" si="97"/>
        <v>74</v>
      </c>
      <c r="BE605">
        <f>HLOOKUP(AV605-1,$AW$3:BD877,ROW(AV605)-2,0)</f>
        <v>64</v>
      </c>
      <c r="BF605">
        <f>HLOOKUP(AV605,$AW$3:BD877,ROW(AV605)-2,0)</f>
        <v>74</v>
      </c>
      <c r="BG605" t="str">
        <f t="shared" si="98"/>
        <v>B_I_3_B_4_KwotaA</v>
      </c>
    </row>
    <row r="606" spans="1:59" x14ac:dyDescent="0.3">
      <c r="A606" t="s">
        <v>2524</v>
      </c>
      <c r="B606" t="s">
        <v>2894</v>
      </c>
      <c r="AV606">
        <f t="shared" si="99"/>
        <v>9</v>
      </c>
      <c r="AW606">
        <f t="shared" si="100"/>
        <v>15</v>
      </c>
      <c r="AX606">
        <f t="shared" si="91"/>
        <v>30</v>
      </c>
      <c r="AY606">
        <f t="shared" si="92"/>
        <v>44</v>
      </c>
      <c r="AZ606">
        <f t="shared" si="93"/>
        <v>46</v>
      </c>
      <c r="BA606">
        <f t="shared" si="94"/>
        <v>50</v>
      </c>
      <c r="BB606">
        <f t="shared" si="95"/>
        <v>56</v>
      </c>
      <c r="BC606">
        <f t="shared" si="96"/>
        <v>64</v>
      </c>
      <c r="BD606">
        <f t="shared" si="97"/>
        <v>74</v>
      </c>
      <c r="BE606">
        <f>HLOOKUP(AV606-1,$AW$3:BD878,ROW(AV606)-2,0)</f>
        <v>64</v>
      </c>
      <c r="BF606">
        <f>HLOOKUP(AV606,$AW$3:BD878,ROW(AV606)-2,0)</f>
        <v>74</v>
      </c>
      <c r="BG606" t="str">
        <f t="shared" si="98"/>
        <v>B_I_3_B_5_KwotaA</v>
      </c>
    </row>
    <row r="607" spans="1:59" x14ac:dyDescent="0.3">
      <c r="A607" t="s">
        <v>2526</v>
      </c>
      <c r="B607" t="s">
        <v>2895</v>
      </c>
      <c r="AV607">
        <f t="shared" si="99"/>
        <v>7</v>
      </c>
      <c r="AW607">
        <f t="shared" si="100"/>
        <v>15</v>
      </c>
      <c r="AX607">
        <f t="shared" si="91"/>
        <v>30</v>
      </c>
      <c r="AY607">
        <f t="shared" si="92"/>
        <v>44</v>
      </c>
      <c r="AZ607">
        <f t="shared" si="93"/>
        <v>46</v>
      </c>
      <c r="BA607">
        <f t="shared" si="94"/>
        <v>50</v>
      </c>
      <c r="BB607">
        <f t="shared" si="95"/>
        <v>56</v>
      </c>
      <c r="BC607">
        <f t="shared" si="96"/>
        <v>56</v>
      </c>
      <c r="BD607">
        <f t="shared" si="97"/>
        <v>56</v>
      </c>
      <c r="BE607">
        <f>HLOOKUP(AV607-1,$AW$3:BD879,ROW(AV607)-2,0)</f>
        <v>50</v>
      </c>
      <c r="BF607">
        <f>HLOOKUP(AV607,$AW$3:BD879,ROW(AV607)-2,0)</f>
        <v>56</v>
      </c>
      <c r="BG607" t="str">
        <f t="shared" si="98"/>
        <v>B_I_4_KwotaA</v>
      </c>
    </row>
    <row r="608" spans="1:59" x14ac:dyDescent="0.3">
      <c r="A608" t="s">
        <v>2528</v>
      </c>
      <c r="B608" t="s">
        <v>2896</v>
      </c>
      <c r="C608" s="18">
        <v>0</v>
      </c>
      <c r="AV608">
        <f t="shared" si="99"/>
        <v>6</v>
      </c>
      <c r="AW608">
        <f t="shared" si="100"/>
        <v>15</v>
      </c>
      <c r="AX608">
        <f t="shared" si="91"/>
        <v>30</v>
      </c>
      <c r="AY608">
        <f t="shared" si="92"/>
        <v>44</v>
      </c>
      <c r="AZ608">
        <f t="shared" si="93"/>
        <v>46</v>
      </c>
      <c r="BA608">
        <f t="shared" si="94"/>
        <v>51</v>
      </c>
      <c r="BB608">
        <f t="shared" si="95"/>
        <v>51</v>
      </c>
      <c r="BC608">
        <f t="shared" si="96"/>
        <v>51</v>
      </c>
      <c r="BD608">
        <f t="shared" si="97"/>
        <v>51</v>
      </c>
      <c r="BE608">
        <f>HLOOKUP(AV608-1,$AW$3:BD880,ROW(AV608)-2,0)</f>
        <v>46</v>
      </c>
      <c r="BF608">
        <f>HLOOKUP(AV608,$AW$3:BD880,ROW(AV608)-2,0)</f>
        <v>51</v>
      </c>
      <c r="BG608" t="str">
        <f t="shared" si="98"/>
        <v>B_II_KwotaA</v>
      </c>
    </row>
    <row r="609" spans="1:59" x14ac:dyDescent="0.3">
      <c r="A609" t="s">
        <v>2530</v>
      </c>
      <c r="B609" t="s">
        <v>2897</v>
      </c>
      <c r="AV609">
        <f t="shared" si="99"/>
        <v>7</v>
      </c>
      <c r="AW609">
        <f t="shared" si="100"/>
        <v>15</v>
      </c>
      <c r="AX609">
        <f t="shared" si="91"/>
        <v>30</v>
      </c>
      <c r="AY609">
        <f t="shared" si="92"/>
        <v>44</v>
      </c>
      <c r="AZ609">
        <f t="shared" si="93"/>
        <v>46</v>
      </c>
      <c r="BA609">
        <f t="shared" si="94"/>
        <v>51</v>
      </c>
      <c r="BB609">
        <f t="shared" si="95"/>
        <v>58</v>
      </c>
      <c r="BC609">
        <f t="shared" si="96"/>
        <v>58</v>
      </c>
      <c r="BD609">
        <f t="shared" si="97"/>
        <v>58</v>
      </c>
      <c r="BE609">
        <f>HLOOKUP(AV609-1,$AW$3:BD881,ROW(AV609)-2,0)</f>
        <v>51</v>
      </c>
      <c r="BF609">
        <f>HLOOKUP(AV609,$AW$3:BD881,ROW(AV609)-2,0)</f>
        <v>58</v>
      </c>
      <c r="BG609" t="str">
        <f t="shared" si="98"/>
        <v>B_II_1_KwotaA</v>
      </c>
    </row>
    <row r="610" spans="1:59" x14ac:dyDescent="0.3">
      <c r="A610" t="s">
        <v>2532</v>
      </c>
      <c r="B610" t="s">
        <v>2898</v>
      </c>
      <c r="AV610">
        <f t="shared" si="99"/>
        <v>7</v>
      </c>
      <c r="AW610">
        <f t="shared" si="100"/>
        <v>15</v>
      </c>
      <c r="AX610">
        <f t="shared" si="91"/>
        <v>30</v>
      </c>
      <c r="AY610">
        <f t="shared" si="92"/>
        <v>44</v>
      </c>
      <c r="AZ610">
        <f t="shared" si="93"/>
        <v>46</v>
      </c>
      <c r="BA610">
        <f t="shared" si="94"/>
        <v>51</v>
      </c>
      <c r="BB610">
        <f t="shared" si="95"/>
        <v>58</v>
      </c>
      <c r="BC610">
        <f t="shared" si="96"/>
        <v>58</v>
      </c>
      <c r="BD610">
        <f t="shared" si="97"/>
        <v>58</v>
      </c>
      <c r="BE610">
        <f>HLOOKUP(AV610-1,$AW$3:BD882,ROW(AV610)-2,0)</f>
        <v>51</v>
      </c>
      <c r="BF610">
        <f>HLOOKUP(AV610,$AW$3:BD882,ROW(AV610)-2,0)</f>
        <v>58</v>
      </c>
      <c r="BG610" t="str">
        <f t="shared" si="98"/>
        <v>B_II_2_KwotaA</v>
      </c>
    </row>
    <row r="611" spans="1:59" x14ac:dyDescent="0.3">
      <c r="A611" t="s">
        <v>2534</v>
      </c>
      <c r="B611" t="s">
        <v>2899</v>
      </c>
      <c r="C611" s="18">
        <v>0</v>
      </c>
      <c r="AV611">
        <f t="shared" si="99"/>
        <v>7</v>
      </c>
      <c r="AW611">
        <f t="shared" si="100"/>
        <v>15</v>
      </c>
      <c r="AX611">
        <f t="shared" si="91"/>
        <v>30</v>
      </c>
      <c r="AY611">
        <f t="shared" si="92"/>
        <v>44</v>
      </c>
      <c r="AZ611">
        <f t="shared" si="93"/>
        <v>46</v>
      </c>
      <c r="BA611">
        <f t="shared" si="94"/>
        <v>51</v>
      </c>
      <c r="BB611">
        <f t="shared" si="95"/>
        <v>58</v>
      </c>
      <c r="BC611">
        <f t="shared" si="96"/>
        <v>58</v>
      </c>
      <c r="BD611">
        <f t="shared" si="97"/>
        <v>58</v>
      </c>
      <c r="BE611">
        <f>HLOOKUP(AV611-1,$AW$3:BD883,ROW(AV611)-2,0)</f>
        <v>51</v>
      </c>
      <c r="BF611">
        <f>HLOOKUP(AV611,$AW$3:BD883,ROW(AV611)-2,0)</f>
        <v>58</v>
      </c>
      <c r="BG611" t="str">
        <f t="shared" si="98"/>
        <v>B_II_3_KwotaA</v>
      </c>
    </row>
    <row r="612" spans="1:59" x14ac:dyDescent="0.3">
      <c r="A612" t="s">
        <v>2536</v>
      </c>
      <c r="B612" t="s">
        <v>2900</v>
      </c>
      <c r="C612" s="18">
        <v>0</v>
      </c>
      <c r="AV612">
        <f t="shared" si="99"/>
        <v>8</v>
      </c>
      <c r="AW612">
        <f t="shared" si="100"/>
        <v>15</v>
      </c>
      <c r="AX612">
        <f t="shared" si="91"/>
        <v>30</v>
      </c>
      <c r="AY612">
        <f t="shared" si="92"/>
        <v>44</v>
      </c>
      <c r="AZ612">
        <f t="shared" si="93"/>
        <v>46</v>
      </c>
      <c r="BA612">
        <f t="shared" si="94"/>
        <v>51</v>
      </c>
      <c r="BB612">
        <f t="shared" si="95"/>
        <v>58</v>
      </c>
      <c r="BC612">
        <f t="shared" si="96"/>
        <v>67</v>
      </c>
      <c r="BD612">
        <f t="shared" si="97"/>
        <v>67</v>
      </c>
      <c r="BE612">
        <f>HLOOKUP(AV612-1,$AW$3:BD884,ROW(AV612)-2,0)</f>
        <v>58</v>
      </c>
      <c r="BF612">
        <f>HLOOKUP(AV612,$AW$3:BD884,ROW(AV612)-2,0)</f>
        <v>67</v>
      </c>
      <c r="BG612" t="str">
        <f t="shared" si="98"/>
        <v>B_II_3_A_KwotaA</v>
      </c>
    </row>
    <row r="613" spans="1:59" x14ac:dyDescent="0.3">
      <c r="A613" t="s">
        <v>2538</v>
      </c>
      <c r="B613" t="s">
        <v>2901</v>
      </c>
      <c r="AV613">
        <f t="shared" si="99"/>
        <v>8</v>
      </c>
      <c r="AW613">
        <f t="shared" si="100"/>
        <v>15</v>
      </c>
      <c r="AX613">
        <f t="shared" si="91"/>
        <v>30</v>
      </c>
      <c r="AY613">
        <f t="shared" si="92"/>
        <v>44</v>
      </c>
      <c r="AZ613">
        <f t="shared" si="93"/>
        <v>46</v>
      </c>
      <c r="BA613">
        <f t="shared" si="94"/>
        <v>51</v>
      </c>
      <c r="BB613">
        <f t="shared" si="95"/>
        <v>58</v>
      </c>
      <c r="BC613">
        <f t="shared" si="96"/>
        <v>67</v>
      </c>
      <c r="BD613">
        <f t="shared" si="97"/>
        <v>67</v>
      </c>
      <c r="BE613">
        <f>HLOOKUP(AV613-1,$AW$3:BD885,ROW(AV613)-2,0)</f>
        <v>58</v>
      </c>
      <c r="BF613">
        <f>HLOOKUP(AV613,$AW$3:BD885,ROW(AV613)-2,0)</f>
        <v>67</v>
      </c>
      <c r="BG613" t="str">
        <f t="shared" si="98"/>
        <v>B_II_3_B_KwotaA</v>
      </c>
    </row>
    <row r="614" spans="1:59" x14ac:dyDescent="0.3">
      <c r="A614" t="s">
        <v>2540</v>
      </c>
      <c r="B614" t="s">
        <v>2902</v>
      </c>
      <c r="AV614">
        <f t="shared" si="99"/>
        <v>9</v>
      </c>
      <c r="AW614">
        <f t="shared" si="100"/>
        <v>15</v>
      </c>
      <c r="AX614">
        <f t="shared" si="91"/>
        <v>30</v>
      </c>
      <c r="AY614">
        <f t="shared" si="92"/>
        <v>44</v>
      </c>
      <c r="AZ614">
        <f t="shared" si="93"/>
        <v>46</v>
      </c>
      <c r="BA614">
        <f t="shared" si="94"/>
        <v>51</v>
      </c>
      <c r="BB614">
        <f t="shared" si="95"/>
        <v>58</v>
      </c>
      <c r="BC614">
        <f t="shared" si="96"/>
        <v>67</v>
      </c>
      <c r="BD614">
        <f t="shared" si="97"/>
        <v>78</v>
      </c>
      <c r="BE614">
        <f>HLOOKUP(AV614-1,$AW$3:BD886,ROW(AV614)-2,0)</f>
        <v>67</v>
      </c>
      <c r="BF614">
        <f>HLOOKUP(AV614,$AW$3:BD886,ROW(AV614)-2,0)</f>
        <v>78</v>
      </c>
      <c r="BG614" t="str">
        <f t="shared" si="98"/>
        <v>B_II_3_B_1_KwotaA</v>
      </c>
    </row>
    <row r="615" spans="1:59" x14ac:dyDescent="0.3">
      <c r="A615" t="s">
        <v>2542</v>
      </c>
      <c r="B615" t="s">
        <v>2903</v>
      </c>
      <c r="AV615">
        <f t="shared" si="99"/>
        <v>9</v>
      </c>
      <c r="AW615">
        <f t="shared" si="100"/>
        <v>15</v>
      </c>
      <c r="AX615">
        <f t="shared" si="91"/>
        <v>30</v>
      </c>
      <c r="AY615">
        <f t="shared" si="92"/>
        <v>44</v>
      </c>
      <c r="AZ615">
        <f t="shared" si="93"/>
        <v>46</v>
      </c>
      <c r="BA615">
        <f t="shared" si="94"/>
        <v>51</v>
      </c>
      <c r="BB615">
        <f t="shared" si="95"/>
        <v>58</v>
      </c>
      <c r="BC615">
        <f t="shared" si="96"/>
        <v>67</v>
      </c>
      <c r="BD615">
        <f t="shared" si="97"/>
        <v>78</v>
      </c>
      <c r="BE615">
        <f>HLOOKUP(AV615-1,$AW$3:BD887,ROW(AV615)-2,0)</f>
        <v>67</v>
      </c>
      <c r="BF615">
        <f>HLOOKUP(AV615,$AW$3:BD887,ROW(AV615)-2,0)</f>
        <v>78</v>
      </c>
      <c r="BG615" t="str">
        <f t="shared" si="98"/>
        <v>B_II_3_B_2_KwotaA</v>
      </c>
    </row>
    <row r="616" spans="1:59" x14ac:dyDescent="0.3">
      <c r="A616" t="s">
        <v>2544</v>
      </c>
      <c r="B616" t="s">
        <v>2904</v>
      </c>
      <c r="AV616">
        <f t="shared" si="99"/>
        <v>7</v>
      </c>
      <c r="AW616">
        <f t="shared" si="100"/>
        <v>15</v>
      </c>
      <c r="AX616">
        <f t="shared" si="91"/>
        <v>30</v>
      </c>
      <c r="AY616">
        <f t="shared" si="92"/>
        <v>44</v>
      </c>
      <c r="AZ616">
        <f t="shared" si="93"/>
        <v>46</v>
      </c>
      <c r="BA616">
        <f t="shared" si="94"/>
        <v>51</v>
      </c>
      <c r="BB616">
        <f t="shared" si="95"/>
        <v>58</v>
      </c>
      <c r="BC616">
        <f t="shared" si="96"/>
        <v>58</v>
      </c>
      <c r="BD616">
        <f t="shared" si="97"/>
        <v>58</v>
      </c>
      <c r="BE616">
        <f>HLOOKUP(AV616-1,$AW$3:BD888,ROW(AV616)-2,0)</f>
        <v>51</v>
      </c>
      <c r="BF616">
        <f>HLOOKUP(AV616,$AW$3:BD888,ROW(AV616)-2,0)</f>
        <v>58</v>
      </c>
      <c r="BG616" t="str">
        <f t="shared" si="98"/>
        <v>B_II_4_KwotaA</v>
      </c>
    </row>
    <row r="617" spans="1:59" x14ac:dyDescent="0.3">
      <c r="A617" t="s">
        <v>2546</v>
      </c>
      <c r="B617" t="s">
        <v>2905</v>
      </c>
      <c r="C617" s="18">
        <v>181048761.5</v>
      </c>
      <c r="AV617">
        <f t="shared" si="99"/>
        <v>6</v>
      </c>
      <c r="AW617">
        <f t="shared" si="100"/>
        <v>15</v>
      </c>
      <c r="AX617">
        <f t="shared" si="91"/>
        <v>30</v>
      </c>
      <c r="AY617">
        <f t="shared" si="92"/>
        <v>44</v>
      </c>
      <c r="AZ617">
        <f t="shared" si="93"/>
        <v>46</v>
      </c>
      <c r="BA617">
        <f t="shared" si="94"/>
        <v>52</v>
      </c>
      <c r="BB617">
        <f t="shared" si="95"/>
        <v>52</v>
      </c>
      <c r="BC617">
        <f t="shared" si="96"/>
        <v>52</v>
      </c>
      <c r="BD617">
        <f t="shared" si="97"/>
        <v>52</v>
      </c>
      <c r="BE617">
        <f>HLOOKUP(AV617-1,$AW$3:BD889,ROW(AV617)-2,0)</f>
        <v>46</v>
      </c>
      <c r="BF617">
        <f>HLOOKUP(AV617,$AW$3:BD889,ROW(AV617)-2,0)</f>
        <v>52</v>
      </c>
      <c r="BG617" t="str">
        <f t="shared" si="98"/>
        <v>B_III_KwotaA</v>
      </c>
    </row>
    <row r="618" spans="1:59" x14ac:dyDescent="0.3">
      <c r="A618" t="s">
        <v>2548</v>
      </c>
      <c r="B618" t="s">
        <v>2906</v>
      </c>
      <c r="C618" s="18">
        <v>-191357934.86000001</v>
      </c>
      <c r="AV618">
        <f t="shared" si="99"/>
        <v>5</v>
      </c>
      <c r="AW618">
        <f t="shared" si="100"/>
        <v>15</v>
      </c>
      <c r="AX618">
        <f t="shared" si="91"/>
        <v>30</v>
      </c>
      <c r="AY618">
        <f t="shared" si="92"/>
        <v>44</v>
      </c>
      <c r="AZ618">
        <f t="shared" si="93"/>
        <v>46</v>
      </c>
      <c r="BA618">
        <f t="shared" si="94"/>
        <v>46</v>
      </c>
      <c r="BB618">
        <f t="shared" si="95"/>
        <v>46</v>
      </c>
      <c r="BC618">
        <f t="shared" si="96"/>
        <v>46</v>
      </c>
      <c r="BD618">
        <f t="shared" si="97"/>
        <v>46</v>
      </c>
      <c r="BE618">
        <f>HLOOKUP(AV618-1,$AW$3:BD890,ROW(AV618)-2,0)</f>
        <v>44</v>
      </c>
      <c r="BF618">
        <f>HLOOKUP(AV618,$AW$3:BD890,ROW(AV618)-2,0)</f>
        <v>46</v>
      </c>
      <c r="BG618" t="str">
        <f t="shared" si="98"/>
        <v>C_KwotaA</v>
      </c>
    </row>
    <row r="619" spans="1:59" x14ac:dyDescent="0.3">
      <c r="A619" t="s">
        <v>2550</v>
      </c>
      <c r="B619" t="s">
        <v>2907</v>
      </c>
      <c r="C619" s="18">
        <v>0</v>
      </c>
      <c r="AV619">
        <f t="shared" si="99"/>
        <v>6</v>
      </c>
      <c r="AW619">
        <f t="shared" si="100"/>
        <v>15</v>
      </c>
      <c r="AX619">
        <f t="shared" si="91"/>
        <v>30</v>
      </c>
      <c r="AY619">
        <f t="shared" si="92"/>
        <v>44</v>
      </c>
      <c r="AZ619">
        <f t="shared" si="93"/>
        <v>46</v>
      </c>
      <c r="BA619">
        <f t="shared" si="94"/>
        <v>50</v>
      </c>
      <c r="BB619">
        <f t="shared" si="95"/>
        <v>50</v>
      </c>
      <c r="BC619">
        <f t="shared" si="96"/>
        <v>50</v>
      </c>
      <c r="BD619">
        <f t="shared" si="97"/>
        <v>50</v>
      </c>
      <c r="BE619">
        <f>HLOOKUP(AV619-1,$AW$3:BD891,ROW(AV619)-2,0)</f>
        <v>46</v>
      </c>
      <c r="BF619">
        <f>HLOOKUP(AV619,$AW$3:BD891,ROW(AV619)-2,0)</f>
        <v>50</v>
      </c>
      <c r="BG619" t="str">
        <f t="shared" si="98"/>
        <v>C_I_KwotaA</v>
      </c>
    </row>
    <row r="620" spans="1:59" x14ac:dyDescent="0.3">
      <c r="A620" t="s">
        <v>2552</v>
      </c>
      <c r="B620" t="s">
        <v>2908</v>
      </c>
      <c r="C620" s="18">
        <v>0</v>
      </c>
      <c r="AV620">
        <f t="shared" si="99"/>
        <v>7</v>
      </c>
      <c r="AW620">
        <f t="shared" si="100"/>
        <v>15</v>
      </c>
      <c r="AX620">
        <f t="shared" si="91"/>
        <v>30</v>
      </c>
      <c r="AY620">
        <f t="shared" si="92"/>
        <v>44</v>
      </c>
      <c r="AZ620">
        <f t="shared" si="93"/>
        <v>46</v>
      </c>
      <c r="BA620">
        <f t="shared" si="94"/>
        <v>50</v>
      </c>
      <c r="BB620">
        <f t="shared" si="95"/>
        <v>56</v>
      </c>
      <c r="BC620">
        <f t="shared" si="96"/>
        <v>56</v>
      </c>
      <c r="BD620">
        <f t="shared" si="97"/>
        <v>56</v>
      </c>
      <c r="BE620">
        <f>HLOOKUP(AV620-1,$AW$3:BD892,ROW(AV620)-2,0)</f>
        <v>50</v>
      </c>
      <c r="BF620">
        <f>HLOOKUP(AV620,$AW$3:BD892,ROW(AV620)-2,0)</f>
        <v>56</v>
      </c>
      <c r="BG620" t="str">
        <f t="shared" si="98"/>
        <v>C_I_1_KwotaA</v>
      </c>
    </row>
    <row r="621" spans="1:59" x14ac:dyDescent="0.3">
      <c r="A621" t="s">
        <v>2554</v>
      </c>
      <c r="B621" t="s">
        <v>2909</v>
      </c>
      <c r="C621" s="18">
        <v>0</v>
      </c>
      <c r="AV621">
        <f t="shared" si="99"/>
        <v>7</v>
      </c>
      <c r="AW621">
        <f t="shared" si="100"/>
        <v>15</v>
      </c>
      <c r="AX621">
        <f t="shared" si="91"/>
        <v>30</v>
      </c>
      <c r="AY621">
        <f t="shared" si="92"/>
        <v>44</v>
      </c>
      <c r="AZ621">
        <f t="shared" si="93"/>
        <v>46</v>
      </c>
      <c r="BA621">
        <f t="shared" si="94"/>
        <v>50</v>
      </c>
      <c r="BB621">
        <f t="shared" si="95"/>
        <v>56</v>
      </c>
      <c r="BC621">
        <f t="shared" si="96"/>
        <v>56</v>
      </c>
      <c r="BD621">
        <f t="shared" si="97"/>
        <v>56</v>
      </c>
      <c r="BE621">
        <f>HLOOKUP(AV621-1,$AW$3:BD893,ROW(AV621)-2,0)</f>
        <v>50</v>
      </c>
      <c r="BF621">
        <f>HLOOKUP(AV621,$AW$3:BD893,ROW(AV621)-2,0)</f>
        <v>56</v>
      </c>
      <c r="BG621" t="str">
        <f t="shared" si="98"/>
        <v>C_I_2_KwotaA</v>
      </c>
    </row>
    <row r="622" spans="1:59" x14ac:dyDescent="0.3">
      <c r="A622" t="s">
        <v>2556</v>
      </c>
      <c r="B622" t="s">
        <v>2910</v>
      </c>
      <c r="AV622">
        <f t="shared" si="99"/>
        <v>7</v>
      </c>
      <c r="AW622">
        <f t="shared" si="100"/>
        <v>15</v>
      </c>
      <c r="AX622">
        <f t="shared" si="91"/>
        <v>30</v>
      </c>
      <c r="AY622">
        <f t="shared" si="92"/>
        <v>44</v>
      </c>
      <c r="AZ622">
        <f t="shared" si="93"/>
        <v>46</v>
      </c>
      <c r="BA622">
        <f t="shared" si="94"/>
        <v>50</v>
      </c>
      <c r="BB622">
        <f t="shared" si="95"/>
        <v>56</v>
      </c>
      <c r="BC622">
        <f t="shared" si="96"/>
        <v>56</v>
      </c>
      <c r="BD622">
        <f t="shared" si="97"/>
        <v>56</v>
      </c>
      <c r="BE622">
        <f>HLOOKUP(AV622-1,$AW$3:BD894,ROW(AV622)-2,0)</f>
        <v>50</v>
      </c>
      <c r="BF622">
        <f>HLOOKUP(AV622,$AW$3:BD894,ROW(AV622)-2,0)</f>
        <v>56</v>
      </c>
      <c r="BG622" t="str">
        <f t="shared" si="98"/>
        <v>C_I_3_KwotaA</v>
      </c>
    </row>
    <row r="623" spans="1:59" x14ac:dyDescent="0.3">
      <c r="A623" t="s">
        <v>2558</v>
      </c>
      <c r="B623" t="s">
        <v>2911</v>
      </c>
      <c r="AV623">
        <f t="shared" si="99"/>
        <v>7</v>
      </c>
      <c r="AW623">
        <f t="shared" si="100"/>
        <v>15</v>
      </c>
      <c r="AX623">
        <f t="shared" si="91"/>
        <v>30</v>
      </c>
      <c r="AY623">
        <f t="shared" si="92"/>
        <v>44</v>
      </c>
      <c r="AZ623">
        <f t="shared" si="93"/>
        <v>46</v>
      </c>
      <c r="BA623">
        <f t="shared" si="94"/>
        <v>50</v>
      </c>
      <c r="BB623">
        <f t="shared" si="95"/>
        <v>56</v>
      </c>
      <c r="BC623">
        <f t="shared" si="96"/>
        <v>56</v>
      </c>
      <c r="BD623">
        <f t="shared" si="97"/>
        <v>56</v>
      </c>
      <c r="BE623">
        <f>HLOOKUP(AV623-1,$AW$3:BD895,ROW(AV623)-2,0)</f>
        <v>50</v>
      </c>
      <c r="BF623">
        <f>HLOOKUP(AV623,$AW$3:BD895,ROW(AV623)-2,0)</f>
        <v>56</v>
      </c>
      <c r="BG623" t="str">
        <f t="shared" si="98"/>
        <v>C_I_4_KwotaA</v>
      </c>
    </row>
    <row r="624" spans="1:59" x14ac:dyDescent="0.3">
      <c r="A624" t="s">
        <v>2560</v>
      </c>
      <c r="B624" t="s">
        <v>2912</v>
      </c>
      <c r="C624" s="18">
        <v>191357934.86000001</v>
      </c>
      <c r="AV624">
        <f t="shared" si="99"/>
        <v>6</v>
      </c>
      <c r="AW624">
        <f t="shared" si="100"/>
        <v>15</v>
      </c>
      <c r="AX624">
        <f t="shared" si="91"/>
        <v>30</v>
      </c>
      <c r="AY624">
        <f t="shared" si="92"/>
        <v>44</v>
      </c>
      <c r="AZ624">
        <f t="shared" si="93"/>
        <v>46</v>
      </c>
      <c r="BA624">
        <f t="shared" si="94"/>
        <v>51</v>
      </c>
      <c r="BB624">
        <f t="shared" si="95"/>
        <v>51</v>
      </c>
      <c r="BC624">
        <f t="shared" si="96"/>
        <v>51</v>
      </c>
      <c r="BD624">
        <f t="shared" si="97"/>
        <v>51</v>
      </c>
      <c r="BE624">
        <f>HLOOKUP(AV624-1,$AW$3:BD896,ROW(AV624)-2,0)</f>
        <v>46</v>
      </c>
      <c r="BF624">
        <f>HLOOKUP(AV624,$AW$3:BD896,ROW(AV624)-2,0)</f>
        <v>51</v>
      </c>
      <c r="BG624" t="str">
        <f t="shared" si="98"/>
        <v>C_II_KwotaA</v>
      </c>
    </row>
    <row r="625" spans="1:59" x14ac:dyDescent="0.3">
      <c r="A625" t="s">
        <v>2562</v>
      </c>
      <c r="B625" t="s">
        <v>2913</v>
      </c>
      <c r="AV625">
        <f t="shared" si="99"/>
        <v>7</v>
      </c>
      <c r="AW625">
        <f t="shared" si="100"/>
        <v>15</v>
      </c>
      <c r="AX625">
        <f t="shared" si="91"/>
        <v>30</v>
      </c>
      <c r="AY625">
        <f t="shared" si="92"/>
        <v>44</v>
      </c>
      <c r="AZ625">
        <f t="shared" si="93"/>
        <v>46</v>
      </c>
      <c r="BA625">
        <f t="shared" si="94"/>
        <v>51</v>
      </c>
      <c r="BB625">
        <f t="shared" si="95"/>
        <v>58</v>
      </c>
      <c r="BC625">
        <f t="shared" si="96"/>
        <v>58</v>
      </c>
      <c r="BD625">
        <f t="shared" si="97"/>
        <v>58</v>
      </c>
      <c r="BE625">
        <f>HLOOKUP(AV625-1,$AW$3:BD897,ROW(AV625)-2,0)</f>
        <v>51</v>
      </c>
      <c r="BF625">
        <f>HLOOKUP(AV625,$AW$3:BD897,ROW(AV625)-2,0)</f>
        <v>58</v>
      </c>
      <c r="BG625" t="str">
        <f t="shared" si="98"/>
        <v>C_II_1_KwotaA</v>
      </c>
    </row>
    <row r="626" spans="1:59" x14ac:dyDescent="0.3">
      <c r="A626" t="s">
        <v>2564</v>
      </c>
      <c r="B626" t="s">
        <v>2914</v>
      </c>
      <c r="C626" s="18">
        <v>8177030</v>
      </c>
      <c r="AV626">
        <f t="shared" si="99"/>
        <v>7</v>
      </c>
      <c r="AW626">
        <f t="shared" si="100"/>
        <v>15</v>
      </c>
      <c r="AX626">
        <f t="shared" si="91"/>
        <v>30</v>
      </c>
      <c r="AY626">
        <f t="shared" si="92"/>
        <v>44</v>
      </c>
      <c r="AZ626">
        <f t="shared" si="93"/>
        <v>46</v>
      </c>
      <c r="BA626">
        <f t="shared" si="94"/>
        <v>51</v>
      </c>
      <c r="BB626">
        <f t="shared" si="95"/>
        <v>58</v>
      </c>
      <c r="BC626">
        <f t="shared" si="96"/>
        <v>58</v>
      </c>
      <c r="BD626">
        <f t="shared" si="97"/>
        <v>58</v>
      </c>
      <c r="BE626">
        <f>HLOOKUP(AV626-1,$AW$3:BD898,ROW(AV626)-2,0)</f>
        <v>51</v>
      </c>
      <c r="BF626">
        <f>HLOOKUP(AV626,$AW$3:BD898,ROW(AV626)-2,0)</f>
        <v>58</v>
      </c>
      <c r="BG626" t="str">
        <f t="shared" si="98"/>
        <v>C_II_2_KwotaA</v>
      </c>
    </row>
    <row r="627" spans="1:59" x14ac:dyDescent="0.3">
      <c r="A627" t="s">
        <v>2566</v>
      </c>
      <c r="B627" t="s">
        <v>2915</v>
      </c>
      <c r="AV627">
        <f t="shared" si="99"/>
        <v>7</v>
      </c>
      <c r="AW627">
        <f t="shared" si="100"/>
        <v>15</v>
      </c>
      <c r="AX627">
        <f t="shared" si="91"/>
        <v>30</v>
      </c>
      <c r="AY627">
        <f t="shared" si="92"/>
        <v>44</v>
      </c>
      <c r="AZ627">
        <f t="shared" si="93"/>
        <v>46</v>
      </c>
      <c r="BA627">
        <f t="shared" si="94"/>
        <v>51</v>
      </c>
      <c r="BB627">
        <f t="shared" si="95"/>
        <v>58</v>
      </c>
      <c r="BC627">
        <f t="shared" si="96"/>
        <v>58</v>
      </c>
      <c r="BD627">
        <f t="shared" si="97"/>
        <v>58</v>
      </c>
      <c r="BE627">
        <f>HLOOKUP(AV627-1,$AW$3:BD899,ROW(AV627)-2,0)</f>
        <v>51</v>
      </c>
      <c r="BF627">
        <f>HLOOKUP(AV627,$AW$3:BD899,ROW(AV627)-2,0)</f>
        <v>58</v>
      </c>
      <c r="BG627" t="str">
        <f t="shared" si="98"/>
        <v>C_II_3_KwotaA</v>
      </c>
    </row>
    <row r="628" spans="1:59" x14ac:dyDescent="0.3">
      <c r="A628" t="s">
        <v>2568</v>
      </c>
      <c r="B628" t="s">
        <v>2916</v>
      </c>
      <c r="C628" s="18">
        <v>140259471.90000001</v>
      </c>
      <c r="AV628">
        <f t="shared" si="99"/>
        <v>7</v>
      </c>
      <c r="AW628">
        <f t="shared" si="100"/>
        <v>15</v>
      </c>
      <c r="AX628">
        <f t="shared" si="91"/>
        <v>30</v>
      </c>
      <c r="AY628">
        <f t="shared" si="92"/>
        <v>44</v>
      </c>
      <c r="AZ628">
        <f t="shared" si="93"/>
        <v>46</v>
      </c>
      <c r="BA628">
        <f t="shared" si="94"/>
        <v>51</v>
      </c>
      <c r="BB628">
        <f t="shared" si="95"/>
        <v>58</v>
      </c>
      <c r="BC628">
        <f t="shared" si="96"/>
        <v>58</v>
      </c>
      <c r="BD628">
        <f t="shared" si="97"/>
        <v>58</v>
      </c>
      <c r="BE628">
        <f>HLOOKUP(AV628-1,$AW$3:BD900,ROW(AV628)-2,0)</f>
        <v>51</v>
      </c>
      <c r="BF628">
        <f>HLOOKUP(AV628,$AW$3:BD900,ROW(AV628)-2,0)</f>
        <v>58</v>
      </c>
      <c r="BG628" t="str">
        <f t="shared" si="98"/>
        <v>C_II_4_KwotaA</v>
      </c>
    </row>
    <row r="629" spans="1:59" x14ac:dyDescent="0.3">
      <c r="A629" t="s">
        <v>2570</v>
      </c>
      <c r="B629" t="s">
        <v>2917</v>
      </c>
      <c r="AV629">
        <f t="shared" si="99"/>
        <v>7</v>
      </c>
      <c r="AW629">
        <f t="shared" si="100"/>
        <v>15</v>
      </c>
      <c r="AX629">
        <f t="shared" si="91"/>
        <v>30</v>
      </c>
      <c r="AY629">
        <f t="shared" si="92"/>
        <v>44</v>
      </c>
      <c r="AZ629">
        <f t="shared" si="93"/>
        <v>46</v>
      </c>
      <c r="BA629">
        <f t="shared" si="94"/>
        <v>51</v>
      </c>
      <c r="BB629">
        <f t="shared" si="95"/>
        <v>58</v>
      </c>
      <c r="BC629">
        <f t="shared" si="96"/>
        <v>58</v>
      </c>
      <c r="BD629">
        <f t="shared" si="97"/>
        <v>58</v>
      </c>
      <c r="BE629">
        <f>HLOOKUP(AV629-1,$AW$3:BD901,ROW(AV629)-2,0)</f>
        <v>51</v>
      </c>
      <c r="BF629">
        <f>HLOOKUP(AV629,$AW$3:BD901,ROW(AV629)-2,0)</f>
        <v>58</v>
      </c>
      <c r="BG629" t="str">
        <f t="shared" si="98"/>
        <v>C_II_5_KwotaA</v>
      </c>
    </row>
    <row r="630" spans="1:59" x14ac:dyDescent="0.3">
      <c r="A630" t="s">
        <v>2572</v>
      </c>
      <c r="B630" t="s">
        <v>2918</v>
      </c>
      <c r="AV630">
        <f t="shared" si="99"/>
        <v>7</v>
      </c>
      <c r="AW630">
        <f t="shared" si="100"/>
        <v>15</v>
      </c>
      <c r="AX630">
        <f t="shared" si="91"/>
        <v>30</v>
      </c>
      <c r="AY630">
        <f t="shared" si="92"/>
        <v>44</v>
      </c>
      <c r="AZ630">
        <f t="shared" si="93"/>
        <v>46</v>
      </c>
      <c r="BA630">
        <f t="shared" si="94"/>
        <v>51</v>
      </c>
      <c r="BB630">
        <f t="shared" si="95"/>
        <v>58</v>
      </c>
      <c r="BC630">
        <f t="shared" si="96"/>
        <v>58</v>
      </c>
      <c r="BD630">
        <f t="shared" si="97"/>
        <v>58</v>
      </c>
      <c r="BE630">
        <f>HLOOKUP(AV630-1,$AW$3:BD902,ROW(AV630)-2,0)</f>
        <v>51</v>
      </c>
      <c r="BF630">
        <f>HLOOKUP(AV630,$AW$3:BD902,ROW(AV630)-2,0)</f>
        <v>58</v>
      </c>
      <c r="BG630" t="str">
        <f t="shared" si="98"/>
        <v>C_II_6_KwotaA</v>
      </c>
    </row>
    <row r="631" spans="1:59" x14ac:dyDescent="0.3">
      <c r="A631" t="s">
        <v>2574</v>
      </c>
      <c r="B631" t="s">
        <v>2919</v>
      </c>
      <c r="AV631">
        <f t="shared" si="99"/>
        <v>7</v>
      </c>
      <c r="AW631">
        <f t="shared" si="100"/>
        <v>15</v>
      </c>
      <c r="AX631">
        <f t="shared" si="91"/>
        <v>30</v>
      </c>
      <c r="AY631">
        <f t="shared" si="92"/>
        <v>44</v>
      </c>
      <c r="AZ631">
        <f t="shared" si="93"/>
        <v>46</v>
      </c>
      <c r="BA631">
        <f t="shared" si="94"/>
        <v>51</v>
      </c>
      <c r="BB631">
        <f t="shared" si="95"/>
        <v>58</v>
      </c>
      <c r="BC631">
        <f t="shared" si="96"/>
        <v>58</v>
      </c>
      <c r="BD631">
        <f t="shared" si="97"/>
        <v>58</v>
      </c>
      <c r="BE631">
        <f>HLOOKUP(AV631-1,$AW$3:BD903,ROW(AV631)-2,0)</f>
        <v>51</v>
      </c>
      <c r="BF631">
        <f>HLOOKUP(AV631,$AW$3:BD903,ROW(AV631)-2,0)</f>
        <v>58</v>
      </c>
      <c r="BG631" t="str">
        <f t="shared" si="98"/>
        <v>C_II_7_KwotaA</v>
      </c>
    </row>
    <row r="632" spans="1:59" x14ac:dyDescent="0.3">
      <c r="A632" t="s">
        <v>2576</v>
      </c>
      <c r="B632" t="s">
        <v>2920</v>
      </c>
      <c r="C632" s="18">
        <v>42921432.960000001</v>
      </c>
      <c r="AV632">
        <f t="shared" si="99"/>
        <v>7</v>
      </c>
      <c r="AW632">
        <f t="shared" si="100"/>
        <v>15</v>
      </c>
      <c r="AX632">
        <f t="shared" si="91"/>
        <v>30</v>
      </c>
      <c r="AY632">
        <f t="shared" si="92"/>
        <v>44</v>
      </c>
      <c r="AZ632">
        <f t="shared" si="93"/>
        <v>46</v>
      </c>
      <c r="BA632">
        <f t="shared" si="94"/>
        <v>51</v>
      </c>
      <c r="BB632">
        <f t="shared" si="95"/>
        <v>58</v>
      </c>
      <c r="BC632">
        <f t="shared" si="96"/>
        <v>58</v>
      </c>
      <c r="BD632">
        <f t="shared" si="97"/>
        <v>58</v>
      </c>
      <c r="BE632">
        <f>HLOOKUP(AV632-1,$AW$3:BD904,ROW(AV632)-2,0)</f>
        <v>51</v>
      </c>
      <c r="BF632">
        <f>HLOOKUP(AV632,$AW$3:BD904,ROW(AV632)-2,0)</f>
        <v>58</v>
      </c>
      <c r="BG632" t="str">
        <f t="shared" si="98"/>
        <v>C_II_8_KwotaA</v>
      </c>
    </row>
    <row r="633" spans="1:59" x14ac:dyDescent="0.3">
      <c r="A633" t="s">
        <v>2578</v>
      </c>
      <c r="B633" t="s">
        <v>2921</v>
      </c>
      <c r="AV633">
        <f t="shared" si="99"/>
        <v>7</v>
      </c>
      <c r="AW633">
        <f t="shared" si="100"/>
        <v>15</v>
      </c>
      <c r="AX633">
        <f t="shared" si="91"/>
        <v>30</v>
      </c>
      <c r="AY633">
        <f t="shared" si="92"/>
        <v>44</v>
      </c>
      <c r="AZ633">
        <f t="shared" si="93"/>
        <v>46</v>
      </c>
      <c r="BA633">
        <f t="shared" si="94"/>
        <v>51</v>
      </c>
      <c r="BB633">
        <f t="shared" si="95"/>
        <v>58</v>
      </c>
      <c r="BC633">
        <f t="shared" si="96"/>
        <v>58</v>
      </c>
      <c r="BD633">
        <f t="shared" si="97"/>
        <v>58</v>
      </c>
      <c r="BE633">
        <f>HLOOKUP(AV633-1,$AW$3:BD905,ROW(AV633)-2,0)</f>
        <v>51</v>
      </c>
      <c r="BF633">
        <f>HLOOKUP(AV633,$AW$3:BD905,ROW(AV633)-2,0)</f>
        <v>58</v>
      </c>
      <c r="BG633" t="str">
        <f t="shared" si="98"/>
        <v>C_II_9_KwotaA</v>
      </c>
    </row>
    <row r="634" spans="1:59" x14ac:dyDescent="0.3">
      <c r="A634" t="s">
        <v>2580</v>
      </c>
      <c r="B634" t="s">
        <v>2922</v>
      </c>
      <c r="C634" s="18">
        <v>-191357934.86000001</v>
      </c>
      <c r="AV634">
        <f t="shared" si="99"/>
        <v>6</v>
      </c>
      <c r="AW634">
        <f t="shared" si="100"/>
        <v>15</v>
      </c>
      <c r="AX634">
        <f t="shared" si="91"/>
        <v>30</v>
      </c>
      <c r="AY634">
        <f t="shared" si="92"/>
        <v>44</v>
      </c>
      <c r="AZ634">
        <f t="shared" si="93"/>
        <v>46</v>
      </c>
      <c r="BA634">
        <f t="shared" si="94"/>
        <v>52</v>
      </c>
      <c r="BB634">
        <f t="shared" si="95"/>
        <v>52</v>
      </c>
      <c r="BC634">
        <f t="shared" si="96"/>
        <v>52</v>
      </c>
      <c r="BD634">
        <f t="shared" si="97"/>
        <v>52</v>
      </c>
      <c r="BE634">
        <f>HLOOKUP(AV634-1,$AW$3:BD906,ROW(AV634)-2,0)</f>
        <v>46</v>
      </c>
      <c r="BF634">
        <f>HLOOKUP(AV634,$AW$3:BD906,ROW(AV634)-2,0)</f>
        <v>52</v>
      </c>
      <c r="BG634" t="str">
        <f t="shared" si="98"/>
        <v>C_III_KwotaA</v>
      </c>
    </row>
    <row r="635" spans="1:59" x14ac:dyDescent="0.3">
      <c r="A635" t="s">
        <v>2582</v>
      </c>
      <c r="B635" t="s">
        <v>2923</v>
      </c>
      <c r="C635" s="18">
        <v>-8957968.6400000006</v>
      </c>
      <c r="AV635">
        <f t="shared" si="99"/>
        <v>5</v>
      </c>
      <c r="AW635">
        <f t="shared" si="100"/>
        <v>15</v>
      </c>
      <c r="AX635">
        <f t="shared" si="91"/>
        <v>30</v>
      </c>
      <c r="AY635">
        <f t="shared" si="92"/>
        <v>44</v>
      </c>
      <c r="AZ635">
        <f t="shared" si="93"/>
        <v>46</v>
      </c>
      <c r="BA635">
        <f t="shared" si="94"/>
        <v>46</v>
      </c>
      <c r="BB635">
        <f t="shared" si="95"/>
        <v>46</v>
      </c>
      <c r="BC635">
        <f t="shared" si="96"/>
        <v>46</v>
      </c>
      <c r="BD635">
        <f t="shared" si="97"/>
        <v>46</v>
      </c>
      <c r="BE635">
        <f>HLOOKUP(AV635-1,$AW$3:BD907,ROW(AV635)-2,0)</f>
        <v>44</v>
      </c>
      <c r="BF635">
        <f>HLOOKUP(AV635,$AW$3:BD907,ROW(AV635)-2,0)</f>
        <v>46</v>
      </c>
      <c r="BG635" t="str">
        <f t="shared" si="98"/>
        <v>D_KwotaA</v>
      </c>
    </row>
    <row r="636" spans="1:59" x14ac:dyDescent="0.3">
      <c r="A636" t="s">
        <v>2584</v>
      </c>
      <c r="B636" t="s">
        <v>2924</v>
      </c>
      <c r="C636" s="18">
        <v>-8850441.9299999997</v>
      </c>
      <c r="AV636">
        <f t="shared" si="99"/>
        <v>5</v>
      </c>
      <c r="AW636">
        <f t="shared" si="100"/>
        <v>15</v>
      </c>
      <c r="AX636">
        <f t="shared" si="91"/>
        <v>30</v>
      </c>
      <c r="AY636">
        <f t="shared" si="92"/>
        <v>44</v>
      </c>
      <c r="AZ636">
        <f t="shared" si="93"/>
        <v>46</v>
      </c>
      <c r="BA636">
        <f t="shared" si="94"/>
        <v>46</v>
      </c>
      <c r="BB636">
        <f t="shared" si="95"/>
        <v>46</v>
      </c>
      <c r="BC636">
        <f t="shared" si="96"/>
        <v>46</v>
      </c>
      <c r="BD636">
        <f t="shared" si="97"/>
        <v>46</v>
      </c>
      <c r="BE636">
        <f>HLOOKUP(AV636-1,$AW$3:BD908,ROW(AV636)-2,0)</f>
        <v>44</v>
      </c>
      <c r="BF636">
        <f>HLOOKUP(AV636,$AW$3:BD908,ROW(AV636)-2,0)</f>
        <v>46</v>
      </c>
      <c r="BG636" t="str">
        <f t="shared" si="98"/>
        <v>E_KwotaA</v>
      </c>
    </row>
    <row r="637" spans="1:59" x14ac:dyDescent="0.3">
      <c r="A637" t="s">
        <v>2586</v>
      </c>
      <c r="B637" t="s">
        <v>2925</v>
      </c>
      <c r="C637" s="18">
        <v>107526.71</v>
      </c>
      <c r="AV637">
        <f t="shared" si="99"/>
        <v>6</v>
      </c>
      <c r="AW637">
        <f t="shared" si="100"/>
        <v>15</v>
      </c>
      <c r="AX637">
        <f t="shared" si="91"/>
        <v>30</v>
      </c>
      <c r="AY637">
        <f t="shared" si="92"/>
        <v>44</v>
      </c>
      <c r="AZ637">
        <f t="shared" si="93"/>
        <v>46</v>
      </c>
      <c r="BA637">
        <f t="shared" si="94"/>
        <v>50</v>
      </c>
      <c r="BB637">
        <f t="shared" si="95"/>
        <v>50</v>
      </c>
      <c r="BC637">
        <f t="shared" si="96"/>
        <v>50</v>
      </c>
      <c r="BD637">
        <f t="shared" si="97"/>
        <v>50</v>
      </c>
      <c r="BE637">
        <f>HLOOKUP(AV637-1,$AW$3:BD909,ROW(AV637)-2,0)</f>
        <v>46</v>
      </c>
      <c r="BF637">
        <f>HLOOKUP(AV637,$AW$3:BD909,ROW(AV637)-2,0)</f>
        <v>50</v>
      </c>
      <c r="BG637" t="str">
        <f t="shared" si="98"/>
        <v>E_1_KwotaA</v>
      </c>
    </row>
    <row r="638" spans="1:59" x14ac:dyDescent="0.3">
      <c r="A638" t="s">
        <v>2588</v>
      </c>
      <c r="B638" t="s">
        <v>2926</v>
      </c>
      <c r="C638" s="18">
        <v>10172456.439999999</v>
      </c>
      <c r="AV638">
        <f t="shared" si="99"/>
        <v>5</v>
      </c>
      <c r="AW638">
        <f t="shared" si="100"/>
        <v>15</v>
      </c>
      <c r="AX638">
        <f t="shared" si="91"/>
        <v>30</v>
      </c>
      <c r="AY638">
        <f t="shared" si="92"/>
        <v>44</v>
      </c>
      <c r="AZ638">
        <f t="shared" si="93"/>
        <v>46</v>
      </c>
      <c r="BA638">
        <f t="shared" si="94"/>
        <v>46</v>
      </c>
      <c r="BB638">
        <f t="shared" si="95"/>
        <v>46</v>
      </c>
      <c r="BC638">
        <f t="shared" si="96"/>
        <v>46</v>
      </c>
      <c r="BD638">
        <f t="shared" si="97"/>
        <v>46</v>
      </c>
      <c r="BE638">
        <f>HLOOKUP(AV638-1,$AW$3:BD910,ROW(AV638)-2,0)</f>
        <v>44</v>
      </c>
      <c r="BF638">
        <f>HLOOKUP(AV638,$AW$3:BD910,ROW(AV638)-2,0)</f>
        <v>46</v>
      </c>
      <c r="BG638" t="str">
        <f t="shared" si="98"/>
        <v>F_KwotaA</v>
      </c>
    </row>
    <row r="639" spans="1:59" x14ac:dyDescent="0.3">
      <c r="A639" t="s">
        <v>2590</v>
      </c>
      <c r="B639" t="s">
        <v>2927</v>
      </c>
      <c r="C639" s="18">
        <v>1322014.51</v>
      </c>
      <c r="AV639">
        <f t="shared" si="99"/>
        <v>5</v>
      </c>
      <c r="AW639">
        <f t="shared" si="100"/>
        <v>15</v>
      </c>
      <c r="AX639">
        <f t="shared" si="91"/>
        <v>30</v>
      </c>
      <c r="AY639">
        <f t="shared" si="92"/>
        <v>44</v>
      </c>
      <c r="AZ639">
        <f t="shared" si="93"/>
        <v>46</v>
      </c>
      <c r="BA639">
        <f t="shared" si="94"/>
        <v>46</v>
      </c>
      <c r="BB639">
        <f t="shared" si="95"/>
        <v>46</v>
      </c>
      <c r="BC639">
        <f t="shared" si="96"/>
        <v>46</v>
      </c>
      <c r="BD639">
        <f t="shared" si="97"/>
        <v>46</v>
      </c>
      <c r="BE639">
        <f>HLOOKUP(AV639-1,$AW$3:BD911,ROW(AV639)-2,0)</f>
        <v>44</v>
      </c>
      <c r="BF639">
        <f>HLOOKUP(AV639,$AW$3:BD911,ROW(AV639)-2,0)</f>
        <v>46</v>
      </c>
      <c r="BG639" t="str">
        <f t="shared" si="98"/>
        <v>G_KwotaA</v>
      </c>
    </row>
    <row r="640" spans="1:59" x14ac:dyDescent="0.3">
      <c r="A640" t="s">
        <v>2592</v>
      </c>
      <c r="B640" t="s">
        <v>2928</v>
      </c>
      <c r="AV640">
        <f t="shared" si="99"/>
        <v>6</v>
      </c>
      <c r="AW640">
        <f t="shared" si="100"/>
        <v>15</v>
      </c>
      <c r="AX640">
        <f t="shared" si="91"/>
        <v>30</v>
      </c>
      <c r="AY640">
        <f t="shared" si="92"/>
        <v>44</v>
      </c>
      <c r="AZ640">
        <f t="shared" si="93"/>
        <v>46</v>
      </c>
      <c r="BA640">
        <f t="shared" si="94"/>
        <v>50</v>
      </c>
      <c r="BB640">
        <f t="shared" si="95"/>
        <v>50</v>
      </c>
      <c r="BC640">
        <f t="shared" si="96"/>
        <v>50</v>
      </c>
      <c r="BD640">
        <f t="shared" si="97"/>
        <v>50</v>
      </c>
      <c r="BE640">
        <f>HLOOKUP(AV640-1,$AW$3:BD912,ROW(AV640)-2,0)</f>
        <v>46</v>
      </c>
      <c r="BF640">
        <f>HLOOKUP(AV640,$AW$3:BD912,ROW(AV640)-2,0)</f>
        <v>50</v>
      </c>
      <c r="BG640" t="str">
        <f t="shared" si="98"/>
        <v>G_1_KwotaA</v>
      </c>
    </row>
    <row r="641" spans="1:60" x14ac:dyDescent="0.3">
      <c r="A641" t="s">
        <v>2594</v>
      </c>
      <c r="B641" t="s">
        <v>2929</v>
      </c>
      <c r="C641" s="18">
        <v>59964292.439999998</v>
      </c>
      <c r="AV641">
        <f t="shared" si="99"/>
        <v>5</v>
      </c>
      <c r="AW641">
        <f t="shared" si="100"/>
        <v>15</v>
      </c>
      <c r="AX641">
        <f t="shared" si="91"/>
        <v>59</v>
      </c>
      <c r="AY641">
        <f t="shared" si="92"/>
        <v>106</v>
      </c>
      <c r="AZ641">
        <f t="shared" si="93"/>
        <v>113</v>
      </c>
      <c r="BA641">
        <f t="shared" si="94"/>
        <v>113</v>
      </c>
      <c r="BB641">
        <f t="shared" si="95"/>
        <v>113</v>
      </c>
      <c r="BC641">
        <f t="shared" si="96"/>
        <v>113</v>
      </c>
      <c r="BD641">
        <f t="shared" si="97"/>
        <v>113</v>
      </c>
      <c r="BE641">
        <f>HLOOKUP(AV641-1,$AW$3:BD913,ROW(AV641)-2,0)</f>
        <v>106</v>
      </c>
      <c r="BF641">
        <f>HLOOKUP(AV641,$AW$3:BD913,ROW(AV641)-2,0)</f>
        <v>113</v>
      </c>
      <c r="BG641" t="str">
        <f t="shared" si="98"/>
        <v>RB</v>
      </c>
      <c r="BH641" t="str">
        <f>MID(B641,AY641+1,LEN(B641))</f>
        <v>P_ID_1/RB</v>
      </c>
    </row>
    <row r="642" spans="1:60" x14ac:dyDescent="0.3">
      <c r="A642" t="s">
        <v>2596</v>
      </c>
      <c r="B642" t="s">
        <v>2930</v>
      </c>
      <c r="C642" s="18">
        <v>-123488153.38</v>
      </c>
      <c r="AV642">
        <f t="shared" si="99"/>
        <v>7</v>
      </c>
      <c r="AW642">
        <f t="shared" si="100"/>
        <v>15</v>
      </c>
      <c r="AX642">
        <f t="shared" si="91"/>
        <v>59</v>
      </c>
      <c r="AY642">
        <f t="shared" si="92"/>
        <v>106</v>
      </c>
      <c r="AZ642">
        <f t="shared" si="93"/>
        <v>113</v>
      </c>
      <c r="BA642">
        <f t="shared" si="94"/>
        <v>119</v>
      </c>
      <c r="BB642">
        <f t="shared" si="95"/>
        <v>122</v>
      </c>
      <c r="BC642">
        <f t="shared" si="96"/>
        <v>122</v>
      </c>
      <c r="BD642">
        <f t="shared" si="97"/>
        <v>122</v>
      </c>
      <c r="BE642">
        <f>HLOOKUP(AV642-1,$AW$3:BD914,ROW(AV642)-2,0)</f>
        <v>119</v>
      </c>
      <c r="BF642">
        <f>HLOOKUP(AV642,$AW$3:BD914,ROW(AV642)-2,0)</f>
        <v>122</v>
      </c>
      <c r="BG642" t="str">
        <f t="shared" si="98"/>
        <v>RB_KwotaA</v>
      </c>
      <c r="BH642" t="str">
        <f t="shared" ref="BH642:BH649" si="101">MID(B642,AY642+1,LEN(B642)-BF642)&amp;MID(B642,BE642,LEN(B642)-BE642+1)</f>
        <v>P_ID_2/RB/KwotaA</v>
      </c>
    </row>
    <row r="643" spans="1:60" x14ac:dyDescent="0.3">
      <c r="A643" t="s">
        <v>2598</v>
      </c>
      <c r="B643" t="s">
        <v>2931</v>
      </c>
      <c r="C643" s="18">
        <v>-4757771.3600000003</v>
      </c>
      <c r="AV643">
        <f t="shared" si="99"/>
        <v>7</v>
      </c>
      <c r="AW643">
        <f t="shared" si="100"/>
        <v>15</v>
      </c>
      <c r="AX643">
        <f t="shared" si="91"/>
        <v>59</v>
      </c>
      <c r="AY643">
        <f t="shared" si="92"/>
        <v>106</v>
      </c>
      <c r="AZ643">
        <f t="shared" si="93"/>
        <v>113</v>
      </c>
      <c r="BA643">
        <f t="shared" si="94"/>
        <v>119</v>
      </c>
      <c r="BB643">
        <f t="shared" si="95"/>
        <v>122</v>
      </c>
      <c r="BC643">
        <f t="shared" si="96"/>
        <v>122</v>
      </c>
      <c r="BD643">
        <f t="shared" si="97"/>
        <v>122</v>
      </c>
      <c r="BE643">
        <f>HLOOKUP(AV643-1,$AW$3:BD915,ROW(AV643)-2,0)</f>
        <v>119</v>
      </c>
      <c r="BF643">
        <f>HLOOKUP(AV643,$AW$3:BD915,ROW(AV643)-2,0)</f>
        <v>122</v>
      </c>
      <c r="BG643" t="str">
        <f t="shared" si="98"/>
        <v>RB_KwotaA</v>
      </c>
      <c r="BH643" t="str">
        <f t="shared" si="101"/>
        <v>P_ID_3/RB/KwotaA</v>
      </c>
    </row>
    <row r="644" spans="1:60" x14ac:dyDescent="0.3">
      <c r="A644" t="s">
        <v>2600</v>
      </c>
      <c r="B644" t="s">
        <v>2932</v>
      </c>
      <c r="C644" s="18">
        <v>723950.42</v>
      </c>
      <c r="AV644">
        <f t="shared" si="99"/>
        <v>7</v>
      </c>
      <c r="AW644">
        <f t="shared" si="100"/>
        <v>15</v>
      </c>
      <c r="AX644">
        <f t="shared" ref="AX644:AX651" si="102">FIND("/",B644,AW644+1)</f>
        <v>59</v>
      </c>
      <c r="AY644">
        <f t="shared" ref="AY644:AY651" si="103">IFERROR(FIND("/",B644,AX644+1),AX644)</f>
        <v>106</v>
      </c>
      <c r="AZ644">
        <f t="shared" ref="AZ644:AZ651" si="104">IFERROR(FIND("/",B644,AY644+1),AY644)</f>
        <v>113</v>
      </c>
      <c r="BA644">
        <f t="shared" ref="BA644:BA651" si="105">IFERROR(FIND("/",B644,AZ644+1),AZ644)</f>
        <v>119</v>
      </c>
      <c r="BB644">
        <f t="shared" ref="BB644:BB651" si="106">IFERROR(FIND("/",B644,BA644+1),BA644)</f>
        <v>122</v>
      </c>
      <c r="BC644">
        <f t="shared" ref="BC644:BC651" si="107">IFERROR(FIND("/",B644,BB644+1),BB644)</f>
        <v>122</v>
      </c>
      <c r="BD644">
        <f t="shared" ref="BD644:BD651" si="108">IFERROR(FIND("/",B644,BC644+1),BC644)</f>
        <v>122</v>
      </c>
      <c r="BE644">
        <f>HLOOKUP(AV644-1,$AW$3:BD916,ROW(AV644)-2,0)</f>
        <v>119</v>
      </c>
      <c r="BF644">
        <f>HLOOKUP(AV644,$AW$3:BD916,ROW(AV644)-2,0)</f>
        <v>122</v>
      </c>
      <c r="BG644" t="str">
        <f t="shared" ref="BG644:BG651" si="109">IF(ISERROR(FIND("Kwota",B644)),IF(ISERROR(FIND("Prawna",B644)),MID(B644,BF644+1,LEN(B644)-BF644),REPLACE(MID(B644,BE644+1,LEN(B644)-BE644),FIND("/",MID(B644,BE644+1,LEN(B644)-BE644)),1,"_")),REPLACE(MID(B644,BE644+1,LEN(B644)-BE644),FIND("/",MID(B644,BE644+1,LEN(B644)-BE644)),1,"_"))</f>
        <v>RB_KwotaA</v>
      </c>
      <c r="BH644" t="str">
        <f t="shared" si="101"/>
        <v>P_ID_4/RB/KwotaA</v>
      </c>
    </row>
    <row r="645" spans="1:60" x14ac:dyDescent="0.3">
      <c r="A645" t="s">
        <v>2602</v>
      </c>
      <c r="B645" t="s">
        <v>2933</v>
      </c>
      <c r="C645" s="18">
        <v>30655219.870000001</v>
      </c>
      <c r="AV645">
        <f t="shared" si="99"/>
        <v>7</v>
      </c>
      <c r="AW645">
        <f t="shared" si="100"/>
        <v>15</v>
      </c>
      <c r="AX645">
        <f t="shared" si="102"/>
        <v>59</v>
      </c>
      <c r="AY645">
        <f t="shared" si="103"/>
        <v>106</v>
      </c>
      <c r="AZ645">
        <f t="shared" si="104"/>
        <v>113</v>
      </c>
      <c r="BA645">
        <f t="shared" si="105"/>
        <v>119</v>
      </c>
      <c r="BB645">
        <f t="shared" si="106"/>
        <v>122</v>
      </c>
      <c r="BC645">
        <f t="shared" si="107"/>
        <v>122</v>
      </c>
      <c r="BD645">
        <f t="shared" si="108"/>
        <v>122</v>
      </c>
      <c r="BE645">
        <f>HLOOKUP(AV645-1,$AW$3:BD917,ROW(AV645)-2,0)</f>
        <v>119</v>
      </c>
      <c r="BF645">
        <f>HLOOKUP(AV645,$AW$3:BD917,ROW(AV645)-2,0)</f>
        <v>122</v>
      </c>
      <c r="BG645" t="str">
        <f t="shared" si="109"/>
        <v>RB_KwotaA</v>
      </c>
      <c r="BH645" t="str">
        <f t="shared" si="101"/>
        <v>P_ID_5/RB/KwotaA</v>
      </c>
    </row>
    <row r="646" spans="1:60" x14ac:dyDescent="0.3">
      <c r="A646" t="s">
        <v>2604</v>
      </c>
      <c r="B646" t="s">
        <v>2934</v>
      </c>
      <c r="C646" s="18">
        <v>33134713.84</v>
      </c>
      <c r="AV646">
        <f t="shared" si="99"/>
        <v>7</v>
      </c>
      <c r="AW646">
        <f t="shared" si="100"/>
        <v>15</v>
      </c>
      <c r="AX646">
        <f t="shared" si="102"/>
        <v>59</v>
      </c>
      <c r="AY646">
        <f t="shared" si="103"/>
        <v>106</v>
      </c>
      <c r="AZ646">
        <f t="shared" si="104"/>
        <v>113</v>
      </c>
      <c r="BA646">
        <f t="shared" si="105"/>
        <v>119</v>
      </c>
      <c r="BB646">
        <f t="shared" si="106"/>
        <v>122</v>
      </c>
      <c r="BC646">
        <f t="shared" si="107"/>
        <v>122</v>
      </c>
      <c r="BD646">
        <f t="shared" si="108"/>
        <v>122</v>
      </c>
      <c r="BE646">
        <f>HLOOKUP(AV646-1,$AW$3:BD918,ROW(AV646)-2,0)</f>
        <v>119</v>
      </c>
      <c r="BF646">
        <f>HLOOKUP(AV646,$AW$3:BD918,ROW(AV646)-2,0)</f>
        <v>122</v>
      </c>
      <c r="BG646" t="str">
        <f t="shared" si="109"/>
        <v>RB_KwotaA</v>
      </c>
      <c r="BH646" t="str">
        <f t="shared" si="101"/>
        <v>P_ID_6/RB/KwotaA</v>
      </c>
    </row>
    <row r="647" spans="1:60" x14ac:dyDescent="0.3">
      <c r="A647" t="s">
        <v>2606</v>
      </c>
      <c r="B647" t="s">
        <v>2935</v>
      </c>
      <c r="C647" s="18">
        <v>-1870331.7</v>
      </c>
      <c r="AV647">
        <f t="shared" si="99"/>
        <v>7</v>
      </c>
      <c r="AW647">
        <f t="shared" si="100"/>
        <v>15</v>
      </c>
      <c r="AX647">
        <f t="shared" si="102"/>
        <v>59</v>
      </c>
      <c r="AY647">
        <f t="shared" si="103"/>
        <v>106</v>
      </c>
      <c r="AZ647">
        <f t="shared" si="104"/>
        <v>113</v>
      </c>
      <c r="BA647">
        <f t="shared" si="105"/>
        <v>119</v>
      </c>
      <c r="BB647">
        <f t="shared" si="106"/>
        <v>122</v>
      </c>
      <c r="BC647">
        <f t="shared" si="107"/>
        <v>122</v>
      </c>
      <c r="BD647">
        <f t="shared" si="108"/>
        <v>122</v>
      </c>
      <c r="BE647">
        <f>HLOOKUP(AV647-1,$AW$3:BD919,ROW(AV647)-2,0)</f>
        <v>119</v>
      </c>
      <c r="BF647">
        <f>HLOOKUP(AV647,$AW$3:BD919,ROW(AV647)-2,0)</f>
        <v>122</v>
      </c>
      <c r="BG647" t="str">
        <f t="shared" si="109"/>
        <v>RB_KwotaA</v>
      </c>
      <c r="BH647" t="str">
        <f t="shared" si="101"/>
        <v>P_ID_7/RB/KwotaA</v>
      </c>
    </row>
    <row r="648" spans="1:60" x14ac:dyDescent="0.3">
      <c r="A648" t="s">
        <v>2608</v>
      </c>
      <c r="B648" t="s">
        <v>2936</v>
      </c>
      <c r="C648" s="18">
        <v>0</v>
      </c>
      <c r="AV648">
        <f t="shared" si="99"/>
        <v>7</v>
      </c>
      <c r="AW648">
        <f t="shared" si="100"/>
        <v>15</v>
      </c>
      <c r="AX648">
        <f t="shared" si="102"/>
        <v>59</v>
      </c>
      <c r="AY648">
        <f t="shared" si="103"/>
        <v>106</v>
      </c>
      <c r="AZ648">
        <f t="shared" si="104"/>
        <v>113</v>
      </c>
      <c r="BA648">
        <f t="shared" si="105"/>
        <v>119</v>
      </c>
      <c r="BB648">
        <f t="shared" si="106"/>
        <v>122</v>
      </c>
      <c r="BC648">
        <f t="shared" si="107"/>
        <v>122</v>
      </c>
      <c r="BD648">
        <f t="shared" si="108"/>
        <v>122</v>
      </c>
      <c r="BE648">
        <f>HLOOKUP(AV648-1,$AW$3:BD920,ROW(AV648)-2,0)</f>
        <v>119</v>
      </c>
      <c r="BF648">
        <f>HLOOKUP(AV648,$AW$3:BD920,ROW(AV648)-2,0)</f>
        <v>122</v>
      </c>
      <c r="BG648" t="str">
        <f t="shared" si="109"/>
        <v>RB_KwotaA</v>
      </c>
      <c r="BH648" t="str">
        <f t="shared" si="101"/>
        <v>P_ID_8/RB/KwotaA</v>
      </c>
    </row>
    <row r="649" spans="1:60" x14ac:dyDescent="0.3">
      <c r="A649" t="s">
        <v>2610</v>
      </c>
      <c r="B649" t="s">
        <v>2937</v>
      </c>
      <c r="C649" s="18">
        <v>0</v>
      </c>
      <c r="AV649">
        <f t="shared" si="99"/>
        <v>7</v>
      </c>
      <c r="AW649">
        <f t="shared" si="100"/>
        <v>15</v>
      </c>
      <c r="AX649">
        <f t="shared" si="102"/>
        <v>59</v>
      </c>
      <c r="AY649">
        <f t="shared" si="103"/>
        <v>106</v>
      </c>
      <c r="AZ649">
        <f t="shared" si="104"/>
        <v>113</v>
      </c>
      <c r="BA649">
        <f t="shared" si="105"/>
        <v>119</v>
      </c>
      <c r="BB649">
        <f t="shared" si="106"/>
        <v>122</v>
      </c>
      <c r="BC649">
        <f t="shared" si="107"/>
        <v>122</v>
      </c>
      <c r="BD649">
        <f t="shared" si="108"/>
        <v>122</v>
      </c>
      <c r="BE649">
        <f>HLOOKUP(AV649-1,$AW$3:BD921,ROW(AV649)-2,0)</f>
        <v>119</v>
      </c>
      <c r="BF649">
        <f>HLOOKUP(AV649,$AW$3:BD921,ROW(AV649)-2,0)</f>
        <v>122</v>
      </c>
      <c r="BG649" t="str">
        <f t="shared" si="109"/>
        <v>RB_KwotaA</v>
      </c>
      <c r="BH649" t="str">
        <f t="shared" si="101"/>
        <v>P_ID_9/RB/KwotaA</v>
      </c>
    </row>
    <row r="650" spans="1:60" x14ac:dyDescent="0.3">
      <c r="A650" t="s">
        <v>2612</v>
      </c>
      <c r="B650" t="s">
        <v>2938</v>
      </c>
      <c r="C650" s="18">
        <v>-5638079.8700000001</v>
      </c>
      <c r="AV650">
        <f t="shared" si="99"/>
        <v>5</v>
      </c>
      <c r="AW650">
        <f t="shared" si="100"/>
        <v>15</v>
      </c>
      <c r="AX650">
        <f t="shared" si="102"/>
        <v>59</v>
      </c>
      <c r="AY650">
        <f t="shared" si="103"/>
        <v>106</v>
      </c>
      <c r="AZ650">
        <f t="shared" si="104"/>
        <v>114</v>
      </c>
      <c r="BA650">
        <f t="shared" si="105"/>
        <v>114</v>
      </c>
      <c r="BB650">
        <f t="shared" si="106"/>
        <v>114</v>
      </c>
      <c r="BC650">
        <f t="shared" si="107"/>
        <v>114</v>
      </c>
      <c r="BD650">
        <f t="shared" si="108"/>
        <v>114</v>
      </c>
      <c r="BE650">
        <f>HLOOKUP(AV650-1,$AW$3:BD922,ROW(AV650)-2,0)</f>
        <v>106</v>
      </c>
      <c r="BF650">
        <f>HLOOKUP(AV650,$AW$3:BD922,ROW(AV650)-2,0)</f>
        <v>114</v>
      </c>
      <c r="BG650" t="str">
        <f t="shared" si="109"/>
        <v>RB</v>
      </c>
      <c r="BH650" t="str">
        <f>MID(B650,AY650+1,LEN(B650))</f>
        <v>P_ID_10/RB</v>
      </c>
    </row>
    <row r="651" spans="1:60" x14ac:dyDescent="0.3">
      <c r="A651" t="s">
        <v>2614</v>
      </c>
      <c r="B651" t="s">
        <v>2939</v>
      </c>
      <c r="C651" s="18">
        <v>0</v>
      </c>
      <c r="AV651">
        <f t="shared" si="99"/>
        <v>5</v>
      </c>
      <c r="AW651">
        <f t="shared" si="100"/>
        <v>15</v>
      </c>
      <c r="AX651">
        <f t="shared" si="102"/>
        <v>59</v>
      </c>
      <c r="AY651">
        <f t="shared" si="103"/>
        <v>106</v>
      </c>
      <c r="AZ651">
        <f t="shared" si="104"/>
        <v>114</v>
      </c>
      <c r="BA651">
        <f t="shared" si="105"/>
        <v>114</v>
      </c>
      <c r="BB651">
        <f t="shared" si="106"/>
        <v>114</v>
      </c>
      <c r="BC651">
        <f t="shared" si="107"/>
        <v>114</v>
      </c>
      <c r="BD651">
        <f t="shared" si="108"/>
        <v>114</v>
      </c>
      <c r="BE651">
        <f>HLOOKUP(AV651-1,$AW$3:BD923,ROW(AV651)-2,0)</f>
        <v>106</v>
      </c>
      <c r="BF651">
        <f>HLOOKUP(AV651,$AW$3:BD923,ROW(AV651)-2,0)</f>
        <v>114</v>
      </c>
      <c r="BG651" t="str">
        <f t="shared" si="109"/>
        <v>RB</v>
      </c>
      <c r="BH651" t="str">
        <f>MID(B651,AY651+1,LEN(B651))</f>
        <v>P_ID_11/RB</v>
      </c>
    </row>
  </sheetData>
  <autoFilter ref="A3:BI327" xr:uid="{00000000-0009-0000-0000-000001000000}"/>
  <mergeCells count="1">
    <mergeCell ref="A2:B2"/>
  </mergeCells>
  <conditionalFormatting sqref="B163:B164 B1:B161 B166:B251 B253:B1048576">
    <cfRule type="containsText" dxfId="36" priority="5" operator="containsText" text="KwotaB">
      <formula>NOT(ISERROR(SEARCH("KwotaB",B1)))</formula>
    </cfRule>
  </conditionalFormatting>
  <conditionalFormatting sqref="B252">
    <cfRule type="containsText" dxfId="35" priority="3" operator="containsText" text="KwotaB">
      <formula>NOT(ISERROR(SEARCH("KwotaB",B252)))</formula>
    </cfRule>
  </conditionalFormatting>
  <conditionalFormatting sqref="B162">
    <cfRule type="containsText" dxfId="34" priority="2" operator="containsText" text="KwotaB">
      <formula>NOT(ISERROR(SEARCH("KwotaB",B162)))</formula>
    </cfRule>
  </conditionalFormatting>
  <conditionalFormatting sqref="B165">
    <cfRule type="containsText" dxfId="33" priority="1" operator="containsText" text="KwotaB">
      <formula>NOT(ISERROR(SEARCH("KwotaB",B165)))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2:A462"/>
  <sheetViews>
    <sheetView workbookViewId="0">
      <selection activeCell="A239" sqref="A239"/>
    </sheetView>
  </sheetViews>
  <sheetFormatPr defaultRowHeight="15.05" x14ac:dyDescent="0.3"/>
  <cols>
    <col min="1" max="1" width="167.109375" bestFit="1" customWidth="1"/>
  </cols>
  <sheetData>
    <row r="2" spans="1:1" x14ac:dyDescent="0.3">
      <c r="A2" t="s">
        <v>2940</v>
      </c>
    </row>
    <row r="3" spans="1:1" x14ac:dyDescent="0.3">
      <c r="A3" t="s">
        <v>2941</v>
      </c>
    </row>
    <row r="4" spans="1:1" x14ac:dyDescent="0.3">
      <c r="A4" t="s">
        <v>2942</v>
      </c>
    </row>
    <row r="5" spans="1:1" x14ac:dyDescent="0.3">
      <c r="A5" t="s">
        <v>2943</v>
      </c>
    </row>
    <row r="6" spans="1:1" x14ac:dyDescent="0.3">
      <c r="A6" t="s">
        <v>2944</v>
      </c>
    </row>
    <row r="7" spans="1:1" x14ac:dyDescent="0.3">
      <c r="A7" t="s">
        <v>2945</v>
      </c>
    </row>
    <row r="8" spans="1:1" x14ac:dyDescent="0.3">
      <c r="A8" t="s">
        <v>2946</v>
      </c>
    </row>
    <row r="9" spans="1:1" x14ac:dyDescent="0.3">
      <c r="A9" t="s">
        <v>2947</v>
      </c>
    </row>
    <row r="10" spans="1:1" x14ac:dyDescent="0.3">
      <c r="A10" t="s">
        <v>2948</v>
      </c>
    </row>
    <row r="11" spans="1:1" x14ac:dyDescent="0.3">
      <c r="A11" t="s">
        <v>2949</v>
      </c>
    </row>
    <row r="12" spans="1:1" x14ac:dyDescent="0.3">
      <c r="A12" t="s">
        <v>2950</v>
      </c>
    </row>
    <row r="13" spans="1:1" x14ac:dyDescent="0.3">
      <c r="A13" t="s">
        <v>2951</v>
      </c>
    </row>
    <row r="14" spans="1:1" x14ac:dyDescent="0.3">
      <c r="A14" t="s">
        <v>2952</v>
      </c>
    </row>
    <row r="15" spans="1:1" x14ac:dyDescent="0.3">
      <c r="A15" t="s">
        <v>2953</v>
      </c>
    </row>
    <row r="16" spans="1:1" x14ac:dyDescent="0.3">
      <c r="A16" t="s">
        <v>2954</v>
      </c>
    </row>
    <row r="17" spans="1:1" x14ac:dyDescent="0.3">
      <c r="A17" t="s">
        <v>2955</v>
      </c>
    </row>
    <row r="18" spans="1:1" x14ac:dyDescent="0.3">
      <c r="A18" t="s">
        <v>2956</v>
      </c>
    </row>
    <row r="19" spans="1:1" x14ac:dyDescent="0.3">
      <c r="A19" t="s">
        <v>2957</v>
      </c>
    </row>
    <row r="20" spans="1:1" x14ac:dyDescent="0.3">
      <c r="A20" t="s">
        <v>2958</v>
      </c>
    </row>
    <row r="21" spans="1:1" x14ac:dyDescent="0.3">
      <c r="A21" t="s">
        <v>2959</v>
      </c>
    </row>
    <row r="22" spans="1:1" x14ac:dyDescent="0.3">
      <c r="A22" t="s">
        <v>2960</v>
      </c>
    </row>
    <row r="23" spans="1:1" x14ac:dyDescent="0.3">
      <c r="A23" t="s">
        <v>2961</v>
      </c>
    </row>
    <row r="24" spans="1:1" x14ac:dyDescent="0.3">
      <c r="A24" t="s">
        <v>2962</v>
      </c>
    </row>
    <row r="25" spans="1:1" x14ac:dyDescent="0.3">
      <c r="A25" t="s">
        <v>2963</v>
      </c>
    </row>
    <row r="26" spans="1:1" x14ac:dyDescent="0.3">
      <c r="A26" t="s">
        <v>2964</v>
      </c>
    </row>
    <row r="27" spans="1:1" x14ac:dyDescent="0.3">
      <c r="A27" t="s">
        <v>2965</v>
      </c>
    </row>
    <row r="28" spans="1:1" x14ac:dyDescent="0.3">
      <c r="A28" t="s">
        <v>2966</v>
      </c>
    </row>
    <row r="29" spans="1:1" x14ac:dyDescent="0.3">
      <c r="A29" t="s">
        <v>2967</v>
      </c>
    </row>
    <row r="30" spans="1:1" x14ac:dyDescent="0.3">
      <c r="A30" t="s">
        <v>2968</v>
      </c>
    </row>
    <row r="31" spans="1:1" x14ac:dyDescent="0.3">
      <c r="A31" t="s">
        <v>2969</v>
      </c>
    </row>
    <row r="32" spans="1:1" x14ac:dyDescent="0.3">
      <c r="A32" t="s">
        <v>2970</v>
      </c>
    </row>
    <row r="33" spans="1:1" x14ac:dyDescent="0.3">
      <c r="A33" t="s">
        <v>2971</v>
      </c>
    </row>
    <row r="34" spans="1:1" x14ac:dyDescent="0.3">
      <c r="A34" t="s">
        <v>2616</v>
      </c>
    </row>
    <row r="35" spans="1:1" x14ac:dyDescent="0.3">
      <c r="A35" t="s">
        <v>2972</v>
      </c>
    </row>
    <row r="36" spans="1:1" x14ac:dyDescent="0.3">
      <c r="A36" t="s">
        <v>2617</v>
      </c>
    </row>
    <row r="37" spans="1:1" x14ac:dyDescent="0.3">
      <c r="A37" t="s">
        <v>2973</v>
      </c>
    </row>
    <row r="38" spans="1:1" x14ac:dyDescent="0.3">
      <c r="A38" t="s">
        <v>2636</v>
      </c>
    </row>
    <row r="39" spans="1:1" x14ac:dyDescent="0.3">
      <c r="A39" t="s">
        <v>2974</v>
      </c>
    </row>
    <row r="40" spans="1:1" x14ac:dyDescent="0.3">
      <c r="A40" t="s">
        <v>2639</v>
      </c>
    </row>
    <row r="41" spans="1:1" x14ac:dyDescent="0.3">
      <c r="A41" t="s">
        <v>2975</v>
      </c>
    </row>
    <row r="42" spans="1:1" x14ac:dyDescent="0.3">
      <c r="A42" t="s">
        <v>2640</v>
      </c>
    </row>
    <row r="43" spans="1:1" x14ac:dyDescent="0.3">
      <c r="A43" t="s">
        <v>2976</v>
      </c>
    </row>
    <row r="44" spans="1:1" x14ac:dyDescent="0.3">
      <c r="A44" t="s">
        <v>2641</v>
      </c>
    </row>
    <row r="45" spans="1:1" x14ac:dyDescent="0.3">
      <c r="A45" t="s">
        <v>2977</v>
      </c>
    </row>
    <row r="46" spans="1:1" x14ac:dyDescent="0.3">
      <c r="A46" t="s">
        <v>2643</v>
      </c>
    </row>
    <row r="47" spans="1:1" x14ac:dyDescent="0.3">
      <c r="A47" t="s">
        <v>2978</v>
      </c>
    </row>
    <row r="48" spans="1:1" x14ac:dyDescent="0.3">
      <c r="A48" t="s">
        <v>2656</v>
      </c>
    </row>
    <row r="49" spans="1:1" x14ac:dyDescent="0.3">
      <c r="A49" t="s">
        <v>2979</v>
      </c>
    </row>
    <row r="50" spans="1:1" x14ac:dyDescent="0.3">
      <c r="A50" t="s">
        <v>2657</v>
      </c>
    </row>
    <row r="51" spans="1:1" x14ac:dyDescent="0.3">
      <c r="A51" t="s">
        <v>2980</v>
      </c>
    </row>
    <row r="52" spans="1:1" x14ac:dyDescent="0.3">
      <c r="A52" t="s">
        <v>2659</v>
      </c>
    </row>
    <row r="53" spans="1:1" x14ac:dyDescent="0.3">
      <c r="A53" t="s">
        <v>2981</v>
      </c>
    </row>
    <row r="54" spans="1:1" x14ac:dyDescent="0.3">
      <c r="A54" t="s">
        <v>2666</v>
      </c>
    </row>
    <row r="55" spans="1:1" x14ac:dyDescent="0.3">
      <c r="A55" t="s">
        <v>2982</v>
      </c>
    </row>
    <row r="56" spans="1:1" x14ac:dyDescent="0.3">
      <c r="A56" t="s">
        <v>2667</v>
      </c>
    </row>
    <row r="57" spans="1:1" x14ac:dyDescent="0.3">
      <c r="A57" t="s">
        <v>2983</v>
      </c>
    </row>
    <row r="58" spans="1:1" x14ac:dyDescent="0.3">
      <c r="A58" t="s">
        <v>2668</v>
      </c>
    </row>
    <row r="59" spans="1:1" x14ac:dyDescent="0.3">
      <c r="A59" t="s">
        <v>2984</v>
      </c>
    </row>
    <row r="60" spans="1:1" x14ac:dyDescent="0.3">
      <c r="A60" t="s">
        <v>2669</v>
      </c>
    </row>
    <row r="61" spans="1:1" x14ac:dyDescent="0.3">
      <c r="A61" t="s">
        <v>2985</v>
      </c>
    </row>
    <row r="62" spans="1:1" x14ac:dyDescent="0.3">
      <c r="A62" t="s">
        <v>2677</v>
      </c>
    </row>
    <row r="63" spans="1:1" x14ac:dyDescent="0.3">
      <c r="A63" t="s">
        <v>2986</v>
      </c>
    </row>
    <row r="64" spans="1:1" x14ac:dyDescent="0.3">
      <c r="A64" t="s">
        <v>2681</v>
      </c>
    </row>
    <row r="65" spans="1:1" x14ac:dyDescent="0.3">
      <c r="A65" t="s">
        <v>2987</v>
      </c>
    </row>
    <row r="66" spans="1:1" x14ac:dyDescent="0.3">
      <c r="A66" t="s">
        <v>2684</v>
      </c>
    </row>
    <row r="67" spans="1:1" x14ac:dyDescent="0.3">
      <c r="A67" t="s">
        <v>2988</v>
      </c>
    </row>
    <row r="68" spans="1:1" x14ac:dyDescent="0.3">
      <c r="A68" t="s">
        <v>2685</v>
      </c>
    </row>
    <row r="69" spans="1:1" x14ac:dyDescent="0.3">
      <c r="A69" t="s">
        <v>2989</v>
      </c>
    </row>
    <row r="70" spans="1:1" x14ac:dyDescent="0.3">
      <c r="A70" t="s">
        <v>2686</v>
      </c>
    </row>
    <row r="71" spans="1:1" x14ac:dyDescent="0.3">
      <c r="A71" t="s">
        <v>2990</v>
      </c>
    </row>
    <row r="72" spans="1:1" x14ac:dyDescent="0.3">
      <c r="A72" t="s">
        <v>2689</v>
      </c>
    </row>
    <row r="73" spans="1:1" x14ac:dyDescent="0.3">
      <c r="A73" t="s">
        <v>2991</v>
      </c>
    </row>
    <row r="74" spans="1:1" x14ac:dyDescent="0.3">
      <c r="A74" t="s">
        <v>2696</v>
      </c>
    </row>
    <row r="75" spans="1:1" x14ac:dyDescent="0.3">
      <c r="A75" t="s">
        <v>2992</v>
      </c>
    </row>
    <row r="76" spans="1:1" x14ac:dyDescent="0.3">
      <c r="A76" t="s">
        <v>2697</v>
      </c>
    </row>
    <row r="77" spans="1:1" x14ac:dyDescent="0.3">
      <c r="A77" t="s">
        <v>2993</v>
      </c>
    </row>
    <row r="78" spans="1:1" x14ac:dyDescent="0.3">
      <c r="A78" t="s">
        <v>2700</v>
      </c>
    </row>
    <row r="79" spans="1:1" x14ac:dyDescent="0.3">
      <c r="A79" t="s">
        <v>2994</v>
      </c>
    </row>
    <row r="80" spans="1:1" x14ac:dyDescent="0.3">
      <c r="A80" t="s">
        <v>2703</v>
      </c>
    </row>
    <row r="81" spans="1:1" x14ac:dyDescent="0.3">
      <c r="A81" t="s">
        <v>2995</v>
      </c>
    </row>
    <row r="82" spans="1:1" x14ac:dyDescent="0.3">
      <c r="A82" t="s">
        <v>2704</v>
      </c>
    </row>
    <row r="83" spans="1:1" x14ac:dyDescent="0.3">
      <c r="A83" t="s">
        <v>2996</v>
      </c>
    </row>
    <row r="84" spans="1:1" x14ac:dyDescent="0.3">
      <c r="A84" t="s">
        <v>2705</v>
      </c>
    </row>
    <row r="85" spans="1:1" x14ac:dyDescent="0.3">
      <c r="A85" t="s">
        <v>2997</v>
      </c>
    </row>
    <row r="86" spans="1:1" x14ac:dyDescent="0.3">
      <c r="A86" t="s">
        <v>2706</v>
      </c>
    </row>
    <row r="87" spans="1:1" x14ac:dyDescent="0.3">
      <c r="A87" t="s">
        <v>2998</v>
      </c>
    </row>
    <row r="88" spans="1:1" x14ac:dyDescent="0.3">
      <c r="A88" t="s">
        <v>2710</v>
      </c>
    </row>
    <row r="89" spans="1:1" x14ac:dyDescent="0.3">
      <c r="A89" t="s">
        <v>2999</v>
      </c>
    </row>
    <row r="90" spans="1:1" x14ac:dyDescent="0.3">
      <c r="A90" t="s">
        <v>2711</v>
      </c>
    </row>
    <row r="91" spans="1:1" x14ac:dyDescent="0.3">
      <c r="A91" t="s">
        <v>3000</v>
      </c>
    </row>
    <row r="92" spans="1:1" x14ac:dyDescent="0.3">
      <c r="A92" t="s">
        <v>2714</v>
      </c>
    </row>
    <row r="93" spans="1:1" x14ac:dyDescent="0.3">
      <c r="A93" t="s">
        <v>3001</v>
      </c>
    </row>
    <row r="94" spans="1:1" x14ac:dyDescent="0.3">
      <c r="A94" t="s">
        <v>2716</v>
      </c>
    </row>
    <row r="95" spans="1:1" x14ac:dyDescent="0.3">
      <c r="A95" t="s">
        <v>3002</v>
      </c>
    </row>
    <row r="96" spans="1:1" x14ac:dyDescent="0.3">
      <c r="A96" t="s">
        <v>2717</v>
      </c>
    </row>
    <row r="97" spans="1:1" x14ac:dyDescent="0.3">
      <c r="A97" t="s">
        <v>3003</v>
      </c>
    </row>
    <row r="98" spans="1:1" x14ac:dyDescent="0.3">
      <c r="A98" t="s">
        <v>2718</v>
      </c>
    </row>
    <row r="99" spans="1:1" x14ac:dyDescent="0.3">
      <c r="A99" t="s">
        <v>3004</v>
      </c>
    </row>
    <row r="100" spans="1:1" x14ac:dyDescent="0.3">
      <c r="A100" t="s">
        <v>2719</v>
      </c>
    </row>
    <row r="101" spans="1:1" x14ac:dyDescent="0.3">
      <c r="A101" t="s">
        <v>3005</v>
      </c>
    </row>
    <row r="102" spans="1:1" x14ac:dyDescent="0.3">
      <c r="A102" t="s">
        <v>2721</v>
      </c>
    </row>
    <row r="103" spans="1:1" x14ac:dyDescent="0.3">
      <c r="A103" t="s">
        <v>3006</v>
      </c>
    </row>
    <row r="104" spans="1:1" x14ac:dyDescent="0.3">
      <c r="A104" t="s">
        <v>2725</v>
      </c>
    </row>
    <row r="105" spans="1:1" x14ac:dyDescent="0.3">
      <c r="A105" t="s">
        <v>3007</v>
      </c>
    </row>
    <row r="106" spans="1:1" x14ac:dyDescent="0.3">
      <c r="A106" t="s">
        <v>2726</v>
      </c>
    </row>
    <row r="107" spans="1:1" x14ac:dyDescent="0.3">
      <c r="A107" t="s">
        <v>3008</v>
      </c>
    </row>
    <row r="108" spans="1:1" x14ac:dyDescent="0.3">
      <c r="A108" t="s">
        <v>2734</v>
      </c>
    </row>
    <row r="109" spans="1:1" x14ac:dyDescent="0.3">
      <c r="A109" t="s">
        <v>3009</v>
      </c>
    </row>
    <row r="110" spans="1:1" x14ac:dyDescent="0.3">
      <c r="A110" t="s">
        <v>2735</v>
      </c>
    </row>
    <row r="111" spans="1:1" x14ac:dyDescent="0.3">
      <c r="A111" t="s">
        <v>3010</v>
      </c>
    </row>
    <row r="112" spans="1:1" x14ac:dyDescent="0.3">
      <c r="A112" t="s">
        <v>2736</v>
      </c>
    </row>
    <row r="113" spans="1:1" x14ac:dyDescent="0.3">
      <c r="A113" t="s">
        <v>3011</v>
      </c>
    </row>
    <row r="114" spans="1:1" x14ac:dyDescent="0.3">
      <c r="A114" t="s">
        <v>2737</v>
      </c>
    </row>
    <row r="115" spans="1:1" x14ac:dyDescent="0.3">
      <c r="A115" t="s">
        <v>3012</v>
      </c>
    </row>
    <row r="116" spans="1:1" x14ac:dyDescent="0.3">
      <c r="A116" t="s">
        <v>2739</v>
      </c>
    </row>
    <row r="117" spans="1:1" x14ac:dyDescent="0.3">
      <c r="A117" t="s">
        <v>3013</v>
      </c>
    </row>
    <row r="118" spans="1:1" x14ac:dyDescent="0.3">
      <c r="A118" t="s">
        <v>2745</v>
      </c>
    </row>
    <row r="119" spans="1:1" x14ac:dyDescent="0.3">
      <c r="A119" t="s">
        <v>3014</v>
      </c>
    </row>
    <row r="120" spans="1:1" x14ac:dyDescent="0.3">
      <c r="A120" t="s">
        <v>2749</v>
      </c>
    </row>
    <row r="121" spans="1:1" x14ac:dyDescent="0.3">
      <c r="A121" t="s">
        <v>3015</v>
      </c>
    </row>
    <row r="122" spans="1:1" x14ac:dyDescent="0.3">
      <c r="A122" t="s">
        <v>2750</v>
      </c>
    </row>
    <row r="123" spans="1:1" x14ac:dyDescent="0.3">
      <c r="A123" t="s">
        <v>3016</v>
      </c>
    </row>
    <row r="124" spans="1:1" x14ac:dyDescent="0.3">
      <c r="A124" t="s">
        <v>2754</v>
      </c>
    </row>
    <row r="125" spans="1:1" x14ac:dyDescent="0.3">
      <c r="A125" t="s">
        <v>3017</v>
      </c>
    </row>
    <row r="126" spans="1:1" x14ac:dyDescent="0.3">
      <c r="A126" t="s">
        <v>2756</v>
      </c>
    </row>
    <row r="127" spans="1:1" x14ac:dyDescent="0.3">
      <c r="A127" t="s">
        <v>3018</v>
      </c>
    </row>
    <row r="128" spans="1:1" x14ac:dyDescent="0.3">
      <c r="A128" t="s">
        <v>2763</v>
      </c>
    </row>
    <row r="129" spans="1:1" x14ac:dyDescent="0.3">
      <c r="A129" t="s">
        <v>3019</v>
      </c>
    </row>
    <row r="130" spans="1:1" x14ac:dyDescent="0.3">
      <c r="A130" t="s">
        <v>2764</v>
      </c>
    </row>
    <row r="131" spans="1:1" x14ac:dyDescent="0.3">
      <c r="A131" t="s">
        <v>3020</v>
      </c>
    </row>
    <row r="132" spans="1:1" x14ac:dyDescent="0.3">
      <c r="A132" t="s">
        <v>2765</v>
      </c>
    </row>
    <row r="133" spans="1:1" x14ac:dyDescent="0.3">
      <c r="A133" t="s">
        <v>3021</v>
      </c>
    </row>
    <row r="134" spans="1:1" x14ac:dyDescent="0.3">
      <c r="A134" t="s">
        <v>2769</v>
      </c>
    </row>
    <row r="135" spans="1:1" x14ac:dyDescent="0.3">
      <c r="A135" t="s">
        <v>3022</v>
      </c>
    </row>
    <row r="136" spans="1:1" x14ac:dyDescent="0.3">
      <c r="A136" t="s">
        <v>2771</v>
      </c>
    </row>
    <row r="137" spans="1:1" x14ac:dyDescent="0.3">
      <c r="A137" t="s">
        <v>3023</v>
      </c>
    </row>
    <row r="138" spans="1:1" x14ac:dyDescent="0.3">
      <c r="A138" t="s">
        <v>2772</v>
      </c>
    </row>
    <row r="139" spans="1:1" x14ac:dyDescent="0.3">
      <c r="A139" t="s">
        <v>3024</v>
      </c>
    </row>
    <row r="140" spans="1:1" x14ac:dyDescent="0.3">
      <c r="A140" t="s">
        <v>2773</v>
      </c>
    </row>
    <row r="141" spans="1:1" x14ac:dyDescent="0.3">
      <c r="A141" t="s">
        <v>3025</v>
      </c>
    </row>
    <row r="142" spans="1:1" x14ac:dyDescent="0.3">
      <c r="A142" t="s">
        <v>2775</v>
      </c>
    </row>
    <row r="143" spans="1:1" x14ac:dyDescent="0.3">
      <c r="A143" t="s">
        <v>3026</v>
      </c>
    </row>
    <row r="144" spans="1:1" x14ac:dyDescent="0.3">
      <c r="A144" t="s">
        <v>2776</v>
      </c>
    </row>
    <row r="145" spans="1:1" x14ac:dyDescent="0.3">
      <c r="A145" t="s">
        <v>3027</v>
      </c>
    </row>
    <row r="146" spans="1:1" x14ac:dyDescent="0.3">
      <c r="A146" t="s">
        <v>2777</v>
      </c>
    </row>
    <row r="147" spans="1:1" x14ac:dyDescent="0.3">
      <c r="A147" t="s">
        <v>3028</v>
      </c>
    </row>
    <row r="148" spans="1:1" x14ac:dyDescent="0.3">
      <c r="A148" t="s">
        <v>2778</v>
      </c>
    </row>
    <row r="149" spans="1:1" x14ac:dyDescent="0.3">
      <c r="A149" t="s">
        <v>3029</v>
      </c>
    </row>
    <row r="150" spans="1:1" x14ac:dyDescent="0.3">
      <c r="A150" t="s">
        <v>2780</v>
      </c>
    </row>
    <row r="151" spans="1:1" x14ac:dyDescent="0.3">
      <c r="A151" t="s">
        <v>3030</v>
      </c>
    </row>
    <row r="152" spans="1:1" x14ac:dyDescent="0.3">
      <c r="A152" t="s">
        <v>2781</v>
      </c>
    </row>
    <row r="153" spans="1:1" x14ac:dyDescent="0.3">
      <c r="A153" t="s">
        <v>3031</v>
      </c>
    </row>
    <row r="154" spans="1:1" x14ac:dyDescent="0.3">
      <c r="A154" t="s">
        <v>2785</v>
      </c>
    </row>
    <row r="155" spans="1:1" x14ac:dyDescent="0.3">
      <c r="A155" t="s">
        <v>3032</v>
      </c>
    </row>
    <row r="156" spans="1:1" x14ac:dyDescent="0.3">
      <c r="A156" t="s">
        <v>2786</v>
      </c>
    </row>
    <row r="157" spans="1:1" x14ac:dyDescent="0.3">
      <c r="A157" t="s">
        <v>3033</v>
      </c>
    </row>
    <row r="158" spans="1:1" x14ac:dyDescent="0.3">
      <c r="A158" t="s">
        <v>2789</v>
      </c>
    </row>
    <row r="159" spans="1:1" x14ac:dyDescent="0.3">
      <c r="A159" t="s">
        <v>3034</v>
      </c>
    </row>
    <row r="160" spans="1:1" x14ac:dyDescent="0.3">
      <c r="A160" t="s">
        <v>2790</v>
      </c>
    </row>
    <row r="161" spans="1:1" x14ac:dyDescent="0.3">
      <c r="A161" t="s">
        <v>3035</v>
      </c>
    </row>
    <row r="162" spans="1:1" x14ac:dyDescent="0.3">
      <c r="A162" t="s">
        <v>2791</v>
      </c>
    </row>
    <row r="163" spans="1:1" x14ac:dyDescent="0.3">
      <c r="A163" t="s">
        <v>3036</v>
      </c>
    </row>
    <row r="164" spans="1:1" x14ac:dyDescent="0.3">
      <c r="A164" t="s">
        <v>2792</v>
      </c>
    </row>
    <row r="165" spans="1:1" x14ac:dyDescent="0.3">
      <c r="A165" t="s">
        <v>3037</v>
      </c>
    </row>
    <row r="166" spans="1:1" x14ac:dyDescent="0.3">
      <c r="A166" t="s">
        <v>2793</v>
      </c>
    </row>
    <row r="167" spans="1:1" x14ac:dyDescent="0.3">
      <c r="A167" t="s">
        <v>3038</v>
      </c>
    </row>
    <row r="168" spans="1:1" x14ac:dyDescent="0.3">
      <c r="A168" t="s">
        <v>2797</v>
      </c>
    </row>
    <row r="169" spans="1:1" x14ac:dyDescent="0.3">
      <c r="A169" t="s">
        <v>3039</v>
      </c>
    </row>
    <row r="170" spans="1:1" x14ac:dyDescent="0.3">
      <c r="A170" t="s">
        <v>2798</v>
      </c>
    </row>
    <row r="171" spans="1:1" x14ac:dyDescent="0.3">
      <c r="A171" t="s">
        <v>3040</v>
      </c>
    </row>
    <row r="172" spans="1:1" x14ac:dyDescent="0.3">
      <c r="A172" t="s">
        <v>2802</v>
      </c>
    </row>
    <row r="173" spans="1:1" x14ac:dyDescent="0.3">
      <c r="A173" t="s">
        <v>3041</v>
      </c>
    </row>
    <row r="174" spans="1:1" x14ac:dyDescent="0.3">
      <c r="A174" t="s">
        <v>2803</v>
      </c>
    </row>
    <row r="175" spans="1:1" x14ac:dyDescent="0.3">
      <c r="A175" t="s">
        <v>3042</v>
      </c>
    </row>
    <row r="176" spans="1:1" x14ac:dyDescent="0.3">
      <c r="A176" t="s">
        <v>2804</v>
      </c>
    </row>
    <row r="177" spans="1:1" x14ac:dyDescent="0.3">
      <c r="A177" t="s">
        <v>3043</v>
      </c>
    </row>
    <row r="178" spans="1:1" x14ac:dyDescent="0.3">
      <c r="A178" t="s">
        <v>2805</v>
      </c>
    </row>
    <row r="179" spans="1:1" x14ac:dyDescent="0.3">
      <c r="A179" t="s">
        <v>3044</v>
      </c>
    </row>
    <row r="180" spans="1:1" x14ac:dyDescent="0.3">
      <c r="A180" t="s">
        <v>2806</v>
      </c>
    </row>
    <row r="181" spans="1:1" x14ac:dyDescent="0.3">
      <c r="A181" t="s">
        <v>3045</v>
      </c>
    </row>
    <row r="182" spans="1:1" x14ac:dyDescent="0.3">
      <c r="A182" t="s">
        <v>2809</v>
      </c>
    </row>
    <row r="183" spans="1:1" x14ac:dyDescent="0.3">
      <c r="A183" t="s">
        <v>3046</v>
      </c>
    </row>
    <row r="184" spans="1:1" x14ac:dyDescent="0.3">
      <c r="A184" t="s">
        <v>2810</v>
      </c>
    </row>
    <row r="185" spans="1:1" x14ac:dyDescent="0.3">
      <c r="A185" t="s">
        <v>3047</v>
      </c>
    </row>
    <row r="186" spans="1:1" x14ac:dyDescent="0.3">
      <c r="A186" t="s">
        <v>2811</v>
      </c>
    </row>
    <row r="187" spans="1:1" x14ac:dyDescent="0.3">
      <c r="A187" t="s">
        <v>3048</v>
      </c>
    </row>
    <row r="188" spans="1:1" x14ac:dyDescent="0.3">
      <c r="A188" t="s">
        <v>2813</v>
      </c>
    </row>
    <row r="189" spans="1:1" x14ac:dyDescent="0.3">
      <c r="A189" t="s">
        <v>3049</v>
      </c>
    </row>
    <row r="190" spans="1:1" x14ac:dyDescent="0.3">
      <c r="A190" t="s">
        <v>2814</v>
      </c>
    </row>
    <row r="191" spans="1:1" x14ac:dyDescent="0.3">
      <c r="A191" t="s">
        <v>3050</v>
      </c>
    </row>
    <row r="192" spans="1:1" x14ac:dyDescent="0.3">
      <c r="A192" t="s">
        <v>2817</v>
      </c>
    </row>
    <row r="193" spans="1:1" x14ac:dyDescent="0.3">
      <c r="A193" t="s">
        <v>3051</v>
      </c>
    </row>
    <row r="194" spans="1:1" x14ac:dyDescent="0.3">
      <c r="A194" t="s">
        <v>2818</v>
      </c>
    </row>
    <row r="195" spans="1:1" x14ac:dyDescent="0.3">
      <c r="A195" t="s">
        <v>3052</v>
      </c>
    </row>
    <row r="196" spans="1:1" x14ac:dyDescent="0.3">
      <c r="A196" t="s">
        <v>2819</v>
      </c>
    </row>
    <row r="197" spans="1:1" x14ac:dyDescent="0.3">
      <c r="A197" t="s">
        <v>3053</v>
      </c>
    </row>
    <row r="198" spans="1:1" x14ac:dyDescent="0.3">
      <c r="A198" t="s">
        <v>2820</v>
      </c>
    </row>
    <row r="199" spans="1:1" x14ac:dyDescent="0.3">
      <c r="A199" t="s">
        <v>3054</v>
      </c>
    </row>
    <row r="200" spans="1:1" x14ac:dyDescent="0.3">
      <c r="A200" t="s">
        <v>2821</v>
      </c>
    </row>
    <row r="201" spans="1:1" x14ac:dyDescent="0.3">
      <c r="A201" t="s">
        <v>3055</v>
      </c>
    </row>
    <row r="202" spans="1:1" x14ac:dyDescent="0.3">
      <c r="A202" t="s">
        <v>2824</v>
      </c>
    </row>
    <row r="203" spans="1:1" x14ac:dyDescent="0.3">
      <c r="A203" t="s">
        <v>3056</v>
      </c>
    </row>
    <row r="204" spans="1:1" x14ac:dyDescent="0.3">
      <c r="A204" t="s">
        <v>2825</v>
      </c>
    </row>
    <row r="205" spans="1:1" x14ac:dyDescent="0.3">
      <c r="A205" t="s">
        <v>3057</v>
      </c>
    </row>
    <row r="206" spans="1:1" x14ac:dyDescent="0.3">
      <c r="A206" t="s">
        <v>2826</v>
      </c>
    </row>
    <row r="207" spans="1:1" x14ac:dyDescent="0.3">
      <c r="A207" t="s">
        <v>3058</v>
      </c>
    </row>
    <row r="208" spans="1:1" x14ac:dyDescent="0.3">
      <c r="A208" t="s">
        <v>2827</v>
      </c>
    </row>
    <row r="209" spans="1:1" x14ac:dyDescent="0.3">
      <c r="A209" t="s">
        <v>3059</v>
      </c>
    </row>
    <row r="210" spans="1:1" x14ac:dyDescent="0.3">
      <c r="A210" t="s">
        <v>2829</v>
      </c>
    </row>
    <row r="211" spans="1:1" x14ac:dyDescent="0.3">
      <c r="A211" t="s">
        <v>3060</v>
      </c>
    </row>
    <row r="212" spans="1:1" x14ac:dyDescent="0.3">
      <c r="A212" t="s">
        <v>2833</v>
      </c>
    </row>
    <row r="213" spans="1:1" x14ac:dyDescent="0.3">
      <c r="A213" t="s">
        <v>3061</v>
      </c>
    </row>
    <row r="214" spans="1:1" x14ac:dyDescent="0.3">
      <c r="A214" t="s">
        <v>2840</v>
      </c>
    </row>
    <row r="215" spans="1:1" x14ac:dyDescent="0.3">
      <c r="A215" t="s">
        <v>3062</v>
      </c>
    </row>
    <row r="216" spans="1:1" x14ac:dyDescent="0.3">
      <c r="A216" t="s">
        <v>2841</v>
      </c>
    </row>
    <row r="217" spans="1:1" x14ac:dyDescent="0.3">
      <c r="A217" t="s">
        <v>3063</v>
      </c>
    </row>
    <row r="218" spans="1:1" x14ac:dyDescent="0.3">
      <c r="A218" t="s">
        <v>2842</v>
      </c>
    </row>
    <row r="219" spans="1:1" x14ac:dyDescent="0.3">
      <c r="A219" t="s">
        <v>3064</v>
      </c>
    </row>
    <row r="220" spans="1:1" x14ac:dyDescent="0.3">
      <c r="A220" t="s">
        <v>3065</v>
      </c>
    </row>
    <row r="221" spans="1:1" x14ac:dyDescent="0.3">
      <c r="A221" t="s">
        <v>3066</v>
      </c>
    </row>
    <row r="222" spans="1:1" x14ac:dyDescent="0.3">
      <c r="A222" t="s">
        <v>3067</v>
      </c>
    </row>
    <row r="223" spans="1:1" x14ac:dyDescent="0.3">
      <c r="A223" t="s">
        <v>2844</v>
      </c>
    </row>
    <row r="224" spans="1:1" x14ac:dyDescent="0.3">
      <c r="A224" t="s">
        <v>3068</v>
      </c>
    </row>
    <row r="225" spans="1:1" x14ac:dyDescent="0.3">
      <c r="A225" t="s">
        <v>2845</v>
      </c>
    </row>
    <row r="226" spans="1:1" x14ac:dyDescent="0.3">
      <c r="A226" t="s">
        <v>3069</v>
      </c>
    </row>
    <row r="227" spans="1:1" x14ac:dyDescent="0.3">
      <c r="A227" t="s">
        <v>2846</v>
      </c>
    </row>
    <row r="228" spans="1:1" x14ac:dyDescent="0.3">
      <c r="A228" t="s">
        <v>3070</v>
      </c>
    </row>
    <row r="229" spans="1:1" x14ac:dyDescent="0.3">
      <c r="A229" t="s">
        <v>2849</v>
      </c>
    </row>
    <row r="230" spans="1:1" x14ac:dyDescent="0.3">
      <c r="A230" t="s">
        <v>3071</v>
      </c>
    </row>
    <row r="231" spans="1:1" x14ac:dyDescent="0.3">
      <c r="A231" t="s">
        <v>2852</v>
      </c>
    </row>
    <row r="232" spans="1:1" x14ac:dyDescent="0.3">
      <c r="A232" t="s">
        <v>3072</v>
      </c>
    </row>
    <row r="233" spans="1:1" x14ac:dyDescent="0.3">
      <c r="A233" t="s">
        <v>3073</v>
      </c>
    </row>
    <row r="234" spans="1:1" x14ac:dyDescent="0.3">
      <c r="A234" t="s">
        <v>3074</v>
      </c>
    </row>
    <row r="235" spans="1:1" x14ac:dyDescent="0.3">
      <c r="A235" t="s">
        <v>3075</v>
      </c>
    </row>
    <row r="236" spans="1:1" x14ac:dyDescent="0.3">
      <c r="A236" t="s">
        <v>2863</v>
      </c>
    </row>
    <row r="237" spans="1:1" x14ac:dyDescent="0.3">
      <c r="A237" t="s">
        <v>3076</v>
      </c>
    </row>
    <row r="238" spans="1:1" x14ac:dyDescent="0.3">
      <c r="A238" t="s">
        <v>2864</v>
      </c>
    </row>
    <row r="239" spans="1:1" x14ac:dyDescent="0.3">
      <c r="A239" t="s">
        <v>3077</v>
      </c>
    </row>
    <row r="240" spans="1:1" x14ac:dyDescent="0.3">
      <c r="A240" t="s">
        <v>2867</v>
      </c>
    </row>
    <row r="241" spans="1:1" x14ac:dyDescent="0.3">
      <c r="A241" t="s">
        <v>3078</v>
      </c>
    </row>
    <row r="242" spans="1:1" x14ac:dyDescent="0.3">
      <c r="A242" t="s">
        <v>2868</v>
      </c>
    </row>
    <row r="243" spans="1:1" x14ac:dyDescent="0.3">
      <c r="A243" t="s">
        <v>3079</v>
      </c>
    </row>
    <row r="244" spans="1:1" x14ac:dyDescent="0.3">
      <c r="A244" t="s">
        <v>2869</v>
      </c>
    </row>
    <row r="245" spans="1:1" x14ac:dyDescent="0.3">
      <c r="A245" t="s">
        <v>3080</v>
      </c>
    </row>
    <row r="246" spans="1:1" x14ac:dyDescent="0.3">
      <c r="A246" t="s">
        <v>2870</v>
      </c>
    </row>
    <row r="247" spans="1:1" x14ac:dyDescent="0.3">
      <c r="A247" t="s">
        <v>3081</v>
      </c>
    </row>
    <row r="248" spans="1:1" x14ac:dyDescent="0.3">
      <c r="A248" t="s">
        <v>2871</v>
      </c>
    </row>
    <row r="249" spans="1:1" x14ac:dyDescent="0.3">
      <c r="A249" t="s">
        <v>3082</v>
      </c>
    </row>
    <row r="250" spans="1:1" x14ac:dyDescent="0.3">
      <c r="A250" t="s">
        <v>2873</v>
      </c>
    </row>
    <row r="251" spans="1:1" x14ac:dyDescent="0.3">
      <c r="A251" t="s">
        <v>3083</v>
      </c>
    </row>
    <row r="252" spans="1:1" x14ac:dyDescent="0.3">
      <c r="A252" t="s">
        <v>2874</v>
      </c>
    </row>
    <row r="253" spans="1:1" x14ac:dyDescent="0.3">
      <c r="A253" t="s">
        <v>3084</v>
      </c>
    </row>
    <row r="254" spans="1:1" x14ac:dyDescent="0.3">
      <c r="A254" t="s">
        <v>2876</v>
      </c>
    </row>
    <row r="255" spans="1:1" x14ac:dyDescent="0.3">
      <c r="A255" t="s">
        <v>3085</v>
      </c>
    </row>
    <row r="256" spans="1:1" x14ac:dyDescent="0.3">
      <c r="A256" t="s">
        <v>2878</v>
      </c>
    </row>
    <row r="257" spans="1:1" x14ac:dyDescent="0.3">
      <c r="A257" t="s">
        <v>3086</v>
      </c>
    </row>
    <row r="258" spans="1:1" x14ac:dyDescent="0.3">
      <c r="A258" t="s">
        <v>2879</v>
      </c>
    </row>
    <row r="259" spans="1:1" x14ac:dyDescent="0.3">
      <c r="A259" t="s">
        <v>3087</v>
      </c>
    </row>
    <row r="260" spans="1:1" x14ac:dyDescent="0.3">
      <c r="A260" t="s">
        <v>2880</v>
      </c>
    </row>
    <row r="261" spans="1:1" x14ac:dyDescent="0.3">
      <c r="A261" t="s">
        <v>3088</v>
      </c>
    </row>
    <row r="262" spans="1:1" x14ac:dyDescent="0.3">
      <c r="A262" t="s">
        <v>2882</v>
      </c>
    </row>
    <row r="263" spans="1:1" x14ac:dyDescent="0.3">
      <c r="A263" t="s">
        <v>3089</v>
      </c>
    </row>
    <row r="264" spans="1:1" x14ac:dyDescent="0.3">
      <c r="A264" t="s">
        <v>2883</v>
      </c>
    </row>
    <row r="265" spans="1:1" x14ac:dyDescent="0.3">
      <c r="A265" t="s">
        <v>3090</v>
      </c>
    </row>
    <row r="266" spans="1:1" x14ac:dyDescent="0.3">
      <c r="A266" t="s">
        <v>2884</v>
      </c>
    </row>
    <row r="267" spans="1:1" x14ac:dyDescent="0.3">
      <c r="A267" t="s">
        <v>3091</v>
      </c>
    </row>
    <row r="268" spans="1:1" x14ac:dyDescent="0.3">
      <c r="A268" t="s">
        <v>2887</v>
      </c>
    </row>
    <row r="269" spans="1:1" x14ac:dyDescent="0.3">
      <c r="A269" t="s">
        <v>3092</v>
      </c>
    </row>
    <row r="270" spans="1:1" x14ac:dyDescent="0.3">
      <c r="A270" t="s">
        <v>2889</v>
      </c>
    </row>
    <row r="271" spans="1:1" x14ac:dyDescent="0.3">
      <c r="A271" t="s">
        <v>3093</v>
      </c>
    </row>
    <row r="272" spans="1:1" x14ac:dyDescent="0.3">
      <c r="A272" t="s">
        <v>2891</v>
      </c>
    </row>
    <row r="273" spans="1:1" x14ac:dyDescent="0.3">
      <c r="A273" t="s">
        <v>3094</v>
      </c>
    </row>
    <row r="274" spans="1:1" x14ac:dyDescent="0.3">
      <c r="A274" t="s">
        <v>2892</v>
      </c>
    </row>
    <row r="275" spans="1:1" x14ac:dyDescent="0.3">
      <c r="A275" t="s">
        <v>3095</v>
      </c>
    </row>
    <row r="276" spans="1:1" x14ac:dyDescent="0.3">
      <c r="A276" t="s">
        <v>2893</v>
      </c>
    </row>
    <row r="277" spans="1:1" x14ac:dyDescent="0.3">
      <c r="A277" t="s">
        <v>3096</v>
      </c>
    </row>
    <row r="278" spans="1:1" x14ac:dyDescent="0.3">
      <c r="A278" t="s">
        <v>2896</v>
      </c>
    </row>
    <row r="279" spans="1:1" x14ac:dyDescent="0.3">
      <c r="A279" t="s">
        <v>3097</v>
      </c>
    </row>
    <row r="280" spans="1:1" x14ac:dyDescent="0.3">
      <c r="A280" t="s">
        <v>2899</v>
      </c>
    </row>
    <row r="281" spans="1:1" x14ac:dyDescent="0.3">
      <c r="A281" t="s">
        <v>3098</v>
      </c>
    </row>
    <row r="282" spans="1:1" x14ac:dyDescent="0.3">
      <c r="A282" t="s">
        <v>2900</v>
      </c>
    </row>
    <row r="283" spans="1:1" x14ac:dyDescent="0.3">
      <c r="A283" t="s">
        <v>3099</v>
      </c>
    </row>
    <row r="284" spans="1:1" x14ac:dyDescent="0.3">
      <c r="A284" t="s">
        <v>2905</v>
      </c>
    </row>
    <row r="285" spans="1:1" x14ac:dyDescent="0.3">
      <c r="A285" t="s">
        <v>3100</v>
      </c>
    </row>
    <row r="286" spans="1:1" x14ac:dyDescent="0.3">
      <c r="A286" t="s">
        <v>2906</v>
      </c>
    </row>
    <row r="287" spans="1:1" x14ac:dyDescent="0.3">
      <c r="A287" t="s">
        <v>3101</v>
      </c>
    </row>
    <row r="288" spans="1:1" x14ac:dyDescent="0.3">
      <c r="A288" t="s">
        <v>2907</v>
      </c>
    </row>
    <row r="289" spans="1:1" x14ac:dyDescent="0.3">
      <c r="A289" t="s">
        <v>3102</v>
      </c>
    </row>
    <row r="290" spans="1:1" x14ac:dyDescent="0.3">
      <c r="A290" t="s">
        <v>2908</v>
      </c>
    </row>
    <row r="291" spans="1:1" x14ac:dyDescent="0.3">
      <c r="A291" t="s">
        <v>3103</v>
      </c>
    </row>
    <row r="292" spans="1:1" x14ac:dyDescent="0.3">
      <c r="A292" t="s">
        <v>2909</v>
      </c>
    </row>
    <row r="293" spans="1:1" x14ac:dyDescent="0.3">
      <c r="A293" t="s">
        <v>3104</v>
      </c>
    </row>
    <row r="294" spans="1:1" x14ac:dyDescent="0.3">
      <c r="A294" t="s">
        <v>2912</v>
      </c>
    </row>
    <row r="295" spans="1:1" x14ac:dyDescent="0.3">
      <c r="A295" t="s">
        <v>3105</v>
      </c>
    </row>
    <row r="296" spans="1:1" x14ac:dyDescent="0.3">
      <c r="A296" t="s">
        <v>2914</v>
      </c>
    </row>
    <row r="297" spans="1:1" x14ac:dyDescent="0.3">
      <c r="A297" t="s">
        <v>3106</v>
      </c>
    </row>
    <row r="298" spans="1:1" x14ac:dyDescent="0.3">
      <c r="A298" t="s">
        <v>2916</v>
      </c>
    </row>
    <row r="299" spans="1:1" x14ac:dyDescent="0.3">
      <c r="A299" t="s">
        <v>3107</v>
      </c>
    </row>
    <row r="300" spans="1:1" x14ac:dyDescent="0.3">
      <c r="A300" t="s">
        <v>2920</v>
      </c>
    </row>
    <row r="301" spans="1:1" x14ac:dyDescent="0.3">
      <c r="A301" t="s">
        <v>3108</v>
      </c>
    </row>
    <row r="302" spans="1:1" x14ac:dyDescent="0.3">
      <c r="A302" t="s">
        <v>2922</v>
      </c>
    </row>
    <row r="303" spans="1:1" x14ac:dyDescent="0.3">
      <c r="A303" t="s">
        <v>3109</v>
      </c>
    </row>
    <row r="304" spans="1:1" x14ac:dyDescent="0.3">
      <c r="A304" t="s">
        <v>2923</v>
      </c>
    </row>
    <row r="305" spans="1:1" x14ac:dyDescent="0.3">
      <c r="A305" t="s">
        <v>3110</v>
      </c>
    </row>
    <row r="306" spans="1:1" x14ac:dyDescent="0.3">
      <c r="A306" t="s">
        <v>2924</v>
      </c>
    </row>
    <row r="307" spans="1:1" x14ac:dyDescent="0.3">
      <c r="A307" t="s">
        <v>3111</v>
      </c>
    </row>
    <row r="308" spans="1:1" x14ac:dyDescent="0.3">
      <c r="A308" t="s">
        <v>2925</v>
      </c>
    </row>
    <row r="309" spans="1:1" x14ac:dyDescent="0.3">
      <c r="A309" t="s">
        <v>3112</v>
      </c>
    </row>
    <row r="310" spans="1:1" x14ac:dyDescent="0.3">
      <c r="A310" t="s">
        <v>2926</v>
      </c>
    </row>
    <row r="311" spans="1:1" x14ac:dyDescent="0.3">
      <c r="A311" t="s">
        <v>3113</v>
      </c>
    </row>
    <row r="312" spans="1:1" x14ac:dyDescent="0.3">
      <c r="A312" t="s">
        <v>2927</v>
      </c>
    </row>
    <row r="313" spans="1:1" x14ac:dyDescent="0.3">
      <c r="A313" t="s">
        <v>3114</v>
      </c>
    </row>
    <row r="314" spans="1:1" x14ac:dyDescent="0.3">
      <c r="A314" t="s">
        <v>3115</v>
      </c>
    </row>
    <row r="315" spans="1:1" x14ac:dyDescent="0.3">
      <c r="A315" t="s">
        <v>3116</v>
      </c>
    </row>
    <row r="316" spans="1:1" x14ac:dyDescent="0.3">
      <c r="A316" t="s">
        <v>3117</v>
      </c>
    </row>
    <row r="317" spans="1:1" x14ac:dyDescent="0.3">
      <c r="A317" t="s">
        <v>3115</v>
      </c>
    </row>
    <row r="318" spans="1:1" x14ac:dyDescent="0.3">
      <c r="A318" t="s">
        <v>3116</v>
      </c>
    </row>
    <row r="319" spans="1:1" x14ac:dyDescent="0.3">
      <c r="A319" t="s">
        <v>3117</v>
      </c>
    </row>
    <row r="320" spans="1:1" x14ac:dyDescent="0.3">
      <c r="A320" t="s">
        <v>2929</v>
      </c>
    </row>
    <row r="321" spans="1:1" x14ac:dyDescent="0.3">
      <c r="A321" t="s">
        <v>3118</v>
      </c>
    </row>
    <row r="322" spans="1:1" x14ac:dyDescent="0.3">
      <c r="A322" t="s">
        <v>2930</v>
      </c>
    </row>
    <row r="323" spans="1:1" x14ac:dyDescent="0.3">
      <c r="A323" t="s">
        <v>3119</v>
      </c>
    </row>
    <row r="324" spans="1:1" x14ac:dyDescent="0.3">
      <c r="A324" t="s">
        <v>3120</v>
      </c>
    </row>
    <row r="325" spans="1:1" x14ac:dyDescent="0.3">
      <c r="A325" t="s">
        <v>3121</v>
      </c>
    </row>
    <row r="326" spans="1:1" x14ac:dyDescent="0.3">
      <c r="A326" t="s">
        <v>3122</v>
      </c>
    </row>
    <row r="327" spans="1:1" x14ac:dyDescent="0.3">
      <c r="A327" t="s">
        <v>3123</v>
      </c>
    </row>
    <row r="328" spans="1:1" x14ac:dyDescent="0.3">
      <c r="A328" t="s">
        <v>3124</v>
      </c>
    </row>
    <row r="329" spans="1:1" x14ac:dyDescent="0.3">
      <c r="A329" t="s">
        <v>3125</v>
      </c>
    </row>
    <row r="330" spans="1:1" x14ac:dyDescent="0.3">
      <c r="A330" t="s">
        <v>3126</v>
      </c>
    </row>
    <row r="331" spans="1:1" x14ac:dyDescent="0.3">
      <c r="A331" t="s">
        <v>3127</v>
      </c>
    </row>
    <row r="332" spans="1:1" x14ac:dyDescent="0.3">
      <c r="A332" t="s">
        <v>3128</v>
      </c>
    </row>
    <row r="333" spans="1:1" x14ac:dyDescent="0.3">
      <c r="A333" t="s">
        <v>3129</v>
      </c>
    </row>
    <row r="334" spans="1:1" x14ac:dyDescent="0.3">
      <c r="A334" t="s">
        <v>3130</v>
      </c>
    </row>
    <row r="335" spans="1:1" x14ac:dyDescent="0.3">
      <c r="A335" t="s">
        <v>3131</v>
      </c>
    </row>
    <row r="336" spans="1:1" x14ac:dyDescent="0.3">
      <c r="A336" t="s">
        <v>3132</v>
      </c>
    </row>
    <row r="337" spans="1:1" x14ac:dyDescent="0.3">
      <c r="A337" t="s">
        <v>2931</v>
      </c>
    </row>
    <row r="338" spans="1:1" x14ac:dyDescent="0.3">
      <c r="A338" t="s">
        <v>3133</v>
      </c>
    </row>
    <row r="339" spans="1:1" x14ac:dyDescent="0.3">
      <c r="A339" t="s">
        <v>3134</v>
      </c>
    </row>
    <row r="340" spans="1:1" x14ac:dyDescent="0.3">
      <c r="A340" t="s">
        <v>3135</v>
      </c>
    </row>
    <row r="341" spans="1:1" x14ac:dyDescent="0.3">
      <c r="A341" t="s">
        <v>3136</v>
      </c>
    </row>
    <row r="342" spans="1:1" x14ac:dyDescent="0.3">
      <c r="A342" t="s">
        <v>3137</v>
      </c>
    </row>
    <row r="343" spans="1:1" x14ac:dyDescent="0.3">
      <c r="A343" t="s">
        <v>3138</v>
      </c>
    </row>
    <row r="344" spans="1:1" x14ac:dyDescent="0.3">
      <c r="A344" t="s">
        <v>3139</v>
      </c>
    </row>
    <row r="345" spans="1:1" x14ac:dyDescent="0.3">
      <c r="A345" t="s">
        <v>3140</v>
      </c>
    </row>
    <row r="346" spans="1:1" x14ac:dyDescent="0.3">
      <c r="A346" t="s">
        <v>3141</v>
      </c>
    </row>
    <row r="347" spans="1:1" x14ac:dyDescent="0.3">
      <c r="A347" t="s">
        <v>3142</v>
      </c>
    </row>
    <row r="348" spans="1:1" x14ac:dyDescent="0.3">
      <c r="A348" t="s">
        <v>3143</v>
      </c>
    </row>
    <row r="349" spans="1:1" x14ac:dyDescent="0.3">
      <c r="A349" t="s">
        <v>3136</v>
      </c>
    </row>
    <row r="350" spans="1:1" x14ac:dyDescent="0.3">
      <c r="A350" t="s">
        <v>3137</v>
      </c>
    </row>
    <row r="351" spans="1:1" x14ac:dyDescent="0.3">
      <c r="A351" t="s">
        <v>3138</v>
      </c>
    </row>
    <row r="352" spans="1:1" x14ac:dyDescent="0.3">
      <c r="A352" t="s">
        <v>3139</v>
      </c>
    </row>
    <row r="353" spans="1:1" x14ac:dyDescent="0.3">
      <c r="A353" t="s">
        <v>3142</v>
      </c>
    </row>
    <row r="354" spans="1:1" x14ac:dyDescent="0.3">
      <c r="A354" t="s">
        <v>3143</v>
      </c>
    </row>
    <row r="355" spans="1:1" x14ac:dyDescent="0.3">
      <c r="A355" t="s">
        <v>2932</v>
      </c>
    </row>
    <row r="356" spans="1:1" x14ac:dyDescent="0.3">
      <c r="A356" t="s">
        <v>3144</v>
      </c>
    </row>
    <row r="357" spans="1:1" x14ac:dyDescent="0.3">
      <c r="A357" t="s">
        <v>3145</v>
      </c>
    </row>
    <row r="358" spans="1:1" x14ac:dyDescent="0.3">
      <c r="A358" t="s">
        <v>3146</v>
      </c>
    </row>
    <row r="359" spans="1:1" x14ac:dyDescent="0.3">
      <c r="A359" t="s">
        <v>3147</v>
      </c>
    </row>
    <row r="360" spans="1:1" x14ac:dyDescent="0.3">
      <c r="A360" t="s">
        <v>3148</v>
      </c>
    </row>
    <row r="361" spans="1:1" x14ac:dyDescent="0.3">
      <c r="A361" t="s">
        <v>3149</v>
      </c>
    </row>
    <row r="362" spans="1:1" x14ac:dyDescent="0.3">
      <c r="A362" t="s">
        <v>3150</v>
      </c>
    </row>
    <row r="363" spans="1:1" x14ac:dyDescent="0.3">
      <c r="A363" t="s">
        <v>3151</v>
      </c>
    </row>
    <row r="364" spans="1:1" x14ac:dyDescent="0.3">
      <c r="A364" t="s">
        <v>3152</v>
      </c>
    </row>
    <row r="365" spans="1:1" x14ac:dyDescent="0.3">
      <c r="A365" t="s">
        <v>3153</v>
      </c>
    </row>
    <row r="366" spans="1:1" x14ac:dyDescent="0.3">
      <c r="A366" t="s">
        <v>3154</v>
      </c>
    </row>
    <row r="367" spans="1:1" x14ac:dyDescent="0.3">
      <c r="A367" t="s">
        <v>2933</v>
      </c>
    </row>
    <row r="368" spans="1:1" x14ac:dyDescent="0.3">
      <c r="A368" t="s">
        <v>3155</v>
      </c>
    </row>
    <row r="369" spans="1:1" x14ac:dyDescent="0.3">
      <c r="A369" t="s">
        <v>3156</v>
      </c>
    </row>
    <row r="370" spans="1:1" x14ac:dyDescent="0.3">
      <c r="A370" t="s">
        <v>3157</v>
      </c>
    </row>
    <row r="371" spans="1:1" x14ac:dyDescent="0.3">
      <c r="A371" t="s">
        <v>3158</v>
      </c>
    </row>
    <row r="372" spans="1:1" x14ac:dyDescent="0.3">
      <c r="A372" t="s">
        <v>3159</v>
      </c>
    </row>
    <row r="373" spans="1:1" x14ac:dyDescent="0.3">
      <c r="A373" t="s">
        <v>3160</v>
      </c>
    </row>
    <row r="374" spans="1:1" x14ac:dyDescent="0.3">
      <c r="A374" t="s">
        <v>3161</v>
      </c>
    </row>
    <row r="375" spans="1:1" x14ac:dyDescent="0.3">
      <c r="A375" t="s">
        <v>3162</v>
      </c>
    </row>
    <row r="376" spans="1:1" x14ac:dyDescent="0.3">
      <c r="A376" t="s">
        <v>3163</v>
      </c>
    </row>
    <row r="377" spans="1:1" x14ac:dyDescent="0.3">
      <c r="A377" t="s">
        <v>3164</v>
      </c>
    </row>
    <row r="378" spans="1:1" x14ac:dyDescent="0.3">
      <c r="A378" t="s">
        <v>3158</v>
      </c>
    </row>
    <row r="379" spans="1:1" x14ac:dyDescent="0.3">
      <c r="A379" t="s">
        <v>3159</v>
      </c>
    </row>
    <row r="380" spans="1:1" x14ac:dyDescent="0.3">
      <c r="A380" t="s">
        <v>3160</v>
      </c>
    </row>
    <row r="381" spans="1:1" x14ac:dyDescent="0.3">
      <c r="A381" t="s">
        <v>3161</v>
      </c>
    </row>
    <row r="382" spans="1:1" x14ac:dyDescent="0.3">
      <c r="A382" t="s">
        <v>3162</v>
      </c>
    </row>
    <row r="383" spans="1:1" x14ac:dyDescent="0.3">
      <c r="A383" t="s">
        <v>3163</v>
      </c>
    </row>
    <row r="384" spans="1:1" x14ac:dyDescent="0.3">
      <c r="A384" t="s">
        <v>3164</v>
      </c>
    </row>
    <row r="385" spans="1:1" x14ac:dyDescent="0.3">
      <c r="A385" t="s">
        <v>3158</v>
      </c>
    </row>
    <row r="386" spans="1:1" x14ac:dyDescent="0.3">
      <c r="A386" t="s">
        <v>3159</v>
      </c>
    </row>
    <row r="387" spans="1:1" x14ac:dyDescent="0.3">
      <c r="A387" t="s">
        <v>3160</v>
      </c>
    </row>
    <row r="388" spans="1:1" x14ac:dyDescent="0.3">
      <c r="A388" t="s">
        <v>3161</v>
      </c>
    </row>
    <row r="389" spans="1:1" x14ac:dyDescent="0.3">
      <c r="A389" t="s">
        <v>3162</v>
      </c>
    </row>
    <row r="390" spans="1:1" x14ac:dyDescent="0.3">
      <c r="A390" t="s">
        <v>3165</v>
      </c>
    </row>
    <row r="391" spans="1:1" x14ac:dyDescent="0.3">
      <c r="A391" t="s">
        <v>3163</v>
      </c>
    </row>
    <row r="392" spans="1:1" x14ac:dyDescent="0.3">
      <c r="A392" t="s">
        <v>3164</v>
      </c>
    </row>
    <row r="393" spans="1:1" x14ac:dyDescent="0.3">
      <c r="A393" t="s">
        <v>3166</v>
      </c>
    </row>
    <row r="394" spans="1:1" x14ac:dyDescent="0.3">
      <c r="A394" t="s">
        <v>3167</v>
      </c>
    </row>
    <row r="395" spans="1:1" x14ac:dyDescent="0.3">
      <c r="A395" t="s">
        <v>3168</v>
      </c>
    </row>
    <row r="396" spans="1:1" x14ac:dyDescent="0.3">
      <c r="A396" t="s">
        <v>3169</v>
      </c>
    </row>
    <row r="397" spans="1:1" x14ac:dyDescent="0.3">
      <c r="A397" t="s">
        <v>2934</v>
      </c>
    </row>
    <row r="398" spans="1:1" x14ac:dyDescent="0.3">
      <c r="A398" t="s">
        <v>3170</v>
      </c>
    </row>
    <row r="399" spans="1:1" x14ac:dyDescent="0.3">
      <c r="A399" t="s">
        <v>3171</v>
      </c>
    </row>
    <row r="400" spans="1:1" x14ac:dyDescent="0.3">
      <c r="A400" t="s">
        <v>3172</v>
      </c>
    </row>
    <row r="401" spans="1:1" x14ac:dyDescent="0.3">
      <c r="A401" t="s">
        <v>3173</v>
      </c>
    </row>
    <row r="402" spans="1:1" x14ac:dyDescent="0.3">
      <c r="A402" t="s">
        <v>3174</v>
      </c>
    </row>
    <row r="403" spans="1:1" x14ac:dyDescent="0.3">
      <c r="A403" t="s">
        <v>3175</v>
      </c>
    </row>
    <row r="404" spans="1:1" x14ac:dyDescent="0.3">
      <c r="A404" t="s">
        <v>3176</v>
      </c>
    </row>
    <row r="405" spans="1:1" x14ac:dyDescent="0.3">
      <c r="A405" t="s">
        <v>3177</v>
      </c>
    </row>
    <row r="406" spans="1:1" x14ac:dyDescent="0.3">
      <c r="A406" t="s">
        <v>3178</v>
      </c>
    </row>
    <row r="407" spans="1:1" x14ac:dyDescent="0.3">
      <c r="A407" t="s">
        <v>3179</v>
      </c>
    </row>
    <row r="408" spans="1:1" x14ac:dyDescent="0.3">
      <c r="A408" t="s">
        <v>3180</v>
      </c>
    </row>
    <row r="409" spans="1:1" x14ac:dyDescent="0.3">
      <c r="A409" t="s">
        <v>3173</v>
      </c>
    </row>
    <row r="410" spans="1:1" x14ac:dyDescent="0.3">
      <c r="A410" t="s">
        <v>3174</v>
      </c>
    </row>
    <row r="411" spans="1:1" x14ac:dyDescent="0.3">
      <c r="A411" t="s">
        <v>3175</v>
      </c>
    </row>
    <row r="412" spans="1:1" x14ac:dyDescent="0.3">
      <c r="A412" t="s">
        <v>3176</v>
      </c>
    </row>
    <row r="413" spans="1:1" x14ac:dyDescent="0.3">
      <c r="A413" t="s">
        <v>3177</v>
      </c>
    </row>
    <row r="414" spans="1:1" x14ac:dyDescent="0.3">
      <c r="A414" t="s">
        <v>3178</v>
      </c>
    </row>
    <row r="415" spans="1:1" x14ac:dyDescent="0.3">
      <c r="A415" t="s">
        <v>3179</v>
      </c>
    </row>
    <row r="416" spans="1:1" x14ac:dyDescent="0.3">
      <c r="A416" t="s">
        <v>3180</v>
      </c>
    </row>
    <row r="417" spans="1:1" x14ac:dyDescent="0.3">
      <c r="A417" t="s">
        <v>3173</v>
      </c>
    </row>
    <row r="418" spans="1:1" x14ac:dyDescent="0.3">
      <c r="A418" t="s">
        <v>3174</v>
      </c>
    </row>
    <row r="419" spans="1:1" x14ac:dyDescent="0.3">
      <c r="A419" t="s">
        <v>3175</v>
      </c>
    </row>
    <row r="420" spans="1:1" x14ac:dyDescent="0.3">
      <c r="A420" t="s">
        <v>3176</v>
      </c>
    </row>
    <row r="421" spans="1:1" x14ac:dyDescent="0.3">
      <c r="A421" t="s">
        <v>3177</v>
      </c>
    </row>
    <row r="422" spans="1:1" x14ac:dyDescent="0.3">
      <c r="A422" t="s">
        <v>3178</v>
      </c>
    </row>
    <row r="423" spans="1:1" x14ac:dyDescent="0.3">
      <c r="A423" t="s">
        <v>3179</v>
      </c>
    </row>
    <row r="424" spans="1:1" x14ac:dyDescent="0.3">
      <c r="A424" t="s">
        <v>3180</v>
      </c>
    </row>
    <row r="425" spans="1:1" x14ac:dyDescent="0.3">
      <c r="A425" t="s">
        <v>3173</v>
      </c>
    </row>
    <row r="426" spans="1:1" x14ac:dyDescent="0.3">
      <c r="A426" t="s">
        <v>3174</v>
      </c>
    </row>
    <row r="427" spans="1:1" x14ac:dyDescent="0.3">
      <c r="A427" t="s">
        <v>3175</v>
      </c>
    </row>
    <row r="428" spans="1:1" x14ac:dyDescent="0.3">
      <c r="A428" t="s">
        <v>3176</v>
      </c>
    </row>
    <row r="429" spans="1:1" x14ac:dyDescent="0.3">
      <c r="A429" t="s">
        <v>3179</v>
      </c>
    </row>
    <row r="430" spans="1:1" x14ac:dyDescent="0.3">
      <c r="A430" t="s">
        <v>3180</v>
      </c>
    </row>
    <row r="431" spans="1:1" x14ac:dyDescent="0.3">
      <c r="A431" t="s">
        <v>3173</v>
      </c>
    </row>
    <row r="432" spans="1:1" x14ac:dyDescent="0.3">
      <c r="A432" t="s">
        <v>3174</v>
      </c>
    </row>
    <row r="433" spans="1:1" x14ac:dyDescent="0.3">
      <c r="A433" t="s">
        <v>3175</v>
      </c>
    </row>
    <row r="434" spans="1:1" x14ac:dyDescent="0.3">
      <c r="A434" t="s">
        <v>3176</v>
      </c>
    </row>
    <row r="435" spans="1:1" x14ac:dyDescent="0.3">
      <c r="A435" t="s">
        <v>3177</v>
      </c>
    </row>
    <row r="436" spans="1:1" x14ac:dyDescent="0.3">
      <c r="A436" t="s">
        <v>3178</v>
      </c>
    </row>
    <row r="437" spans="1:1" x14ac:dyDescent="0.3">
      <c r="A437" t="s">
        <v>3179</v>
      </c>
    </row>
    <row r="438" spans="1:1" x14ac:dyDescent="0.3">
      <c r="A438" t="s">
        <v>3180</v>
      </c>
    </row>
    <row r="439" spans="1:1" x14ac:dyDescent="0.3">
      <c r="A439" t="s">
        <v>2935</v>
      </c>
    </row>
    <row r="440" spans="1:1" x14ac:dyDescent="0.3">
      <c r="A440" t="s">
        <v>3181</v>
      </c>
    </row>
    <row r="441" spans="1:1" x14ac:dyDescent="0.3">
      <c r="A441" t="s">
        <v>3182</v>
      </c>
    </row>
    <row r="442" spans="1:1" x14ac:dyDescent="0.3">
      <c r="A442" t="s">
        <v>3183</v>
      </c>
    </row>
    <row r="443" spans="1:1" x14ac:dyDescent="0.3">
      <c r="A443" t="s">
        <v>3184</v>
      </c>
    </row>
    <row r="444" spans="1:1" x14ac:dyDescent="0.3">
      <c r="A444" t="s">
        <v>3185</v>
      </c>
    </row>
    <row r="445" spans="1:1" x14ac:dyDescent="0.3">
      <c r="A445" t="s">
        <v>3186</v>
      </c>
    </row>
    <row r="446" spans="1:1" x14ac:dyDescent="0.3">
      <c r="A446" t="s">
        <v>3187</v>
      </c>
    </row>
    <row r="447" spans="1:1" x14ac:dyDescent="0.3">
      <c r="A447" t="s">
        <v>3188</v>
      </c>
    </row>
    <row r="448" spans="1:1" x14ac:dyDescent="0.3">
      <c r="A448" t="s">
        <v>3189</v>
      </c>
    </row>
    <row r="449" spans="1:1" x14ac:dyDescent="0.3">
      <c r="A449" t="s">
        <v>3190</v>
      </c>
    </row>
    <row r="450" spans="1:1" x14ac:dyDescent="0.3">
      <c r="A450" t="s">
        <v>3191</v>
      </c>
    </row>
    <row r="451" spans="1:1" x14ac:dyDescent="0.3">
      <c r="A451" t="s">
        <v>2936</v>
      </c>
    </row>
    <row r="452" spans="1:1" x14ac:dyDescent="0.3">
      <c r="A452" t="s">
        <v>3192</v>
      </c>
    </row>
    <row r="453" spans="1:1" x14ac:dyDescent="0.3">
      <c r="A453" t="s">
        <v>3193</v>
      </c>
    </row>
    <row r="454" spans="1:1" x14ac:dyDescent="0.3">
      <c r="A454" t="s">
        <v>3194</v>
      </c>
    </row>
    <row r="455" spans="1:1" x14ac:dyDescent="0.3">
      <c r="A455" t="s">
        <v>2937</v>
      </c>
    </row>
    <row r="456" spans="1:1" x14ac:dyDescent="0.3">
      <c r="A456" t="s">
        <v>3195</v>
      </c>
    </row>
    <row r="457" spans="1:1" x14ac:dyDescent="0.3">
      <c r="A457" t="s">
        <v>3196</v>
      </c>
    </row>
    <row r="458" spans="1:1" x14ac:dyDescent="0.3">
      <c r="A458" t="s">
        <v>3197</v>
      </c>
    </row>
    <row r="459" spans="1:1" x14ac:dyDescent="0.3">
      <c r="A459" t="s">
        <v>2938</v>
      </c>
    </row>
    <row r="460" spans="1:1" x14ac:dyDescent="0.3">
      <c r="A460" t="s">
        <v>3198</v>
      </c>
    </row>
    <row r="461" spans="1:1" x14ac:dyDescent="0.3">
      <c r="A461" t="s">
        <v>2939</v>
      </c>
    </row>
    <row r="462" spans="1:1" x14ac:dyDescent="0.3">
      <c r="A462" t="s">
        <v>3199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D33"/>
  <sheetViews>
    <sheetView topLeftCell="N1" workbookViewId="0">
      <selection activeCell="AA2" sqref="AA2"/>
    </sheetView>
  </sheetViews>
  <sheetFormatPr defaultRowHeight="15.05" x14ac:dyDescent="0.3"/>
  <cols>
    <col min="1" max="1" width="16.5546875" bestFit="1" customWidth="1"/>
    <col min="2" max="2" width="11.5546875" bestFit="1" customWidth="1"/>
    <col min="5" max="5" width="18" bestFit="1" customWidth="1"/>
    <col min="6" max="6" width="19.5546875" bestFit="1" customWidth="1"/>
    <col min="8" max="8" width="16.44140625" customWidth="1"/>
    <col min="9" max="9" width="19.5546875" customWidth="1"/>
    <col min="10" max="10" width="26.88671875" customWidth="1"/>
    <col min="11" max="11" width="29.44140625" bestFit="1" customWidth="1"/>
    <col min="12" max="12" width="14.44140625" customWidth="1"/>
    <col min="22" max="22" width="21" bestFit="1" customWidth="1"/>
    <col min="27" max="27" width="19.5546875" bestFit="1" customWidth="1"/>
    <col min="30" max="30" width="31.88671875" bestFit="1" customWidth="1"/>
  </cols>
  <sheetData>
    <row r="1" spans="1:30" x14ac:dyDescent="0.3">
      <c r="A1">
        <v>64.6484375</v>
      </c>
      <c r="H1" s="48" t="s">
        <v>3200</v>
      </c>
      <c r="I1" s="20" t="s">
        <v>3201</v>
      </c>
      <c r="M1" s="48"/>
      <c r="V1" t="s">
        <v>3202</v>
      </c>
      <c r="AA1" s="246" t="s">
        <v>3203</v>
      </c>
      <c r="AD1" s="246" t="s">
        <v>3204</v>
      </c>
    </row>
    <row r="2" spans="1:30" x14ac:dyDescent="0.3">
      <c r="A2" t="s">
        <v>3205</v>
      </c>
      <c r="B2" t="s">
        <v>3206</v>
      </c>
      <c r="C2" t="s">
        <v>3207</v>
      </c>
      <c r="D2" t="s">
        <v>3208</v>
      </c>
      <c r="E2" t="s">
        <v>3209</v>
      </c>
      <c r="F2" t="s">
        <v>3210</v>
      </c>
      <c r="H2" s="49" t="s">
        <v>3211</v>
      </c>
      <c r="I2" t="s">
        <v>3212</v>
      </c>
      <c r="J2" s="20" t="s">
        <v>3213</v>
      </c>
      <c r="K2" t="s">
        <v>3214</v>
      </c>
      <c r="L2" t="s">
        <v>3215</v>
      </c>
      <c r="M2" s="48"/>
      <c r="N2" t="b">
        <v>1</v>
      </c>
      <c r="O2" t="b">
        <v>0</v>
      </c>
      <c r="T2" t="s">
        <v>3216</v>
      </c>
      <c r="V2" t="s">
        <v>3217</v>
      </c>
      <c r="AA2" t="s">
        <v>3218</v>
      </c>
      <c r="AD2" t="s">
        <v>3219</v>
      </c>
    </row>
    <row r="3" spans="1:30" x14ac:dyDescent="0.3">
      <c r="A3" t="s">
        <v>3220</v>
      </c>
      <c r="B3" t="s">
        <v>3221</v>
      </c>
      <c r="C3">
        <v>18</v>
      </c>
      <c r="D3" s="20" t="s">
        <v>3222</v>
      </c>
      <c r="H3" s="48" t="s">
        <v>3223</v>
      </c>
      <c r="M3" s="48"/>
      <c r="N3" t="s">
        <v>3224</v>
      </c>
      <c r="T3" t="s">
        <v>3225</v>
      </c>
      <c r="V3" t="s">
        <v>3226</v>
      </c>
    </row>
    <row r="4" spans="1:30" x14ac:dyDescent="0.3">
      <c r="A4" t="s">
        <v>3227</v>
      </c>
      <c r="B4" t="s">
        <v>3228</v>
      </c>
      <c r="C4">
        <v>13</v>
      </c>
      <c r="D4" s="20" t="s">
        <v>3229</v>
      </c>
      <c r="H4" s="48" t="s">
        <v>3230</v>
      </c>
      <c r="M4" s="48"/>
      <c r="N4" t="s">
        <v>3231</v>
      </c>
      <c r="T4" t="s">
        <v>3232</v>
      </c>
      <c r="V4" t="s">
        <v>3233</v>
      </c>
    </row>
    <row r="5" spans="1:30" x14ac:dyDescent="0.3">
      <c r="A5" t="s">
        <v>3234</v>
      </c>
      <c r="B5" t="s">
        <v>3235</v>
      </c>
      <c r="C5">
        <v>10</v>
      </c>
      <c r="D5" s="20" t="s">
        <v>3236</v>
      </c>
      <c r="E5" s="19">
        <v>34700</v>
      </c>
      <c r="F5" s="19">
        <v>73050</v>
      </c>
      <c r="H5" s="48" t="s">
        <v>3237</v>
      </c>
      <c r="M5" s="48"/>
      <c r="N5" s="18" t="s">
        <v>3238</v>
      </c>
      <c r="O5" s="18" t="s">
        <v>3239</v>
      </c>
      <c r="P5" s="18"/>
      <c r="V5" t="s">
        <v>3240</v>
      </c>
    </row>
    <row r="6" spans="1:30" x14ac:dyDescent="0.3">
      <c r="A6" t="s">
        <v>3241</v>
      </c>
      <c r="B6" t="s">
        <v>3242</v>
      </c>
      <c r="C6">
        <v>240</v>
      </c>
      <c r="H6" s="48" t="s">
        <v>3243</v>
      </c>
      <c r="M6" s="48"/>
      <c r="N6" s="18" t="s">
        <v>3244</v>
      </c>
      <c r="O6" s="18" t="s">
        <v>3245</v>
      </c>
      <c r="P6" s="18" t="s">
        <v>3246</v>
      </c>
      <c r="V6" t="s">
        <v>3247</v>
      </c>
    </row>
    <row r="7" spans="1:30" x14ac:dyDescent="0.3">
      <c r="A7" t="s">
        <v>3248</v>
      </c>
      <c r="B7" t="s">
        <v>3242</v>
      </c>
      <c r="C7">
        <v>3500</v>
      </c>
      <c r="H7" s="48" t="s">
        <v>3249</v>
      </c>
      <c r="M7" s="48"/>
      <c r="V7" t="s">
        <v>3250</v>
      </c>
      <c r="W7" t="s">
        <v>3251</v>
      </c>
    </row>
    <row r="8" spans="1:30" x14ac:dyDescent="0.3">
      <c r="A8" t="s">
        <v>3252</v>
      </c>
      <c r="B8" t="s">
        <v>3253</v>
      </c>
      <c r="H8" s="48" t="s">
        <v>3254</v>
      </c>
      <c r="M8" s="48"/>
      <c r="V8" t="s">
        <v>3255</v>
      </c>
    </row>
    <row r="9" spans="1:30" x14ac:dyDescent="0.3">
      <c r="H9" s="48" t="s">
        <v>3256</v>
      </c>
      <c r="M9" s="48"/>
      <c r="N9" s="26" t="s">
        <v>3257</v>
      </c>
      <c r="P9" t="s">
        <v>3258</v>
      </c>
      <c r="R9" t="s">
        <v>3259</v>
      </c>
      <c r="V9" t="s">
        <v>3260</v>
      </c>
      <c r="W9" s="149" t="s">
        <v>3261</v>
      </c>
    </row>
    <row r="10" spans="1:30" x14ac:dyDescent="0.3">
      <c r="H10" s="48" t="s">
        <v>3262</v>
      </c>
      <c r="M10" s="48"/>
      <c r="N10" s="26" t="s">
        <v>3263</v>
      </c>
      <c r="P10" t="s">
        <v>3264</v>
      </c>
      <c r="R10" t="s">
        <v>3265</v>
      </c>
      <c r="V10" t="s">
        <v>3266</v>
      </c>
    </row>
    <row r="11" spans="1:30" x14ac:dyDescent="0.3">
      <c r="H11" s="48" t="s">
        <v>3267</v>
      </c>
      <c r="M11" s="48"/>
      <c r="N11" t="s">
        <v>3268</v>
      </c>
      <c r="V11" t="s">
        <v>3269</v>
      </c>
    </row>
    <row r="12" spans="1:30" x14ac:dyDescent="0.3">
      <c r="H12" s="48" t="s">
        <v>3270</v>
      </c>
      <c r="M12" s="48"/>
      <c r="V12" t="s">
        <v>3271</v>
      </c>
      <c r="W12" t="s">
        <v>3272</v>
      </c>
    </row>
    <row r="13" spans="1:30" x14ac:dyDescent="0.3">
      <c r="H13" s="48" t="s">
        <v>3273</v>
      </c>
      <c r="M13" s="48" t="s">
        <v>3274</v>
      </c>
      <c r="V13" t="s">
        <v>3275</v>
      </c>
    </row>
    <row r="14" spans="1:30" x14ac:dyDescent="0.3">
      <c r="H14" s="48"/>
      <c r="M14" s="48" t="s">
        <v>3276</v>
      </c>
      <c r="V14" t="s">
        <v>3277</v>
      </c>
    </row>
    <row r="15" spans="1:30" x14ac:dyDescent="0.3">
      <c r="H15" s="48"/>
      <c r="M15" s="48" t="s">
        <v>3278</v>
      </c>
      <c r="N15" s="22" t="s">
        <v>3279</v>
      </c>
      <c r="P15" s="23" t="s">
        <v>3280</v>
      </c>
      <c r="V15" t="s">
        <v>3281</v>
      </c>
    </row>
    <row r="16" spans="1:30" x14ac:dyDescent="0.3">
      <c r="H16" s="48"/>
      <c r="M16" s="48" t="s">
        <v>3282</v>
      </c>
      <c r="N16" s="24" t="s">
        <v>3283</v>
      </c>
      <c r="P16" s="23" t="s">
        <v>3284</v>
      </c>
      <c r="V16" t="s">
        <v>3285</v>
      </c>
    </row>
    <row r="17" spans="1:16" x14ac:dyDescent="0.3">
      <c r="A17" t="s">
        <v>3286</v>
      </c>
      <c r="B17" s="21" t="s">
        <v>3278</v>
      </c>
      <c r="H17" s="48"/>
      <c r="M17" s="48" t="s">
        <v>3287</v>
      </c>
      <c r="N17" s="20" t="s">
        <v>3288</v>
      </c>
      <c r="O17" t="s">
        <v>3289</v>
      </c>
      <c r="P17" s="23" t="s">
        <v>3290</v>
      </c>
    </row>
    <row r="18" spans="1:16" x14ac:dyDescent="0.3">
      <c r="A18" t="s">
        <v>3291</v>
      </c>
      <c r="H18" s="48"/>
      <c r="M18" s="48"/>
      <c r="N18" s="20" t="s">
        <v>3292</v>
      </c>
      <c r="O18" t="s">
        <v>3293</v>
      </c>
      <c r="P18" s="23" t="s">
        <v>3294</v>
      </c>
    </row>
    <row r="19" spans="1:16" x14ac:dyDescent="0.3">
      <c r="A19" t="s">
        <v>3295</v>
      </c>
      <c r="B19" s="21" t="s">
        <v>3282</v>
      </c>
      <c r="H19" s="48"/>
      <c r="M19" s="48"/>
      <c r="N19" s="20" t="s">
        <v>3296</v>
      </c>
      <c r="P19" s="23" t="s">
        <v>3297</v>
      </c>
    </row>
    <row r="20" spans="1:16" x14ac:dyDescent="0.3">
      <c r="A20" t="s">
        <v>3298</v>
      </c>
      <c r="B20" s="21" t="s">
        <v>3299</v>
      </c>
      <c r="H20" s="48"/>
      <c r="M20" s="48"/>
      <c r="N20" s="20" t="s">
        <v>3300</v>
      </c>
      <c r="O20" t="s">
        <v>3301</v>
      </c>
      <c r="P20" s="23" t="s">
        <v>3302</v>
      </c>
    </row>
    <row r="21" spans="1:16" x14ac:dyDescent="0.3">
      <c r="A21" t="s">
        <v>3303</v>
      </c>
      <c r="B21" s="21" t="s">
        <v>3287</v>
      </c>
      <c r="H21" s="48"/>
      <c r="M21" s="48" t="s">
        <v>3304</v>
      </c>
    </row>
    <row r="22" spans="1:16" x14ac:dyDescent="0.3">
      <c r="A22" t="s">
        <v>3305</v>
      </c>
      <c r="B22" s="21">
        <v>1</v>
      </c>
      <c r="H22" s="48"/>
      <c r="M22" s="48" t="s">
        <v>3306</v>
      </c>
      <c r="N22" s="22" t="s">
        <v>3279</v>
      </c>
      <c r="P22" s="23" t="s">
        <v>3280</v>
      </c>
    </row>
    <row r="23" spans="1:16" x14ac:dyDescent="0.3">
      <c r="A23" s="22"/>
      <c r="H23" s="48"/>
      <c r="M23" s="48" t="s">
        <v>3307</v>
      </c>
      <c r="N23" s="24" t="s">
        <v>3283</v>
      </c>
      <c r="P23" s="23" t="s">
        <v>3308</v>
      </c>
    </row>
    <row r="24" spans="1:16" x14ac:dyDescent="0.3">
      <c r="A24" t="s">
        <v>3309</v>
      </c>
      <c r="B24" t="s">
        <v>3310</v>
      </c>
      <c r="C24" t="s">
        <v>3311</v>
      </c>
      <c r="H24" s="48"/>
      <c r="M24" s="48" t="s">
        <v>3312</v>
      </c>
      <c r="N24" s="20" t="s">
        <v>3288</v>
      </c>
      <c r="O24" t="s">
        <v>3289</v>
      </c>
      <c r="P24" s="23" t="s">
        <v>3290</v>
      </c>
    </row>
    <row r="25" spans="1:16" x14ac:dyDescent="0.3">
      <c r="A25" s="22" t="s">
        <v>3279</v>
      </c>
      <c r="C25" s="23" t="s">
        <v>3313</v>
      </c>
      <c r="H25" s="48"/>
      <c r="M25" s="48"/>
      <c r="N25" s="20" t="s">
        <v>3292</v>
      </c>
      <c r="O25" t="s">
        <v>3293</v>
      </c>
      <c r="P25" s="23" t="s">
        <v>3294</v>
      </c>
    </row>
    <row r="26" spans="1:16" x14ac:dyDescent="0.3">
      <c r="A26" s="24" t="s">
        <v>3283</v>
      </c>
      <c r="C26" s="23" t="s">
        <v>3314</v>
      </c>
      <c r="H26" s="48"/>
      <c r="M26" s="48"/>
      <c r="N26" s="20" t="s">
        <v>3296</v>
      </c>
      <c r="P26" s="23" t="s">
        <v>3315</v>
      </c>
    </row>
    <row r="27" spans="1:16" x14ac:dyDescent="0.3">
      <c r="A27" s="20" t="s">
        <v>3288</v>
      </c>
      <c r="B27" t="s">
        <v>3289</v>
      </c>
      <c r="C27" s="23" t="s">
        <v>3316</v>
      </c>
      <c r="H27" s="48"/>
      <c r="M27" s="48"/>
      <c r="N27" s="20" t="s">
        <v>3300</v>
      </c>
      <c r="O27" t="s">
        <v>3301</v>
      </c>
      <c r="P27" s="23" t="s">
        <v>3302</v>
      </c>
    </row>
    <row r="28" spans="1:16" x14ac:dyDescent="0.3">
      <c r="A28" s="20" t="s">
        <v>3292</v>
      </c>
      <c r="B28" t="s">
        <v>3293</v>
      </c>
      <c r="C28" s="23" t="s">
        <v>3317</v>
      </c>
      <c r="H28" s="48"/>
      <c r="M28" s="48"/>
    </row>
    <row r="29" spans="1:16" x14ac:dyDescent="0.3">
      <c r="A29" s="20" t="s">
        <v>3296</v>
      </c>
      <c r="C29" s="23" t="s">
        <v>3318</v>
      </c>
      <c r="H29" s="48"/>
      <c r="M29" s="48"/>
    </row>
    <row r="30" spans="1:16" x14ac:dyDescent="0.3">
      <c r="A30" s="20" t="s">
        <v>3300</v>
      </c>
      <c r="B30" t="s">
        <v>3301</v>
      </c>
      <c r="C30" s="23" t="s">
        <v>3319</v>
      </c>
      <c r="H30" s="48"/>
      <c r="M30" s="48"/>
    </row>
    <row r="31" spans="1:16" x14ac:dyDescent="0.3">
      <c r="H31" s="48"/>
      <c r="M31" s="48"/>
    </row>
    <row r="32" spans="1:16" x14ac:dyDescent="0.3">
      <c r="H32" s="48"/>
      <c r="M32" s="48"/>
    </row>
    <row r="33" spans="8:13" x14ac:dyDescent="0.3">
      <c r="H33" s="48"/>
      <c r="M33" s="48"/>
    </row>
  </sheetData>
  <phoneticPr fontId="100"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X658"/>
  <sheetViews>
    <sheetView zoomScaleNormal="100" workbookViewId="0">
      <pane ySplit="2" topLeftCell="A3" activePane="bottomLeft" state="frozen"/>
      <selection activeCell="B101" sqref="B101"/>
      <selection pane="bottomLeft" activeCell="U3" sqref="U3:U658"/>
    </sheetView>
  </sheetViews>
  <sheetFormatPr defaultRowHeight="15.05" x14ac:dyDescent="0.3"/>
  <cols>
    <col min="1" max="1" width="22.109375" customWidth="1"/>
    <col min="2" max="2" width="11.5546875" bestFit="1" customWidth="1"/>
    <col min="3" max="3" width="40.109375" customWidth="1"/>
    <col min="4" max="4" width="27" customWidth="1"/>
    <col min="5" max="5" width="7.33203125" customWidth="1"/>
    <col min="6" max="6" width="5.6640625" customWidth="1"/>
    <col min="7" max="14" width="2.5546875" customWidth="1"/>
    <col min="15" max="16" width="2.5546875" style="18" customWidth="1"/>
    <col min="17" max="17" width="33.6640625" style="18" customWidth="1"/>
    <col min="18" max="18" width="15.5546875" customWidth="1"/>
    <col min="19" max="19" width="13.44140625" bestFit="1" customWidth="1"/>
    <col min="20" max="20" width="10.5546875" customWidth="1"/>
    <col min="21" max="21" width="18.88671875" bestFit="1" customWidth="1"/>
    <col min="22" max="22" width="11.88671875" bestFit="1" customWidth="1"/>
    <col min="23" max="23" width="12.88671875" bestFit="1" customWidth="1"/>
    <col min="25" max="25" width="10.44140625" bestFit="1" customWidth="1"/>
    <col min="27" max="27" width="12.44140625" customWidth="1"/>
    <col min="28" max="28" width="12.33203125" bestFit="1" customWidth="1"/>
    <col min="29" max="29" width="10.44140625" bestFit="1" customWidth="1"/>
    <col min="30" max="30" width="18" bestFit="1" customWidth="1"/>
    <col min="31" max="31" width="19.5546875" bestFit="1" customWidth="1"/>
  </cols>
  <sheetData>
    <row r="1" spans="1:24" x14ac:dyDescent="0.3">
      <c r="A1">
        <v>0.921875</v>
      </c>
      <c r="B1" s="25"/>
      <c r="C1">
        <f>Zlote+2</f>
        <v>3</v>
      </c>
      <c r="S1">
        <f>COLUMN()</f>
        <v>19</v>
      </c>
      <c r="T1">
        <f>COLUMN()</f>
        <v>20</v>
      </c>
      <c r="U1">
        <f>COLUMN()</f>
        <v>21</v>
      </c>
      <c r="V1">
        <f>COLUMN()</f>
        <v>22</v>
      </c>
      <c r="W1">
        <f>COLUMN()</f>
        <v>23</v>
      </c>
      <c r="X1">
        <f>COLUMN()</f>
        <v>24</v>
      </c>
    </row>
    <row r="2" spans="1:24" x14ac:dyDescent="0.3">
      <c r="A2" t="s">
        <v>3320</v>
      </c>
      <c r="B2" t="s">
        <v>3310</v>
      </c>
      <c r="C2" t="s">
        <v>3321</v>
      </c>
      <c r="D2" t="s">
        <v>3322</v>
      </c>
      <c r="R2" s="18" t="s">
        <v>3323</v>
      </c>
      <c r="S2" s="18" t="s">
        <v>3324</v>
      </c>
      <c r="T2" t="s">
        <v>3325</v>
      </c>
      <c r="U2" s="18" t="s">
        <v>3326</v>
      </c>
      <c r="V2" s="18" t="s">
        <v>3327</v>
      </c>
      <c r="W2" s="18" t="s">
        <v>3328</v>
      </c>
      <c r="X2" s="18" t="s">
        <v>3329</v>
      </c>
    </row>
    <row r="3" spans="1:24" x14ac:dyDescent="0.3">
      <c r="B3" s="20" t="s">
        <v>3330</v>
      </c>
      <c r="R3" s="18"/>
      <c r="T3">
        <v>0</v>
      </c>
      <c r="U3" s="18" t="b">
        <v>0</v>
      </c>
      <c r="V3" s="18"/>
      <c r="W3" s="18"/>
      <c r="X3">
        <v>0</v>
      </c>
    </row>
    <row r="4" spans="1:24" x14ac:dyDescent="0.3">
      <c r="A4" t="s">
        <v>3241</v>
      </c>
      <c r="B4" s="20" t="s">
        <v>3330</v>
      </c>
      <c r="C4" t="s">
        <v>3331</v>
      </c>
      <c r="D4" t="s">
        <v>3331</v>
      </c>
      <c r="E4" t="s">
        <v>3331</v>
      </c>
      <c r="R4" s="18"/>
      <c r="T4">
        <v>1</v>
      </c>
      <c r="U4" s="18" t="b">
        <v>0</v>
      </c>
      <c r="V4" s="18"/>
      <c r="W4" s="18" t="s">
        <v>3224</v>
      </c>
      <c r="X4" t="s">
        <v>3332</v>
      </c>
    </row>
    <row r="5" spans="1:24" x14ac:dyDescent="0.3">
      <c r="A5" t="s">
        <v>3234</v>
      </c>
      <c r="B5" s="20" t="s">
        <v>3289</v>
      </c>
      <c r="C5" t="s">
        <v>3333</v>
      </c>
      <c r="D5" t="s">
        <v>3333</v>
      </c>
      <c r="E5" t="s">
        <v>3333</v>
      </c>
      <c r="R5" s="18"/>
      <c r="T5">
        <v>1</v>
      </c>
      <c r="U5" s="18" t="b">
        <v>1</v>
      </c>
      <c r="V5" s="18"/>
      <c r="W5" s="18" t="s">
        <v>3224</v>
      </c>
      <c r="X5" t="s">
        <v>3334</v>
      </c>
    </row>
    <row r="6" spans="1:24" x14ac:dyDescent="0.3">
      <c r="A6" t="s">
        <v>3234</v>
      </c>
      <c r="B6" s="20" t="s">
        <v>3289</v>
      </c>
      <c r="C6" t="s">
        <v>3335</v>
      </c>
      <c r="D6" t="s">
        <v>3335</v>
      </c>
      <c r="E6" t="s">
        <v>3335</v>
      </c>
      <c r="R6" s="18"/>
      <c r="T6">
        <v>1</v>
      </c>
      <c r="U6" s="18" t="b">
        <v>1</v>
      </c>
      <c r="V6" s="18"/>
      <c r="W6" s="18" t="s">
        <v>3224</v>
      </c>
      <c r="X6" t="s">
        <v>3336</v>
      </c>
    </row>
    <row r="7" spans="1:24" x14ac:dyDescent="0.3">
      <c r="A7" t="s">
        <v>3234</v>
      </c>
      <c r="B7" s="20" t="s">
        <v>3289</v>
      </c>
      <c r="C7" t="s">
        <v>3337</v>
      </c>
      <c r="D7" t="s">
        <v>3337</v>
      </c>
      <c r="E7" t="s">
        <v>3337</v>
      </c>
      <c r="R7" s="18"/>
      <c r="T7">
        <v>1</v>
      </c>
      <c r="U7" s="18" t="b">
        <v>1</v>
      </c>
      <c r="V7" s="18"/>
      <c r="W7" s="18" t="s">
        <v>3224</v>
      </c>
      <c r="X7" t="s">
        <v>3338</v>
      </c>
    </row>
    <row r="8" spans="1:24" x14ac:dyDescent="0.3">
      <c r="A8" t="s">
        <v>3339</v>
      </c>
      <c r="B8" s="20" t="s">
        <v>3301</v>
      </c>
      <c r="C8" t="str">
        <f>"KodSprawozdania kodSystemowy="&amp;definicje!B19&amp;" wersjaSchemy="&amp;definicje!B20&amp;""</f>
        <v>KodSprawozdania kodSystemowy="SFJINZ (1)" wersjaSchemy="1-2"</v>
      </c>
      <c r="D8" t="s">
        <v>3340</v>
      </c>
      <c r="R8" s="18"/>
      <c r="T8">
        <v>0</v>
      </c>
      <c r="U8" s="18" t="b">
        <v>1</v>
      </c>
      <c r="V8" s="18"/>
      <c r="W8" s="18" t="s">
        <v>3224</v>
      </c>
      <c r="X8" t="s">
        <v>3341</v>
      </c>
    </row>
    <row r="9" spans="1:24" x14ac:dyDescent="0.3">
      <c r="A9" t="s">
        <v>3248</v>
      </c>
      <c r="B9" s="20" t="s">
        <v>3301</v>
      </c>
      <c r="C9" t="s">
        <v>3342</v>
      </c>
      <c r="D9" t="s">
        <v>3342</v>
      </c>
      <c r="R9" s="18"/>
      <c r="T9">
        <v>0</v>
      </c>
      <c r="U9" s="18" t="b">
        <v>0</v>
      </c>
      <c r="V9" s="18"/>
      <c r="W9" s="18" t="s">
        <v>3224</v>
      </c>
      <c r="X9" t="s">
        <v>3343</v>
      </c>
    </row>
    <row r="10" spans="1:24" x14ac:dyDescent="0.3">
      <c r="A10" t="s">
        <v>3241</v>
      </c>
      <c r="B10" s="20" t="s">
        <v>3344</v>
      </c>
      <c r="C10" t="s">
        <v>3331</v>
      </c>
      <c r="D10" t="s">
        <v>3331</v>
      </c>
      <c r="E10" t="s">
        <v>3331</v>
      </c>
      <c r="R10" s="18"/>
      <c r="T10">
        <v>1</v>
      </c>
      <c r="U10" s="18" t="b">
        <v>0</v>
      </c>
      <c r="V10" s="18"/>
      <c r="W10" s="18" t="s">
        <v>3224</v>
      </c>
      <c r="X10" t="s">
        <v>3332</v>
      </c>
    </row>
    <row r="11" spans="1:24" x14ac:dyDescent="0.3">
      <c r="A11" t="s">
        <v>3241</v>
      </c>
      <c r="B11" s="20" t="s">
        <v>3330</v>
      </c>
      <c r="C11" t="s">
        <v>3345</v>
      </c>
      <c r="D11" t="s">
        <v>3345</v>
      </c>
      <c r="R11" s="18"/>
      <c r="T11">
        <v>0</v>
      </c>
      <c r="U11" s="18" t="b">
        <v>0</v>
      </c>
      <c r="V11" s="18"/>
      <c r="W11" s="18" t="s">
        <v>3224</v>
      </c>
      <c r="X11" t="s">
        <v>3346</v>
      </c>
    </row>
    <row r="12" spans="1:24" x14ac:dyDescent="0.3">
      <c r="A12" t="s">
        <v>3241</v>
      </c>
      <c r="B12" s="20" t="s">
        <v>3330</v>
      </c>
      <c r="C12" t="s">
        <v>3347</v>
      </c>
      <c r="D12" t="s">
        <v>3347</v>
      </c>
      <c r="R12" s="18"/>
      <c r="T12">
        <v>0</v>
      </c>
      <c r="U12" s="18" t="b">
        <v>0</v>
      </c>
      <c r="V12" s="18"/>
      <c r="W12" s="18" t="s">
        <v>3224</v>
      </c>
      <c r="X12" t="s">
        <v>3348</v>
      </c>
    </row>
    <row r="13" spans="1:24" x14ac:dyDescent="0.3">
      <c r="A13" t="s">
        <v>3241</v>
      </c>
      <c r="B13" s="20" t="s">
        <v>3330</v>
      </c>
      <c r="C13" t="s">
        <v>3349</v>
      </c>
      <c r="D13" t="s">
        <v>3349</v>
      </c>
      <c r="R13" s="18"/>
      <c r="T13">
        <v>0</v>
      </c>
      <c r="U13" s="18" t="b">
        <v>0</v>
      </c>
      <c r="V13" s="18"/>
      <c r="W13" s="18" t="s">
        <v>3224</v>
      </c>
      <c r="X13" t="s">
        <v>3350</v>
      </c>
    </row>
    <row r="14" spans="1:24" x14ac:dyDescent="0.3">
      <c r="A14" t="s">
        <v>3248</v>
      </c>
      <c r="B14" s="20" t="s">
        <v>3289</v>
      </c>
      <c r="C14" t="s">
        <v>3351</v>
      </c>
      <c r="D14" t="s">
        <v>3351</v>
      </c>
      <c r="E14" t="s">
        <v>3351</v>
      </c>
      <c r="R14" s="18"/>
      <c r="T14">
        <v>1</v>
      </c>
      <c r="U14" s="18" t="b">
        <v>1</v>
      </c>
      <c r="V14" s="18"/>
      <c r="W14" s="18" t="s">
        <v>3224</v>
      </c>
      <c r="X14" t="s">
        <v>3352</v>
      </c>
    </row>
    <row r="15" spans="1:24" x14ac:dyDescent="0.3">
      <c r="A15" t="s">
        <v>3241</v>
      </c>
      <c r="B15" s="20" t="s">
        <v>3289</v>
      </c>
      <c r="C15" t="s">
        <v>3353</v>
      </c>
      <c r="D15" t="s">
        <v>3353</v>
      </c>
      <c r="R15" s="18"/>
      <c r="T15">
        <v>0</v>
      </c>
      <c r="U15" s="18" t="b">
        <v>0</v>
      </c>
      <c r="V15" s="18"/>
      <c r="W15" s="18" t="s">
        <v>3224</v>
      </c>
      <c r="X15" t="s">
        <v>3354</v>
      </c>
    </row>
    <row r="16" spans="1:24" x14ac:dyDescent="0.3">
      <c r="A16" t="s">
        <v>3248</v>
      </c>
      <c r="B16" s="20" t="s">
        <v>3289</v>
      </c>
      <c r="C16" t="s">
        <v>3355</v>
      </c>
      <c r="D16" t="s">
        <v>3355</v>
      </c>
      <c r="E16" t="s">
        <v>3355</v>
      </c>
      <c r="R16" s="18"/>
      <c r="T16">
        <v>1</v>
      </c>
      <c r="U16" s="18" t="b">
        <v>1</v>
      </c>
      <c r="V16" s="18"/>
      <c r="W16" s="18" t="s">
        <v>3224</v>
      </c>
      <c r="X16" t="s">
        <v>3356</v>
      </c>
    </row>
    <row r="17" spans="1:24" x14ac:dyDescent="0.3">
      <c r="A17" t="s">
        <v>3248</v>
      </c>
      <c r="B17" s="20" t="s">
        <v>3289</v>
      </c>
      <c r="C17" t="s">
        <v>3357</v>
      </c>
      <c r="D17" t="s">
        <v>3357</v>
      </c>
      <c r="E17" t="s">
        <v>3357</v>
      </c>
      <c r="R17" s="18"/>
      <c r="T17">
        <v>1</v>
      </c>
      <c r="U17" s="18" t="b">
        <v>1</v>
      </c>
      <c r="V17" s="18"/>
      <c r="W17" s="18" t="s">
        <v>3224</v>
      </c>
      <c r="X17" t="s">
        <v>3358</v>
      </c>
    </row>
    <row r="18" spans="1:24" x14ac:dyDescent="0.3">
      <c r="A18" t="s">
        <v>3248</v>
      </c>
      <c r="B18" s="20" t="s">
        <v>3289</v>
      </c>
      <c r="C18" t="s">
        <v>3359</v>
      </c>
      <c r="D18" t="s">
        <v>3359</v>
      </c>
      <c r="E18" t="s">
        <v>3359</v>
      </c>
      <c r="R18" s="18"/>
      <c r="T18">
        <v>1</v>
      </c>
      <c r="U18" s="18" t="b">
        <v>1</v>
      </c>
      <c r="V18" s="18"/>
      <c r="W18" s="18" t="s">
        <v>3224</v>
      </c>
      <c r="X18" t="s">
        <v>3360</v>
      </c>
    </row>
    <row r="19" spans="1:24" x14ac:dyDescent="0.3">
      <c r="A19" t="s">
        <v>3248</v>
      </c>
      <c r="B19" s="20" t="s">
        <v>3289</v>
      </c>
      <c r="C19" t="s">
        <v>3361</v>
      </c>
      <c r="D19" t="s">
        <v>3361</v>
      </c>
      <c r="E19" t="s">
        <v>3361</v>
      </c>
      <c r="R19" s="18"/>
      <c r="T19">
        <v>1</v>
      </c>
      <c r="U19" s="18" t="b">
        <v>1</v>
      </c>
      <c r="V19" s="18"/>
      <c r="W19" s="18" t="s">
        <v>3224</v>
      </c>
      <c r="X19" t="s">
        <v>3362</v>
      </c>
    </row>
    <row r="20" spans="1:24" x14ac:dyDescent="0.3">
      <c r="A20" t="s">
        <v>3241</v>
      </c>
      <c r="B20" s="20" t="s">
        <v>3363</v>
      </c>
      <c r="C20" t="s">
        <v>3353</v>
      </c>
      <c r="D20" t="s">
        <v>3353</v>
      </c>
      <c r="R20" s="18"/>
      <c r="T20">
        <v>0</v>
      </c>
      <c r="U20" s="18" t="b">
        <v>0</v>
      </c>
      <c r="V20" s="18"/>
      <c r="W20" s="18" t="s">
        <v>3224</v>
      </c>
      <c r="X20" t="s">
        <v>3354</v>
      </c>
    </row>
    <row r="21" spans="1:24" x14ac:dyDescent="0.3">
      <c r="A21" t="s">
        <v>3241</v>
      </c>
      <c r="B21" s="20" t="s">
        <v>3344</v>
      </c>
      <c r="C21" t="s">
        <v>3349</v>
      </c>
      <c r="D21" t="s">
        <v>3349</v>
      </c>
      <c r="R21" s="18"/>
      <c r="T21">
        <v>0</v>
      </c>
      <c r="U21" s="18" t="b">
        <v>0</v>
      </c>
      <c r="V21" s="18"/>
      <c r="W21" s="18" t="s">
        <v>3224</v>
      </c>
      <c r="X21" t="s">
        <v>3350</v>
      </c>
    </row>
    <row r="22" spans="1:24" x14ac:dyDescent="0.3">
      <c r="A22" t="s">
        <v>3241</v>
      </c>
      <c r="B22" s="20" t="s">
        <v>3330</v>
      </c>
      <c r="C22" t="s">
        <v>3364</v>
      </c>
      <c r="D22" t="s">
        <v>3364</v>
      </c>
      <c r="R22" s="18"/>
      <c r="T22">
        <v>0</v>
      </c>
      <c r="U22" s="18" t="b">
        <v>0</v>
      </c>
      <c r="V22" s="18"/>
      <c r="W22" s="18" t="s">
        <v>3224</v>
      </c>
      <c r="X22" t="s">
        <v>3365</v>
      </c>
    </row>
    <row r="23" spans="1:24" x14ac:dyDescent="0.3">
      <c r="A23" t="s">
        <v>3241</v>
      </c>
      <c r="B23" s="20" t="s">
        <v>3289</v>
      </c>
      <c r="C23" t="s">
        <v>3366</v>
      </c>
      <c r="D23" t="s">
        <v>3366</v>
      </c>
      <c r="R23" s="18"/>
      <c r="T23">
        <v>0</v>
      </c>
      <c r="U23" s="18" t="b">
        <v>0</v>
      </c>
      <c r="V23" s="18"/>
      <c r="W23" s="18" t="s">
        <v>3224</v>
      </c>
      <c r="X23" t="s">
        <v>3367</v>
      </c>
    </row>
    <row r="24" spans="1:24" x14ac:dyDescent="0.3">
      <c r="A24" t="s">
        <v>3368</v>
      </c>
      <c r="B24" s="20" t="s">
        <v>3289</v>
      </c>
      <c r="C24" t="s">
        <v>3369</v>
      </c>
      <c r="D24" t="s">
        <v>3369</v>
      </c>
      <c r="E24" t="s">
        <v>3369</v>
      </c>
      <c r="R24" s="18"/>
      <c r="T24">
        <v>1</v>
      </c>
      <c r="U24" s="18" t="b">
        <v>1</v>
      </c>
      <c r="V24" s="18"/>
      <c r="W24" s="18" t="s">
        <v>3224</v>
      </c>
      <c r="X24" t="s">
        <v>3370</v>
      </c>
    </row>
    <row r="25" spans="1:24" x14ac:dyDescent="0.3">
      <c r="A25" t="s">
        <v>3248</v>
      </c>
      <c r="B25" s="20" t="s">
        <v>3289</v>
      </c>
      <c r="C25" t="s">
        <v>3355</v>
      </c>
      <c r="D25" t="s">
        <v>3355</v>
      </c>
      <c r="E25" t="s">
        <v>3355</v>
      </c>
      <c r="R25" s="18"/>
      <c r="T25">
        <v>1</v>
      </c>
      <c r="U25" s="18" t="b">
        <v>1</v>
      </c>
      <c r="V25" s="18"/>
      <c r="W25" s="18" t="s">
        <v>3224</v>
      </c>
      <c r="X25" t="s">
        <v>3356</v>
      </c>
    </row>
    <row r="26" spans="1:24" x14ac:dyDescent="0.3">
      <c r="A26" t="s">
        <v>3248</v>
      </c>
      <c r="B26" s="20" t="s">
        <v>3289</v>
      </c>
      <c r="C26" t="s">
        <v>3357</v>
      </c>
      <c r="D26" t="s">
        <v>3357</v>
      </c>
      <c r="E26" t="s">
        <v>3357</v>
      </c>
      <c r="R26" s="18"/>
      <c r="T26">
        <v>1</v>
      </c>
      <c r="U26" s="18" t="b">
        <v>1</v>
      </c>
      <c r="V26" s="18"/>
      <c r="W26" s="18" t="s">
        <v>3224</v>
      </c>
      <c r="X26" t="s">
        <v>3358</v>
      </c>
    </row>
    <row r="27" spans="1:24" x14ac:dyDescent="0.3">
      <c r="A27" t="s">
        <v>3248</v>
      </c>
      <c r="B27" s="20" t="s">
        <v>3289</v>
      </c>
      <c r="C27" t="s">
        <v>3359</v>
      </c>
      <c r="D27" t="s">
        <v>3359</v>
      </c>
      <c r="E27" t="s">
        <v>3359</v>
      </c>
      <c r="R27" s="18"/>
      <c r="T27">
        <v>1</v>
      </c>
      <c r="U27" s="18" t="b">
        <v>1</v>
      </c>
      <c r="V27" s="18"/>
      <c r="W27" s="18" t="s">
        <v>3224</v>
      </c>
      <c r="X27" t="s">
        <v>3360</v>
      </c>
    </row>
    <row r="28" spans="1:24" x14ac:dyDescent="0.3">
      <c r="A28" t="s">
        <v>3248</v>
      </c>
      <c r="B28" s="20" t="s">
        <v>3289</v>
      </c>
      <c r="C28" t="s">
        <v>3371</v>
      </c>
      <c r="D28" t="s">
        <v>3371</v>
      </c>
      <c r="E28" t="s">
        <v>3371</v>
      </c>
      <c r="R28" s="18"/>
      <c r="T28">
        <v>1</v>
      </c>
      <c r="U28" s="18" t="b">
        <v>1</v>
      </c>
      <c r="V28" s="18"/>
      <c r="W28" s="18" t="s">
        <v>3224</v>
      </c>
      <c r="X28" t="s">
        <v>3372</v>
      </c>
    </row>
    <row r="29" spans="1:24" x14ac:dyDescent="0.3">
      <c r="A29" t="s">
        <v>3248</v>
      </c>
      <c r="B29" s="20" t="s">
        <v>3289</v>
      </c>
      <c r="C29" t="s">
        <v>3373</v>
      </c>
      <c r="D29" t="s">
        <v>3373</v>
      </c>
      <c r="E29" t="s">
        <v>3373</v>
      </c>
      <c r="R29" s="18"/>
      <c r="T29">
        <v>1</v>
      </c>
      <c r="U29" s="18" t="b">
        <v>1</v>
      </c>
      <c r="V29" s="18"/>
      <c r="W29" s="18" t="s">
        <v>3224</v>
      </c>
      <c r="X29" t="s">
        <v>3374</v>
      </c>
    </row>
    <row r="30" spans="1:24" x14ac:dyDescent="0.3">
      <c r="A30" t="s">
        <v>3248</v>
      </c>
      <c r="B30" s="20" t="s">
        <v>3289</v>
      </c>
      <c r="C30" t="s">
        <v>3375</v>
      </c>
      <c r="D30" t="s">
        <v>3375</v>
      </c>
      <c r="E30" t="s">
        <v>3375</v>
      </c>
      <c r="R30" s="18"/>
      <c r="T30">
        <v>1</v>
      </c>
      <c r="U30" s="18" t="b">
        <v>1</v>
      </c>
      <c r="V30" s="18"/>
      <c r="W30" s="18" t="str">
        <f ca="1">IF(IFERROR(INDIRECT(D30),"")&lt;&gt;"","tak","")</f>
        <v/>
      </c>
      <c r="X30" t="s">
        <v>3376</v>
      </c>
    </row>
    <row r="31" spans="1:24" x14ac:dyDescent="0.3">
      <c r="A31" t="s">
        <v>3248</v>
      </c>
      <c r="B31" s="20" t="s">
        <v>3289</v>
      </c>
      <c r="C31" t="s">
        <v>3361</v>
      </c>
      <c r="D31" t="s">
        <v>3361</v>
      </c>
      <c r="E31" t="s">
        <v>3361</v>
      </c>
      <c r="R31" s="18"/>
      <c r="T31">
        <v>1</v>
      </c>
      <c r="U31" s="18" t="b">
        <v>1</v>
      </c>
      <c r="V31" s="18"/>
      <c r="W31" s="18" t="s">
        <v>3224</v>
      </c>
      <c r="X31" t="s">
        <v>3362</v>
      </c>
    </row>
    <row r="32" spans="1:24" x14ac:dyDescent="0.3">
      <c r="A32" t="s">
        <v>3248</v>
      </c>
      <c r="B32" s="20" t="s">
        <v>3289</v>
      </c>
      <c r="C32" t="s">
        <v>3377</v>
      </c>
      <c r="D32" t="s">
        <v>3377</v>
      </c>
      <c r="E32" t="s">
        <v>3377</v>
      </c>
      <c r="R32" s="18"/>
      <c r="T32">
        <v>1</v>
      </c>
      <c r="U32" s="18" t="b">
        <v>1</v>
      </c>
      <c r="V32" s="18"/>
      <c r="W32" s="18" t="s">
        <v>3224</v>
      </c>
      <c r="X32" t="s">
        <v>3378</v>
      </c>
    </row>
    <row r="33" spans="1:24" x14ac:dyDescent="0.3">
      <c r="A33" t="s">
        <v>3248</v>
      </c>
      <c r="B33" s="20" t="s">
        <v>3289</v>
      </c>
      <c r="C33" t="s">
        <v>3379</v>
      </c>
      <c r="D33" t="s">
        <v>3379</v>
      </c>
      <c r="E33" t="s">
        <v>3379</v>
      </c>
      <c r="R33" s="18"/>
      <c r="T33">
        <v>1</v>
      </c>
      <c r="U33" s="18" t="b">
        <v>1</v>
      </c>
      <c r="V33" s="18"/>
      <c r="W33" s="18" t="s">
        <v>3224</v>
      </c>
      <c r="X33" t="s">
        <v>3380</v>
      </c>
    </row>
    <row r="34" spans="1:24" x14ac:dyDescent="0.3">
      <c r="A34" t="s">
        <v>3241</v>
      </c>
      <c r="B34" s="20" t="s">
        <v>3363</v>
      </c>
      <c r="C34" t="s">
        <v>3366</v>
      </c>
      <c r="D34" t="s">
        <v>3366</v>
      </c>
      <c r="R34" s="18"/>
      <c r="T34">
        <v>0</v>
      </c>
      <c r="U34" s="18" t="b">
        <v>0</v>
      </c>
      <c r="V34" s="18"/>
      <c r="W34" s="18" t="s">
        <v>3224</v>
      </c>
      <c r="X34" t="s">
        <v>3367</v>
      </c>
    </row>
    <row r="35" spans="1:24" x14ac:dyDescent="0.3">
      <c r="A35" t="s">
        <v>3241</v>
      </c>
      <c r="B35" s="20" t="s">
        <v>3289</v>
      </c>
      <c r="C35" t="s">
        <v>3381</v>
      </c>
      <c r="D35" t="s">
        <v>3381</v>
      </c>
      <c r="R35" s="18"/>
      <c r="T35">
        <v>0</v>
      </c>
      <c r="U35" s="18" t="b">
        <v>0</v>
      </c>
      <c r="V35" s="18"/>
      <c r="W35" s="18" t="str">
        <f ca="1">IF(AND(W36="tak",W37="tak",W38="tak",W39="tak"),"tak","")</f>
        <v/>
      </c>
      <c r="X35" t="s">
        <v>3382</v>
      </c>
    </row>
    <row r="36" spans="1:24" x14ac:dyDescent="0.3">
      <c r="A36" t="s">
        <v>3368</v>
      </c>
      <c r="B36" s="20" t="s">
        <v>3289</v>
      </c>
      <c r="C36" t="s">
        <v>3369</v>
      </c>
      <c r="D36" t="s">
        <v>3383</v>
      </c>
      <c r="E36" t="s">
        <v>3369</v>
      </c>
      <c r="R36" s="18"/>
      <c r="T36">
        <v>1</v>
      </c>
      <c r="U36" s="18" t="b">
        <v>1</v>
      </c>
      <c r="V36" s="18"/>
      <c r="W36" s="18" t="str">
        <f ca="1">IF(IFERROR(INDIRECT(D36),"")&lt;&gt;"","tak","")</f>
        <v/>
      </c>
      <c r="X36" t="s">
        <v>3384</v>
      </c>
    </row>
    <row r="37" spans="1:24" x14ac:dyDescent="0.3">
      <c r="A37" t="s">
        <v>3248</v>
      </c>
      <c r="B37" s="20" t="s">
        <v>3289</v>
      </c>
      <c r="C37" t="s">
        <v>3361</v>
      </c>
      <c r="D37" t="s">
        <v>3385</v>
      </c>
      <c r="E37" t="s">
        <v>3377</v>
      </c>
      <c r="R37" s="18"/>
      <c r="T37">
        <v>1</v>
      </c>
      <c r="U37" s="18" t="b">
        <v>1</v>
      </c>
      <c r="V37" s="18"/>
      <c r="W37" s="18" t="str">
        <f ca="1">IF(IFERROR(INDIRECT(D37),"")&lt;&gt;"","tak","")</f>
        <v/>
      </c>
      <c r="X37" t="s">
        <v>3386</v>
      </c>
    </row>
    <row r="38" spans="1:24" x14ac:dyDescent="0.3">
      <c r="A38" t="s">
        <v>3248</v>
      </c>
      <c r="B38" s="20" t="s">
        <v>3289</v>
      </c>
      <c r="C38" t="s">
        <v>3371</v>
      </c>
      <c r="D38" t="s">
        <v>3387</v>
      </c>
      <c r="E38" t="s">
        <v>3371</v>
      </c>
      <c r="R38" s="18"/>
      <c r="T38">
        <v>1</v>
      </c>
      <c r="U38" s="18" t="b">
        <v>1</v>
      </c>
      <c r="V38" s="18"/>
      <c r="W38" s="18" t="str">
        <f ca="1">IF(IFERROR(INDIRECT(D38),"")&lt;&gt;"","tak","")</f>
        <v/>
      </c>
      <c r="X38" t="s">
        <v>3388</v>
      </c>
    </row>
    <row r="39" spans="1:24" x14ac:dyDescent="0.3">
      <c r="A39" t="s">
        <v>3248</v>
      </c>
      <c r="B39" s="20" t="s">
        <v>3289</v>
      </c>
      <c r="C39" t="s">
        <v>3373</v>
      </c>
      <c r="D39" t="s">
        <v>3389</v>
      </c>
      <c r="E39" t="s">
        <v>3373</v>
      </c>
      <c r="R39" s="18"/>
      <c r="T39">
        <v>1</v>
      </c>
      <c r="U39" s="18" t="b">
        <v>1</v>
      </c>
      <c r="V39" s="18"/>
      <c r="W39" s="18" t="str">
        <f ca="1">IF(IFERROR(INDIRECT(D39),"")&lt;&gt;"","tak","")</f>
        <v/>
      </c>
      <c r="X39" t="s">
        <v>3390</v>
      </c>
    </row>
    <row r="40" spans="1:24" x14ac:dyDescent="0.3">
      <c r="A40" t="s">
        <v>3248</v>
      </c>
      <c r="B40" s="20" t="s">
        <v>3289</v>
      </c>
      <c r="C40" t="s">
        <v>3375</v>
      </c>
      <c r="D40" t="s">
        <v>3391</v>
      </c>
      <c r="E40" t="s">
        <v>3375</v>
      </c>
      <c r="R40" s="18"/>
      <c r="T40">
        <v>1</v>
      </c>
      <c r="U40" s="18" t="b">
        <v>1</v>
      </c>
      <c r="V40" s="18"/>
      <c r="W40" s="18" t="str">
        <f ca="1">IF(IFERROR(INDIRECT(D40),"")&lt;&gt;"","tak","")</f>
        <v/>
      </c>
      <c r="X40" t="s">
        <v>3392</v>
      </c>
    </row>
    <row r="41" spans="1:24" x14ac:dyDescent="0.3">
      <c r="A41" t="s">
        <v>3241</v>
      </c>
      <c r="B41" s="20" t="s">
        <v>3363</v>
      </c>
      <c r="C41" t="s">
        <v>3381</v>
      </c>
      <c r="D41" t="s">
        <v>3381</v>
      </c>
      <c r="R41" s="18"/>
      <c r="T41">
        <v>0</v>
      </c>
      <c r="U41" s="18" t="b">
        <v>0</v>
      </c>
      <c r="V41" s="18"/>
      <c r="W41" s="18" t="str">
        <f ca="1">IF(AND(W36="tak",W37="tak",W38="tak",W39="tak"),"tak","")</f>
        <v/>
      </c>
      <c r="X41" t="s">
        <v>3382</v>
      </c>
    </row>
    <row r="42" spans="1:24" x14ac:dyDescent="0.3">
      <c r="A42" t="s">
        <v>3241</v>
      </c>
      <c r="B42" s="20" t="s">
        <v>3344</v>
      </c>
      <c r="C42" t="s">
        <v>3364</v>
      </c>
      <c r="D42" t="s">
        <v>3364</v>
      </c>
      <c r="R42" s="18"/>
      <c r="T42">
        <v>0</v>
      </c>
      <c r="U42" s="18" t="b">
        <v>0</v>
      </c>
      <c r="V42" s="18"/>
      <c r="W42" s="18" t="s">
        <v>3224</v>
      </c>
      <c r="X42" t="s">
        <v>3365</v>
      </c>
    </row>
    <row r="43" spans="1:24" x14ac:dyDescent="0.3">
      <c r="A43" t="s">
        <v>3241</v>
      </c>
      <c r="B43" s="20" t="s">
        <v>3330</v>
      </c>
      <c r="C43" t="s">
        <v>3393</v>
      </c>
      <c r="D43" t="s">
        <v>3393</v>
      </c>
      <c r="R43" s="18"/>
      <c r="T43">
        <v>0</v>
      </c>
      <c r="U43" s="18" t="b">
        <v>0</v>
      </c>
      <c r="V43" s="18"/>
      <c r="W43" s="18" t="s">
        <v>3224</v>
      </c>
      <c r="X43" t="s">
        <v>3394</v>
      </c>
    </row>
    <row r="44" spans="1:24" x14ac:dyDescent="0.3">
      <c r="A44" t="s">
        <v>3395</v>
      </c>
      <c r="B44" s="20" t="s">
        <v>3289</v>
      </c>
      <c r="C44" t="s">
        <v>3396</v>
      </c>
      <c r="D44" t="s">
        <v>3397</v>
      </c>
      <c r="E44" t="s">
        <v>3396</v>
      </c>
      <c r="R44" s="18"/>
      <c r="T44">
        <v>1</v>
      </c>
      <c r="U44" s="18" t="b">
        <v>1</v>
      </c>
      <c r="V44" s="18"/>
      <c r="W44" s="18" t="s">
        <v>3224</v>
      </c>
      <c r="X44" t="s">
        <v>3398</v>
      </c>
    </row>
    <row r="45" spans="1:24" x14ac:dyDescent="0.3">
      <c r="A45" t="s">
        <v>3395</v>
      </c>
      <c r="B45" s="20" t="s">
        <v>3289</v>
      </c>
      <c r="C45" t="s">
        <v>3396</v>
      </c>
      <c r="D45" t="s">
        <v>3399</v>
      </c>
      <c r="E45" t="s">
        <v>3396</v>
      </c>
      <c r="R45" s="18"/>
      <c r="T45">
        <v>1</v>
      </c>
      <c r="U45" s="18" t="b">
        <v>1</v>
      </c>
      <c r="V45" s="18"/>
      <c r="W45" s="18" t="str">
        <f t="shared" ref="W45:W53" ca="1" si="0">IF(IFERROR(INDIRECT(D45),"")&lt;&gt;"","tak","")</f>
        <v/>
      </c>
      <c r="X45" t="s">
        <v>3400</v>
      </c>
    </row>
    <row r="46" spans="1:24" x14ac:dyDescent="0.3">
      <c r="A46" t="s">
        <v>3395</v>
      </c>
      <c r="B46" s="20" t="s">
        <v>3289</v>
      </c>
      <c r="C46" t="s">
        <v>3396</v>
      </c>
      <c r="D46" t="s">
        <v>3401</v>
      </c>
      <c r="E46" t="s">
        <v>3396</v>
      </c>
      <c r="R46" s="18"/>
      <c r="T46">
        <v>1</v>
      </c>
      <c r="U46" s="18" t="b">
        <v>1</v>
      </c>
      <c r="V46" s="18"/>
      <c r="W46" s="18" t="str">
        <f t="shared" ca="1" si="0"/>
        <v/>
      </c>
      <c r="X46" t="s">
        <v>3402</v>
      </c>
    </row>
    <row r="47" spans="1:24" x14ac:dyDescent="0.3">
      <c r="A47" t="s">
        <v>3395</v>
      </c>
      <c r="B47" s="20" t="s">
        <v>3289</v>
      </c>
      <c r="C47" t="s">
        <v>3396</v>
      </c>
      <c r="D47" t="s">
        <v>3403</v>
      </c>
      <c r="E47" t="s">
        <v>3396</v>
      </c>
      <c r="R47" s="18"/>
      <c r="T47">
        <v>1</v>
      </c>
      <c r="U47" s="18" t="b">
        <v>1</v>
      </c>
      <c r="V47" s="18"/>
      <c r="W47" s="18" t="str">
        <f t="shared" ca="1" si="0"/>
        <v/>
      </c>
      <c r="X47" t="s">
        <v>3404</v>
      </c>
    </row>
    <row r="48" spans="1:24" x14ac:dyDescent="0.3">
      <c r="A48" t="s">
        <v>3395</v>
      </c>
      <c r="B48" s="20" t="s">
        <v>3289</v>
      </c>
      <c r="C48" t="s">
        <v>3396</v>
      </c>
      <c r="D48" t="s">
        <v>3405</v>
      </c>
      <c r="E48" t="s">
        <v>3396</v>
      </c>
      <c r="R48" s="18"/>
      <c r="T48">
        <v>1</v>
      </c>
      <c r="U48" s="18" t="b">
        <v>1</v>
      </c>
      <c r="V48" s="18"/>
      <c r="W48" s="18" t="str">
        <f t="shared" ca="1" si="0"/>
        <v/>
      </c>
      <c r="X48" t="s">
        <v>3406</v>
      </c>
    </row>
    <row r="49" spans="1:24" x14ac:dyDescent="0.3">
      <c r="A49" t="s">
        <v>3395</v>
      </c>
      <c r="B49" s="20" t="s">
        <v>3289</v>
      </c>
      <c r="C49" t="s">
        <v>3396</v>
      </c>
      <c r="D49" t="s">
        <v>3407</v>
      </c>
      <c r="E49" t="s">
        <v>3396</v>
      </c>
      <c r="R49" s="18"/>
      <c r="T49">
        <v>1</v>
      </c>
      <c r="U49" s="18" t="b">
        <v>1</v>
      </c>
      <c r="V49" s="18"/>
      <c r="W49" s="18" t="str">
        <f t="shared" ca="1" si="0"/>
        <v/>
      </c>
      <c r="X49" t="s">
        <v>3408</v>
      </c>
    </row>
    <row r="50" spans="1:24" x14ac:dyDescent="0.3">
      <c r="A50" t="s">
        <v>3395</v>
      </c>
      <c r="B50" s="20" t="s">
        <v>3289</v>
      </c>
      <c r="C50" t="s">
        <v>3396</v>
      </c>
      <c r="D50" t="s">
        <v>3409</v>
      </c>
      <c r="E50" t="s">
        <v>3396</v>
      </c>
      <c r="R50" s="18"/>
      <c r="T50">
        <v>1</v>
      </c>
      <c r="U50" s="18" t="b">
        <v>1</v>
      </c>
      <c r="V50" s="18"/>
      <c r="W50" s="18" t="str">
        <f t="shared" ca="1" si="0"/>
        <v/>
      </c>
      <c r="X50" t="s">
        <v>3410</v>
      </c>
    </row>
    <row r="51" spans="1:24" x14ac:dyDescent="0.3">
      <c r="A51" t="s">
        <v>3395</v>
      </c>
      <c r="B51" s="20" t="s">
        <v>3289</v>
      </c>
      <c r="C51" t="s">
        <v>3396</v>
      </c>
      <c r="D51" t="s">
        <v>3411</v>
      </c>
      <c r="E51" t="s">
        <v>3396</v>
      </c>
      <c r="R51" s="18"/>
      <c r="T51">
        <v>1</v>
      </c>
      <c r="U51" s="18" t="b">
        <v>1</v>
      </c>
      <c r="V51" s="18"/>
      <c r="W51" s="18" t="str">
        <f t="shared" ca="1" si="0"/>
        <v/>
      </c>
      <c r="X51" t="s">
        <v>3412</v>
      </c>
    </row>
    <row r="52" spans="1:24" x14ac:dyDescent="0.3">
      <c r="A52" t="s">
        <v>3395</v>
      </c>
      <c r="B52" s="20" t="s">
        <v>3289</v>
      </c>
      <c r="C52" t="s">
        <v>3396</v>
      </c>
      <c r="D52" t="s">
        <v>3413</v>
      </c>
      <c r="E52" t="s">
        <v>3396</v>
      </c>
      <c r="R52" s="18"/>
      <c r="T52">
        <v>1</v>
      </c>
      <c r="U52" s="18" t="b">
        <v>1</v>
      </c>
      <c r="V52" s="18"/>
      <c r="W52" s="18" t="str">
        <f t="shared" ca="1" si="0"/>
        <v/>
      </c>
      <c r="X52" t="s">
        <v>3414</v>
      </c>
    </row>
    <row r="53" spans="1:24" x14ac:dyDescent="0.3">
      <c r="A53" t="s">
        <v>3395</v>
      </c>
      <c r="B53" s="20" t="s">
        <v>3289</v>
      </c>
      <c r="C53" t="s">
        <v>3396</v>
      </c>
      <c r="D53" t="s">
        <v>3415</v>
      </c>
      <c r="E53" t="s">
        <v>3396</v>
      </c>
      <c r="R53" s="18"/>
      <c r="T53">
        <v>1</v>
      </c>
      <c r="U53" s="18" t="b">
        <v>1</v>
      </c>
      <c r="V53" s="18"/>
      <c r="W53" s="18" t="str">
        <f t="shared" ca="1" si="0"/>
        <v/>
      </c>
      <c r="X53" t="s">
        <v>3416</v>
      </c>
    </row>
    <row r="54" spans="1:24" x14ac:dyDescent="0.3">
      <c r="A54" t="s">
        <v>3241</v>
      </c>
      <c r="B54" s="20" t="s">
        <v>3344</v>
      </c>
      <c r="C54" t="s">
        <v>3393</v>
      </c>
      <c r="D54" t="s">
        <v>3393</v>
      </c>
      <c r="R54" s="18"/>
      <c r="T54">
        <v>0</v>
      </c>
      <c r="U54" s="18" t="b">
        <v>0</v>
      </c>
      <c r="V54" s="18"/>
      <c r="W54" s="18" t="s">
        <v>3224</v>
      </c>
      <c r="X54" t="s">
        <v>3394</v>
      </c>
    </row>
    <row r="55" spans="1:24" x14ac:dyDescent="0.3">
      <c r="A55" t="s">
        <v>3417</v>
      </c>
      <c r="B55" s="20" t="s">
        <v>3330</v>
      </c>
      <c r="C55" t="s">
        <v>3418</v>
      </c>
      <c r="D55" t="s">
        <v>3419</v>
      </c>
      <c r="R55" s="18"/>
      <c r="T55">
        <v>0</v>
      </c>
      <c r="U55" s="18" t="b">
        <v>1</v>
      </c>
      <c r="V55" s="18"/>
      <c r="W55" s="18" t="s">
        <v>3224</v>
      </c>
      <c r="X55" t="s">
        <v>3420</v>
      </c>
    </row>
    <row r="56" spans="1:24" x14ac:dyDescent="0.3">
      <c r="A56" t="s">
        <v>3417</v>
      </c>
      <c r="B56" s="20" t="s">
        <v>3330</v>
      </c>
      <c r="C56" t="s">
        <v>3421</v>
      </c>
      <c r="D56" t="s">
        <v>3422</v>
      </c>
      <c r="R56" s="18"/>
      <c r="T56">
        <v>0</v>
      </c>
      <c r="U56" s="18" t="b">
        <v>1</v>
      </c>
      <c r="V56" s="18"/>
      <c r="W56" s="18" t="str">
        <f>IF(KRS="","","tak")</f>
        <v>tak</v>
      </c>
      <c r="X56" t="s">
        <v>3423</v>
      </c>
    </row>
    <row r="57" spans="1:24" x14ac:dyDescent="0.3">
      <c r="A57" t="s">
        <v>3241</v>
      </c>
      <c r="B57" s="20" t="s">
        <v>3344</v>
      </c>
      <c r="C57" t="s">
        <v>3347</v>
      </c>
      <c r="D57" t="s">
        <v>3347</v>
      </c>
      <c r="R57" s="18"/>
      <c r="T57">
        <v>0</v>
      </c>
      <c r="U57" s="18" t="b">
        <v>0</v>
      </c>
      <c r="V57" s="18"/>
      <c r="W57" s="18" t="s">
        <v>3224</v>
      </c>
      <c r="X57" t="s">
        <v>3348</v>
      </c>
    </row>
    <row r="58" spans="1:24" x14ac:dyDescent="0.3">
      <c r="A58" t="s">
        <v>3241</v>
      </c>
      <c r="B58" s="20" t="s">
        <v>3330</v>
      </c>
      <c r="C58" t="s">
        <v>3424</v>
      </c>
      <c r="D58" t="s">
        <v>3424</v>
      </c>
      <c r="R58" s="18"/>
      <c r="T58">
        <v>0</v>
      </c>
      <c r="U58" s="18" t="b">
        <v>0</v>
      </c>
      <c r="V58" s="18"/>
      <c r="W58" s="18" t="str">
        <f ca="1">W59</f>
        <v/>
      </c>
      <c r="X58" t="s">
        <v>3425</v>
      </c>
    </row>
    <row r="59" spans="1:24" x14ac:dyDescent="0.3">
      <c r="A59" t="s">
        <v>3234</v>
      </c>
      <c r="B59" s="20" t="s">
        <v>3289</v>
      </c>
      <c r="C59" t="s">
        <v>3426</v>
      </c>
      <c r="D59" t="s">
        <v>3427</v>
      </c>
      <c r="R59" s="18"/>
      <c r="T59">
        <v>0</v>
      </c>
      <c r="U59" s="18" t="b">
        <v>1</v>
      </c>
      <c r="V59" s="18"/>
      <c r="W59" s="18" t="str">
        <f ca="1">IF(IFERROR(INDIRECT(D59),"")&lt;&gt;"","tak","")</f>
        <v/>
      </c>
      <c r="X59" t="s">
        <v>3428</v>
      </c>
    </row>
    <row r="60" spans="1:24" x14ac:dyDescent="0.3">
      <c r="A60" t="s">
        <v>3248</v>
      </c>
      <c r="B60" s="20" t="s">
        <v>3289</v>
      </c>
      <c r="C60" t="s">
        <v>3429</v>
      </c>
      <c r="D60" t="s">
        <v>3430</v>
      </c>
      <c r="R60" s="18"/>
      <c r="T60">
        <v>0</v>
      </c>
      <c r="U60" s="18" t="b">
        <v>1</v>
      </c>
      <c r="V60" s="18"/>
      <c r="W60" s="18" t="str">
        <f ca="1">IF(IFERROR(INDIRECT(D60),"")&lt;&gt;"","tak","")</f>
        <v/>
      </c>
      <c r="X60" t="s">
        <v>3431</v>
      </c>
    </row>
    <row r="61" spans="1:24" x14ac:dyDescent="0.3">
      <c r="A61" t="s">
        <v>3241</v>
      </c>
      <c r="B61" s="20" t="s">
        <v>3344</v>
      </c>
      <c r="C61" t="s">
        <v>3424</v>
      </c>
      <c r="D61" t="s">
        <v>3424</v>
      </c>
      <c r="R61" s="18"/>
      <c r="T61">
        <v>0</v>
      </c>
      <c r="U61" s="18" t="b">
        <v>0</v>
      </c>
      <c r="V61" s="18"/>
      <c r="W61" s="18" t="str">
        <f ca="1">W58</f>
        <v/>
      </c>
      <c r="X61" t="s">
        <v>3425</v>
      </c>
    </row>
    <row r="62" spans="1:24" x14ac:dyDescent="0.3">
      <c r="A62" t="s">
        <v>3241</v>
      </c>
      <c r="B62" s="20" t="s">
        <v>3330</v>
      </c>
      <c r="C62" t="s">
        <v>3432</v>
      </c>
      <c r="D62" t="s">
        <v>3432</v>
      </c>
      <c r="R62" s="18"/>
      <c r="T62">
        <v>0</v>
      </c>
      <c r="U62" s="18" t="b">
        <v>0</v>
      </c>
      <c r="V62" s="18"/>
      <c r="W62" s="18" t="s">
        <v>3224</v>
      </c>
      <c r="X62" t="s">
        <v>3433</v>
      </c>
    </row>
    <row r="63" spans="1:24" x14ac:dyDescent="0.3">
      <c r="A63" t="s">
        <v>3234</v>
      </c>
      <c r="B63" s="20" t="s">
        <v>3289</v>
      </c>
      <c r="C63" t="s">
        <v>3426</v>
      </c>
      <c r="D63" t="s">
        <v>3426</v>
      </c>
      <c r="E63" t="s">
        <v>3426</v>
      </c>
      <c r="R63" s="18"/>
      <c r="T63">
        <v>1</v>
      </c>
      <c r="U63" s="18" t="b">
        <v>1</v>
      </c>
      <c r="V63" s="18"/>
      <c r="W63" s="18" t="s">
        <v>3224</v>
      </c>
      <c r="X63" t="s">
        <v>3434</v>
      </c>
    </row>
    <row r="64" spans="1:24" x14ac:dyDescent="0.3">
      <c r="A64" t="s">
        <v>3234</v>
      </c>
      <c r="B64" s="20" t="s">
        <v>3289</v>
      </c>
      <c r="C64" t="s">
        <v>3435</v>
      </c>
      <c r="D64" t="s">
        <v>3435</v>
      </c>
      <c r="E64" t="s">
        <v>3435</v>
      </c>
      <c r="R64" s="18"/>
      <c r="T64">
        <v>1</v>
      </c>
      <c r="U64" s="18" t="b">
        <v>1</v>
      </c>
      <c r="V64" s="18"/>
      <c r="W64" s="18" t="s">
        <v>3224</v>
      </c>
      <c r="X64" t="s">
        <v>3436</v>
      </c>
    </row>
    <row r="65" spans="1:24" x14ac:dyDescent="0.3">
      <c r="A65" t="s">
        <v>3241</v>
      </c>
      <c r="B65" s="20" t="s">
        <v>3344</v>
      </c>
      <c r="C65" t="s">
        <v>3432</v>
      </c>
      <c r="D65" t="s">
        <v>3432</v>
      </c>
      <c r="R65" s="18"/>
      <c r="T65">
        <v>0</v>
      </c>
      <c r="U65" s="18" t="b">
        <v>0</v>
      </c>
      <c r="V65" s="18"/>
      <c r="W65" s="18" t="s">
        <v>3224</v>
      </c>
      <c r="X65" t="s">
        <v>3433</v>
      </c>
    </row>
    <row r="66" spans="1:24" x14ac:dyDescent="0.3">
      <c r="A66" t="s">
        <v>3252</v>
      </c>
      <c r="B66" s="20" t="s">
        <v>3330</v>
      </c>
      <c r="C66" t="s">
        <v>3437</v>
      </c>
      <c r="D66" t="s">
        <v>3438</v>
      </c>
      <c r="E66" t="s">
        <v>3438</v>
      </c>
      <c r="R66" s="18"/>
      <c r="T66">
        <v>1</v>
      </c>
      <c r="U66" s="18" t="b">
        <v>1</v>
      </c>
      <c r="V66" s="18"/>
      <c r="W66" s="18" t="s">
        <v>3224</v>
      </c>
      <c r="X66" t="s">
        <v>3439</v>
      </c>
    </row>
    <row r="67" spans="1:24" x14ac:dyDescent="0.3">
      <c r="A67" t="s">
        <v>3241</v>
      </c>
      <c r="B67" s="20" t="s">
        <v>3330</v>
      </c>
      <c r="C67" t="s">
        <v>3440</v>
      </c>
      <c r="D67" t="s">
        <v>3440</v>
      </c>
      <c r="R67" s="18"/>
      <c r="T67">
        <v>0</v>
      </c>
      <c r="U67" s="18" t="b">
        <v>0</v>
      </c>
      <c r="V67" s="18"/>
      <c r="W67" s="18" t="s">
        <v>3224</v>
      </c>
      <c r="X67" t="s">
        <v>3441</v>
      </c>
    </row>
    <row r="68" spans="1:24" x14ac:dyDescent="0.3">
      <c r="A68" t="s">
        <v>3252</v>
      </c>
      <c r="B68" s="20" t="s">
        <v>3330</v>
      </c>
      <c r="C68" t="s">
        <v>3442</v>
      </c>
      <c r="D68" t="s">
        <v>3443</v>
      </c>
      <c r="E68" t="s">
        <v>3442</v>
      </c>
      <c r="R68" s="18"/>
      <c r="T68">
        <v>1</v>
      </c>
      <c r="U68" s="18" t="b">
        <v>1</v>
      </c>
      <c r="V68" s="18"/>
      <c r="W68" s="18" t="s">
        <v>3224</v>
      </c>
      <c r="X68" t="s">
        <v>3444</v>
      </c>
    </row>
    <row r="69" spans="1:24" x14ac:dyDescent="0.3">
      <c r="A69" t="s">
        <v>3252</v>
      </c>
      <c r="B69" s="20" t="s">
        <v>3330</v>
      </c>
      <c r="C69" t="s">
        <v>3445</v>
      </c>
      <c r="D69" t="s">
        <v>3446</v>
      </c>
      <c r="E69" t="s">
        <v>3445</v>
      </c>
      <c r="R69" s="18"/>
      <c r="T69">
        <v>1</v>
      </c>
      <c r="U69" s="18" t="b">
        <v>1</v>
      </c>
      <c r="V69" s="18"/>
      <c r="W69" s="18" t="s">
        <v>3224</v>
      </c>
      <c r="X69" t="s">
        <v>3447</v>
      </c>
    </row>
    <row r="70" spans="1:24" x14ac:dyDescent="0.3">
      <c r="A70" t="s">
        <v>3248</v>
      </c>
      <c r="B70" s="20" t="s">
        <v>3330</v>
      </c>
      <c r="C70" t="s">
        <v>3448</v>
      </c>
      <c r="D70" t="s">
        <v>3449</v>
      </c>
      <c r="E70" t="s">
        <v>3448</v>
      </c>
      <c r="R70" s="18"/>
      <c r="T70">
        <v>1</v>
      </c>
      <c r="U70" s="18" t="b">
        <v>1</v>
      </c>
      <c r="V70" s="18"/>
      <c r="W70" s="18" t="str">
        <f ca="1">IF(IFERROR(INDIRECT(D70),"")&lt;&gt;"","tak","")</f>
        <v/>
      </c>
      <c r="X70" t="s">
        <v>3450</v>
      </c>
    </row>
    <row r="71" spans="1:24" x14ac:dyDescent="0.3">
      <c r="A71" t="s">
        <v>3241</v>
      </c>
      <c r="B71" s="20" t="s">
        <v>3344</v>
      </c>
      <c r="C71" t="s">
        <v>3440</v>
      </c>
      <c r="D71" t="s">
        <v>3440</v>
      </c>
      <c r="R71" s="18"/>
      <c r="T71">
        <v>0</v>
      </c>
      <c r="U71" s="18" t="b">
        <v>0</v>
      </c>
      <c r="V71" s="18"/>
      <c r="W71" s="18" t="s">
        <v>3224</v>
      </c>
      <c r="X71" t="s">
        <v>3441</v>
      </c>
    </row>
    <row r="72" spans="1:24" x14ac:dyDescent="0.3">
      <c r="A72" t="s">
        <v>3241</v>
      </c>
      <c r="B72" s="20" t="s">
        <v>3330</v>
      </c>
      <c r="C72" t="s">
        <v>3451</v>
      </c>
      <c r="D72" t="s">
        <v>3451</v>
      </c>
      <c r="R72" s="18"/>
      <c r="T72">
        <v>0</v>
      </c>
      <c r="U72" s="18" t="b">
        <v>0</v>
      </c>
      <c r="V72" s="18"/>
      <c r="W72" s="18" t="str">
        <f ca="1">W73</f>
        <v/>
      </c>
      <c r="X72" t="s">
        <v>3452</v>
      </c>
    </row>
    <row r="73" spans="1:24" x14ac:dyDescent="0.3">
      <c r="A73" t="s">
        <v>3252</v>
      </c>
      <c r="B73" s="20" t="s">
        <v>3330</v>
      </c>
      <c r="C73" t="s">
        <v>3453</v>
      </c>
      <c r="D73" t="s">
        <v>3454</v>
      </c>
      <c r="E73" t="s">
        <v>3453</v>
      </c>
      <c r="R73" s="18"/>
      <c r="S73" s="18"/>
      <c r="T73">
        <v>1</v>
      </c>
      <c r="U73" s="18" t="b">
        <v>1</v>
      </c>
      <c r="V73" s="18"/>
      <c r="W73" s="18" t="str">
        <f ca="1">IF(IFERROR(INDIRECT(D73),"nie")&lt;&gt;"nie","tak","")</f>
        <v/>
      </c>
      <c r="X73" t="s">
        <v>3455</v>
      </c>
    </row>
    <row r="74" spans="1:24" x14ac:dyDescent="0.3">
      <c r="A74" t="s">
        <v>3248</v>
      </c>
      <c r="B74" s="20" t="s">
        <v>3330</v>
      </c>
      <c r="C74" t="s">
        <v>3456</v>
      </c>
      <c r="D74" t="s">
        <v>3457</v>
      </c>
      <c r="E74" t="s">
        <v>3456</v>
      </c>
      <c r="R74" s="18"/>
      <c r="T74">
        <v>1</v>
      </c>
      <c r="U74" s="18" t="b">
        <v>1</v>
      </c>
      <c r="V74" s="18"/>
      <c r="W74" s="18" t="str">
        <f ca="1">IF(IFERROR(INDIRECT(D74),"")&lt;&gt;"","tak","")</f>
        <v/>
      </c>
      <c r="X74" t="s">
        <v>3458</v>
      </c>
    </row>
    <row r="75" spans="1:24" x14ac:dyDescent="0.3">
      <c r="A75" t="s">
        <v>3241</v>
      </c>
      <c r="B75" s="20" t="s">
        <v>3344</v>
      </c>
      <c r="C75" t="s">
        <v>3451</v>
      </c>
      <c r="D75" t="s">
        <v>3451</v>
      </c>
      <c r="R75" s="18"/>
      <c r="T75">
        <v>0</v>
      </c>
      <c r="U75" s="18" t="b">
        <v>0</v>
      </c>
      <c r="V75" s="18"/>
      <c r="W75" s="18" t="str">
        <f ca="1">W72</f>
        <v/>
      </c>
      <c r="X75" t="s">
        <v>3452</v>
      </c>
    </row>
    <row r="76" spans="1:24" x14ac:dyDescent="0.3">
      <c r="A76" t="s">
        <v>3241</v>
      </c>
      <c r="B76" s="20" t="s">
        <v>3330</v>
      </c>
      <c r="C76" t="s">
        <v>3459</v>
      </c>
      <c r="D76" t="s">
        <v>3459</v>
      </c>
      <c r="R76" s="18"/>
      <c r="T76">
        <v>0</v>
      </c>
      <c r="U76" s="18" t="b">
        <v>0</v>
      </c>
      <c r="V76" s="18"/>
      <c r="W76" s="18" t="s">
        <v>3224</v>
      </c>
      <c r="X76" t="s">
        <v>3460</v>
      </c>
    </row>
    <row r="77" spans="1:24" x14ac:dyDescent="0.3">
      <c r="A77" t="s">
        <v>3248</v>
      </c>
      <c r="B77" s="20" t="s">
        <v>3330</v>
      </c>
      <c r="C77" t="s">
        <v>3461</v>
      </c>
      <c r="D77" t="s">
        <v>3461</v>
      </c>
      <c r="E77" t="s">
        <v>3461</v>
      </c>
      <c r="R77" s="18"/>
      <c r="T77">
        <v>1</v>
      </c>
      <c r="U77" s="18" t="b">
        <v>1</v>
      </c>
      <c r="V77" s="18"/>
      <c r="W77" s="18" t="s">
        <v>3224</v>
      </c>
      <c r="X77" t="s">
        <v>3462</v>
      </c>
    </row>
    <row r="78" spans="1:24" x14ac:dyDescent="0.3">
      <c r="A78" t="s">
        <v>3248</v>
      </c>
      <c r="B78" s="20" t="s">
        <v>3330</v>
      </c>
      <c r="C78" t="s">
        <v>3463</v>
      </c>
      <c r="D78" t="s">
        <v>3463</v>
      </c>
      <c r="E78" t="s">
        <v>3463</v>
      </c>
      <c r="R78" s="18"/>
      <c r="T78">
        <v>1</v>
      </c>
      <c r="U78" s="18" t="b">
        <v>1</v>
      </c>
      <c r="V78" s="18"/>
      <c r="W78" s="18" t="s">
        <v>3224</v>
      </c>
      <c r="X78" t="s">
        <v>3464</v>
      </c>
    </row>
    <row r="79" spans="1:24" x14ac:dyDescent="0.3">
      <c r="A79" t="s">
        <v>3248</v>
      </c>
      <c r="B79" s="20" t="s">
        <v>3330</v>
      </c>
      <c r="C79" t="s">
        <v>3465</v>
      </c>
      <c r="D79" t="s">
        <v>3465</v>
      </c>
      <c r="E79" t="s">
        <v>3465</v>
      </c>
      <c r="R79" s="18"/>
      <c r="T79">
        <v>1</v>
      </c>
      <c r="U79" s="18" t="b">
        <v>1</v>
      </c>
      <c r="V79" s="18"/>
      <c r="W79" s="18" t="s">
        <v>3224</v>
      </c>
      <c r="X79" t="s">
        <v>3466</v>
      </c>
    </row>
    <row r="80" spans="1:24" x14ac:dyDescent="0.3">
      <c r="A80" t="s">
        <v>3248</v>
      </c>
      <c r="B80" s="20" t="s">
        <v>3330</v>
      </c>
      <c r="C80" t="s">
        <v>3467</v>
      </c>
      <c r="D80" t="s">
        <v>3467</v>
      </c>
      <c r="E80" t="s">
        <v>3467</v>
      </c>
      <c r="R80" s="18"/>
      <c r="T80">
        <v>1</v>
      </c>
      <c r="U80" s="18" t="b">
        <v>1</v>
      </c>
      <c r="V80" s="18"/>
      <c r="W80" s="18" t="s">
        <v>3224</v>
      </c>
      <c r="X80" t="s">
        <v>3468</v>
      </c>
    </row>
    <row r="81" spans="1:24" x14ac:dyDescent="0.3">
      <c r="A81" t="s">
        <v>3241</v>
      </c>
      <c r="B81" s="20" t="s">
        <v>3344</v>
      </c>
      <c r="C81" t="s">
        <v>3459</v>
      </c>
      <c r="D81" t="s">
        <v>3459</v>
      </c>
      <c r="R81" s="18"/>
      <c r="T81">
        <v>0</v>
      </c>
      <c r="U81" s="18" t="b">
        <v>0</v>
      </c>
      <c r="V81" s="18"/>
      <c r="W81" s="18" t="s">
        <v>3224</v>
      </c>
      <c r="X81" t="s">
        <v>3460</v>
      </c>
    </row>
    <row r="82" spans="1:24" x14ac:dyDescent="0.3">
      <c r="A82" t="s">
        <v>3241</v>
      </c>
      <c r="B82" s="20" t="s">
        <v>3344</v>
      </c>
      <c r="C82" t="s">
        <v>3345</v>
      </c>
      <c r="D82" t="s">
        <v>3345</v>
      </c>
      <c r="R82" s="18"/>
      <c r="T82">
        <v>0</v>
      </c>
      <c r="U82" s="18" t="b">
        <v>0</v>
      </c>
      <c r="V82" s="18"/>
      <c r="W82" s="18" t="s">
        <v>3224</v>
      </c>
      <c r="X82" t="s">
        <v>3346</v>
      </c>
    </row>
    <row r="83" spans="1:24" x14ac:dyDescent="0.3">
      <c r="A83" t="s">
        <v>3241</v>
      </c>
      <c r="B83" s="20" t="s">
        <v>3330</v>
      </c>
      <c r="C83" t="s">
        <v>3469</v>
      </c>
      <c r="D83" t="s">
        <v>3469</v>
      </c>
      <c r="E83" t="s">
        <v>3469</v>
      </c>
      <c r="F83" s="26"/>
      <c r="R83" s="18"/>
      <c r="T83">
        <v>1</v>
      </c>
      <c r="U83" s="18" t="b">
        <v>0</v>
      </c>
      <c r="V83" s="18"/>
      <c r="W83" s="18" t="s">
        <v>3224</v>
      </c>
      <c r="X83" t="s">
        <v>3470</v>
      </c>
    </row>
    <row r="84" spans="1:24" x14ac:dyDescent="0.3">
      <c r="A84" t="s">
        <v>3220</v>
      </c>
      <c r="B84" s="20" t="s">
        <v>3301</v>
      </c>
      <c r="C84" t="s">
        <v>3471</v>
      </c>
      <c r="D84" t="s">
        <v>3471</v>
      </c>
      <c r="E84" t="s">
        <v>3471</v>
      </c>
      <c r="R84" s="18"/>
      <c r="S84" t="str">
        <f>IF(ISERROR(FIND("_koniec",D84)),D84,LEFT(D84,FIND("_koniec",D84)-1))</f>
        <v>Aktywa</v>
      </c>
      <c r="T84">
        <v>1</v>
      </c>
      <c r="U84" s="18" t="b">
        <v>0</v>
      </c>
      <c r="W84" s="18" t="s">
        <v>3224</v>
      </c>
      <c r="X84" t="s">
        <v>3472</v>
      </c>
    </row>
    <row r="85" spans="1:24" x14ac:dyDescent="0.3">
      <c r="A85" t="s">
        <v>3220</v>
      </c>
      <c r="B85" s="20" t="s">
        <v>3301</v>
      </c>
      <c r="C85" t="s">
        <v>3473</v>
      </c>
      <c r="D85" t="s">
        <v>3473</v>
      </c>
      <c r="E85" t="s">
        <v>3471</v>
      </c>
      <c r="F85" t="s">
        <v>3474</v>
      </c>
      <c r="R85" s="18"/>
      <c r="S85" t="str">
        <f t="shared" ref="S85:S148" si="1">IF(ISERROR(FIND("_koniec",D85)),D85,LEFT(D85,FIND("_koniec",D85)-1))</f>
        <v>Aktywa_A</v>
      </c>
      <c r="T85">
        <v>2</v>
      </c>
      <c r="U85" s="18" t="b">
        <v>0</v>
      </c>
      <c r="W85" s="19"/>
      <c r="X85" t="s">
        <v>3475</v>
      </c>
    </row>
    <row r="86" spans="1:24" x14ac:dyDescent="0.3">
      <c r="A86" t="s">
        <v>3220</v>
      </c>
      <c r="B86" s="20" t="s">
        <v>3301</v>
      </c>
      <c r="C86" t="s">
        <v>3476</v>
      </c>
      <c r="D86" t="s">
        <v>3477</v>
      </c>
      <c r="E86" t="s">
        <v>3471</v>
      </c>
      <c r="F86" t="s">
        <v>3474</v>
      </c>
      <c r="G86">
        <v>1</v>
      </c>
      <c r="R86" s="18"/>
      <c r="S86" t="str">
        <f t="shared" si="1"/>
        <v>Aktywa_A_1</v>
      </c>
      <c r="T86">
        <v>3</v>
      </c>
      <c r="U86" s="18" t="b">
        <v>0</v>
      </c>
      <c r="W86" s="19"/>
      <c r="X86" t="s">
        <v>3478</v>
      </c>
    </row>
    <row r="87" spans="1:24" x14ac:dyDescent="0.3">
      <c r="A87" t="s">
        <v>3220</v>
      </c>
      <c r="B87" s="20" t="s">
        <v>3301</v>
      </c>
      <c r="C87" t="s">
        <v>3479</v>
      </c>
      <c r="D87" t="s">
        <v>3480</v>
      </c>
      <c r="E87" t="s">
        <v>3471</v>
      </c>
      <c r="F87" t="s">
        <v>3474</v>
      </c>
      <c r="G87">
        <v>1</v>
      </c>
      <c r="H87">
        <v>1</v>
      </c>
      <c r="R87" s="18"/>
      <c r="S87" t="str">
        <f t="shared" si="1"/>
        <v>Aktywa_A_1_1</v>
      </c>
      <c r="T87">
        <v>4</v>
      </c>
      <c r="U87" s="18" t="b">
        <v>1</v>
      </c>
      <c r="W87" s="19"/>
      <c r="X87" t="s">
        <v>3481</v>
      </c>
    </row>
    <row r="88" spans="1:24" x14ac:dyDescent="0.3">
      <c r="A88" t="s">
        <v>3220</v>
      </c>
      <c r="B88" s="20" t="s">
        <v>3301</v>
      </c>
      <c r="C88" t="s">
        <v>3482</v>
      </c>
      <c r="D88" t="s">
        <v>3483</v>
      </c>
      <c r="E88" t="s">
        <v>3471</v>
      </c>
      <c r="F88" t="s">
        <v>3474</v>
      </c>
      <c r="G88">
        <v>1</v>
      </c>
      <c r="H88">
        <v>2</v>
      </c>
      <c r="R88" s="18"/>
      <c r="S88" t="str">
        <f t="shared" si="1"/>
        <v>Aktywa_A_1_2</v>
      </c>
      <c r="T88">
        <v>4</v>
      </c>
      <c r="U88" s="18" t="b">
        <v>1</v>
      </c>
      <c r="X88" t="s">
        <v>3484</v>
      </c>
    </row>
    <row r="89" spans="1:24" x14ac:dyDescent="0.3">
      <c r="A89" t="s">
        <v>3220</v>
      </c>
      <c r="B89" s="20" t="s">
        <v>3301</v>
      </c>
      <c r="C89" t="s">
        <v>3485</v>
      </c>
      <c r="D89" t="s">
        <v>3486</v>
      </c>
      <c r="E89" t="s">
        <v>3471</v>
      </c>
      <c r="F89" t="s">
        <v>3474</v>
      </c>
      <c r="G89">
        <v>1</v>
      </c>
      <c r="H89">
        <v>3</v>
      </c>
      <c r="R89" s="18"/>
      <c r="S89" t="str">
        <f t="shared" si="1"/>
        <v>Aktywa_A_1_3</v>
      </c>
      <c r="T89">
        <v>4</v>
      </c>
      <c r="U89" s="18" t="b">
        <v>1</v>
      </c>
      <c r="X89" t="s">
        <v>3487</v>
      </c>
    </row>
    <row r="90" spans="1:24" x14ac:dyDescent="0.3">
      <c r="A90" t="s">
        <v>3220</v>
      </c>
      <c r="B90" s="20" t="s">
        <v>3301</v>
      </c>
      <c r="C90" t="s">
        <v>3488</v>
      </c>
      <c r="D90" t="s">
        <v>3489</v>
      </c>
      <c r="E90" t="s">
        <v>3471</v>
      </c>
      <c r="F90" t="s">
        <v>3474</v>
      </c>
      <c r="G90">
        <v>1</v>
      </c>
      <c r="H90">
        <v>4</v>
      </c>
      <c r="R90" s="18"/>
      <c r="S90" t="str">
        <f t="shared" si="1"/>
        <v>Aktywa_A_1_4</v>
      </c>
      <c r="T90">
        <v>4</v>
      </c>
      <c r="U90" s="18" t="b">
        <v>1</v>
      </c>
      <c r="X90" t="s">
        <v>3490</v>
      </c>
    </row>
    <row r="91" spans="1:24" x14ac:dyDescent="0.3">
      <c r="A91" t="s">
        <v>3241</v>
      </c>
      <c r="B91" s="20" t="s">
        <v>3491</v>
      </c>
      <c r="C91" t="s">
        <v>3476</v>
      </c>
      <c r="D91" t="s">
        <v>3492</v>
      </c>
      <c r="E91" t="s">
        <v>3471</v>
      </c>
      <c r="F91" t="s">
        <v>3474</v>
      </c>
      <c r="G91">
        <v>1</v>
      </c>
      <c r="R91" s="18"/>
      <c r="S91" t="str">
        <f t="shared" si="1"/>
        <v>Aktywa_A_1</v>
      </c>
      <c r="T91">
        <v>3</v>
      </c>
      <c r="U91" s="18" t="b">
        <v>0</v>
      </c>
      <c r="W91" s="19"/>
      <c r="X91" t="s">
        <v>3493</v>
      </c>
    </row>
    <row r="92" spans="1:24" x14ac:dyDescent="0.3">
      <c r="A92" t="s">
        <v>3220</v>
      </c>
      <c r="B92" s="20" t="s">
        <v>3301</v>
      </c>
      <c r="C92" t="s">
        <v>3494</v>
      </c>
      <c r="D92" t="s">
        <v>3495</v>
      </c>
      <c r="E92" t="s">
        <v>3471</v>
      </c>
      <c r="F92" t="s">
        <v>3474</v>
      </c>
      <c r="G92">
        <v>2</v>
      </c>
      <c r="R92" s="18"/>
      <c r="S92" t="str">
        <f t="shared" si="1"/>
        <v>Aktywa_A_2</v>
      </c>
      <c r="T92">
        <v>3</v>
      </c>
      <c r="U92" s="18" t="b">
        <v>0</v>
      </c>
      <c r="X92" t="s">
        <v>3496</v>
      </c>
    </row>
    <row r="93" spans="1:24" x14ac:dyDescent="0.3">
      <c r="A93" t="s">
        <v>3220</v>
      </c>
      <c r="B93" s="20" t="s">
        <v>3301</v>
      </c>
      <c r="C93" t="s">
        <v>3497</v>
      </c>
      <c r="D93" t="s">
        <v>3498</v>
      </c>
      <c r="E93" t="s">
        <v>3471</v>
      </c>
      <c r="F93" t="s">
        <v>3474</v>
      </c>
      <c r="G93">
        <v>2</v>
      </c>
      <c r="H93">
        <v>1</v>
      </c>
      <c r="R93" s="18"/>
      <c r="S93" t="str">
        <f t="shared" si="1"/>
        <v>Aktywa_A_2_1</v>
      </c>
      <c r="T93">
        <v>4</v>
      </c>
      <c r="U93" s="18" t="b">
        <v>0</v>
      </c>
      <c r="X93" t="s">
        <v>3499</v>
      </c>
    </row>
    <row r="94" spans="1:24" x14ac:dyDescent="0.3">
      <c r="A94" t="s">
        <v>3220</v>
      </c>
      <c r="B94" s="20" t="s">
        <v>3301</v>
      </c>
      <c r="C94" t="s">
        <v>3500</v>
      </c>
      <c r="D94" t="s">
        <v>3501</v>
      </c>
      <c r="E94" t="s">
        <v>3471</v>
      </c>
      <c r="F94" t="s">
        <v>3474</v>
      </c>
      <c r="G94">
        <v>2</v>
      </c>
      <c r="H94">
        <v>1</v>
      </c>
      <c r="I94" t="s">
        <v>3474</v>
      </c>
      <c r="R94" s="18"/>
      <c r="S94" t="str">
        <f t="shared" si="1"/>
        <v>Aktywa_A_2_1_A</v>
      </c>
      <c r="T94">
        <v>5</v>
      </c>
      <c r="U94" s="18" t="b">
        <v>1</v>
      </c>
      <c r="X94" t="s">
        <v>3502</v>
      </c>
    </row>
    <row r="95" spans="1:24" x14ac:dyDescent="0.3">
      <c r="A95" t="s">
        <v>3220</v>
      </c>
      <c r="B95" s="20" t="s">
        <v>3301</v>
      </c>
      <c r="C95" t="s">
        <v>3503</v>
      </c>
      <c r="D95" t="s">
        <v>3504</v>
      </c>
      <c r="E95" t="s">
        <v>3471</v>
      </c>
      <c r="F95" t="s">
        <v>3474</v>
      </c>
      <c r="G95">
        <v>2</v>
      </c>
      <c r="H95">
        <v>1</v>
      </c>
      <c r="I95" t="s">
        <v>3505</v>
      </c>
      <c r="R95" s="18"/>
      <c r="S95" t="str">
        <f t="shared" si="1"/>
        <v>Aktywa_A_2_1_B</v>
      </c>
      <c r="T95">
        <v>5</v>
      </c>
      <c r="U95" s="18" t="b">
        <v>1</v>
      </c>
      <c r="X95" t="s">
        <v>3506</v>
      </c>
    </row>
    <row r="96" spans="1:24" x14ac:dyDescent="0.3">
      <c r="A96" t="s">
        <v>3220</v>
      </c>
      <c r="B96" s="20" t="s">
        <v>3301</v>
      </c>
      <c r="C96" t="s">
        <v>3507</v>
      </c>
      <c r="D96" t="s">
        <v>3508</v>
      </c>
      <c r="E96" t="s">
        <v>3471</v>
      </c>
      <c r="F96" t="s">
        <v>3474</v>
      </c>
      <c r="G96">
        <v>2</v>
      </c>
      <c r="H96">
        <v>1</v>
      </c>
      <c r="I96" t="s">
        <v>3509</v>
      </c>
      <c r="R96" s="18"/>
      <c r="S96" t="str">
        <f t="shared" si="1"/>
        <v>Aktywa_A_2_1_C</v>
      </c>
      <c r="T96">
        <v>5</v>
      </c>
      <c r="U96" s="18" t="b">
        <v>1</v>
      </c>
      <c r="X96" t="s">
        <v>3510</v>
      </c>
    </row>
    <row r="97" spans="1:24" x14ac:dyDescent="0.3">
      <c r="A97" t="s">
        <v>3220</v>
      </c>
      <c r="B97" s="20" t="s">
        <v>3301</v>
      </c>
      <c r="C97" t="s">
        <v>3511</v>
      </c>
      <c r="D97" t="s">
        <v>3512</v>
      </c>
      <c r="E97" t="s">
        <v>3471</v>
      </c>
      <c r="F97" t="s">
        <v>3474</v>
      </c>
      <c r="G97">
        <v>2</v>
      </c>
      <c r="H97">
        <v>1</v>
      </c>
      <c r="I97" t="s">
        <v>3513</v>
      </c>
      <c r="R97" s="18"/>
      <c r="S97" t="str">
        <f t="shared" si="1"/>
        <v>Aktywa_A_2_1_D</v>
      </c>
      <c r="T97">
        <v>5</v>
      </c>
      <c r="U97" s="18" t="b">
        <v>1</v>
      </c>
      <c r="X97" t="s">
        <v>3514</v>
      </c>
    </row>
    <row r="98" spans="1:24" x14ac:dyDescent="0.3">
      <c r="A98" t="s">
        <v>3220</v>
      </c>
      <c r="B98" s="20" t="s">
        <v>3301</v>
      </c>
      <c r="C98" t="s">
        <v>3515</v>
      </c>
      <c r="D98" t="s">
        <v>3516</v>
      </c>
      <c r="E98" t="s">
        <v>3471</v>
      </c>
      <c r="F98" t="s">
        <v>3474</v>
      </c>
      <c r="G98">
        <v>2</v>
      </c>
      <c r="H98">
        <v>1</v>
      </c>
      <c r="I98" t="s">
        <v>3517</v>
      </c>
      <c r="R98" s="18"/>
      <c r="S98" t="str">
        <f t="shared" si="1"/>
        <v>Aktywa_A_2_1_E</v>
      </c>
      <c r="T98">
        <v>5</v>
      </c>
      <c r="U98" s="18" t="b">
        <v>1</v>
      </c>
      <c r="X98" t="s">
        <v>3518</v>
      </c>
    </row>
    <row r="99" spans="1:24" x14ac:dyDescent="0.3">
      <c r="A99" t="s">
        <v>3241</v>
      </c>
      <c r="B99" s="20" t="s">
        <v>3491</v>
      </c>
      <c r="C99" t="s">
        <v>3497</v>
      </c>
      <c r="D99" t="s">
        <v>3519</v>
      </c>
      <c r="E99" t="s">
        <v>3471</v>
      </c>
      <c r="F99" t="s">
        <v>3474</v>
      </c>
      <c r="G99">
        <v>2</v>
      </c>
      <c r="H99">
        <v>1</v>
      </c>
      <c r="R99" s="18"/>
      <c r="S99" t="str">
        <f t="shared" si="1"/>
        <v>Aktywa_A_2_1</v>
      </c>
      <c r="T99">
        <v>4</v>
      </c>
      <c r="U99" s="18" t="b">
        <v>0</v>
      </c>
      <c r="X99" t="s">
        <v>3520</v>
      </c>
    </row>
    <row r="100" spans="1:24" x14ac:dyDescent="0.3">
      <c r="A100" t="s">
        <v>3220</v>
      </c>
      <c r="B100" s="20" t="s">
        <v>3301</v>
      </c>
      <c r="C100" t="s">
        <v>3521</v>
      </c>
      <c r="D100" t="s">
        <v>3522</v>
      </c>
      <c r="E100" t="s">
        <v>3471</v>
      </c>
      <c r="F100" t="s">
        <v>3474</v>
      </c>
      <c r="G100">
        <v>2</v>
      </c>
      <c r="H100">
        <v>2</v>
      </c>
      <c r="R100" s="18"/>
      <c r="S100" t="str">
        <f t="shared" si="1"/>
        <v>Aktywa_A_2_2</v>
      </c>
      <c r="T100">
        <v>4</v>
      </c>
      <c r="U100" s="18" t="b">
        <v>1</v>
      </c>
      <c r="X100" t="s">
        <v>3523</v>
      </c>
    </row>
    <row r="101" spans="1:24" x14ac:dyDescent="0.3">
      <c r="A101" t="s">
        <v>3220</v>
      </c>
      <c r="B101" s="20" t="s">
        <v>3301</v>
      </c>
      <c r="C101" t="s">
        <v>3524</v>
      </c>
      <c r="D101" t="s">
        <v>3525</v>
      </c>
      <c r="E101" t="s">
        <v>3471</v>
      </c>
      <c r="F101" t="s">
        <v>3474</v>
      </c>
      <c r="G101">
        <v>2</v>
      </c>
      <c r="H101">
        <v>3</v>
      </c>
      <c r="R101" s="18"/>
      <c r="S101" t="str">
        <f t="shared" si="1"/>
        <v>Aktywa_A_2_3</v>
      </c>
      <c r="T101">
        <v>4</v>
      </c>
      <c r="U101" s="18" t="b">
        <v>1</v>
      </c>
      <c r="X101" t="s">
        <v>3526</v>
      </c>
    </row>
    <row r="102" spans="1:24" x14ac:dyDescent="0.3">
      <c r="A102" t="s">
        <v>3241</v>
      </c>
      <c r="B102" s="20" t="s">
        <v>3491</v>
      </c>
      <c r="C102" t="s">
        <v>3494</v>
      </c>
      <c r="D102" t="s">
        <v>3527</v>
      </c>
      <c r="E102" t="s">
        <v>3471</v>
      </c>
      <c r="F102" t="s">
        <v>3474</v>
      </c>
      <c r="G102">
        <v>2</v>
      </c>
      <c r="R102" s="18"/>
      <c r="S102" t="str">
        <f t="shared" si="1"/>
        <v>Aktywa_A_2</v>
      </c>
      <c r="T102">
        <v>3</v>
      </c>
      <c r="U102" s="18" t="b">
        <v>0</v>
      </c>
      <c r="X102" t="s">
        <v>3528</v>
      </c>
    </row>
    <row r="103" spans="1:24" x14ac:dyDescent="0.3">
      <c r="A103" t="s">
        <v>3220</v>
      </c>
      <c r="B103" s="20" t="s">
        <v>3301</v>
      </c>
      <c r="C103" t="s">
        <v>3529</v>
      </c>
      <c r="D103" t="s">
        <v>3530</v>
      </c>
      <c r="E103" t="s">
        <v>3471</v>
      </c>
      <c r="F103" t="s">
        <v>3474</v>
      </c>
      <c r="G103">
        <v>3</v>
      </c>
      <c r="R103" s="18"/>
      <c r="S103" t="str">
        <f t="shared" si="1"/>
        <v>Aktywa_A_3</v>
      </c>
      <c r="T103">
        <v>3</v>
      </c>
      <c r="U103" s="18" t="b">
        <v>0</v>
      </c>
      <c r="X103" t="s">
        <v>3531</v>
      </c>
    </row>
    <row r="104" spans="1:24" x14ac:dyDescent="0.3">
      <c r="A104" t="s">
        <v>3220</v>
      </c>
      <c r="B104" s="20" t="s">
        <v>3301</v>
      </c>
      <c r="C104" t="s">
        <v>3532</v>
      </c>
      <c r="D104" t="s">
        <v>3533</v>
      </c>
      <c r="E104" t="s">
        <v>3471</v>
      </c>
      <c r="F104" t="s">
        <v>3474</v>
      </c>
      <c r="G104">
        <v>3</v>
      </c>
      <c r="H104">
        <v>1</v>
      </c>
      <c r="R104" s="18"/>
      <c r="S104" t="str">
        <f t="shared" si="1"/>
        <v>Aktywa_A_3_1</v>
      </c>
      <c r="T104">
        <v>4</v>
      </c>
      <c r="U104" s="18" t="b">
        <v>1</v>
      </c>
      <c r="X104" t="s">
        <v>3534</v>
      </c>
    </row>
    <row r="105" spans="1:24" x14ac:dyDescent="0.3">
      <c r="A105" t="s">
        <v>3220</v>
      </c>
      <c r="B105" s="20" t="s">
        <v>3301</v>
      </c>
      <c r="C105" t="s">
        <v>3535</v>
      </c>
      <c r="D105" t="s">
        <v>3536</v>
      </c>
      <c r="E105" t="s">
        <v>3471</v>
      </c>
      <c r="F105" t="s">
        <v>3474</v>
      </c>
      <c r="G105">
        <v>3</v>
      </c>
      <c r="H105">
        <v>2</v>
      </c>
      <c r="R105" s="18"/>
      <c r="S105" t="str">
        <f t="shared" si="1"/>
        <v>Aktywa_A_3_2</v>
      </c>
      <c r="T105">
        <v>4</v>
      </c>
      <c r="U105" s="18" t="b">
        <v>1</v>
      </c>
      <c r="X105" t="s">
        <v>3537</v>
      </c>
    </row>
    <row r="106" spans="1:24" x14ac:dyDescent="0.3">
      <c r="A106" t="s">
        <v>3220</v>
      </c>
      <c r="B106" s="20" t="s">
        <v>3301</v>
      </c>
      <c r="C106" t="s">
        <v>3538</v>
      </c>
      <c r="D106" t="s">
        <v>3539</v>
      </c>
      <c r="E106" t="s">
        <v>3471</v>
      </c>
      <c r="F106" t="s">
        <v>3474</v>
      </c>
      <c r="G106">
        <v>3</v>
      </c>
      <c r="H106">
        <v>3</v>
      </c>
      <c r="R106" s="18"/>
      <c r="S106" t="str">
        <f t="shared" si="1"/>
        <v>Aktywa_A_3_3</v>
      </c>
      <c r="T106">
        <v>4</v>
      </c>
      <c r="U106" s="18" t="b">
        <v>1</v>
      </c>
      <c r="X106" t="s">
        <v>3540</v>
      </c>
    </row>
    <row r="107" spans="1:24" x14ac:dyDescent="0.3">
      <c r="A107" t="s">
        <v>3241</v>
      </c>
      <c r="B107" s="20" t="s">
        <v>3491</v>
      </c>
      <c r="C107" t="s">
        <v>3529</v>
      </c>
      <c r="D107" t="s">
        <v>3541</v>
      </c>
      <c r="E107" t="s">
        <v>3471</v>
      </c>
      <c r="F107" t="s">
        <v>3474</v>
      </c>
      <c r="G107">
        <v>3</v>
      </c>
      <c r="R107" s="18"/>
      <c r="S107" t="str">
        <f t="shared" si="1"/>
        <v>Aktywa_A_3</v>
      </c>
      <c r="T107">
        <v>3</v>
      </c>
      <c r="U107" s="18" t="b">
        <v>0</v>
      </c>
      <c r="X107" t="s">
        <v>3542</v>
      </c>
    </row>
    <row r="108" spans="1:24" x14ac:dyDescent="0.3">
      <c r="A108" t="s">
        <v>3220</v>
      </c>
      <c r="B108" s="20" t="s">
        <v>3301</v>
      </c>
      <c r="C108" t="s">
        <v>3543</v>
      </c>
      <c r="D108" t="s">
        <v>3544</v>
      </c>
      <c r="E108" t="s">
        <v>3471</v>
      </c>
      <c r="F108" t="s">
        <v>3474</v>
      </c>
      <c r="G108">
        <v>4</v>
      </c>
      <c r="R108" s="18"/>
      <c r="S108" t="str">
        <f t="shared" si="1"/>
        <v>Aktywa_A_4</v>
      </c>
      <c r="T108">
        <v>3</v>
      </c>
      <c r="U108" s="18" t="b">
        <v>0</v>
      </c>
      <c r="X108" t="s">
        <v>3545</v>
      </c>
    </row>
    <row r="109" spans="1:24" x14ac:dyDescent="0.3">
      <c r="A109" t="s">
        <v>3220</v>
      </c>
      <c r="B109" s="20" t="s">
        <v>3301</v>
      </c>
      <c r="C109" t="s">
        <v>3546</v>
      </c>
      <c r="D109" t="s">
        <v>3547</v>
      </c>
      <c r="E109" t="s">
        <v>3471</v>
      </c>
      <c r="F109" t="s">
        <v>3474</v>
      </c>
      <c r="G109">
        <v>4</v>
      </c>
      <c r="H109">
        <v>1</v>
      </c>
      <c r="R109" s="18"/>
      <c r="S109" t="str">
        <f t="shared" si="1"/>
        <v>Aktywa_A_4_1</v>
      </c>
      <c r="T109">
        <v>4</v>
      </c>
      <c r="U109" s="18" t="b">
        <v>1</v>
      </c>
      <c r="X109" t="s">
        <v>3548</v>
      </c>
    </row>
    <row r="110" spans="1:24" x14ac:dyDescent="0.3">
      <c r="A110" t="s">
        <v>3220</v>
      </c>
      <c r="B110" s="20" t="s">
        <v>3301</v>
      </c>
      <c r="C110" t="s">
        <v>3549</v>
      </c>
      <c r="D110" t="s">
        <v>3550</v>
      </c>
      <c r="E110" t="s">
        <v>3471</v>
      </c>
      <c r="F110" t="s">
        <v>3474</v>
      </c>
      <c r="G110">
        <v>4</v>
      </c>
      <c r="H110">
        <v>2</v>
      </c>
      <c r="R110" s="18"/>
      <c r="S110" t="str">
        <f t="shared" si="1"/>
        <v>Aktywa_A_4_2</v>
      </c>
      <c r="T110">
        <v>4</v>
      </c>
      <c r="U110" s="18" t="b">
        <v>1</v>
      </c>
      <c r="X110" t="s">
        <v>3551</v>
      </c>
    </row>
    <row r="111" spans="1:24" x14ac:dyDescent="0.3">
      <c r="A111" t="s">
        <v>3220</v>
      </c>
      <c r="B111" s="20" t="s">
        <v>3301</v>
      </c>
      <c r="C111" t="s">
        <v>3552</v>
      </c>
      <c r="D111" t="s">
        <v>3553</v>
      </c>
      <c r="E111" t="s">
        <v>3471</v>
      </c>
      <c r="F111" t="s">
        <v>3474</v>
      </c>
      <c r="G111">
        <v>4</v>
      </c>
      <c r="H111">
        <v>3</v>
      </c>
      <c r="R111" s="18"/>
      <c r="S111" t="str">
        <f t="shared" si="1"/>
        <v>Aktywa_A_4_3</v>
      </c>
      <c r="T111">
        <v>4</v>
      </c>
      <c r="U111" s="18" t="b">
        <v>0</v>
      </c>
      <c r="X111" t="s">
        <v>3554</v>
      </c>
    </row>
    <row r="112" spans="1:24" x14ac:dyDescent="0.3">
      <c r="A112" t="s">
        <v>3220</v>
      </c>
      <c r="B112" s="20" t="s">
        <v>3301</v>
      </c>
      <c r="C112" t="s">
        <v>3555</v>
      </c>
      <c r="D112" t="s">
        <v>3556</v>
      </c>
      <c r="E112" t="s">
        <v>3471</v>
      </c>
      <c r="F112" t="s">
        <v>3474</v>
      </c>
      <c r="G112">
        <v>4</v>
      </c>
      <c r="H112">
        <v>3</v>
      </c>
      <c r="I112" t="s">
        <v>3474</v>
      </c>
      <c r="R112" s="18"/>
      <c r="S112" t="str">
        <f t="shared" si="1"/>
        <v>Aktywa_A_4_3_A</v>
      </c>
      <c r="T112">
        <v>5</v>
      </c>
      <c r="U112" s="18" t="b">
        <v>0</v>
      </c>
      <c r="X112" t="s">
        <v>3557</v>
      </c>
    </row>
    <row r="113" spans="1:24" x14ac:dyDescent="0.3">
      <c r="A113" t="s">
        <v>3220</v>
      </c>
      <c r="B113" s="20" t="s">
        <v>3301</v>
      </c>
      <c r="C113" t="s">
        <v>3558</v>
      </c>
      <c r="D113" t="s">
        <v>3559</v>
      </c>
      <c r="E113" t="s">
        <v>3471</v>
      </c>
      <c r="F113" t="s">
        <v>3474</v>
      </c>
      <c r="G113">
        <v>4</v>
      </c>
      <c r="H113">
        <v>3</v>
      </c>
      <c r="I113" t="s">
        <v>3474</v>
      </c>
      <c r="J113">
        <v>1</v>
      </c>
      <c r="R113" s="18"/>
      <c r="S113" t="str">
        <f t="shared" si="1"/>
        <v>Aktywa_A_4_3_A_1</v>
      </c>
      <c r="T113">
        <v>6</v>
      </c>
      <c r="U113" s="18" t="b">
        <v>1</v>
      </c>
      <c r="X113" t="s">
        <v>3560</v>
      </c>
    </row>
    <row r="114" spans="1:24" x14ac:dyDescent="0.3">
      <c r="A114" t="s">
        <v>3220</v>
      </c>
      <c r="B114" s="20" t="s">
        <v>3301</v>
      </c>
      <c r="C114" t="s">
        <v>3561</v>
      </c>
      <c r="D114" t="s">
        <v>3562</v>
      </c>
      <c r="E114" t="s">
        <v>3471</v>
      </c>
      <c r="F114" t="s">
        <v>3474</v>
      </c>
      <c r="G114">
        <v>4</v>
      </c>
      <c r="H114">
        <v>3</v>
      </c>
      <c r="I114" t="s">
        <v>3474</v>
      </c>
      <c r="J114">
        <v>2</v>
      </c>
      <c r="R114" s="18"/>
      <c r="S114" t="str">
        <f t="shared" si="1"/>
        <v>Aktywa_A_4_3_A_2</v>
      </c>
      <c r="T114">
        <v>6</v>
      </c>
      <c r="U114" s="18" t="b">
        <v>1</v>
      </c>
      <c r="X114" t="s">
        <v>3563</v>
      </c>
    </row>
    <row r="115" spans="1:24" x14ac:dyDescent="0.3">
      <c r="A115" t="s">
        <v>3220</v>
      </c>
      <c r="B115" s="20" t="s">
        <v>3301</v>
      </c>
      <c r="C115" t="s">
        <v>3564</v>
      </c>
      <c r="D115" t="s">
        <v>3565</v>
      </c>
      <c r="E115" t="s">
        <v>3471</v>
      </c>
      <c r="F115" t="s">
        <v>3474</v>
      </c>
      <c r="G115">
        <v>4</v>
      </c>
      <c r="H115">
        <v>3</v>
      </c>
      <c r="I115" t="s">
        <v>3474</v>
      </c>
      <c r="J115">
        <v>3</v>
      </c>
      <c r="R115" s="18"/>
      <c r="S115" t="str">
        <f t="shared" si="1"/>
        <v>Aktywa_A_4_3_A_3</v>
      </c>
      <c r="T115">
        <v>6</v>
      </c>
      <c r="U115" s="18" t="b">
        <v>1</v>
      </c>
      <c r="X115" t="s">
        <v>3566</v>
      </c>
    </row>
    <row r="116" spans="1:24" x14ac:dyDescent="0.3">
      <c r="A116" t="s">
        <v>3220</v>
      </c>
      <c r="B116" s="20" t="s">
        <v>3301</v>
      </c>
      <c r="C116" t="s">
        <v>3567</v>
      </c>
      <c r="D116" t="s">
        <v>3568</v>
      </c>
      <c r="E116" t="s">
        <v>3471</v>
      </c>
      <c r="F116" t="s">
        <v>3474</v>
      </c>
      <c r="G116">
        <v>4</v>
      </c>
      <c r="H116">
        <v>3</v>
      </c>
      <c r="I116" t="s">
        <v>3474</v>
      </c>
      <c r="J116">
        <v>4</v>
      </c>
      <c r="R116" s="18"/>
      <c r="S116" t="str">
        <f t="shared" si="1"/>
        <v>Aktywa_A_4_3_A_4</v>
      </c>
      <c r="T116">
        <v>6</v>
      </c>
      <c r="U116" s="18" t="b">
        <v>1</v>
      </c>
      <c r="X116" t="s">
        <v>3569</v>
      </c>
    </row>
    <row r="117" spans="1:24" x14ac:dyDescent="0.3">
      <c r="A117" t="s">
        <v>3241</v>
      </c>
      <c r="B117" s="20" t="s">
        <v>3491</v>
      </c>
      <c r="C117" t="s">
        <v>3555</v>
      </c>
      <c r="D117" t="s">
        <v>3570</v>
      </c>
      <c r="E117" t="s">
        <v>3471</v>
      </c>
      <c r="F117" t="s">
        <v>3474</v>
      </c>
      <c r="G117">
        <v>4</v>
      </c>
      <c r="H117">
        <v>3</v>
      </c>
      <c r="I117" t="s">
        <v>3474</v>
      </c>
      <c r="R117" s="18"/>
      <c r="S117" t="str">
        <f t="shared" si="1"/>
        <v>Aktywa_A_4_3_A</v>
      </c>
      <c r="T117">
        <v>5</v>
      </c>
      <c r="U117" s="18" t="b">
        <v>0</v>
      </c>
      <c r="X117" t="s">
        <v>3571</v>
      </c>
    </row>
    <row r="118" spans="1:24" x14ac:dyDescent="0.3">
      <c r="A118" t="s">
        <v>3220</v>
      </c>
      <c r="B118" s="20" t="s">
        <v>3301</v>
      </c>
      <c r="C118" t="s">
        <v>3572</v>
      </c>
      <c r="D118" t="s">
        <v>3573</v>
      </c>
      <c r="E118" t="s">
        <v>3471</v>
      </c>
      <c r="F118" t="s">
        <v>3474</v>
      </c>
      <c r="G118">
        <v>4</v>
      </c>
      <c r="H118">
        <v>3</v>
      </c>
      <c r="I118" t="s">
        <v>3505</v>
      </c>
      <c r="R118" s="18"/>
      <c r="S118" t="str">
        <f t="shared" si="1"/>
        <v>Aktywa_A_4_3_B</v>
      </c>
      <c r="T118">
        <v>5</v>
      </c>
      <c r="U118" s="18" t="b">
        <v>0</v>
      </c>
      <c r="X118" t="s">
        <v>3574</v>
      </c>
    </row>
    <row r="119" spans="1:24" x14ac:dyDescent="0.3">
      <c r="A119" t="s">
        <v>3220</v>
      </c>
      <c r="B119" s="20" t="s">
        <v>3301</v>
      </c>
      <c r="C119" t="s">
        <v>3575</v>
      </c>
      <c r="D119" t="s">
        <v>3576</v>
      </c>
      <c r="E119" t="s">
        <v>3471</v>
      </c>
      <c r="F119" t="s">
        <v>3474</v>
      </c>
      <c r="G119">
        <v>4</v>
      </c>
      <c r="H119">
        <v>3</v>
      </c>
      <c r="I119" t="s">
        <v>3505</v>
      </c>
      <c r="J119">
        <v>1</v>
      </c>
      <c r="R119" s="18"/>
      <c r="S119" t="str">
        <f t="shared" si="1"/>
        <v>Aktywa_A_4_3_B_1</v>
      </c>
      <c r="T119">
        <v>6</v>
      </c>
      <c r="U119" s="18" t="b">
        <v>1</v>
      </c>
      <c r="X119" t="s">
        <v>3577</v>
      </c>
    </row>
    <row r="120" spans="1:24" x14ac:dyDescent="0.3">
      <c r="A120" t="s">
        <v>3220</v>
      </c>
      <c r="B120" s="20" t="s">
        <v>3301</v>
      </c>
      <c r="C120" t="s">
        <v>3578</v>
      </c>
      <c r="D120" t="s">
        <v>3579</v>
      </c>
      <c r="E120" t="s">
        <v>3471</v>
      </c>
      <c r="F120" t="s">
        <v>3474</v>
      </c>
      <c r="G120">
        <v>4</v>
      </c>
      <c r="H120">
        <v>3</v>
      </c>
      <c r="I120" t="s">
        <v>3505</v>
      </c>
      <c r="J120">
        <v>2</v>
      </c>
      <c r="R120" s="18"/>
      <c r="S120" t="str">
        <f t="shared" si="1"/>
        <v>Aktywa_A_4_3_B_2</v>
      </c>
      <c r="T120">
        <v>6</v>
      </c>
      <c r="U120" s="18" t="b">
        <v>1</v>
      </c>
      <c r="X120" t="s">
        <v>3580</v>
      </c>
    </row>
    <row r="121" spans="1:24" x14ac:dyDescent="0.3">
      <c r="A121" t="s">
        <v>3220</v>
      </c>
      <c r="B121" s="20" t="s">
        <v>3301</v>
      </c>
      <c r="C121" t="s">
        <v>3581</v>
      </c>
      <c r="D121" t="s">
        <v>3582</v>
      </c>
      <c r="E121" t="s">
        <v>3471</v>
      </c>
      <c r="F121" t="s">
        <v>3474</v>
      </c>
      <c r="G121">
        <v>4</v>
      </c>
      <c r="H121">
        <v>3</v>
      </c>
      <c r="I121" t="s">
        <v>3505</v>
      </c>
      <c r="J121">
        <v>3</v>
      </c>
      <c r="R121" s="18"/>
      <c r="S121" t="str">
        <f t="shared" si="1"/>
        <v>Aktywa_A_4_3_B_3</v>
      </c>
      <c r="T121">
        <v>6</v>
      </c>
      <c r="U121" s="18" t="b">
        <v>1</v>
      </c>
      <c r="X121" t="s">
        <v>3583</v>
      </c>
    </row>
    <row r="122" spans="1:24" x14ac:dyDescent="0.3">
      <c r="A122" t="s">
        <v>3220</v>
      </c>
      <c r="B122" s="20" t="s">
        <v>3301</v>
      </c>
      <c r="C122" t="s">
        <v>3584</v>
      </c>
      <c r="D122" t="s">
        <v>3585</v>
      </c>
      <c r="E122" t="s">
        <v>3471</v>
      </c>
      <c r="F122" t="s">
        <v>3474</v>
      </c>
      <c r="G122">
        <v>4</v>
      </c>
      <c r="H122">
        <v>3</v>
      </c>
      <c r="I122" t="s">
        <v>3505</v>
      </c>
      <c r="J122">
        <v>4</v>
      </c>
      <c r="R122" s="18"/>
      <c r="S122" t="str">
        <f t="shared" si="1"/>
        <v>Aktywa_A_4_3_B_4</v>
      </c>
      <c r="T122">
        <v>6</v>
      </c>
      <c r="U122" s="18" t="b">
        <v>1</v>
      </c>
      <c r="X122" t="s">
        <v>3586</v>
      </c>
    </row>
    <row r="123" spans="1:24" x14ac:dyDescent="0.3">
      <c r="A123" t="s">
        <v>3241</v>
      </c>
      <c r="B123" s="20" t="s">
        <v>3491</v>
      </c>
      <c r="C123" t="s">
        <v>3572</v>
      </c>
      <c r="D123" t="s">
        <v>3587</v>
      </c>
      <c r="E123" t="s">
        <v>3471</v>
      </c>
      <c r="F123" t="s">
        <v>3474</v>
      </c>
      <c r="G123">
        <v>4</v>
      </c>
      <c r="H123">
        <v>3</v>
      </c>
      <c r="I123" t="s">
        <v>3505</v>
      </c>
      <c r="R123" s="18"/>
      <c r="S123" t="str">
        <f t="shared" si="1"/>
        <v>Aktywa_A_4_3_B</v>
      </c>
      <c r="T123">
        <v>5</v>
      </c>
      <c r="U123" s="18" t="b">
        <v>0</v>
      </c>
      <c r="X123" t="s">
        <v>3588</v>
      </c>
    </row>
    <row r="124" spans="1:24" x14ac:dyDescent="0.3">
      <c r="A124" t="s">
        <v>3220</v>
      </c>
      <c r="B124" s="20" t="s">
        <v>3301</v>
      </c>
      <c r="C124" t="s">
        <v>3589</v>
      </c>
      <c r="D124" t="s">
        <v>3590</v>
      </c>
      <c r="E124" t="s">
        <v>3471</v>
      </c>
      <c r="F124" t="s">
        <v>3474</v>
      </c>
      <c r="G124">
        <v>4</v>
      </c>
      <c r="H124">
        <v>3</v>
      </c>
      <c r="I124" t="s">
        <v>3509</v>
      </c>
      <c r="R124" s="18"/>
      <c r="S124" t="str">
        <f t="shared" si="1"/>
        <v>Aktywa_A_4_3_C</v>
      </c>
      <c r="T124">
        <v>5</v>
      </c>
      <c r="U124" s="18" t="b">
        <v>0</v>
      </c>
      <c r="X124" t="s">
        <v>3591</v>
      </c>
    </row>
    <row r="125" spans="1:24" x14ac:dyDescent="0.3">
      <c r="A125" t="s">
        <v>3220</v>
      </c>
      <c r="B125" s="20" t="s">
        <v>3301</v>
      </c>
      <c r="C125" t="s">
        <v>3592</v>
      </c>
      <c r="D125" t="s">
        <v>3593</v>
      </c>
      <c r="E125" t="s">
        <v>3471</v>
      </c>
      <c r="F125" t="s">
        <v>3474</v>
      </c>
      <c r="G125">
        <v>4</v>
      </c>
      <c r="H125">
        <v>3</v>
      </c>
      <c r="I125" t="s">
        <v>3509</v>
      </c>
      <c r="J125">
        <v>1</v>
      </c>
      <c r="R125" s="18"/>
      <c r="S125" t="str">
        <f t="shared" si="1"/>
        <v>Aktywa_A_4_3_C_1</v>
      </c>
      <c r="T125">
        <v>6</v>
      </c>
      <c r="U125" s="18" t="b">
        <v>1</v>
      </c>
      <c r="X125" t="s">
        <v>3594</v>
      </c>
    </row>
    <row r="126" spans="1:24" x14ac:dyDescent="0.3">
      <c r="A126" t="s">
        <v>3220</v>
      </c>
      <c r="B126" s="20" t="s">
        <v>3301</v>
      </c>
      <c r="C126" t="s">
        <v>3595</v>
      </c>
      <c r="D126" t="s">
        <v>3596</v>
      </c>
      <c r="E126" t="s">
        <v>3471</v>
      </c>
      <c r="F126" t="s">
        <v>3474</v>
      </c>
      <c r="G126">
        <v>4</v>
      </c>
      <c r="H126">
        <v>3</v>
      </c>
      <c r="I126" t="s">
        <v>3509</v>
      </c>
      <c r="J126">
        <v>2</v>
      </c>
      <c r="R126" s="18"/>
      <c r="S126" t="str">
        <f t="shared" si="1"/>
        <v>Aktywa_A_4_3_C_2</v>
      </c>
      <c r="T126">
        <v>6</v>
      </c>
      <c r="U126" s="18" t="b">
        <v>1</v>
      </c>
      <c r="X126" t="s">
        <v>3597</v>
      </c>
    </row>
    <row r="127" spans="1:24" x14ac:dyDescent="0.3">
      <c r="A127" t="s">
        <v>3220</v>
      </c>
      <c r="B127" s="20" t="s">
        <v>3301</v>
      </c>
      <c r="C127" t="s">
        <v>3598</v>
      </c>
      <c r="D127" t="s">
        <v>3599</v>
      </c>
      <c r="E127" t="s">
        <v>3471</v>
      </c>
      <c r="F127" t="s">
        <v>3474</v>
      </c>
      <c r="G127">
        <v>4</v>
      </c>
      <c r="H127">
        <v>3</v>
      </c>
      <c r="I127" t="s">
        <v>3509</v>
      </c>
      <c r="J127">
        <v>3</v>
      </c>
      <c r="R127" s="18"/>
      <c r="S127" t="str">
        <f t="shared" si="1"/>
        <v>Aktywa_A_4_3_C_3</v>
      </c>
      <c r="T127">
        <v>6</v>
      </c>
      <c r="U127" s="18" t="b">
        <v>1</v>
      </c>
      <c r="X127" t="s">
        <v>3600</v>
      </c>
    </row>
    <row r="128" spans="1:24" x14ac:dyDescent="0.3">
      <c r="A128" t="s">
        <v>3220</v>
      </c>
      <c r="B128" s="20" t="s">
        <v>3301</v>
      </c>
      <c r="C128" t="s">
        <v>3601</v>
      </c>
      <c r="D128" t="s">
        <v>3602</v>
      </c>
      <c r="E128" t="s">
        <v>3471</v>
      </c>
      <c r="F128" t="s">
        <v>3474</v>
      </c>
      <c r="G128">
        <v>4</v>
      </c>
      <c r="H128">
        <v>3</v>
      </c>
      <c r="I128" t="s">
        <v>3509</v>
      </c>
      <c r="J128">
        <v>4</v>
      </c>
      <c r="R128" s="18"/>
      <c r="S128" t="str">
        <f t="shared" si="1"/>
        <v>Aktywa_A_4_3_C_4</v>
      </c>
      <c r="T128">
        <v>6</v>
      </c>
      <c r="U128" s="18" t="b">
        <v>1</v>
      </c>
      <c r="X128" t="s">
        <v>3603</v>
      </c>
    </row>
    <row r="129" spans="1:24" x14ac:dyDescent="0.3">
      <c r="A129" t="s">
        <v>3241</v>
      </c>
      <c r="B129" s="20" t="s">
        <v>3491</v>
      </c>
      <c r="C129" t="s">
        <v>3589</v>
      </c>
      <c r="D129" t="s">
        <v>3604</v>
      </c>
      <c r="E129" t="s">
        <v>3471</v>
      </c>
      <c r="F129" t="s">
        <v>3474</v>
      </c>
      <c r="G129">
        <v>4</v>
      </c>
      <c r="H129">
        <v>3</v>
      </c>
      <c r="I129" t="s">
        <v>3509</v>
      </c>
      <c r="R129" s="18"/>
      <c r="S129" t="str">
        <f t="shared" si="1"/>
        <v>Aktywa_A_4_3_C</v>
      </c>
      <c r="T129">
        <v>5</v>
      </c>
      <c r="U129" s="18" t="b">
        <v>0</v>
      </c>
      <c r="X129" t="s">
        <v>3605</v>
      </c>
    </row>
    <row r="130" spans="1:24" x14ac:dyDescent="0.3">
      <c r="A130" t="s">
        <v>3241</v>
      </c>
      <c r="B130" s="20" t="s">
        <v>3491</v>
      </c>
      <c r="C130" t="s">
        <v>3552</v>
      </c>
      <c r="D130" t="s">
        <v>3606</v>
      </c>
      <c r="E130" t="s">
        <v>3471</v>
      </c>
      <c r="F130" t="s">
        <v>3474</v>
      </c>
      <c r="G130">
        <v>4</v>
      </c>
      <c r="H130">
        <v>3</v>
      </c>
      <c r="R130" s="18"/>
      <c r="S130" t="str">
        <f t="shared" si="1"/>
        <v>Aktywa_A_4_3</v>
      </c>
      <c r="T130">
        <v>4</v>
      </c>
      <c r="U130" s="18" t="b">
        <v>0</v>
      </c>
      <c r="X130" t="s">
        <v>3607</v>
      </c>
    </row>
    <row r="131" spans="1:24" x14ac:dyDescent="0.3">
      <c r="A131" t="s">
        <v>3220</v>
      </c>
      <c r="B131" s="20" t="s">
        <v>3301</v>
      </c>
      <c r="C131" t="s">
        <v>3608</v>
      </c>
      <c r="D131" t="s">
        <v>3609</v>
      </c>
      <c r="E131" t="s">
        <v>3471</v>
      </c>
      <c r="F131" t="s">
        <v>3474</v>
      </c>
      <c r="G131">
        <v>4</v>
      </c>
      <c r="H131">
        <v>4</v>
      </c>
      <c r="R131" s="18"/>
      <c r="S131" t="str">
        <f t="shared" si="1"/>
        <v>Aktywa_A_4_4</v>
      </c>
      <c r="T131">
        <v>4</v>
      </c>
      <c r="U131" s="18" t="b">
        <v>1</v>
      </c>
      <c r="X131" t="s">
        <v>3610</v>
      </c>
    </row>
    <row r="132" spans="1:24" x14ac:dyDescent="0.3">
      <c r="A132" t="s">
        <v>3241</v>
      </c>
      <c r="B132" s="20" t="s">
        <v>3491</v>
      </c>
      <c r="C132" t="s">
        <v>3543</v>
      </c>
      <c r="D132" t="s">
        <v>3611</v>
      </c>
      <c r="E132" t="s">
        <v>3471</v>
      </c>
      <c r="F132" t="s">
        <v>3474</v>
      </c>
      <c r="G132">
        <v>4</v>
      </c>
      <c r="R132" s="18"/>
      <c r="S132" t="str">
        <f t="shared" si="1"/>
        <v>Aktywa_A_4</v>
      </c>
      <c r="T132">
        <v>3</v>
      </c>
      <c r="U132" s="18" t="b">
        <v>0</v>
      </c>
      <c r="X132" t="s">
        <v>3612</v>
      </c>
    </row>
    <row r="133" spans="1:24" x14ac:dyDescent="0.3">
      <c r="A133" t="s">
        <v>3220</v>
      </c>
      <c r="B133" s="20" t="s">
        <v>3301</v>
      </c>
      <c r="C133" t="s">
        <v>3613</v>
      </c>
      <c r="D133" t="s">
        <v>3614</v>
      </c>
      <c r="E133" t="s">
        <v>3471</v>
      </c>
      <c r="F133" t="s">
        <v>3474</v>
      </c>
      <c r="G133">
        <v>5</v>
      </c>
      <c r="R133" s="18"/>
      <c r="S133" t="str">
        <f t="shared" si="1"/>
        <v>Aktywa_A_5</v>
      </c>
      <c r="T133">
        <v>3</v>
      </c>
      <c r="U133" s="18" t="b">
        <v>0</v>
      </c>
      <c r="X133" t="s">
        <v>3615</v>
      </c>
    </row>
    <row r="134" spans="1:24" x14ac:dyDescent="0.3">
      <c r="A134" t="s">
        <v>3220</v>
      </c>
      <c r="B134" s="20" t="s">
        <v>3301</v>
      </c>
      <c r="C134" t="s">
        <v>3616</v>
      </c>
      <c r="D134" t="s">
        <v>3617</v>
      </c>
      <c r="E134" t="s">
        <v>3471</v>
      </c>
      <c r="F134" t="s">
        <v>3474</v>
      </c>
      <c r="G134">
        <v>5</v>
      </c>
      <c r="H134">
        <v>1</v>
      </c>
      <c r="R134" s="18"/>
      <c r="S134" t="str">
        <f t="shared" si="1"/>
        <v>Aktywa_A_5_1</v>
      </c>
      <c r="T134">
        <v>4</v>
      </c>
      <c r="U134" s="18" t="b">
        <v>1</v>
      </c>
      <c r="X134" t="s">
        <v>3618</v>
      </c>
    </row>
    <row r="135" spans="1:24" x14ac:dyDescent="0.3">
      <c r="A135" t="s">
        <v>3220</v>
      </c>
      <c r="B135" s="20" t="s">
        <v>3301</v>
      </c>
      <c r="C135" t="s">
        <v>3619</v>
      </c>
      <c r="D135" t="s">
        <v>3620</v>
      </c>
      <c r="E135" t="s">
        <v>3471</v>
      </c>
      <c r="F135" t="s">
        <v>3474</v>
      </c>
      <c r="G135">
        <v>5</v>
      </c>
      <c r="H135">
        <v>2</v>
      </c>
      <c r="R135" s="18"/>
      <c r="S135" t="str">
        <f t="shared" si="1"/>
        <v>Aktywa_A_5_2</v>
      </c>
      <c r="T135">
        <v>4</v>
      </c>
      <c r="U135" s="18" t="b">
        <v>1</v>
      </c>
      <c r="X135" t="s">
        <v>3621</v>
      </c>
    </row>
    <row r="136" spans="1:24" x14ac:dyDescent="0.3">
      <c r="A136" t="s">
        <v>3241</v>
      </c>
      <c r="B136" s="20" t="s">
        <v>3491</v>
      </c>
      <c r="C136" t="s">
        <v>3613</v>
      </c>
      <c r="D136" t="s">
        <v>3622</v>
      </c>
      <c r="E136" t="s">
        <v>3471</v>
      </c>
      <c r="F136" t="s">
        <v>3474</v>
      </c>
      <c r="G136">
        <v>5</v>
      </c>
      <c r="R136" s="18"/>
      <c r="S136" t="str">
        <f t="shared" si="1"/>
        <v>Aktywa_A_5</v>
      </c>
      <c r="T136">
        <v>3</v>
      </c>
      <c r="U136" s="18" t="b">
        <v>0</v>
      </c>
      <c r="X136" t="s">
        <v>3623</v>
      </c>
    </row>
    <row r="137" spans="1:24" x14ac:dyDescent="0.3">
      <c r="A137" t="s">
        <v>3241</v>
      </c>
      <c r="B137" s="20" t="s">
        <v>3491</v>
      </c>
      <c r="C137" t="s">
        <v>3473</v>
      </c>
      <c r="D137" t="s">
        <v>3624</v>
      </c>
      <c r="E137" t="s">
        <v>3471</v>
      </c>
      <c r="F137" t="s">
        <v>3474</v>
      </c>
      <c r="R137" s="18"/>
      <c r="S137" t="str">
        <f t="shared" si="1"/>
        <v>Aktywa_A</v>
      </c>
      <c r="T137">
        <v>2</v>
      </c>
      <c r="U137" s="18" t="b">
        <v>0</v>
      </c>
      <c r="W137" s="19"/>
      <c r="X137" t="s">
        <v>3625</v>
      </c>
    </row>
    <row r="138" spans="1:24" x14ac:dyDescent="0.3">
      <c r="A138" t="s">
        <v>3220</v>
      </c>
      <c r="B138" s="20" t="s">
        <v>3301</v>
      </c>
      <c r="C138" t="s">
        <v>3626</v>
      </c>
      <c r="D138" t="s">
        <v>3626</v>
      </c>
      <c r="E138" t="s">
        <v>3471</v>
      </c>
      <c r="F138" t="s">
        <v>3505</v>
      </c>
      <c r="R138" s="18"/>
      <c r="S138" t="str">
        <f t="shared" si="1"/>
        <v>Aktywa_B</v>
      </c>
      <c r="T138">
        <v>2</v>
      </c>
      <c r="U138" s="18" t="b">
        <v>0</v>
      </c>
      <c r="X138" t="s">
        <v>3627</v>
      </c>
    </row>
    <row r="139" spans="1:24" x14ac:dyDescent="0.3">
      <c r="A139" t="s">
        <v>3220</v>
      </c>
      <c r="B139" s="20" t="s">
        <v>3301</v>
      </c>
      <c r="C139" t="s">
        <v>3628</v>
      </c>
      <c r="D139" t="s">
        <v>3629</v>
      </c>
      <c r="E139" t="s">
        <v>3471</v>
      </c>
      <c r="F139" t="s">
        <v>3505</v>
      </c>
      <c r="G139">
        <v>1</v>
      </c>
      <c r="R139" s="18"/>
      <c r="S139" t="str">
        <f t="shared" si="1"/>
        <v>Aktywa_B_1</v>
      </c>
      <c r="T139">
        <v>3</v>
      </c>
      <c r="U139" s="18" t="b">
        <v>0</v>
      </c>
      <c r="X139" t="s">
        <v>3630</v>
      </c>
    </row>
    <row r="140" spans="1:24" x14ac:dyDescent="0.3">
      <c r="A140" t="s">
        <v>3220</v>
      </c>
      <c r="B140" s="20" t="s">
        <v>3301</v>
      </c>
      <c r="C140" t="s">
        <v>3631</v>
      </c>
      <c r="D140" t="s">
        <v>3632</v>
      </c>
      <c r="E140" t="s">
        <v>3471</v>
      </c>
      <c r="F140" t="s">
        <v>3505</v>
      </c>
      <c r="G140">
        <v>1</v>
      </c>
      <c r="H140">
        <v>1</v>
      </c>
      <c r="R140" s="18"/>
      <c r="S140" t="str">
        <f t="shared" si="1"/>
        <v>Aktywa_B_1_1</v>
      </c>
      <c r="T140">
        <v>4</v>
      </c>
      <c r="U140" s="18" t="b">
        <v>1</v>
      </c>
      <c r="X140" t="s">
        <v>3633</v>
      </c>
    </row>
    <row r="141" spans="1:24" x14ac:dyDescent="0.3">
      <c r="A141" t="s">
        <v>3220</v>
      </c>
      <c r="B141" s="20" t="s">
        <v>3301</v>
      </c>
      <c r="C141" t="s">
        <v>3634</v>
      </c>
      <c r="D141" t="s">
        <v>3635</v>
      </c>
      <c r="E141" t="s">
        <v>3471</v>
      </c>
      <c r="F141" t="s">
        <v>3505</v>
      </c>
      <c r="G141">
        <v>1</v>
      </c>
      <c r="H141">
        <v>2</v>
      </c>
      <c r="R141" s="18"/>
      <c r="S141" t="str">
        <f t="shared" si="1"/>
        <v>Aktywa_B_1_2</v>
      </c>
      <c r="T141">
        <v>4</v>
      </c>
      <c r="U141" s="18" t="b">
        <v>1</v>
      </c>
      <c r="X141" t="s">
        <v>3636</v>
      </c>
    </row>
    <row r="142" spans="1:24" x14ac:dyDescent="0.3">
      <c r="A142" t="s">
        <v>3220</v>
      </c>
      <c r="B142" s="20" t="s">
        <v>3301</v>
      </c>
      <c r="C142" t="s">
        <v>3637</v>
      </c>
      <c r="D142" t="s">
        <v>3638</v>
      </c>
      <c r="E142" t="s">
        <v>3471</v>
      </c>
      <c r="F142" t="s">
        <v>3505</v>
      </c>
      <c r="G142">
        <v>1</v>
      </c>
      <c r="H142">
        <v>3</v>
      </c>
      <c r="R142" s="18"/>
      <c r="S142" t="str">
        <f t="shared" si="1"/>
        <v>Aktywa_B_1_3</v>
      </c>
      <c r="T142">
        <v>4</v>
      </c>
      <c r="U142" s="18" t="b">
        <v>1</v>
      </c>
      <c r="X142" t="s">
        <v>3639</v>
      </c>
    </row>
    <row r="143" spans="1:24" x14ac:dyDescent="0.3">
      <c r="A143" t="s">
        <v>3220</v>
      </c>
      <c r="B143" s="20" t="s">
        <v>3301</v>
      </c>
      <c r="C143" t="s">
        <v>3640</v>
      </c>
      <c r="D143" t="s">
        <v>3641</v>
      </c>
      <c r="E143" t="s">
        <v>3471</v>
      </c>
      <c r="F143" t="s">
        <v>3505</v>
      </c>
      <c r="G143">
        <v>1</v>
      </c>
      <c r="H143">
        <v>4</v>
      </c>
      <c r="R143" s="18"/>
      <c r="S143" t="str">
        <f t="shared" si="1"/>
        <v>Aktywa_B_1_4</v>
      </c>
      <c r="T143">
        <v>4</v>
      </c>
      <c r="U143" s="18" t="b">
        <v>1</v>
      </c>
      <c r="X143" t="s">
        <v>3642</v>
      </c>
    </row>
    <row r="144" spans="1:24" x14ac:dyDescent="0.3">
      <c r="A144" t="s">
        <v>3220</v>
      </c>
      <c r="B144" s="20" t="s">
        <v>3301</v>
      </c>
      <c r="C144" t="s">
        <v>3643</v>
      </c>
      <c r="D144" t="s">
        <v>3644</v>
      </c>
      <c r="E144" t="s">
        <v>3471</v>
      </c>
      <c r="F144" t="s">
        <v>3505</v>
      </c>
      <c r="G144">
        <v>1</v>
      </c>
      <c r="H144">
        <v>5</v>
      </c>
      <c r="R144" s="18"/>
      <c r="S144" t="str">
        <f t="shared" si="1"/>
        <v>Aktywa_B_1_5</v>
      </c>
      <c r="T144">
        <v>4</v>
      </c>
      <c r="U144" s="18" t="b">
        <v>1</v>
      </c>
      <c r="X144" t="s">
        <v>3645</v>
      </c>
    </row>
    <row r="145" spans="1:24" x14ac:dyDescent="0.3">
      <c r="A145" t="s">
        <v>3241</v>
      </c>
      <c r="B145" s="20" t="s">
        <v>3491</v>
      </c>
      <c r="C145" t="s">
        <v>3628</v>
      </c>
      <c r="D145" t="s">
        <v>3646</v>
      </c>
      <c r="E145" t="s">
        <v>3471</v>
      </c>
      <c r="F145" t="s">
        <v>3505</v>
      </c>
      <c r="G145">
        <v>1</v>
      </c>
      <c r="R145" s="18"/>
      <c r="S145" t="str">
        <f t="shared" si="1"/>
        <v>Aktywa_B_1</v>
      </c>
      <c r="T145">
        <v>3</v>
      </c>
      <c r="U145" s="18" t="b">
        <v>0</v>
      </c>
      <c r="X145" t="s">
        <v>3647</v>
      </c>
    </row>
    <row r="146" spans="1:24" x14ac:dyDescent="0.3">
      <c r="A146" t="s">
        <v>3220</v>
      </c>
      <c r="B146" s="20" t="s">
        <v>3301</v>
      </c>
      <c r="C146" t="s">
        <v>3648</v>
      </c>
      <c r="D146" t="s">
        <v>3649</v>
      </c>
      <c r="E146" t="s">
        <v>3471</v>
      </c>
      <c r="F146" t="s">
        <v>3505</v>
      </c>
      <c r="G146">
        <v>2</v>
      </c>
      <c r="R146" s="18"/>
      <c r="S146" t="str">
        <f t="shared" si="1"/>
        <v>Aktywa_B_2</v>
      </c>
      <c r="T146">
        <v>3</v>
      </c>
      <c r="U146" s="18" t="b">
        <v>0</v>
      </c>
      <c r="X146" t="s">
        <v>3650</v>
      </c>
    </row>
    <row r="147" spans="1:24" x14ac:dyDescent="0.3">
      <c r="A147" t="s">
        <v>3220</v>
      </c>
      <c r="B147" s="20" t="s">
        <v>3301</v>
      </c>
      <c r="C147" t="s">
        <v>3651</v>
      </c>
      <c r="D147" t="s">
        <v>3652</v>
      </c>
      <c r="E147" t="s">
        <v>3471</v>
      </c>
      <c r="F147" t="s">
        <v>3505</v>
      </c>
      <c r="G147">
        <v>2</v>
      </c>
      <c r="H147">
        <v>1</v>
      </c>
      <c r="R147" s="18"/>
      <c r="S147" t="str">
        <f t="shared" si="1"/>
        <v>Aktywa_B_2_1</v>
      </c>
      <c r="T147">
        <v>4</v>
      </c>
      <c r="U147" s="18" t="b">
        <v>0</v>
      </c>
      <c r="X147" t="s">
        <v>3653</v>
      </c>
    </row>
    <row r="148" spans="1:24" x14ac:dyDescent="0.3">
      <c r="A148" t="s">
        <v>3220</v>
      </c>
      <c r="B148" s="20" t="s">
        <v>3301</v>
      </c>
      <c r="C148" t="s">
        <v>3654</v>
      </c>
      <c r="D148" t="s">
        <v>3655</v>
      </c>
      <c r="E148" t="s">
        <v>3471</v>
      </c>
      <c r="F148" t="s">
        <v>3505</v>
      </c>
      <c r="G148">
        <v>2</v>
      </c>
      <c r="H148">
        <v>1</v>
      </c>
      <c r="I148" t="s">
        <v>3474</v>
      </c>
      <c r="R148" s="18"/>
      <c r="S148" t="str">
        <f t="shared" si="1"/>
        <v>Aktywa_B_2_1_A</v>
      </c>
      <c r="T148">
        <v>5</v>
      </c>
      <c r="U148" s="18" t="b">
        <v>0</v>
      </c>
      <c r="X148" t="s">
        <v>3656</v>
      </c>
    </row>
    <row r="149" spans="1:24" x14ac:dyDescent="0.3">
      <c r="A149" t="s">
        <v>3220</v>
      </c>
      <c r="B149" s="20" t="s">
        <v>3301</v>
      </c>
      <c r="C149" t="s">
        <v>3657</v>
      </c>
      <c r="D149" t="s">
        <v>3658</v>
      </c>
      <c r="E149" t="s">
        <v>3471</v>
      </c>
      <c r="F149" t="s">
        <v>3505</v>
      </c>
      <c r="G149">
        <v>2</v>
      </c>
      <c r="H149">
        <v>1</v>
      </c>
      <c r="I149" t="s">
        <v>3474</v>
      </c>
      <c r="J149">
        <v>1</v>
      </c>
      <c r="R149" s="18"/>
      <c r="S149" t="str">
        <f t="shared" ref="S149:S212" si="2">IF(ISERROR(FIND("_koniec",D149)),D149,LEFT(D149,FIND("_koniec",D149)-1))</f>
        <v>Aktywa_B_2_1_A_1</v>
      </c>
      <c r="T149">
        <v>6</v>
      </c>
      <c r="U149" s="18" t="b">
        <v>1</v>
      </c>
      <c r="X149" t="s">
        <v>3659</v>
      </c>
    </row>
    <row r="150" spans="1:24" x14ac:dyDescent="0.3">
      <c r="A150" t="s">
        <v>3220</v>
      </c>
      <c r="B150" s="20" t="s">
        <v>3301</v>
      </c>
      <c r="C150" t="s">
        <v>3660</v>
      </c>
      <c r="D150" t="s">
        <v>3661</v>
      </c>
      <c r="E150" t="s">
        <v>3471</v>
      </c>
      <c r="F150" t="s">
        <v>3505</v>
      </c>
      <c r="G150">
        <v>2</v>
      </c>
      <c r="H150">
        <v>1</v>
      </c>
      <c r="I150" t="s">
        <v>3474</v>
      </c>
      <c r="J150">
        <v>2</v>
      </c>
      <c r="R150" s="18"/>
      <c r="S150" t="str">
        <f t="shared" si="2"/>
        <v>Aktywa_B_2_1_A_2</v>
      </c>
      <c r="T150">
        <v>6</v>
      </c>
      <c r="U150" s="18" t="b">
        <v>1</v>
      </c>
      <c r="X150" t="s">
        <v>3662</v>
      </c>
    </row>
    <row r="151" spans="1:24" x14ac:dyDescent="0.3">
      <c r="A151" t="s">
        <v>3241</v>
      </c>
      <c r="B151" s="20" t="s">
        <v>3491</v>
      </c>
      <c r="C151" t="s">
        <v>3654</v>
      </c>
      <c r="D151" t="s">
        <v>3663</v>
      </c>
      <c r="E151" t="s">
        <v>3471</v>
      </c>
      <c r="F151" t="s">
        <v>3505</v>
      </c>
      <c r="G151">
        <v>2</v>
      </c>
      <c r="H151">
        <v>1</v>
      </c>
      <c r="I151" t="s">
        <v>3474</v>
      </c>
      <c r="R151" s="18"/>
      <c r="S151" t="str">
        <f t="shared" si="2"/>
        <v>Aktywa_B_2_1_A</v>
      </c>
      <c r="T151">
        <v>5</v>
      </c>
      <c r="U151" s="18" t="b">
        <v>0</v>
      </c>
      <c r="X151" t="s">
        <v>3664</v>
      </c>
    </row>
    <row r="152" spans="1:24" x14ac:dyDescent="0.3">
      <c r="A152" t="s">
        <v>3220</v>
      </c>
      <c r="B152" s="20" t="s">
        <v>3301</v>
      </c>
      <c r="C152" t="s">
        <v>3665</v>
      </c>
      <c r="D152" t="s">
        <v>3666</v>
      </c>
      <c r="E152" t="s">
        <v>3471</v>
      </c>
      <c r="F152" t="s">
        <v>3505</v>
      </c>
      <c r="G152">
        <v>2</v>
      </c>
      <c r="H152">
        <v>1</v>
      </c>
      <c r="I152" t="s">
        <v>3505</v>
      </c>
      <c r="R152" s="18"/>
      <c r="S152" t="str">
        <f t="shared" si="2"/>
        <v>Aktywa_B_2_1_B</v>
      </c>
      <c r="T152">
        <v>5</v>
      </c>
      <c r="U152" s="18" t="b">
        <v>1</v>
      </c>
      <c r="X152" t="s">
        <v>3667</v>
      </c>
    </row>
    <row r="153" spans="1:24" x14ac:dyDescent="0.3">
      <c r="A153" t="s">
        <v>3241</v>
      </c>
      <c r="B153" s="20" t="s">
        <v>3491</v>
      </c>
      <c r="C153" t="s">
        <v>3651</v>
      </c>
      <c r="D153" t="s">
        <v>3668</v>
      </c>
      <c r="E153" t="s">
        <v>3471</v>
      </c>
      <c r="F153" t="s">
        <v>3505</v>
      </c>
      <c r="G153">
        <v>2</v>
      </c>
      <c r="H153">
        <v>1</v>
      </c>
      <c r="R153" s="18"/>
      <c r="S153" t="str">
        <f t="shared" si="2"/>
        <v>Aktywa_B_2_1</v>
      </c>
      <c r="T153">
        <v>4</v>
      </c>
      <c r="U153" s="18" t="b">
        <v>0</v>
      </c>
      <c r="X153" t="s">
        <v>3669</v>
      </c>
    </row>
    <row r="154" spans="1:24" x14ac:dyDescent="0.3">
      <c r="A154" t="s">
        <v>3220</v>
      </c>
      <c r="B154" s="20" t="s">
        <v>3301</v>
      </c>
      <c r="C154" t="s">
        <v>3670</v>
      </c>
      <c r="D154" t="s">
        <v>3671</v>
      </c>
      <c r="E154" t="s">
        <v>3471</v>
      </c>
      <c r="F154" t="s">
        <v>3505</v>
      </c>
      <c r="G154">
        <v>2</v>
      </c>
      <c r="H154">
        <v>2</v>
      </c>
      <c r="R154" s="18"/>
      <c r="S154" t="str">
        <f t="shared" si="2"/>
        <v>Aktywa_B_2_2</v>
      </c>
      <c r="T154">
        <v>4</v>
      </c>
      <c r="U154" s="18" t="b">
        <v>0</v>
      </c>
      <c r="X154" t="s">
        <v>3672</v>
      </c>
    </row>
    <row r="155" spans="1:24" x14ac:dyDescent="0.3">
      <c r="A155" t="s">
        <v>3220</v>
      </c>
      <c r="B155" s="20" t="s">
        <v>3301</v>
      </c>
      <c r="C155" t="s">
        <v>3673</v>
      </c>
      <c r="D155" t="s">
        <v>3674</v>
      </c>
      <c r="E155" t="s">
        <v>3471</v>
      </c>
      <c r="F155" t="s">
        <v>3505</v>
      </c>
      <c r="G155">
        <v>2</v>
      </c>
      <c r="H155">
        <v>2</v>
      </c>
      <c r="I155" t="s">
        <v>3474</v>
      </c>
      <c r="R155" s="18"/>
      <c r="S155" t="str">
        <f t="shared" si="2"/>
        <v>Aktywa_B_2_2_A</v>
      </c>
      <c r="T155">
        <v>5</v>
      </c>
      <c r="U155" s="18" t="b">
        <v>0</v>
      </c>
      <c r="X155" t="s">
        <v>3675</v>
      </c>
    </row>
    <row r="156" spans="1:24" x14ac:dyDescent="0.3">
      <c r="A156" t="s">
        <v>3220</v>
      </c>
      <c r="B156" s="20" t="s">
        <v>3301</v>
      </c>
      <c r="C156" t="s">
        <v>3676</v>
      </c>
      <c r="D156" t="s">
        <v>3677</v>
      </c>
      <c r="E156" t="s">
        <v>3471</v>
      </c>
      <c r="F156" t="s">
        <v>3505</v>
      </c>
      <c r="G156">
        <v>2</v>
      </c>
      <c r="H156">
        <v>2</v>
      </c>
      <c r="I156" t="s">
        <v>3474</v>
      </c>
      <c r="J156">
        <v>1</v>
      </c>
      <c r="R156" s="18"/>
      <c r="S156" t="str">
        <f t="shared" si="2"/>
        <v>Aktywa_B_2_2_A_1</v>
      </c>
      <c r="T156">
        <v>6</v>
      </c>
      <c r="U156" s="18" t="b">
        <v>1</v>
      </c>
      <c r="X156" t="s">
        <v>3678</v>
      </c>
    </row>
    <row r="157" spans="1:24" x14ac:dyDescent="0.3">
      <c r="A157" t="s">
        <v>3220</v>
      </c>
      <c r="B157" s="20" t="s">
        <v>3301</v>
      </c>
      <c r="C157" t="s">
        <v>3679</v>
      </c>
      <c r="D157" t="s">
        <v>3680</v>
      </c>
      <c r="E157" t="s">
        <v>3471</v>
      </c>
      <c r="F157" t="s">
        <v>3505</v>
      </c>
      <c r="G157">
        <v>2</v>
      </c>
      <c r="H157">
        <v>2</v>
      </c>
      <c r="I157" t="s">
        <v>3474</v>
      </c>
      <c r="J157">
        <v>2</v>
      </c>
      <c r="R157" s="18"/>
      <c r="S157" t="str">
        <f t="shared" si="2"/>
        <v>Aktywa_B_2_2_A_2</v>
      </c>
      <c r="T157">
        <v>6</v>
      </c>
      <c r="U157" s="18" t="b">
        <v>1</v>
      </c>
      <c r="X157" t="s">
        <v>3681</v>
      </c>
    </row>
    <row r="158" spans="1:24" x14ac:dyDescent="0.3">
      <c r="A158" t="s">
        <v>3241</v>
      </c>
      <c r="B158" s="20" t="s">
        <v>3491</v>
      </c>
      <c r="C158" t="s">
        <v>3673</v>
      </c>
      <c r="D158" t="s">
        <v>3682</v>
      </c>
      <c r="E158" t="s">
        <v>3471</v>
      </c>
      <c r="F158" t="s">
        <v>3505</v>
      </c>
      <c r="G158">
        <v>2</v>
      </c>
      <c r="H158">
        <v>2</v>
      </c>
      <c r="I158" t="s">
        <v>3474</v>
      </c>
      <c r="R158" s="18"/>
      <c r="S158" t="str">
        <f t="shared" si="2"/>
        <v>Aktywa_B_2_2_A</v>
      </c>
      <c r="T158">
        <v>5</v>
      </c>
      <c r="U158" s="18" t="b">
        <v>0</v>
      </c>
      <c r="X158" t="s">
        <v>3683</v>
      </c>
    </row>
    <row r="159" spans="1:24" x14ac:dyDescent="0.3">
      <c r="A159" t="s">
        <v>3220</v>
      </c>
      <c r="B159" s="20" t="s">
        <v>3301</v>
      </c>
      <c r="C159" t="s">
        <v>3684</v>
      </c>
      <c r="D159" t="s">
        <v>3685</v>
      </c>
      <c r="E159" t="s">
        <v>3471</v>
      </c>
      <c r="F159" t="s">
        <v>3505</v>
      </c>
      <c r="G159">
        <v>2</v>
      </c>
      <c r="H159">
        <v>2</v>
      </c>
      <c r="I159" t="s">
        <v>3505</v>
      </c>
      <c r="R159" s="18"/>
      <c r="S159" t="str">
        <f t="shared" si="2"/>
        <v>Aktywa_B_2_2_B</v>
      </c>
      <c r="T159">
        <v>5</v>
      </c>
      <c r="U159" s="18" t="b">
        <v>1</v>
      </c>
      <c r="X159" t="s">
        <v>3686</v>
      </c>
    </row>
    <row r="160" spans="1:24" x14ac:dyDescent="0.3">
      <c r="A160" t="s">
        <v>3241</v>
      </c>
      <c r="B160" s="20" t="s">
        <v>3491</v>
      </c>
      <c r="C160" t="s">
        <v>3670</v>
      </c>
      <c r="D160" t="s">
        <v>3687</v>
      </c>
      <c r="E160" t="s">
        <v>3471</v>
      </c>
      <c r="F160" t="s">
        <v>3505</v>
      </c>
      <c r="G160">
        <v>2</v>
      </c>
      <c r="H160">
        <v>2</v>
      </c>
      <c r="R160" s="18"/>
      <c r="S160" t="str">
        <f t="shared" si="2"/>
        <v>Aktywa_B_2_2</v>
      </c>
      <c r="T160">
        <v>4</v>
      </c>
      <c r="U160" s="18" t="b">
        <v>0</v>
      </c>
      <c r="X160" t="s">
        <v>3688</v>
      </c>
    </row>
    <row r="161" spans="1:24" x14ac:dyDescent="0.3">
      <c r="A161" t="s">
        <v>3220</v>
      </c>
      <c r="B161" s="20" t="s">
        <v>3301</v>
      </c>
      <c r="C161" t="s">
        <v>3689</v>
      </c>
      <c r="D161" t="s">
        <v>3690</v>
      </c>
      <c r="E161" t="s">
        <v>3471</v>
      </c>
      <c r="F161" t="s">
        <v>3505</v>
      </c>
      <c r="G161">
        <v>2</v>
      </c>
      <c r="H161">
        <v>3</v>
      </c>
      <c r="R161" s="18"/>
      <c r="S161" t="str">
        <f t="shared" si="2"/>
        <v>Aktywa_B_2_3</v>
      </c>
      <c r="T161">
        <v>4</v>
      </c>
      <c r="U161" s="18" t="b">
        <v>0</v>
      </c>
      <c r="X161" t="s">
        <v>3691</v>
      </c>
    </row>
    <row r="162" spans="1:24" x14ac:dyDescent="0.3">
      <c r="A162" t="s">
        <v>3220</v>
      </c>
      <c r="B162" s="20" t="s">
        <v>3301</v>
      </c>
      <c r="C162" t="s">
        <v>3692</v>
      </c>
      <c r="D162" t="s">
        <v>3693</v>
      </c>
      <c r="E162" t="s">
        <v>3471</v>
      </c>
      <c r="F162" t="s">
        <v>3505</v>
      </c>
      <c r="G162">
        <v>2</v>
      </c>
      <c r="H162">
        <v>3</v>
      </c>
      <c r="I162" t="s">
        <v>3474</v>
      </c>
      <c r="R162" s="18"/>
      <c r="S162" t="str">
        <f t="shared" si="2"/>
        <v>Aktywa_B_2_3_A</v>
      </c>
      <c r="T162">
        <v>5</v>
      </c>
      <c r="U162" s="18" t="b">
        <v>0</v>
      </c>
      <c r="X162" t="s">
        <v>3694</v>
      </c>
    </row>
    <row r="163" spans="1:24" x14ac:dyDescent="0.3">
      <c r="A163" t="s">
        <v>3220</v>
      </c>
      <c r="B163" s="20" t="s">
        <v>3301</v>
      </c>
      <c r="C163" t="s">
        <v>3695</v>
      </c>
      <c r="D163" t="s">
        <v>3696</v>
      </c>
      <c r="E163" t="s">
        <v>3471</v>
      </c>
      <c r="F163" t="s">
        <v>3505</v>
      </c>
      <c r="G163">
        <v>2</v>
      </c>
      <c r="H163">
        <v>3</v>
      </c>
      <c r="I163" t="s">
        <v>3474</v>
      </c>
      <c r="J163">
        <v>1</v>
      </c>
      <c r="R163" s="18"/>
      <c r="S163" t="str">
        <f t="shared" si="2"/>
        <v>Aktywa_B_2_3_A_1</v>
      </c>
      <c r="T163">
        <v>6</v>
      </c>
      <c r="U163" s="18" t="b">
        <v>1</v>
      </c>
      <c r="X163" t="s">
        <v>3697</v>
      </c>
    </row>
    <row r="164" spans="1:24" x14ac:dyDescent="0.3">
      <c r="A164" t="s">
        <v>3220</v>
      </c>
      <c r="B164" s="20" t="s">
        <v>3301</v>
      </c>
      <c r="C164" t="s">
        <v>3698</v>
      </c>
      <c r="D164" t="s">
        <v>3699</v>
      </c>
      <c r="E164" t="s">
        <v>3471</v>
      </c>
      <c r="F164" t="s">
        <v>3505</v>
      </c>
      <c r="G164">
        <v>2</v>
      </c>
      <c r="H164">
        <v>3</v>
      </c>
      <c r="I164" t="s">
        <v>3474</v>
      </c>
      <c r="J164">
        <v>2</v>
      </c>
      <c r="R164" s="18"/>
      <c r="S164" t="str">
        <f t="shared" si="2"/>
        <v>Aktywa_B_2_3_A_2</v>
      </c>
      <c r="T164">
        <v>6</v>
      </c>
      <c r="U164" s="18" t="b">
        <v>1</v>
      </c>
      <c r="X164" t="s">
        <v>3700</v>
      </c>
    </row>
    <row r="165" spans="1:24" x14ac:dyDescent="0.3">
      <c r="A165" t="s">
        <v>3241</v>
      </c>
      <c r="B165" s="20" t="s">
        <v>3491</v>
      </c>
      <c r="C165" t="s">
        <v>3692</v>
      </c>
      <c r="D165" t="s">
        <v>3701</v>
      </c>
      <c r="E165" t="s">
        <v>3471</v>
      </c>
      <c r="F165" t="s">
        <v>3505</v>
      </c>
      <c r="G165">
        <v>2</v>
      </c>
      <c r="H165">
        <v>3</v>
      </c>
      <c r="I165" t="s">
        <v>3474</v>
      </c>
      <c r="R165" s="18"/>
      <c r="S165" t="str">
        <f t="shared" si="2"/>
        <v>Aktywa_B_2_3_A</v>
      </c>
      <c r="T165">
        <v>5</v>
      </c>
      <c r="U165" s="18" t="b">
        <v>0</v>
      </c>
      <c r="X165" t="s">
        <v>3702</v>
      </c>
    </row>
    <row r="166" spans="1:24" ht="14.25" customHeight="1" x14ac:dyDescent="0.3">
      <c r="A166" t="s">
        <v>3220</v>
      </c>
      <c r="B166" s="20" t="s">
        <v>3301</v>
      </c>
      <c r="C166" t="s">
        <v>3703</v>
      </c>
      <c r="D166" t="s">
        <v>3704</v>
      </c>
      <c r="E166" t="s">
        <v>3471</v>
      </c>
      <c r="F166" t="s">
        <v>3505</v>
      </c>
      <c r="G166">
        <v>2</v>
      </c>
      <c r="H166">
        <v>3</v>
      </c>
      <c r="I166" t="s">
        <v>3505</v>
      </c>
      <c r="R166" s="18"/>
      <c r="S166" t="str">
        <f t="shared" si="2"/>
        <v>Aktywa_B_2_3_B</v>
      </c>
      <c r="T166">
        <v>5</v>
      </c>
      <c r="U166" s="18" t="b">
        <v>1</v>
      </c>
      <c r="X166" t="s">
        <v>3705</v>
      </c>
    </row>
    <row r="167" spans="1:24" x14ac:dyDescent="0.3">
      <c r="A167" t="s">
        <v>3220</v>
      </c>
      <c r="B167" s="20" t="s">
        <v>3301</v>
      </c>
      <c r="C167" t="s">
        <v>3706</v>
      </c>
      <c r="D167" t="s">
        <v>3707</v>
      </c>
      <c r="E167" t="s">
        <v>3471</v>
      </c>
      <c r="F167" t="s">
        <v>3505</v>
      </c>
      <c r="G167">
        <v>2</v>
      </c>
      <c r="H167">
        <v>3</v>
      </c>
      <c r="I167" t="s">
        <v>3509</v>
      </c>
      <c r="R167" s="18"/>
      <c r="S167" t="str">
        <f t="shared" si="2"/>
        <v>Aktywa_B_2_3_C</v>
      </c>
      <c r="T167">
        <v>5</v>
      </c>
      <c r="U167" s="18" t="b">
        <v>1</v>
      </c>
      <c r="X167" t="s">
        <v>3708</v>
      </c>
    </row>
    <row r="168" spans="1:24" x14ac:dyDescent="0.3">
      <c r="A168" t="s">
        <v>3220</v>
      </c>
      <c r="B168" s="20" t="s">
        <v>3301</v>
      </c>
      <c r="C168" t="s">
        <v>3709</v>
      </c>
      <c r="D168" t="s">
        <v>3710</v>
      </c>
      <c r="E168" t="s">
        <v>3471</v>
      </c>
      <c r="F168" t="s">
        <v>3505</v>
      </c>
      <c r="G168">
        <v>2</v>
      </c>
      <c r="H168">
        <v>3</v>
      </c>
      <c r="I168" t="s">
        <v>3513</v>
      </c>
      <c r="R168" s="18"/>
      <c r="S168" t="str">
        <f t="shared" si="2"/>
        <v>Aktywa_B_2_3_D</v>
      </c>
      <c r="T168">
        <v>5</v>
      </c>
      <c r="U168" s="18" t="b">
        <v>1</v>
      </c>
      <c r="X168" t="s">
        <v>3711</v>
      </c>
    </row>
    <row r="169" spans="1:24" x14ac:dyDescent="0.3">
      <c r="A169" t="s">
        <v>3241</v>
      </c>
      <c r="B169" s="20" t="s">
        <v>3491</v>
      </c>
      <c r="C169" t="s">
        <v>3689</v>
      </c>
      <c r="D169" t="s">
        <v>3712</v>
      </c>
      <c r="E169" t="s">
        <v>3471</v>
      </c>
      <c r="F169" t="s">
        <v>3505</v>
      </c>
      <c r="G169">
        <v>2</v>
      </c>
      <c r="H169">
        <v>3</v>
      </c>
      <c r="R169" s="18"/>
      <c r="S169" t="str">
        <f t="shared" si="2"/>
        <v>Aktywa_B_2_3</v>
      </c>
      <c r="T169">
        <v>4</v>
      </c>
      <c r="U169" s="18" t="b">
        <v>0</v>
      </c>
      <c r="X169" t="s">
        <v>3713</v>
      </c>
    </row>
    <row r="170" spans="1:24" x14ac:dyDescent="0.3">
      <c r="A170" t="s">
        <v>3241</v>
      </c>
      <c r="B170" s="20" t="s">
        <v>3491</v>
      </c>
      <c r="C170" t="s">
        <v>3648</v>
      </c>
      <c r="D170" t="s">
        <v>3714</v>
      </c>
      <c r="E170" t="s">
        <v>3471</v>
      </c>
      <c r="F170" t="s">
        <v>3505</v>
      </c>
      <c r="G170">
        <v>2</v>
      </c>
      <c r="R170" s="18"/>
      <c r="S170" t="str">
        <f t="shared" si="2"/>
        <v>Aktywa_B_2</v>
      </c>
      <c r="T170">
        <v>3</v>
      </c>
      <c r="U170" s="18" t="b">
        <v>0</v>
      </c>
      <c r="X170" t="s">
        <v>3715</v>
      </c>
    </row>
    <row r="171" spans="1:24" x14ac:dyDescent="0.3">
      <c r="A171" t="s">
        <v>3220</v>
      </c>
      <c r="B171" s="20" t="s">
        <v>3301</v>
      </c>
      <c r="C171" t="s">
        <v>3716</v>
      </c>
      <c r="D171" t="s">
        <v>3717</v>
      </c>
      <c r="E171" t="s">
        <v>3471</v>
      </c>
      <c r="F171" t="s">
        <v>3505</v>
      </c>
      <c r="G171">
        <v>3</v>
      </c>
      <c r="R171" s="18"/>
      <c r="S171" t="str">
        <f t="shared" si="2"/>
        <v>Aktywa_B_3</v>
      </c>
      <c r="T171">
        <v>3</v>
      </c>
      <c r="U171" s="18" t="b">
        <v>0</v>
      </c>
      <c r="X171" t="s">
        <v>3718</v>
      </c>
    </row>
    <row r="172" spans="1:24" x14ac:dyDescent="0.3">
      <c r="A172" t="s">
        <v>3220</v>
      </c>
      <c r="B172" s="20" t="s">
        <v>3301</v>
      </c>
      <c r="C172" t="s">
        <v>3719</v>
      </c>
      <c r="D172" t="s">
        <v>3720</v>
      </c>
      <c r="E172" t="s">
        <v>3471</v>
      </c>
      <c r="F172" t="s">
        <v>3505</v>
      </c>
      <c r="G172">
        <v>3</v>
      </c>
      <c r="H172">
        <v>1</v>
      </c>
      <c r="R172" s="18"/>
      <c r="S172" t="str">
        <f t="shared" si="2"/>
        <v>Aktywa_B_3_1</v>
      </c>
      <c r="T172">
        <v>4</v>
      </c>
      <c r="U172" s="18" t="b">
        <v>0</v>
      </c>
      <c r="X172" t="s">
        <v>3721</v>
      </c>
    </row>
    <row r="173" spans="1:24" x14ac:dyDescent="0.3">
      <c r="A173" t="s">
        <v>3220</v>
      </c>
      <c r="B173" s="20" t="s">
        <v>3301</v>
      </c>
      <c r="C173" t="s">
        <v>3722</v>
      </c>
      <c r="D173" t="s">
        <v>3723</v>
      </c>
      <c r="E173" t="s">
        <v>3471</v>
      </c>
      <c r="F173" t="s">
        <v>3505</v>
      </c>
      <c r="G173">
        <v>3</v>
      </c>
      <c r="H173">
        <v>1</v>
      </c>
      <c r="I173" t="s">
        <v>3474</v>
      </c>
      <c r="R173" s="18"/>
      <c r="S173" t="str">
        <f t="shared" si="2"/>
        <v>Aktywa_B_3_1_A</v>
      </c>
      <c r="T173">
        <v>5</v>
      </c>
      <c r="U173" s="18" t="b">
        <v>0</v>
      </c>
      <c r="X173" t="s">
        <v>3724</v>
      </c>
    </row>
    <row r="174" spans="1:24" x14ac:dyDescent="0.3">
      <c r="A174" t="s">
        <v>3220</v>
      </c>
      <c r="B174" s="20" t="s">
        <v>3301</v>
      </c>
      <c r="C174" t="s">
        <v>3725</v>
      </c>
      <c r="D174" t="s">
        <v>3726</v>
      </c>
      <c r="E174" t="s">
        <v>3471</v>
      </c>
      <c r="F174" t="s">
        <v>3505</v>
      </c>
      <c r="G174">
        <v>3</v>
      </c>
      <c r="H174">
        <v>1</v>
      </c>
      <c r="I174" t="s">
        <v>3474</v>
      </c>
      <c r="J174">
        <v>1</v>
      </c>
      <c r="R174" s="18"/>
      <c r="S174" t="str">
        <f t="shared" si="2"/>
        <v>Aktywa_B_3_1_A_1</v>
      </c>
      <c r="T174">
        <v>6</v>
      </c>
      <c r="U174" s="18" t="b">
        <v>1</v>
      </c>
      <c r="X174" t="s">
        <v>3727</v>
      </c>
    </row>
    <row r="175" spans="1:24" x14ac:dyDescent="0.3">
      <c r="A175" t="s">
        <v>3220</v>
      </c>
      <c r="B175" s="20" t="s">
        <v>3301</v>
      </c>
      <c r="C175" t="s">
        <v>3728</v>
      </c>
      <c r="D175" t="s">
        <v>3729</v>
      </c>
      <c r="E175" t="s">
        <v>3471</v>
      </c>
      <c r="F175" t="s">
        <v>3505</v>
      </c>
      <c r="G175">
        <v>3</v>
      </c>
      <c r="H175">
        <v>1</v>
      </c>
      <c r="I175" t="s">
        <v>3474</v>
      </c>
      <c r="J175">
        <v>2</v>
      </c>
      <c r="R175" s="18"/>
      <c r="S175" t="str">
        <f t="shared" si="2"/>
        <v>Aktywa_B_3_1_A_2</v>
      </c>
      <c r="T175">
        <v>6</v>
      </c>
      <c r="U175" s="18" t="b">
        <v>1</v>
      </c>
      <c r="X175" t="s">
        <v>3730</v>
      </c>
    </row>
    <row r="176" spans="1:24" x14ac:dyDescent="0.3">
      <c r="A176" t="s">
        <v>3220</v>
      </c>
      <c r="B176" s="20" t="s">
        <v>3301</v>
      </c>
      <c r="C176" t="s">
        <v>3731</v>
      </c>
      <c r="D176" t="s">
        <v>3732</v>
      </c>
      <c r="E176" t="s">
        <v>3471</v>
      </c>
      <c r="F176" t="s">
        <v>3505</v>
      </c>
      <c r="G176">
        <v>3</v>
      </c>
      <c r="H176">
        <v>1</v>
      </c>
      <c r="I176" t="s">
        <v>3474</v>
      </c>
      <c r="J176">
        <v>3</v>
      </c>
      <c r="R176" s="18"/>
      <c r="S176" t="str">
        <f t="shared" si="2"/>
        <v>Aktywa_B_3_1_A_3</v>
      </c>
      <c r="T176">
        <v>6</v>
      </c>
      <c r="U176" s="18" t="b">
        <v>1</v>
      </c>
      <c r="X176" t="s">
        <v>3733</v>
      </c>
    </row>
    <row r="177" spans="1:24" x14ac:dyDescent="0.3">
      <c r="A177" t="s">
        <v>3220</v>
      </c>
      <c r="B177" s="20" t="s">
        <v>3301</v>
      </c>
      <c r="C177" t="s">
        <v>3734</v>
      </c>
      <c r="D177" t="s">
        <v>3735</v>
      </c>
      <c r="E177" t="s">
        <v>3471</v>
      </c>
      <c r="F177" t="s">
        <v>3505</v>
      </c>
      <c r="G177">
        <v>3</v>
      </c>
      <c r="H177">
        <v>1</v>
      </c>
      <c r="I177" t="s">
        <v>3474</v>
      </c>
      <c r="J177">
        <v>4</v>
      </c>
      <c r="R177" s="18"/>
      <c r="S177" t="str">
        <f t="shared" si="2"/>
        <v>Aktywa_B_3_1_A_4</v>
      </c>
      <c r="T177">
        <v>6</v>
      </c>
      <c r="U177" s="18" t="b">
        <v>1</v>
      </c>
      <c r="X177" t="s">
        <v>3736</v>
      </c>
    </row>
    <row r="178" spans="1:24" x14ac:dyDescent="0.3">
      <c r="A178" t="s">
        <v>3241</v>
      </c>
      <c r="B178" s="20" t="s">
        <v>3491</v>
      </c>
      <c r="C178" t="s">
        <v>3722</v>
      </c>
      <c r="D178" t="s">
        <v>3737</v>
      </c>
      <c r="E178" t="s">
        <v>3471</v>
      </c>
      <c r="F178" t="s">
        <v>3505</v>
      </c>
      <c r="G178">
        <v>3</v>
      </c>
      <c r="H178">
        <v>1</v>
      </c>
      <c r="I178" t="s">
        <v>3474</v>
      </c>
      <c r="R178" s="18"/>
      <c r="S178" t="str">
        <f t="shared" si="2"/>
        <v>Aktywa_B_3_1_A</v>
      </c>
      <c r="T178">
        <v>5</v>
      </c>
      <c r="U178" s="18" t="b">
        <v>0</v>
      </c>
      <c r="X178" t="s">
        <v>3738</v>
      </c>
    </row>
    <row r="179" spans="1:24" x14ac:dyDescent="0.3">
      <c r="A179" t="s">
        <v>3220</v>
      </c>
      <c r="B179" s="20" t="s">
        <v>3301</v>
      </c>
      <c r="C179" t="s">
        <v>3739</v>
      </c>
      <c r="D179" t="s">
        <v>3740</v>
      </c>
      <c r="E179" t="s">
        <v>3471</v>
      </c>
      <c r="F179" t="s">
        <v>3505</v>
      </c>
      <c r="G179">
        <v>3</v>
      </c>
      <c r="H179">
        <v>1</v>
      </c>
      <c r="I179" t="s">
        <v>3505</v>
      </c>
      <c r="R179" s="18"/>
      <c r="S179" t="str">
        <f t="shared" si="2"/>
        <v>Aktywa_B_3_1_B</v>
      </c>
      <c r="T179">
        <v>5</v>
      </c>
      <c r="U179" s="18" t="b">
        <v>0</v>
      </c>
      <c r="X179" t="s">
        <v>3741</v>
      </c>
    </row>
    <row r="180" spans="1:24" x14ac:dyDescent="0.3">
      <c r="A180" t="s">
        <v>3220</v>
      </c>
      <c r="B180" s="20" t="s">
        <v>3301</v>
      </c>
      <c r="C180" t="s">
        <v>3742</v>
      </c>
      <c r="D180" t="s">
        <v>3743</v>
      </c>
      <c r="E180" t="s">
        <v>3471</v>
      </c>
      <c r="F180" t="s">
        <v>3505</v>
      </c>
      <c r="G180">
        <v>3</v>
      </c>
      <c r="H180">
        <v>1</v>
      </c>
      <c r="I180" t="s">
        <v>3505</v>
      </c>
      <c r="J180">
        <v>1</v>
      </c>
      <c r="R180" s="18"/>
      <c r="S180" t="str">
        <f t="shared" si="2"/>
        <v>Aktywa_B_3_1_B_1</v>
      </c>
      <c r="T180">
        <v>6</v>
      </c>
      <c r="U180" s="18" t="b">
        <v>1</v>
      </c>
      <c r="X180" t="s">
        <v>3744</v>
      </c>
    </row>
    <row r="181" spans="1:24" x14ac:dyDescent="0.3">
      <c r="A181" t="s">
        <v>3220</v>
      </c>
      <c r="B181" s="20" t="s">
        <v>3301</v>
      </c>
      <c r="C181" t="s">
        <v>3745</v>
      </c>
      <c r="D181" t="s">
        <v>3746</v>
      </c>
      <c r="E181" t="s">
        <v>3471</v>
      </c>
      <c r="F181" t="s">
        <v>3505</v>
      </c>
      <c r="G181">
        <v>3</v>
      </c>
      <c r="H181">
        <v>1</v>
      </c>
      <c r="I181" t="s">
        <v>3505</v>
      </c>
      <c r="J181">
        <v>2</v>
      </c>
      <c r="R181" s="18"/>
      <c r="S181" t="str">
        <f t="shared" si="2"/>
        <v>Aktywa_B_3_1_B_2</v>
      </c>
      <c r="T181">
        <v>6</v>
      </c>
      <c r="U181" s="18" t="b">
        <v>1</v>
      </c>
      <c r="X181" t="s">
        <v>3747</v>
      </c>
    </row>
    <row r="182" spans="1:24" x14ac:dyDescent="0.3">
      <c r="A182" t="s">
        <v>3220</v>
      </c>
      <c r="B182" s="20" t="s">
        <v>3301</v>
      </c>
      <c r="C182" t="s">
        <v>3748</v>
      </c>
      <c r="D182" t="s">
        <v>3749</v>
      </c>
      <c r="E182" t="s">
        <v>3471</v>
      </c>
      <c r="F182" t="s">
        <v>3505</v>
      </c>
      <c r="G182">
        <v>3</v>
      </c>
      <c r="H182">
        <v>1</v>
      </c>
      <c r="I182" t="s">
        <v>3505</v>
      </c>
      <c r="J182">
        <v>3</v>
      </c>
      <c r="R182" s="18"/>
      <c r="S182" t="str">
        <f t="shared" si="2"/>
        <v>Aktywa_B_3_1_B_3</v>
      </c>
      <c r="T182">
        <v>6</v>
      </c>
      <c r="U182" s="18" t="b">
        <v>1</v>
      </c>
      <c r="X182" t="s">
        <v>3750</v>
      </c>
    </row>
    <row r="183" spans="1:24" x14ac:dyDescent="0.3">
      <c r="A183" t="s">
        <v>3220</v>
      </c>
      <c r="B183" s="20" t="s">
        <v>3301</v>
      </c>
      <c r="C183" t="s">
        <v>3751</v>
      </c>
      <c r="D183" t="s">
        <v>3752</v>
      </c>
      <c r="E183" t="s">
        <v>3471</v>
      </c>
      <c r="F183" t="s">
        <v>3505</v>
      </c>
      <c r="G183">
        <v>3</v>
      </c>
      <c r="H183">
        <v>1</v>
      </c>
      <c r="I183" t="s">
        <v>3505</v>
      </c>
      <c r="J183">
        <v>4</v>
      </c>
      <c r="R183" s="18"/>
      <c r="S183" t="str">
        <f t="shared" si="2"/>
        <v>Aktywa_B_3_1_B_4</v>
      </c>
      <c r="T183">
        <v>6</v>
      </c>
      <c r="U183" s="18" t="b">
        <v>1</v>
      </c>
      <c r="X183" t="s">
        <v>3753</v>
      </c>
    </row>
    <row r="184" spans="1:24" x14ac:dyDescent="0.3">
      <c r="A184" t="s">
        <v>3241</v>
      </c>
      <c r="B184" s="20" t="s">
        <v>3491</v>
      </c>
      <c r="C184" t="s">
        <v>3739</v>
      </c>
      <c r="D184" t="s">
        <v>3754</v>
      </c>
      <c r="E184" t="s">
        <v>3471</v>
      </c>
      <c r="F184" t="s">
        <v>3505</v>
      </c>
      <c r="G184">
        <v>3</v>
      </c>
      <c r="H184">
        <v>1</v>
      </c>
      <c r="I184" t="s">
        <v>3505</v>
      </c>
      <c r="R184" s="18"/>
      <c r="S184" t="str">
        <f t="shared" si="2"/>
        <v>Aktywa_B_3_1_B</v>
      </c>
      <c r="T184">
        <v>5</v>
      </c>
      <c r="U184" s="18" t="b">
        <v>0</v>
      </c>
      <c r="X184" t="s">
        <v>3755</v>
      </c>
    </row>
    <row r="185" spans="1:24" x14ac:dyDescent="0.3">
      <c r="A185" t="s">
        <v>3220</v>
      </c>
      <c r="B185" s="20" t="s">
        <v>3301</v>
      </c>
      <c r="C185" t="s">
        <v>3756</v>
      </c>
      <c r="D185" t="s">
        <v>3757</v>
      </c>
      <c r="E185" t="s">
        <v>3471</v>
      </c>
      <c r="F185" t="s">
        <v>3505</v>
      </c>
      <c r="G185">
        <v>3</v>
      </c>
      <c r="H185">
        <v>1</v>
      </c>
      <c r="I185" t="s">
        <v>3509</v>
      </c>
      <c r="R185" s="18"/>
      <c r="S185" t="str">
        <f t="shared" si="2"/>
        <v>Aktywa_B_3_1_C</v>
      </c>
      <c r="T185">
        <v>5</v>
      </c>
      <c r="U185" s="18" t="b">
        <v>0</v>
      </c>
      <c r="X185" t="s">
        <v>3758</v>
      </c>
    </row>
    <row r="186" spans="1:24" x14ac:dyDescent="0.3">
      <c r="A186" t="s">
        <v>3220</v>
      </c>
      <c r="B186" s="20" t="s">
        <v>3301</v>
      </c>
      <c r="C186" t="s">
        <v>3759</v>
      </c>
      <c r="D186" t="s">
        <v>3760</v>
      </c>
      <c r="E186" t="s">
        <v>3471</v>
      </c>
      <c r="F186" t="s">
        <v>3505</v>
      </c>
      <c r="G186">
        <v>3</v>
      </c>
      <c r="H186">
        <v>1</v>
      </c>
      <c r="I186" t="s">
        <v>3509</v>
      </c>
      <c r="J186">
        <v>1</v>
      </c>
      <c r="R186" s="18"/>
      <c r="S186" t="str">
        <f t="shared" si="2"/>
        <v>Aktywa_B_3_1_C_1</v>
      </c>
      <c r="T186">
        <v>6</v>
      </c>
      <c r="U186" s="18" t="b">
        <v>1</v>
      </c>
      <c r="X186" t="s">
        <v>3761</v>
      </c>
    </row>
    <row r="187" spans="1:24" x14ac:dyDescent="0.3">
      <c r="A187" t="s">
        <v>3220</v>
      </c>
      <c r="B187" s="20" t="s">
        <v>3301</v>
      </c>
      <c r="C187" t="s">
        <v>3762</v>
      </c>
      <c r="D187" t="s">
        <v>3763</v>
      </c>
      <c r="E187" t="s">
        <v>3471</v>
      </c>
      <c r="F187" t="s">
        <v>3505</v>
      </c>
      <c r="G187">
        <v>3</v>
      </c>
      <c r="H187">
        <v>1</v>
      </c>
      <c r="I187" t="s">
        <v>3509</v>
      </c>
      <c r="J187">
        <v>2</v>
      </c>
      <c r="R187" s="18"/>
      <c r="S187" t="str">
        <f t="shared" si="2"/>
        <v>Aktywa_B_3_1_C_2</v>
      </c>
      <c r="T187">
        <v>6</v>
      </c>
      <c r="U187" s="18" t="b">
        <v>1</v>
      </c>
      <c r="X187" t="s">
        <v>3764</v>
      </c>
    </row>
    <row r="188" spans="1:24" x14ac:dyDescent="0.3">
      <c r="A188" t="s">
        <v>3220</v>
      </c>
      <c r="B188" s="20" t="s">
        <v>3301</v>
      </c>
      <c r="C188" t="s">
        <v>3765</v>
      </c>
      <c r="D188" t="s">
        <v>3766</v>
      </c>
      <c r="E188" t="s">
        <v>3471</v>
      </c>
      <c r="F188" t="s">
        <v>3505</v>
      </c>
      <c r="G188">
        <v>3</v>
      </c>
      <c r="H188">
        <v>1</v>
      </c>
      <c r="I188" t="s">
        <v>3509</v>
      </c>
      <c r="J188">
        <v>3</v>
      </c>
      <c r="R188" s="18"/>
      <c r="S188" t="str">
        <f t="shared" si="2"/>
        <v>Aktywa_B_3_1_C_3</v>
      </c>
      <c r="T188">
        <v>6</v>
      </c>
      <c r="U188" s="18" t="b">
        <v>1</v>
      </c>
      <c r="X188" t="s">
        <v>3767</v>
      </c>
    </row>
    <row r="189" spans="1:24" x14ac:dyDescent="0.3">
      <c r="A189" t="s">
        <v>3241</v>
      </c>
      <c r="B189" s="20" t="s">
        <v>3491</v>
      </c>
      <c r="C189" t="s">
        <v>3756</v>
      </c>
      <c r="D189" t="s">
        <v>3768</v>
      </c>
      <c r="E189" t="s">
        <v>3471</v>
      </c>
      <c r="F189" t="s">
        <v>3505</v>
      </c>
      <c r="G189">
        <v>3</v>
      </c>
      <c r="H189">
        <v>1</v>
      </c>
      <c r="I189" t="s">
        <v>3509</v>
      </c>
      <c r="R189" s="18"/>
      <c r="S189" t="str">
        <f t="shared" si="2"/>
        <v>Aktywa_B_3_1_C</v>
      </c>
      <c r="T189">
        <v>5</v>
      </c>
      <c r="U189" s="18" t="b">
        <v>0</v>
      </c>
      <c r="X189" t="s">
        <v>3769</v>
      </c>
    </row>
    <row r="190" spans="1:24" x14ac:dyDescent="0.3">
      <c r="A190" t="s">
        <v>3241</v>
      </c>
      <c r="B190" s="20" t="s">
        <v>3491</v>
      </c>
      <c r="C190" t="s">
        <v>3719</v>
      </c>
      <c r="D190" t="s">
        <v>3770</v>
      </c>
      <c r="E190" t="s">
        <v>3471</v>
      </c>
      <c r="F190" t="s">
        <v>3505</v>
      </c>
      <c r="G190">
        <v>3</v>
      </c>
      <c r="H190">
        <v>1</v>
      </c>
      <c r="R190" s="18"/>
      <c r="S190" t="str">
        <f t="shared" si="2"/>
        <v>Aktywa_B_3_1</v>
      </c>
      <c r="T190">
        <v>4</v>
      </c>
      <c r="U190" s="18" t="b">
        <v>0</v>
      </c>
      <c r="X190" t="s">
        <v>3771</v>
      </c>
    </row>
    <row r="191" spans="1:24" x14ac:dyDescent="0.3">
      <c r="A191" t="s">
        <v>3220</v>
      </c>
      <c r="B191" s="20" t="s">
        <v>3301</v>
      </c>
      <c r="C191" t="s">
        <v>3772</v>
      </c>
      <c r="D191" t="s">
        <v>3773</v>
      </c>
      <c r="E191" t="s">
        <v>3471</v>
      </c>
      <c r="F191" t="s">
        <v>3505</v>
      </c>
      <c r="G191">
        <v>3</v>
      </c>
      <c r="H191">
        <v>2</v>
      </c>
      <c r="R191" s="18"/>
      <c r="S191" t="str">
        <f t="shared" si="2"/>
        <v>Aktywa_B_3_2</v>
      </c>
      <c r="T191">
        <v>4</v>
      </c>
      <c r="U191" s="18" t="b">
        <v>1</v>
      </c>
      <c r="X191" t="s">
        <v>3774</v>
      </c>
    </row>
    <row r="192" spans="1:24" x14ac:dyDescent="0.3">
      <c r="A192" t="s">
        <v>3241</v>
      </c>
      <c r="B192" s="20" t="s">
        <v>3491</v>
      </c>
      <c r="C192" t="s">
        <v>3716</v>
      </c>
      <c r="D192" t="s">
        <v>3775</v>
      </c>
      <c r="E192" t="s">
        <v>3471</v>
      </c>
      <c r="F192" t="s">
        <v>3505</v>
      </c>
      <c r="G192">
        <v>3</v>
      </c>
      <c r="R192" s="18"/>
      <c r="S192" t="str">
        <f t="shared" si="2"/>
        <v>Aktywa_B_3</v>
      </c>
      <c r="T192">
        <v>3</v>
      </c>
      <c r="U192" s="18" t="b">
        <v>0</v>
      </c>
      <c r="X192" t="s">
        <v>3776</v>
      </c>
    </row>
    <row r="193" spans="1:24" x14ac:dyDescent="0.3">
      <c r="A193" t="s">
        <v>3220</v>
      </c>
      <c r="B193" s="20" t="s">
        <v>3301</v>
      </c>
      <c r="C193" t="s">
        <v>3777</v>
      </c>
      <c r="D193" t="s">
        <v>3778</v>
      </c>
      <c r="E193" t="s">
        <v>3471</v>
      </c>
      <c r="F193" t="s">
        <v>3505</v>
      </c>
      <c r="G193">
        <v>4</v>
      </c>
      <c r="R193" s="18"/>
      <c r="S193" t="str">
        <f t="shared" si="2"/>
        <v>Aktywa_B_4</v>
      </c>
      <c r="T193">
        <v>3</v>
      </c>
      <c r="U193" s="18" t="b">
        <v>1</v>
      </c>
      <c r="X193" t="s">
        <v>3779</v>
      </c>
    </row>
    <row r="194" spans="1:24" x14ac:dyDescent="0.3">
      <c r="A194" t="s">
        <v>3241</v>
      </c>
      <c r="B194" s="20" t="s">
        <v>3491</v>
      </c>
      <c r="C194" t="s">
        <v>3626</v>
      </c>
      <c r="D194" t="s">
        <v>3780</v>
      </c>
      <c r="E194" t="s">
        <v>3471</v>
      </c>
      <c r="F194" t="s">
        <v>3505</v>
      </c>
      <c r="R194" s="18"/>
      <c r="S194" t="str">
        <f t="shared" si="2"/>
        <v>Aktywa_B</v>
      </c>
      <c r="T194">
        <v>2</v>
      </c>
      <c r="U194" s="18" t="b">
        <v>0</v>
      </c>
      <c r="X194" t="s">
        <v>3781</v>
      </c>
    </row>
    <row r="195" spans="1:24" x14ac:dyDescent="0.3">
      <c r="A195" t="s">
        <v>3220</v>
      </c>
      <c r="B195" s="20" t="s">
        <v>3301</v>
      </c>
      <c r="C195" t="s">
        <v>3782</v>
      </c>
      <c r="D195" t="s">
        <v>3782</v>
      </c>
      <c r="E195" t="s">
        <v>3471</v>
      </c>
      <c r="F195" t="s">
        <v>3509</v>
      </c>
      <c r="R195" s="18"/>
      <c r="S195" t="str">
        <f t="shared" si="2"/>
        <v>Aktywa_C</v>
      </c>
      <c r="T195">
        <v>2</v>
      </c>
      <c r="U195" s="18" t="b">
        <v>1</v>
      </c>
      <c r="X195" t="s">
        <v>3783</v>
      </c>
    </row>
    <row r="196" spans="1:24" x14ac:dyDescent="0.3">
      <c r="A196" t="s">
        <v>3220</v>
      </c>
      <c r="B196" s="20" t="s">
        <v>3301</v>
      </c>
      <c r="C196" t="s">
        <v>3784</v>
      </c>
      <c r="D196" t="s">
        <v>3784</v>
      </c>
      <c r="E196" t="s">
        <v>3471</v>
      </c>
      <c r="F196" t="s">
        <v>3513</v>
      </c>
      <c r="R196" s="18"/>
      <c r="S196" t="str">
        <f t="shared" si="2"/>
        <v>Aktywa_D</v>
      </c>
      <c r="T196">
        <v>2</v>
      </c>
      <c r="U196" s="18" t="b">
        <v>1</v>
      </c>
      <c r="X196" t="s">
        <v>3785</v>
      </c>
    </row>
    <row r="197" spans="1:24" x14ac:dyDescent="0.3">
      <c r="A197" t="s">
        <v>3241</v>
      </c>
      <c r="B197" s="20" t="s">
        <v>3491</v>
      </c>
      <c r="C197" t="s">
        <v>3471</v>
      </c>
      <c r="D197" t="s">
        <v>3786</v>
      </c>
      <c r="E197" t="s">
        <v>3471</v>
      </c>
      <c r="R197" s="18"/>
      <c r="S197" t="str">
        <f t="shared" si="2"/>
        <v>Aktywa</v>
      </c>
      <c r="T197">
        <v>1</v>
      </c>
      <c r="U197" s="18" t="b">
        <v>0</v>
      </c>
      <c r="W197" t="s">
        <v>3224</v>
      </c>
      <c r="X197" t="s">
        <v>3787</v>
      </c>
    </row>
    <row r="198" spans="1:24" x14ac:dyDescent="0.3">
      <c r="A198" t="s">
        <v>3220</v>
      </c>
      <c r="B198" s="20" t="s">
        <v>3301</v>
      </c>
      <c r="C198" t="s">
        <v>3788</v>
      </c>
      <c r="D198" t="s">
        <v>3788</v>
      </c>
      <c r="E198" t="s">
        <v>3788</v>
      </c>
      <c r="R198" s="18"/>
      <c r="S198" t="str">
        <f t="shared" si="2"/>
        <v>Pasywa</v>
      </c>
      <c r="T198">
        <v>1</v>
      </c>
      <c r="U198" s="18" t="b">
        <v>0</v>
      </c>
      <c r="W198" t="s">
        <v>3224</v>
      </c>
      <c r="X198" t="s">
        <v>3789</v>
      </c>
    </row>
    <row r="199" spans="1:24" x14ac:dyDescent="0.3">
      <c r="A199" t="s">
        <v>3220</v>
      </c>
      <c r="B199" s="20" t="s">
        <v>3301</v>
      </c>
      <c r="C199" t="s">
        <v>3790</v>
      </c>
      <c r="D199" t="s">
        <v>3790</v>
      </c>
      <c r="E199" t="s">
        <v>3788</v>
      </c>
      <c r="F199" t="s">
        <v>3474</v>
      </c>
      <c r="R199" s="18"/>
      <c r="S199" t="str">
        <f t="shared" si="2"/>
        <v>Pasywa_A</v>
      </c>
      <c r="T199">
        <v>2</v>
      </c>
      <c r="U199" s="18" t="b">
        <v>0</v>
      </c>
      <c r="X199" t="s">
        <v>3791</v>
      </c>
    </row>
    <row r="200" spans="1:24" x14ac:dyDescent="0.3">
      <c r="A200" t="s">
        <v>3220</v>
      </c>
      <c r="B200" s="20" t="s">
        <v>3301</v>
      </c>
      <c r="C200" t="s">
        <v>3792</v>
      </c>
      <c r="D200" t="s">
        <v>3793</v>
      </c>
      <c r="E200" t="s">
        <v>3788</v>
      </c>
      <c r="F200" t="s">
        <v>3474</v>
      </c>
      <c r="G200">
        <v>1</v>
      </c>
      <c r="R200" s="18"/>
      <c r="S200" t="str">
        <f t="shared" si="2"/>
        <v>Pasywa_A_1</v>
      </c>
      <c r="T200">
        <v>3</v>
      </c>
      <c r="U200" s="18" t="b">
        <v>1</v>
      </c>
      <c r="X200" t="s">
        <v>3794</v>
      </c>
    </row>
    <row r="201" spans="1:24" x14ac:dyDescent="0.3">
      <c r="A201" t="s">
        <v>3220</v>
      </c>
      <c r="B201" s="20" t="s">
        <v>3301</v>
      </c>
      <c r="C201" t="s">
        <v>3795</v>
      </c>
      <c r="D201" t="s">
        <v>3796</v>
      </c>
      <c r="E201" t="s">
        <v>3788</v>
      </c>
      <c r="F201" t="s">
        <v>3474</v>
      </c>
      <c r="G201">
        <v>2</v>
      </c>
      <c r="R201" s="18"/>
      <c r="S201" t="str">
        <f t="shared" si="2"/>
        <v>Pasywa_A_2</v>
      </c>
      <c r="T201">
        <v>3</v>
      </c>
      <c r="U201" s="18" t="b">
        <v>0</v>
      </c>
      <c r="X201" t="s">
        <v>3797</v>
      </c>
    </row>
    <row r="202" spans="1:24" x14ac:dyDescent="0.3">
      <c r="A202" t="s">
        <v>3220</v>
      </c>
      <c r="B202" s="20" t="s">
        <v>3301</v>
      </c>
      <c r="C202" t="s">
        <v>3798</v>
      </c>
      <c r="D202" t="s">
        <v>3799</v>
      </c>
      <c r="E202" t="s">
        <v>3788</v>
      </c>
      <c r="F202" t="s">
        <v>3474</v>
      </c>
      <c r="G202">
        <v>2</v>
      </c>
      <c r="H202">
        <v>1</v>
      </c>
      <c r="R202" s="18"/>
      <c r="S202" t="str">
        <f t="shared" si="2"/>
        <v>Pasywa_A_2_1</v>
      </c>
      <c r="T202">
        <v>4</v>
      </c>
      <c r="U202" s="18" t="b">
        <v>1</v>
      </c>
      <c r="X202" t="s">
        <v>3800</v>
      </c>
    </row>
    <row r="203" spans="1:24" x14ac:dyDescent="0.3">
      <c r="A203" t="s">
        <v>3241</v>
      </c>
      <c r="B203" s="20" t="s">
        <v>3491</v>
      </c>
      <c r="C203" t="s">
        <v>3795</v>
      </c>
      <c r="D203" t="s">
        <v>3801</v>
      </c>
      <c r="E203" t="s">
        <v>3788</v>
      </c>
      <c r="F203" t="s">
        <v>3474</v>
      </c>
      <c r="G203">
        <v>2</v>
      </c>
      <c r="R203" s="18"/>
      <c r="S203" t="str">
        <f t="shared" si="2"/>
        <v>Pasywa_A_2</v>
      </c>
      <c r="T203">
        <v>3</v>
      </c>
      <c r="U203" s="18" t="b">
        <v>0</v>
      </c>
      <c r="X203" t="s">
        <v>3802</v>
      </c>
    </row>
    <row r="204" spans="1:24" x14ac:dyDescent="0.3">
      <c r="A204" t="s">
        <v>3220</v>
      </c>
      <c r="B204" s="20" t="s">
        <v>3301</v>
      </c>
      <c r="C204" t="s">
        <v>3803</v>
      </c>
      <c r="D204" t="s">
        <v>3804</v>
      </c>
      <c r="E204" t="s">
        <v>3788</v>
      </c>
      <c r="F204" t="s">
        <v>3474</v>
      </c>
      <c r="G204">
        <v>3</v>
      </c>
      <c r="R204" s="18"/>
      <c r="S204" t="str">
        <f t="shared" si="2"/>
        <v>Pasywa_A_3</v>
      </c>
      <c r="T204">
        <v>3</v>
      </c>
      <c r="U204" s="18" t="b">
        <v>0</v>
      </c>
      <c r="X204" t="s">
        <v>3805</v>
      </c>
    </row>
    <row r="205" spans="1:24" x14ac:dyDescent="0.3">
      <c r="A205" t="s">
        <v>3220</v>
      </c>
      <c r="B205" s="20" t="s">
        <v>3301</v>
      </c>
      <c r="C205" t="s">
        <v>3806</v>
      </c>
      <c r="D205" t="s">
        <v>3807</v>
      </c>
      <c r="E205" t="s">
        <v>3788</v>
      </c>
      <c r="F205" t="s">
        <v>3474</v>
      </c>
      <c r="G205">
        <v>3</v>
      </c>
      <c r="H205">
        <v>1</v>
      </c>
      <c r="R205" s="18"/>
      <c r="S205" t="str">
        <f t="shared" si="2"/>
        <v>Pasywa_A_3_1</v>
      </c>
      <c r="T205">
        <v>4</v>
      </c>
      <c r="U205" s="18" t="b">
        <v>1</v>
      </c>
      <c r="X205" t="s">
        <v>3808</v>
      </c>
    </row>
    <row r="206" spans="1:24" x14ac:dyDescent="0.3">
      <c r="A206" t="s">
        <v>3241</v>
      </c>
      <c r="B206" s="20" t="s">
        <v>3491</v>
      </c>
      <c r="C206" t="s">
        <v>3803</v>
      </c>
      <c r="D206" t="s">
        <v>3809</v>
      </c>
      <c r="E206" t="s">
        <v>3788</v>
      </c>
      <c r="F206" t="s">
        <v>3474</v>
      </c>
      <c r="G206">
        <v>3</v>
      </c>
      <c r="R206" s="18"/>
      <c r="S206" t="str">
        <f t="shared" si="2"/>
        <v>Pasywa_A_3</v>
      </c>
      <c r="T206">
        <v>3</v>
      </c>
      <c r="U206" s="18" t="b">
        <v>0</v>
      </c>
      <c r="X206" t="s">
        <v>3810</v>
      </c>
    </row>
    <row r="207" spans="1:24" x14ac:dyDescent="0.3">
      <c r="A207" t="s">
        <v>3220</v>
      </c>
      <c r="B207" s="20" t="s">
        <v>3301</v>
      </c>
      <c r="C207" t="s">
        <v>3811</v>
      </c>
      <c r="D207" t="s">
        <v>3812</v>
      </c>
      <c r="E207" t="s">
        <v>3788</v>
      </c>
      <c r="F207" t="s">
        <v>3474</v>
      </c>
      <c r="G207">
        <v>4</v>
      </c>
      <c r="R207" s="18"/>
      <c r="S207" t="str">
        <f t="shared" si="2"/>
        <v>Pasywa_A_4</v>
      </c>
      <c r="T207">
        <v>3</v>
      </c>
      <c r="U207" s="18" t="b">
        <v>0</v>
      </c>
      <c r="X207" t="s">
        <v>3813</v>
      </c>
    </row>
    <row r="208" spans="1:24" x14ac:dyDescent="0.3">
      <c r="A208" t="s">
        <v>3220</v>
      </c>
      <c r="B208" s="20" t="s">
        <v>3301</v>
      </c>
      <c r="C208" t="s">
        <v>3814</v>
      </c>
      <c r="D208" t="s">
        <v>3815</v>
      </c>
      <c r="E208" t="s">
        <v>3788</v>
      </c>
      <c r="F208" t="s">
        <v>3474</v>
      </c>
      <c r="G208">
        <v>4</v>
      </c>
      <c r="H208">
        <v>1</v>
      </c>
      <c r="R208" s="18"/>
      <c r="S208" t="str">
        <f t="shared" si="2"/>
        <v>Pasywa_A_4_1</v>
      </c>
      <c r="T208">
        <v>4</v>
      </c>
      <c r="U208" s="18" t="b">
        <v>1</v>
      </c>
      <c r="X208" t="s">
        <v>3816</v>
      </c>
    </row>
    <row r="209" spans="1:24" x14ac:dyDescent="0.3">
      <c r="A209" t="s">
        <v>3220</v>
      </c>
      <c r="B209" s="20" t="s">
        <v>3301</v>
      </c>
      <c r="C209" t="s">
        <v>3817</v>
      </c>
      <c r="D209" t="s">
        <v>3818</v>
      </c>
      <c r="E209" t="s">
        <v>3788</v>
      </c>
      <c r="F209" t="s">
        <v>3474</v>
      </c>
      <c r="G209">
        <v>4</v>
      </c>
      <c r="H209">
        <v>2</v>
      </c>
      <c r="R209" s="18"/>
      <c r="S209" t="str">
        <f t="shared" si="2"/>
        <v>Pasywa_A_4_2</v>
      </c>
      <c r="T209">
        <v>4</v>
      </c>
      <c r="U209" s="18" t="b">
        <v>1</v>
      </c>
      <c r="X209" t="s">
        <v>3819</v>
      </c>
    </row>
    <row r="210" spans="1:24" x14ac:dyDescent="0.3">
      <c r="A210" t="s">
        <v>3241</v>
      </c>
      <c r="B210" s="20" t="s">
        <v>3491</v>
      </c>
      <c r="C210" t="s">
        <v>3811</v>
      </c>
      <c r="D210" t="s">
        <v>3820</v>
      </c>
      <c r="E210" t="s">
        <v>3788</v>
      </c>
      <c r="F210" t="s">
        <v>3474</v>
      </c>
      <c r="G210">
        <v>4</v>
      </c>
      <c r="R210" s="18"/>
      <c r="S210" t="str">
        <f t="shared" si="2"/>
        <v>Pasywa_A_4</v>
      </c>
      <c r="T210">
        <v>3</v>
      </c>
      <c r="U210" s="18" t="b">
        <v>0</v>
      </c>
      <c r="X210" t="s">
        <v>3821</v>
      </c>
    </row>
    <row r="211" spans="1:24" x14ac:dyDescent="0.3">
      <c r="A211" t="s">
        <v>3220</v>
      </c>
      <c r="B211" s="20" t="s">
        <v>3301</v>
      </c>
      <c r="C211" t="s">
        <v>3822</v>
      </c>
      <c r="D211" t="s">
        <v>3823</v>
      </c>
      <c r="E211" t="s">
        <v>3788</v>
      </c>
      <c r="F211" t="s">
        <v>3474</v>
      </c>
      <c r="G211">
        <v>5</v>
      </c>
      <c r="R211" s="18"/>
      <c r="S211" t="str">
        <f t="shared" si="2"/>
        <v>Pasywa_A_5</v>
      </c>
      <c r="T211">
        <v>3</v>
      </c>
      <c r="U211" s="18" t="b">
        <v>1</v>
      </c>
      <c r="X211" t="s">
        <v>3824</v>
      </c>
    </row>
    <row r="212" spans="1:24" x14ac:dyDescent="0.3">
      <c r="A212" t="s">
        <v>3220</v>
      </c>
      <c r="B212" s="20" t="s">
        <v>3301</v>
      </c>
      <c r="C212" t="s">
        <v>3825</v>
      </c>
      <c r="D212" t="s">
        <v>3826</v>
      </c>
      <c r="E212" t="s">
        <v>3788</v>
      </c>
      <c r="F212" t="s">
        <v>3474</v>
      </c>
      <c r="G212">
        <v>6</v>
      </c>
      <c r="R212" s="18"/>
      <c r="S212" t="str">
        <f t="shared" si="2"/>
        <v>Pasywa_A_6</v>
      </c>
      <c r="T212">
        <v>3</v>
      </c>
      <c r="U212" s="18" t="b">
        <v>1</v>
      </c>
      <c r="X212" t="s">
        <v>3827</v>
      </c>
    </row>
    <row r="213" spans="1:24" x14ac:dyDescent="0.3">
      <c r="A213" t="s">
        <v>3220</v>
      </c>
      <c r="B213" s="20" t="s">
        <v>3301</v>
      </c>
      <c r="C213" t="s">
        <v>3828</v>
      </c>
      <c r="D213" t="s">
        <v>3829</v>
      </c>
      <c r="E213" t="s">
        <v>3788</v>
      </c>
      <c r="F213" t="s">
        <v>3474</v>
      </c>
      <c r="G213">
        <v>7</v>
      </c>
      <c r="R213" s="18"/>
      <c r="S213" t="str">
        <f t="shared" ref="S213:S276" si="3">IF(ISERROR(FIND("_koniec",D213)),D213,LEFT(D213,FIND("_koniec",D213)-1))</f>
        <v>Pasywa_A_7</v>
      </c>
      <c r="T213">
        <v>3</v>
      </c>
      <c r="U213" s="18" t="b">
        <v>1</v>
      </c>
      <c r="X213" t="s">
        <v>3830</v>
      </c>
    </row>
    <row r="214" spans="1:24" x14ac:dyDescent="0.3">
      <c r="A214" t="s">
        <v>3241</v>
      </c>
      <c r="B214" s="20" t="s">
        <v>3491</v>
      </c>
      <c r="C214" t="s">
        <v>3790</v>
      </c>
      <c r="D214" t="s">
        <v>3831</v>
      </c>
      <c r="E214" t="s">
        <v>3788</v>
      </c>
      <c r="F214" t="s">
        <v>3474</v>
      </c>
      <c r="R214" s="18"/>
      <c r="S214" t="str">
        <f t="shared" si="3"/>
        <v>Pasywa_A</v>
      </c>
      <c r="T214">
        <v>2</v>
      </c>
      <c r="U214" s="18" t="b">
        <v>0</v>
      </c>
      <c r="X214" t="s">
        <v>3832</v>
      </c>
    </row>
    <row r="215" spans="1:24" x14ac:dyDescent="0.3">
      <c r="A215" t="s">
        <v>3220</v>
      </c>
      <c r="B215" s="20" t="s">
        <v>3301</v>
      </c>
      <c r="C215" t="s">
        <v>3833</v>
      </c>
      <c r="D215" t="s">
        <v>3833</v>
      </c>
      <c r="E215" t="s">
        <v>3788</v>
      </c>
      <c r="F215" t="s">
        <v>3505</v>
      </c>
      <c r="R215" s="18"/>
      <c r="S215" t="str">
        <f t="shared" si="3"/>
        <v>Pasywa_B</v>
      </c>
      <c r="T215">
        <v>2</v>
      </c>
      <c r="U215" s="18" t="b">
        <v>0</v>
      </c>
      <c r="X215" t="s">
        <v>3834</v>
      </c>
    </row>
    <row r="216" spans="1:24" x14ac:dyDescent="0.3">
      <c r="A216" t="s">
        <v>3220</v>
      </c>
      <c r="B216" s="20" t="s">
        <v>3301</v>
      </c>
      <c r="C216" t="s">
        <v>3835</v>
      </c>
      <c r="D216" t="s">
        <v>3836</v>
      </c>
      <c r="E216" t="s">
        <v>3788</v>
      </c>
      <c r="F216" t="s">
        <v>3505</v>
      </c>
      <c r="G216">
        <v>1</v>
      </c>
      <c r="R216" s="18"/>
      <c r="S216" t="str">
        <f t="shared" si="3"/>
        <v>Pasywa_B_1</v>
      </c>
      <c r="T216">
        <v>3</v>
      </c>
      <c r="U216" s="18" t="b">
        <v>0</v>
      </c>
      <c r="X216" t="s">
        <v>3837</v>
      </c>
    </row>
    <row r="217" spans="1:24" x14ac:dyDescent="0.3">
      <c r="A217" t="s">
        <v>3220</v>
      </c>
      <c r="B217" s="20" t="s">
        <v>3301</v>
      </c>
      <c r="C217" t="s">
        <v>3838</v>
      </c>
      <c r="D217" t="s">
        <v>3839</v>
      </c>
      <c r="E217" t="s">
        <v>3788</v>
      </c>
      <c r="F217" t="s">
        <v>3505</v>
      </c>
      <c r="G217">
        <v>1</v>
      </c>
      <c r="H217">
        <v>1</v>
      </c>
      <c r="R217" s="18"/>
      <c r="S217" t="str">
        <f t="shared" si="3"/>
        <v>Pasywa_B_1_1</v>
      </c>
      <c r="T217">
        <v>4</v>
      </c>
      <c r="U217" s="18" t="b">
        <v>1</v>
      </c>
      <c r="X217" t="s">
        <v>3840</v>
      </c>
    </row>
    <row r="218" spans="1:24" x14ac:dyDescent="0.3">
      <c r="A218" t="s">
        <v>3220</v>
      </c>
      <c r="B218" s="20" t="s">
        <v>3301</v>
      </c>
      <c r="C218" t="s">
        <v>3841</v>
      </c>
      <c r="D218" t="s">
        <v>3842</v>
      </c>
      <c r="E218" t="s">
        <v>3788</v>
      </c>
      <c r="F218" t="s">
        <v>3505</v>
      </c>
      <c r="G218">
        <v>1</v>
      </c>
      <c r="H218">
        <v>2</v>
      </c>
      <c r="R218" s="18"/>
      <c r="S218" t="str">
        <f t="shared" si="3"/>
        <v>Pasywa_B_1_2</v>
      </c>
      <c r="T218">
        <v>4</v>
      </c>
      <c r="U218" s="18" t="b">
        <v>0</v>
      </c>
      <c r="X218" t="s">
        <v>3843</v>
      </c>
    </row>
    <row r="219" spans="1:24" x14ac:dyDescent="0.3">
      <c r="A219" t="s">
        <v>3220</v>
      </c>
      <c r="B219" s="20" t="s">
        <v>3301</v>
      </c>
      <c r="C219" t="s">
        <v>3844</v>
      </c>
      <c r="D219" t="s">
        <v>3845</v>
      </c>
      <c r="E219" t="s">
        <v>3788</v>
      </c>
      <c r="F219" t="s">
        <v>3505</v>
      </c>
      <c r="G219">
        <v>1</v>
      </c>
      <c r="H219">
        <v>2</v>
      </c>
      <c r="I219">
        <v>1</v>
      </c>
      <c r="R219" s="18"/>
      <c r="S219" t="str">
        <f t="shared" si="3"/>
        <v>Pasywa_B_1_2_1</v>
      </c>
      <c r="T219">
        <v>5</v>
      </c>
      <c r="U219" s="18" t="b">
        <v>1</v>
      </c>
      <c r="X219" t="s">
        <v>3846</v>
      </c>
    </row>
    <row r="220" spans="1:24" x14ac:dyDescent="0.3">
      <c r="A220" t="s">
        <v>3220</v>
      </c>
      <c r="B220" s="20" t="s">
        <v>3301</v>
      </c>
      <c r="C220" t="s">
        <v>3847</v>
      </c>
      <c r="D220" t="s">
        <v>3848</v>
      </c>
      <c r="E220" t="s">
        <v>3788</v>
      </c>
      <c r="F220" t="s">
        <v>3505</v>
      </c>
      <c r="G220">
        <v>1</v>
      </c>
      <c r="H220">
        <v>2</v>
      </c>
      <c r="I220">
        <v>2</v>
      </c>
      <c r="R220" s="18"/>
      <c r="S220" t="str">
        <f t="shared" si="3"/>
        <v>Pasywa_B_1_2_2</v>
      </c>
      <c r="T220">
        <v>5</v>
      </c>
      <c r="U220" s="18" t="b">
        <v>1</v>
      </c>
      <c r="X220" t="s">
        <v>3849</v>
      </c>
    </row>
    <row r="221" spans="1:24" x14ac:dyDescent="0.3">
      <c r="A221" t="s">
        <v>3241</v>
      </c>
      <c r="B221" s="20" t="s">
        <v>3491</v>
      </c>
      <c r="C221" t="s">
        <v>3841</v>
      </c>
      <c r="D221" t="s">
        <v>3850</v>
      </c>
      <c r="E221" t="s">
        <v>3788</v>
      </c>
      <c r="F221" t="s">
        <v>3505</v>
      </c>
      <c r="G221">
        <v>1</v>
      </c>
      <c r="H221">
        <v>2</v>
      </c>
      <c r="R221" s="18"/>
      <c r="S221" t="str">
        <f t="shared" si="3"/>
        <v>Pasywa_B_1_2</v>
      </c>
      <c r="T221">
        <v>4</v>
      </c>
      <c r="U221" s="18" t="b">
        <v>0</v>
      </c>
      <c r="X221" t="s">
        <v>3851</v>
      </c>
    </row>
    <row r="222" spans="1:24" x14ac:dyDescent="0.3">
      <c r="A222" t="s">
        <v>3220</v>
      </c>
      <c r="B222" s="20" t="s">
        <v>3301</v>
      </c>
      <c r="C222" t="s">
        <v>3852</v>
      </c>
      <c r="D222" t="s">
        <v>3853</v>
      </c>
      <c r="E222" t="s">
        <v>3788</v>
      </c>
      <c r="F222" t="s">
        <v>3505</v>
      </c>
      <c r="G222">
        <v>1</v>
      </c>
      <c r="H222">
        <v>3</v>
      </c>
      <c r="R222" s="18"/>
      <c r="S222" t="str">
        <f t="shared" si="3"/>
        <v>Pasywa_B_1_3</v>
      </c>
      <c r="T222">
        <v>4</v>
      </c>
      <c r="U222" s="18" t="b">
        <v>0</v>
      </c>
      <c r="X222" t="s">
        <v>3854</v>
      </c>
    </row>
    <row r="223" spans="1:24" x14ac:dyDescent="0.3">
      <c r="A223" t="s">
        <v>3220</v>
      </c>
      <c r="B223" s="20" t="s">
        <v>3301</v>
      </c>
      <c r="C223" t="s">
        <v>3855</v>
      </c>
      <c r="D223" t="s">
        <v>3856</v>
      </c>
      <c r="E223" t="s">
        <v>3788</v>
      </c>
      <c r="F223" t="s">
        <v>3505</v>
      </c>
      <c r="G223">
        <v>1</v>
      </c>
      <c r="H223">
        <v>3</v>
      </c>
      <c r="I223">
        <v>1</v>
      </c>
      <c r="R223" s="18"/>
      <c r="S223" t="str">
        <f t="shared" si="3"/>
        <v>Pasywa_B_1_3_1</v>
      </c>
      <c r="T223">
        <v>5</v>
      </c>
      <c r="U223" s="18" t="b">
        <v>1</v>
      </c>
      <c r="X223" t="s">
        <v>3857</v>
      </c>
    </row>
    <row r="224" spans="1:24" x14ac:dyDescent="0.3">
      <c r="A224" t="s">
        <v>3220</v>
      </c>
      <c r="B224" s="20" t="s">
        <v>3301</v>
      </c>
      <c r="C224" t="s">
        <v>3858</v>
      </c>
      <c r="D224" t="s">
        <v>3859</v>
      </c>
      <c r="E224" t="s">
        <v>3788</v>
      </c>
      <c r="F224" t="s">
        <v>3505</v>
      </c>
      <c r="G224">
        <v>1</v>
      </c>
      <c r="H224">
        <v>3</v>
      </c>
      <c r="I224">
        <v>2</v>
      </c>
      <c r="R224" s="18"/>
      <c r="S224" t="str">
        <f t="shared" si="3"/>
        <v>Pasywa_B_1_3_2</v>
      </c>
      <c r="T224">
        <v>5</v>
      </c>
      <c r="U224" s="18" t="b">
        <v>1</v>
      </c>
      <c r="X224" t="s">
        <v>3860</v>
      </c>
    </row>
    <row r="225" spans="1:24" x14ac:dyDescent="0.3">
      <c r="A225" t="s">
        <v>3241</v>
      </c>
      <c r="B225" s="20" t="s">
        <v>3491</v>
      </c>
      <c r="C225" t="s">
        <v>3852</v>
      </c>
      <c r="D225" t="s">
        <v>3861</v>
      </c>
      <c r="E225" t="s">
        <v>3788</v>
      </c>
      <c r="F225" t="s">
        <v>3505</v>
      </c>
      <c r="G225">
        <v>1</v>
      </c>
      <c r="H225">
        <v>3</v>
      </c>
      <c r="R225" s="18"/>
      <c r="S225" t="str">
        <f t="shared" si="3"/>
        <v>Pasywa_B_1_3</v>
      </c>
      <c r="T225">
        <v>4</v>
      </c>
      <c r="U225" s="18" t="b">
        <v>0</v>
      </c>
      <c r="X225" t="s">
        <v>3862</v>
      </c>
    </row>
    <row r="226" spans="1:24" x14ac:dyDescent="0.3">
      <c r="A226" t="s">
        <v>3241</v>
      </c>
      <c r="B226" s="20" t="s">
        <v>3491</v>
      </c>
      <c r="C226" t="s">
        <v>3835</v>
      </c>
      <c r="D226" t="s">
        <v>3863</v>
      </c>
      <c r="E226" t="s">
        <v>3788</v>
      </c>
      <c r="F226" t="s">
        <v>3505</v>
      </c>
      <c r="G226">
        <v>1</v>
      </c>
      <c r="R226" s="18"/>
      <c r="S226" t="str">
        <f t="shared" si="3"/>
        <v>Pasywa_B_1</v>
      </c>
      <c r="T226">
        <v>3</v>
      </c>
      <c r="U226" s="18" t="b">
        <v>0</v>
      </c>
      <c r="X226" t="s">
        <v>3864</v>
      </c>
    </row>
    <row r="227" spans="1:24" x14ac:dyDescent="0.3">
      <c r="A227" t="s">
        <v>3220</v>
      </c>
      <c r="B227" s="20" t="s">
        <v>3301</v>
      </c>
      <c r="C227" t="s">
        <v>3865</v>
      </c>
      <c r="D227" t="s">
        <v>3866</v>
      </c>
      <c r="E227" t="s">
        <v>3788</v>
      </c>
      <c r="F227" t="s">
        <v>3505</v>
      </c>
      <c r="G227">
        <v>2</v>
      </c>
      <c r="R227" s="18"/>
      <c r="S227" t="str">
        <f t="shared" si="3"/>
        <v>Pasywa_B_2</v>
      </c>
      <c r="T227">
        <v>3</v>
      </c>
      <c r="U227" s="18" t="b">
        <v>0</v>
      </c>
      <c r="X227" t="s">
        <v>3867</v>
      </c>
    </row>
    <row r="228" spans="1:24" x14ac:dyDescent="0.3">
      <c r="A228" t="s">
        <v>3220</v>
      </c>
      <c r="B228" s="20" t="s">
        <v>3301</v>
      </c>
      <c r="C228" t="s">
        <v>3868</v>
      </c>
      <c r="D228" t="s">
        <v>3869</v>
      </c>
      <c r="E228" t="s">
        <v>3788</v>
      </c>
      <c r="F228" t="s">
        <v>3505</v>
      </c>
      <c r="G228">
        <v>2</v>
      </c>
      <c r="H228">
        <v>1</v>
      </c>
      <c r="R228" s="18"/>
      <c r="S228" t="str">
        <f t="shared" si="3"/>
        <v>Pasywa_B_2_1</v>
      </c>
      <c r="T228">
        <v>4</v>
      </c>
      <c r="U228" s="18" t="b">
        <v>1</v>
      </c>
      <c r="X228" t="s">
        <v>3870</v>
      </c>
    </row>
    <row r="229" spans="1:24" x14ac:dyDescent="0.3">
      <c r="A229" t="s">
        <v>3220</v>
      </c>
      <c r="B229" s="20" t="s">
        <v>3301</v>
      </c>
      <c r="C229" t="s">
        <v>3871</v>
      </c>
      <c r="D229" t="s">
        <v>3872</v>
      </c>
      <c r="E229" t="s">
        <v>3788</v>
      </c>
      <c r="F229" t="s">
        <v>3505</v>
      </c>
      <c r="G229">
        <v>2</v>
      </c>
      <c r="H229">
        <v>2</v>
      </c>
      <c r="R229" s="18"/>
      <c r="S229" t="str">
        <f t="shared" si="3"/>
        <v>Pasywa_B_2_2</v>
      </c>
      <c r="T229">
        <v>4</v>
      </c>
      <c r="U229" s="18" t="b">
        <v>1</v>
      </c>
      <c r="X229" t="s">
        <v>3873</v>
      </c>
    </row>
    <row r="230" spans="1:24" x14ac:dyDescent="0.3">
      <c r="A230" t="s">
        <v>3220</v>
      </c>
      <c r="B230" s="20" t="s">
        <v>3301</v>
      </c>
      <c r="C230" t="s">
        <v>3874</v>
      </c>
      <c r="D230" t="s">
        <v>3875</v>
      </c>
      <c r="E230" t="s">
        <v>3788</v>
      </c>
      <c r="F230" t="s">
        <v>3505</v>
      </c>
      <c r="G230">
        <v>2</v>
      </c>
      <c r="H230">
        <v>3</v>
      </c>
      <c r="R230" s="18"/>
      <c r="S230" t="str">
        <f t="shared" si="3"/>
        <v>Pasywa_B_2_3</v>
      </c>
      <c r="T230">
        <v>4</v>
      </c>
      <c r="U230" s="18" t="b">
        <v>0</v>
      </c>
      <c r="X230" t="s">
        <v>3876</v>
      </c>
    </row>
    <row r="231" spans="1:24" x14ac:dyDescent="0.3">
      <c r="A231" t="s">
        <v>3220</v>
      </c>
      <c r="B231" s="20" t="s">
        <v>3301</v>
      </c>
      <c r="C231" t="s">
        <v>3877</v>
      </c>
      <c r="D231" t="s">
        <v>3878</v>
      </c>
      <c r="E231" t="s">
        <v>3788</v>
      </c>
      <c r="F231" t="s">
        <v>3505</v>
      </c>
      <c r="G231">
        <v>2</v>
      </c>
      <c r="H231">
        <v>3</v>
      </c>
      <c r="I231" t="s">
        <v>3474</v>
      </c>
      <c r="R231" s="18"/>
      <c r="S231" t="str">
        <f t="shared" si="3"/>
        <v>Pasywa_B_2_3_A</v>
      </c>
      <c r="T231">
        <v>5</v>
      </c>
      <c r="U231" s="18" t="b">
        <v>1</v>
      </c>
      <c r="X231" t="s">
        <v>3879</v>
      </c>
    </row>
    <row r="232" spans="1:24" x14ac:dyDescent="0.3">
      <c r="A232" t="s">
        <v>3220</v>
      </c>
      <c r="B232" s="20" t="s">
        <v>3301</v>
      </c>
      <c r="C232" t="s">
        <v>3880</v>
      </c>
      <c r="D232" t="s">
        <v>3881</v>
      </c>
      <c r="E232" t="s">
        <v>3788</v>
      </c>
      <c r="F232" t="s">
        <v>3505</v>
      </c>
      <c r="G232">
        <v>2</v>
      </c>
      <c r="H232">
        <v>3</v>
      </c>
      <c r="I232" t="s">
        <v>3505</v>
      </c>
      <c r="R232" s="18"/>
      <c r="S232" t="str">
        <f t="shared" si="3"/>
        <v>Pasywa_B_2_3_B</v>
      </c>
      <c r="T232">
        <v>5</v>
      </c>
      <c r="U232" s="18" t="b">
        <v>1</v>
      </c>
      <c r="X232" t="s">
        <v>3882</v>
      </c>
    </row>
    <row r="233" spans="1:24" x14ac:dyDescent="0.3">
      <c r="A233" t="s">
        <v>3220</v>
      </c>
      <c r="B233" s="20" t="s">
        <v>3301</v>
      </c>
      <c r="C233" t="s">
        <v>3883</v>
      </c>
      <c r="D233" t="s">
        <v>3884</v>
      </c>
      <c r="E233" t="s">
        <v>3788</v>
      </c>
      <c r="F233" t="s">
        <v>3505</v>
      </c>
      <c r="G233">
        <v>2</v>
      </c>
      <c r="H233">
        <v>3</v>
      </c>
      <c r="I233" t="s">
        <v>3509</v>
      </c>
      <c r="R233" s="18"/>
      <c r="S233" t="str">
        <f t="shared" si="3"/>
        <v>Pasywa_B_2_3_C</v>
      </c>
      <c r="T233">
        <v>5</v>
      </c>
      <c r="U233" s="18" t="b">
        <v>1</v>
      </c>
      <c r="X233" t="s">
        <v>3885</v>
      </c>
    </row>
    <row r="234" spans="1:24" x14ac:dyDescent="0.3">
      <c r="A234" t="s">
        <v>3220</v>
      </c>
      <c r="B234" s="20" t="s">
        <v>3301</v>
      </c>
      <c r="C234" t="s">
        <v>3886</v>
      </c>
      <c r="D234" t="s">
        <v>3887</v>
      </c>
      <c r="E234" t="s">
        <v>3788</v>
      </c>
      <c r="F234" t="s">
        <v>3505</v>
      </c>
      <c r="G234">
        <v>2</v>
      </c>
      <c r="H234">
        <v>3</v>
      </c>
      <c r="I234" t="s">
        <v>3513</v>
      </c>
      <c r="R234" s="18"/>
      <c r="S234" t="str">
        <f t="shared" si="3"/>
        <v>Pasywa_B_2_3_D</v>
      </c>
      <c r="T234">
        <v>5</v>
      </c>
      <c r="U234" s="18" t="b">
        <v>1</v>
      </c>
      <c r="X234" t="s">
        <v>3888</v>
      </c>
    </row>
    <row r="235" spans="1:24" x14ac:dyDescent="0.3">
      <c r="A235" t="s">
        <v>3220</v>
      </c>
      <c r="B235" s="20" t="s">
        <v>3301</v>
      </c>
      <c r="C235" t="s">
        <v>3889</v>
      </c>
      <c r="D235" t="s">
        <v>3890</v>
      </c>
      <c r="E235" t="s">
        <v>3788</v>
      </c>
      <c r="F235" t="s">
        <v>3505</v>
      </c>
      <c r="G235">
        <v>2</v>
      </c>
      <c r="H235">
        <v>3</v>
      </c>
      <c r="I235" t="s">
        <v>3517</v>
      </c>
      <c r="R235" s="18"/>
      <c r="S235" t="str">
        <f t="shared" si="3"/>
        <v>Pasywa_B_2_3_E</v>
      </c>
      <c r="T235">
        <v>5</v>
      </c>
      <c r="U235" s="18" t="b">
        <v>1</v>
      </c>
      <c r="X235" t="s">
        <v>3891</v>
      </c>
    </row>
    <row r="236" spans="1:24" x14ac:dyDescent="0.3">
      <c r="A236" t="s">
        <v>3241</v>
      </c>
      <c r="B236" s="20" t="s">
        <v>3491</v>
      </c>
      <c r="C236" t="s">
        <v>3874</v>
      </c>
      <c r="D236" t="s">
        <v>3892</v>
      </c>
      <c r="E236" t="s">
        <v>3788</v>
      </c>
      <c r="F236" t="s">
        <v>3505</v>
      </c>
      <c r="G236">
        <v>2</v>
      </c>
      <c r="H236">
        <v>3</v>
      </c>
      <c r="R236" s="18"/>
      <c r="S236" t="str">
        <f t="shared" si="3"/>
        <v>Pasywa_B_2_3</v>
      </c>
      <c r="T236">
        <v>4</v>
      </c>
      <c r="U236" s="18" t="b">
        <v>0</v>
      </c>
      <c r="X236" t="s">
        <v>3893</v>
      </c>
    </row>
    <row r="237" spans="1:24" x14ac:dyDescent="0.3">
      <c r="A237" t="s">
        <v>3241</v>
      </c>
      <c r="B237" s="20" t="s">
        <v>3491</v>
      </c>
      <c r="C237" t="s">
        <v>3865</v>
      </c>
      <c r="D237" t="s">
        <v>3894</v>
      </c>
      <c r="E237" t="s">
        <v>3788</v>
      </c>
      <c r="F237" t="s">
        <v>3505</v>
      </c>
      <c r="G237">
        <v>2</v>
      </c>
      <c r="R237" s="18"/>
      <c r="S237" t="str">
        <f t="shared" si="3"/>
        <v>Pasywa_B_2</v>
      </c>
      <c r="T237">
        <v>3</v>
      </c>
      <c r="U237" s="18" t="b">
        <v>0</v>
      </c>
      <c r="X237" t="s">
        <v>3895</v>
      </c>
    </row>
    <row r="238" spans="1:24" x14ac:dyDescent="0.3">
      <c r="A238" t="s">
        <v>3220</v>
      </c>
      <c r="B238" s="20" t="s">
        <v>3301</v>
      </c>
      <c r="C238" t="s">
        <v>3896</v>
      </c>
      <c r="D238" t="s">
        <v>3897</v>
      </c>
      <c r="E238" t="s">
        <v>3788</v>
      </c>
      <c r="F238" t="s">
        <v>3505</v>
      </c>
      <c r="G238">
        <v>3</v>
      </c>
      <c r="R238" s="18"/>
      <c r="S238" t="str">
        <f t="shared" si="3"/>
        <v>Pasywa_B_3</v>
      </c>
      <c r="T238">
        <v>3</v>
      </c>
      <c r="U238" s="18" t="b">
        <v>0</v>
      </c>
      <c r="X238" t="s">
        <v>3898</v>
      </c>
    </row>
    <row r="239" spans="1:24" x14ac:dyDescent="0.3">
      <c r="A239" t="s">
        <v>3220</v>
      </c>
      <c r="B239" s="20" t="s">
        <v>3301</v>
      </c>
      <c r="C239" t="s">
        <v>3899</v>
      </c>
      <c r="D239" t="s">
        <v>3900</v>
      </c>
      <c r="E239" t="s">
        <v>3788</v>
      </c>
      <c r="F239" t="s">
        <v>3505</v>
      </c>
      <c r="G239">
        <v>3</v>
      </c>
      <c r="H239">
        <v>1</v>
      </c>
      <c r="R239" s="18"/>
      <c r="S239" t="str">
        <f t="shared" si="3"/>
        <v>Pasywa_B_3_1</v>
      </c>
      <c r="T239">
        <v>4</v>
      </c>
      <c r="U239" s="18" t="b">
        <v>0</v>
      </c>
      <c r="X239" t="s">
        <v>3901</v>
      </c>
    </row>
    <row r="240" spans="1:24" x14ac:dyDescent="0.3">
      <c r="A240" t="s">
        <v>3220</v>
      </c>
      <c r="B240" s="20" t="s">
        <v>3301</v>
      </c>
      <c r="C240" t="s">
        <v>3902</v>
      </c>
      <c r="D240" t="s">
        <v>3903</v>
      </c>
      <c r="E240" t="s">
        <v>3788</v>
      </c>
      <c r="F240" t="s">
        <v>3505</v>
      </c>
      <c r="G240">
        <v>3</v>
      </c>
      <c r="H240">
        <v>1</v>
      </c>
      <c r="I240" t="s">
        <v>3474</v>
      </c>
      <c r="R240" s="18"/>
      <c r="S240" t="str">
        <f t="shared" si="3"/>
        <v>Pasywa_B_3_1_A</v>
      </c>
      <c r="T240">
        <v>5</v>
      </c>
      <c r="U240" s="18" t="b">
        <v>0</v>
      </c>
      <c r="X240" t="s">
        <v>3904</v>
      </c>
    </row>
    <row r="241" spans="1:24" x14ac:dyDescent="0.3">
      <c r="A241" t="s">
        <v>3220</v>
      </c>
      <c r="B241" s="20" t="s">
        <v>3301</v>
      </c>
      <c r="C241" t="s">
        <v>3905</v>
      </c>
      <c r="D241" t="s">
        <v>3906</v>
      </c>
      <c r="E241" t="s">
        <v>3788</v>
      </c>
      <c r="F241" t="s">
        <v>3505</v>
      </c>
      <c r="G241">
        <v>3</v>
      </c>
      <c r="H241">
        <v>1</v>
      </c>
      <c r="I241" t="s">
        <v>3474</v>
      </c>
      <c r="J241">
        <v>1</v>
      </c>
      <c r="R241" s="18"/>
      <c r="S241" t="str">
        <f t="shared" si="3"/>
        <v>Pasywa_B_3_1_A_1</v>
      </c>
      <c r="T241">
        <v>6</v>
      </c>
      <c r="U241" s="18" t="b">
        <v>1</v>
      </c>
      <c r="X241" t="s">
        <v>3907</v>
      </c>
    </row>
    <row r="242" spans="1:24" x14ac:dyDescent="0.3">
      <c r="A242" t="s">
        <v>3220</v>
      </c>
      <c r="B242" s="20" t="s">
        <v>3301</v>
      </c>
      <c r="C242" t="s">
        <v>3908</v>
      </c>
      <c r="D242" t="s">
        <v>3909</v>
      </c>
      <c r="E242" t="s">
        <v>3788</v>
      </c>
      <c r="F242" t="s">
        <v>3505</v>
      </c>
      <c r="G242">
        <v>3</v>
      </c>
      <c r="H242">
        <v>1</v>
      </c>
      <c r="I242" t="s">
        <v>3474</v>
      </c>
      <c r="J242">
        <v>2</v>
      </c>
      <c r="R242" s="18"/>
      <c r="S242" t="str">
        <f t="shared" si="3"/>
        <v>Pasywa_B_3_1_A_2</v>
      </c>
      <c r="T242">
        <v>6</v>
      </c>
      <c r="U242" s="18" t="b">
        <v>1</v>
      </c>
      <c r="X242" t="s">
        <v>3910</v>
      </c>
    </row>
    <row r="243" spans="1:24" x14ac:dyDescent="0.3">
      <c r="A243" t="s">
        <v>3241</v>
      </c>
      <c r="B243" s="20" t="s">
        <v>3491</v>
      </c>
      <c r="C243" t="s">
        <v>3902</v>
      </c>
      <c r="D243" t="s">
        <v>3911</v>
      </c>
      <c r="E243" t="s">
        <v>3788</v>
      </c>
      <c r="F243" t="s">
        <v>3505</v>
      </c>
      <c r="G243">
        <v>3</v>
      </c>
      <c r="H243">
        <v>1</v>
      </c>
      <c r="I243" t="s">
        <v>3474</v>
      </c>
      <c r="R243" s="18"/>
      <c r="S243" t="str">
        <f t="shared" si="3"/>
        <v>Pasywa_B_3_1_A</v>
      </c>
      <c r="T243">
        <v>5</v>
      </c>
      <c r="U243" s="18" t="b">
        <v>0</v>
      </c>
      <c r="X243" t="s">
        <v>3912</v>
      </c>
    </row>
    <row r="244" spans="1:24" x14ac:dyDescent="0.3">
      <c r="A244" t="s">
        <v>3220</v>
      </c>
      <c r="B244" s="20" t="s">
        <v>3301</v>
      </c>
      <c r="C244" t="s">
        <v>3913</v>
      </c>
      <c r="D244" t="s">
        <v>3914</v>
      </c>
      <c r="E244" t="s">
        <v>3788</v>
      </c>
      <c r="F244" t="s">
        <v>3505</v>
      </c>
      <c r="G244">
        <v>3</v>
      </c>
      <c r="H244">
        <v>1</v>
      </c>
      <c r="I244" t="s">
        <v>3505</v>
      </c>
      <c r="R244" s="18"/>
      <c r="S244" t="str">
        <f t="shared" si="3"/>
        <v>Pasywa_B_3_1_B</v>
      </c>
      <c r="T244">
        <v>5</v>
      </c>
      <c r="U244" s="18" t="b">
        <v>1</v>
      </c>
      <c r="X244" t="s">
        <v>3915</v>
      </c>
    </row>
    <row r="245" spans="1:24" x14ac:dyDescent="0.3">
      <c r="A245" t="s">
        <v>3241</v>
      </c>
      <c r="B245" s="20" t="s">
        <v>3491</v>
      </c>
      <c r="C245" t="s">
        <v>3899</v>
      </c>
      <c r="D245" t="s">
        <v>3916</v>
      </c>
      <c r="E245" t="s">
        <v>3788</v>
      </c>
      <c r="F245" t="s">
        <v>3505</v>
      </c>
      <c r="G245">
        <v>3</v>
      </c>
      <c r="H245">
        <v>1</v>
      </c>
      <c r="R245" s="18"/>
      <c r="S245" t="str">
        <f t="shared" si="3"/>
        <v>Pasywa_B_3_1</v>
      </c>
      <c r="T245">
        <v>4</v>
      </c>
      <c r="U245" s="18" t="b">
        <v>0</v>
      </c>
      <c r="X245" t="s">
        <v>3917</v>
      </c>
    </row>
    <row r="246" spans="1:24" x14ac:dyDescent="0.3">
      <c r="A246" t="s">
        <v>3220</v>
      </c>
      <c r="B246" s="20" t="s">
        <v>3301</v>
      </c>
      <c r="C246" t="s">
        <v>3918</v>
      </c>
      <c r="D246" t="s">
        <v>3919</v>
      </c>
      <c r="E246" t="s">
        <v>3788</v>
      </c>
      <c r="F246" t="s">
        <v>3505</v>
      </c>
      <c r="G246">
        <v>3</v>
      </c>
      <c r="H246">
        <v>2</v>
      </c>
      <c r="R246" s="18"/>
      <c r="S246" t="str">
        <f t="shared" si="3"/>
        <v>Pasywa_B_3_2</v>
      </c>
      <c r="T246">
        <v>4</v>
      </c>
      <c r="U246" s="18" t="b">
        <v>0</v>
      </c>
      <c r="X246" t="s">
        <v>3920</v>
      </c>
    </row>
    <row r="247" spans="1:24" x14ac:dyDescent="0.3">
      <c r="A247" t="s">
        <v>3220</v>
      </c>
      <c r="B247" s="20" t="s">
        <v>3301</v>
      </c>
      <c r="C247" t="s">
        <v>3921</v>
      </c>
      <c r="D247" t="s">
        <v>3922</v>
      </c>
      <c r="E247" t="s">
        <v>3788</v>
      </c>
      <c r="F247" t="s">
        <v>3505</v>
      </c>
      <c r="G247">
        <v>3</v>
      </c>
      <c r="H247">
        <v>2</v>
      </c>
      <c r="I247" t="s">
        <v>3474</v>
      </c>
      <c r="R247" s="18"/>
      <c r="S247" t="str">
        <f t="shared" si="3"/>
        <v>Pasywa_B_3_2_A</v>
      </c>
      <c r="T247">
        <v>5</v>
      </c>
      <c r="U247" s="18" t="b">
        <v>0</v>
      </c>
      <c r="X247" t="s">
        <v>3923</v>
      </c>
    </row>
    <row r="248" spans="1:24" x14ac:dyDescent="0.3">
      <c r="A248" t="s">
        <v>3220</v>
      </c>
      <c r="B248" s="20" t="s">
        <v>3301</v>
      </c>
      <c r="C248" t="s">
        <v>3924</v>
      </c>
      <c r="D248" t="s">
        <v>3925</v>
      </c>
      <c r="E248" t="s">
        <v>3788</v>
      </c>
      <c r="F248" t="s">
        <v>3505</v>
      </c>
      <c r="G248">
        <v>3</v>
      </c>
      <c r="H248">
        <v>2</v>
      </c>
      <c r="I248" t="s">
        <v>3474</v>
      </c>
      <c r="J248">
        <v>1</v>
      </c>
      <c r="R248" s="18"/>
      <c r="S248" t="str">
        <f t="shared" si="3"/>
        <v>Pasywa_B_3_2_A_1</v>
      </c>
      <c r="T248">
        <v>6</v>
      </c>
      <c r="U248" s="18" t="b">
        <v>1</v>
      </c>
      <c r="X248" t="s">
        <v>3926</v>
      </c>
    </row>
    <row r="249" spans="1:24" x14ac:dyDescent="0.3">
      <c r="A249" t="s">
        <v>3220</v>
      </c>
      <c r="B249" s="20" t="s">
        <v>3301</v>
      </c>
      <c r="C249" t="s">
        <v>3927</v>
      </c>
      <c r="D249" t="s">
        <v>3928</v>
      </c>
      <c r="E249" t="s">
        <v>3788</v>
      </c>
      <c r="F249" t="s">
        <v>3505</v>
      </c>
      <c r="G249">
        <v>3</v>
      </c>
      <c r="H249">
        <v>2</v>
      </c>
      <c r="I249" t="s">
        <v>3474</v>
      </c>
      <c r="J249">
        <v>2</v>
      </c>
      <c r="R249" s="18"/>
      <c r="S249" t="str">
        <f t="shared" si="3"/>
        <v>Pasywa_B_3_2_A_2</v>
      </c>
      <c r="T249">
        <v>6</v>
      </c>
      <c r="U249" s="18" t="b">
        <v>1</v>
      </c>
      <c r="X249" t="s">
        <v>3929</v>
      </c>
    </row>
    <row r="250" spans="1:24" x14ac:dyDescent="0.3">
      <c r="A250" t="s">
        <v>3241</v>
      </c>
      <c r="B250" s="20" t="s">
        <v>3491</v>
      </c>
      <c r="C250" t="s">
        <v>3921</v>
      </c>
      <c r="D250" t="s">
        <v>3930</v>
      </c>
      <c r="E250" t="s">
        <v>3788</v>
      </c>
      <c r="F250" t="s">
        <v>3505</v>
      </c>
      <c r="G250">
        <v>3</v>
      </c>
      <c r="H250">
        <v>2</v>
      </c>
      <c r="I250" t="s">
        <v>3474</v>
      </c>
      <c r="R250" s="18"/>
      <c r="S250" t="str">
        <f t="shared" si="3"/>
        <v>Pasywa_B_3_2_A</v>
      </c>
      <c r="T250">
        <v>5</v>
      </c>
      <c r="U250" s="18" t="b">
        <v>0</v>
      </c>
      <c r="X250" t="s">
        <v>3931</v>
      </c>
    </row>
    <row r="251" spans="1:24" x14ac:dyDescent="0.3">
      <c r="A251" t="s">
        <v>3220</v>
      </c>
      <c r="B251" s="20" t="s">
        <v>3301</v>
      </c>
      <c r="C251" t="s">
        <v>3932</v>
      </c>
      <c r="D251" t="s">
        <v>3933</v>
      </c>
      <c r="E251" t="s">
        <v>3788</v>
      </c>
      <c r="F251" t="s">
        <v>3505</v>
      </c>
      <c r="G251">
        <v>3</v>
      </c>
      <c r="H251">
        <v>2</v>
      </c>
      <c r="I251" t="s">
        <v>3505</v>
      </c>
      <c r="R251" s="18"/>
      <c r="S251" t="str">
        <f t="shared" si="3"/>
        <v>Pasywa_B_3_2_B</v>
      </c>
      <c r="T251">
        <v>5</v>
      </c>
      <c r="U251" s="18" t="b">
        <v>1</v>
      </c>
      <c r="X251" t="s">
        <v>3934</v>
      </c>
    </row>
    <row r="252" spans="1:24" x14ac:dyDescent="0.3">
      <c r="A252" t="s">
        <v>3241</v>
      </c>
      <c r="B252" s="20" t="s">
        <v>3491</v>
      </c>
      <c r="C252" t="s">
        <v>3918</v>
      </c>
      <c r="D252" t="s">
        <v>3935</v>
      </c>
      <c r="E252" t="s">
        <v>3788</v>
      </c>
      <c r="F252" t="s">
        <v>3505</v>
      </c>
      <c r="G252">
        <v>3</v>
      </c>
      <c r="H252">
        <v>2</v>
      </c>
      <c r="R252" s="18"/>
      <c r="S252" t="str">
        <f t="shared" si="3"/>
        <v>Pasywa_B_3_2</v>
      </c>
      <c r="T252">
        <v>4</v>
      </c>
      <c r="U252" s="18" t="b">
        <v>0</v>
      </c>
      <c r="X252" t="s">
        <v>3936</v>
      </c>
    </row>
    <row r="253" spans="1:24" x14ac:dyDescent="0.3">
      <c r="A253" t="s">
        <v>3220</v>
      </c>
      <c r="B253" s="20" t="s">
        <v>3301</v>
      </c>
      <c r="C253" t="s">
        <v>3937</v>
      </c>
      <c r="D253" t="s">
        <v>3938</v>
      </c>
      <c r="E253" t="s">
        <v>3788</v>
      </c>
      <c r="F253" t="s">
        <v>3505</v>
      </c>
      <c r="G253">
        <v>3</v>
      </c>
      <c r="H253">
        <v>3</v>
      </c>
      <c r="R253" s="18"/>
      <c r="S253" t="str">
        <f t="shared" si="3"/>
        <v>Pasywa_B_3_3</v>
      </c>
      <c r="T253">
        <v>4</v>
      </c>
      <c r="U253" s="18" t="b">
        <v>0</v>
      </c>
      <c r="X253" t="s">
        <v>3939</v>
      </c>
    </row>
    <row r="254" spans="1:24" x14ac:dyDescent="0.3">
      <c r="A254" t="s">
        <v>3220</v>
      </c>
      <c r="B254" s="20" t="s">
        <v>3301</v>
      </c>
      <c r="C254" t="s">
        <v>3940</v>
      </c>
      <c r="D254" t="s">
        <v>3941</v>
      </c>
      <c r="E254" t="s">
        <v>3788</v>
      </c>
      <c r="F254" t="s">
        <v>3505</v>
      </c>
      <c r="G254">
        <v>3</v>
      </c>
      <c r="H254">
        <v>3</v>
      </c>
      <c r="I254" t="s">
        <v>3474</v>
      </c>
      <c r="R254" s="18"/>
      <c r="S254" t="str">
        <f t="shared" si="3"/>
        <v>Pasywa_B_3_3_A</v>
      </c>
      <c r="T254">
        <v>5</v>
      </c>
      <c r="U254" s="18" t="b">
        <v>1</v>
      </c>
      <c r="X254" t="s">
        <v>3942</v>
      </c>
    </row>
    <row r="255" spans="1:24" x14ac:dyDescent="0.3">
      <c r="A255" t="s">
        <v>3220</v>
      </c>
      <c r="B255" s="20" t="s">
        <v>3301</v>
      </c>
      <c r="C255" t="s">
        <v>3943</v>
      </c>
      <c r="D255" t="s">
        <v>3944</v>
      </c>
      <c r="E255" t="s">
        <v>3788</v>
      </c>
      <c r="F255" t="s">
        <v>3505</v>
      </c>
      <c r="G255">
        <v>3</v>
      </c>
      <c r="H255">
        <v>3</v>
      </c>
      <c r="I255" t="s">
        <v>3505</v>
      </c>
      <c r="R255" s="18"/>
      <c r="S255" t="str">
        <f t="shared" si="3"/>
        <v>Pasywa_B_3_3_B</v>
      </c>
      <c r="T255">
        <v>5</v>
      </c>
      <c r="U255" s="18" t="b">
        <v>1</v>
      </c>
      <c r="X255" t="s">
        <v>3945</v>
      </c>
    </row>
    <row r="256" spans="1:24" x14ac:dyDescent="0.3">
      <c r="A256" t="s">
        <v>3220</v>
      </c>
      <c r="B256" s="20" t="s">
        <v>3301</v>
      </c>
      <c r="C256" t="s">
        <v>3946</v>
      </c>
      <c r="D256" t="s">
        <v>3947</v>
      </c>
      <c r="E256" t="s">
        <v>3788</v>
      </c>
      <c r="F256" t="s">
        <v>3505</v>
      </c>
      <c r="G256">
        <v>3</v>
      </c>
      <c r="H256">
        <v>3</v>
      </c>
      <c r="I256" t="s">
        <v>3509</v>
      </c>
      <c r="R256" s="18"/>
      <c r="S256" t="str">
        <f t="shared" si="3"/>
        <v>Pasywa_B_3_3_C</v>
      </c>
      <c r="T256">
        <v>5</v>
      </c>
      <c r="U256" s="18" t="b">
        <v>1</v>
      </c>
      <c r="X256" t="s">
        <v>3948</v>
      </c>
    </row>
    <row r="257" spans="1:24" x14ac:dyDescent="0.3">
      <c r="A257" t="s">
        <v>3220</v>
      </c>
      <c r="B257" s="20" t="s">
        <v>3301</v>
      </c>
      <c r="C257" t="s">
        <v>3949</v>
      </c>
      <c r="D257" t="s">
        <v>3950</v>
      </c>
      <c r="E257" t="s">
        <v>3788</v>
      </c>
      <c r="F257" t="s">
        <v>3505</v>
      </c>
      <c r="G257">
        <v>3</v>
      </c>
      <c r="H257">
        <v>3</v>
      </c>
      <c r="I257" t="s">
        <v>3513</v>
      </c>
      <c r="R257" s="18"/>
      <c r="S257" t="str">
        <f t="shared" si="3"/>
        <v>Pasywa_B_3_3_D</v>
      </c>
      <c r="T257">
        <v>5</v>
      </c>
      <c r="U257" s="18" t="b">
        <v>0</v>
      </c>
      <c r="X257" t="s">
        <v>3951</v>
      </c>
    </row>
    <row r="258" spans="1:24" x14ac:dyDescent="0.3">
      <c r="A258" t="s">
        <v>3220</v>
      </c>
      <c r="B258" s="20" t="s">
        <v>3301</v>
      </c>
      <c r="C258" t="s">
        <v>3952</v>
      </c>
      <c r="D258" t="s">
        <v>3953</v>
      </c>
      <c r="E258" t="s">
        <v>3788</v>
      </c>
      <c r="F258" t="s">
        <v>3505</v>
      </c>
      <c r="G258">
        <v>3</v>
      </c>
      <c r="H258">
        <v>3</v>
      </c>
      <c r="I258" t="s">
        <v>3513</v>
      </c>
      <c r="J258">
        <v>1</v>
      </c>
      <c r="R258" s="18"/>
      <c r="S258" t="str">
        <f t="shared" si="3"/>
        <v>Pasywa_B_3_3_D_1</v>
      </c>
      <c r="T258">
        <v>6</v>
      </c>
      <c r="U258" s="18" t="b">
        <v>1</v>
      </c>
      <c r="X258" t="s">
        <v>3954</v>
      </c>
    </row>
    <row r="259" spans="1:24" x14ac:dyDescent="0.3">
      <c r="A259" t="s">
        <v>3220</v>
      </c>
      <c r="B259" s="20" t="s">
        <v>3301</v>
      </c>
      <c r="C259" t="s">
        <v>3955</v>
      </c>
      <c r="D259" t="s">
        <v>3956</v>
      </c>
      <c r="E259" t="s">
        <v>3788</v>
      </c>
      <c r="F259" t="s">
        <v>3505</v>
      </c>
      <c r="G259">
        <v>3</v>
      </c>
      <c r="H259">
        <v>3</v>
      </c>
      <c r="I259" t="s">
        <v>3513</v>
      </c>
      <c r="J259">
        <v>2</v>
      </c>
      <c r="R259" s="18"/>
      <c r="S259" t="str">
        <f t="shared" si="3"/>
        <v>Pasywa_B_3_3_D_2</v>
      </c>
      <c r="T259">
        <v>6</v>
      </c>
      <c r="U259" s="18" t="b">
        <v>1</v>
      </c>
      <c r="X259" t="s">
        <v>3957</v>
      </c>
    </row>
    <row r="260" spans="1:24" x14ac:dyDescent="0.3">
      <c r="A260" t="s">
        <v>3241</v>
      </c>
      <c r="B260" s="20" t="s">
        <v>3491</v>
      </c>
      <c r="C260" t="s">
        <v>3949</v>
      </c>
      <c r="D260" t="s">
        <v>3958</v>
      </c>
      <c r="E260" t="s">
        <v>3788</v>
      </c>
      <c r="F260" t="s">
        <v>3505</v>
      </c>
      <c r="G260">
        <v>3</v>
      </c>
      <c r="H260">
        <v>3</v>
      </c>
      <c r="I260" t="s">
        <v>3513</v>
      </c>
      <c r="R260" s="18"/>
      <c r="S260" t="str">
        <f t="shared" si="3"/>
        <v>Pasywa_B_3_3_D</v>
      </c>
      <c r="T260">
        <v>5</v>
      </c>
      <c r="U260" s="18" t="b">
        <v>0</v>
      </c>
      <c r="X260" t="s">
        <v>3959</v>
      </c>
    </row>
    <row r="261" spans="1:24" x14ac:dyDescent="0.3">
      <c r="A261" t="s">
        <v>3220</v>
      </c>
      <c r="B261" s="20" t="s">
        <v>3301</v>
      </c>
      <c r="C261" t="s">
        <v>3960</v>
      </c>
      <c r="D261" t="s">
        <v>3961</v>
      </c>
      <c r="E261" t="s">
        <v>3788</v>
      </c>
      <c r="F261" t="s">
        <v>3505</v>
      </c>
      <c r="G261">
        <v>3</v>
      </c>
      <c r="H261">
        <v>3</v>
      </c>
      <c r="I261" t="s">
        <v>3517</v>
      </c>
      <c r="R261" s="18"/>
      <c r="S261" t="str">
        <f t="shared" si="3"/>
        <v>Pasywa_B_3_3_E</v>
      </c>
      <c r="T261">
        <v>5</v>
      </c>
      <c r="U261" s="18" t="b">
        <v>1</v>
      </c>
      <c r="X261" t="s">
        <v>3962</v>
      </c>
    </row>
    <row r="262" spans="1:24" x14ac:dyDescent="0.3">
      <c r="A262" t="s">
        <v>3220</v>
      </c>
      <c r="B262" s="20" t="s">
        <v>3301</v>
      </c>
      <c r="C262" t="s">
        <v>3963</v>
      </c>
      <c r="D262" t="s">
        <v>3964</v>
      </c>
      <c r="E262" t="s">
        <v>3788</v>
      </c>
      <c r="F262" t="s">
        <v>3505</v>
      </c>
      <c r="G262">
        <v>3</v>
      </c>
      <c r="H262">
        <v>3</v>
      </c>
      <c r="I262" t="s">
        <v>3965</v>
      </c>
      <c r="R262" s="18"/>
      <c r="S262" t="str">
        <f t="shared" si="3"/>
        <v>Pasywa_B_3_3_F</v>
      </c>
      <c r="T262">
        <v>5</v>
      </c>
      <c r="U262" s="18" t="b">
        <v>1</v>
      </c>
      <c r="X262" t="s">
        <v>3966</v>
      </c>
    </row>
    <row r="263" spans="1:24" x14ac:dyDescent="0.3">
      <c r="A263" t="s">
        <v>3220</v>
      </c>
      <c r="B263" s="20" t="s">
        <v>3301</v>
      </c>
      <c r="C263" t="s">
        <v>3967</v>
      </c>
      <c r="D263" t="s">
        <v>3968</v>
      </c>
      <c r="E263" t="s">
        <v>3788</v>
      </c>
      <c r="F263" t="s">
        <v>3505</v>
      </c>
      <c r="G263">
        <v>3</v>
      </c>
      <c r="H263">
        <v>3</v>
      </c>
      <c r="I263" t="s">
        <v>3969</v>
      </c>
      <c r="R263" s="18"/>
      <c r="S263" t="str">
        <f t="shared" si="3"/>
        <v>Pasywa_B_3_3_G</v>
      </c>
      <c r="T263">
        <v>5</v>
      </c>
      <c r="U263" s="18" t="b">
        <v>1</v>
      </c>
      <c r="X263" t="s">
        <v>3970</v>
      </c>
    </row>
    <row r="264" spans="1:24" x14ac:dyDescent="0.3">
      <c r="A264" t="s">
        <v>3220</v>
      </c>
      <c r="B264" s="20" t="s">
        <v>3301</v>
      </c>
      <c r="C264" t="s">
        <v>3971</v>
      </c>
      <c r="D264" t="s">
        <v>3972</v>
      </c>
      <c r="E264" t="s">
        <v>3788</v>
      </c>
      <c r="F264" t="s">
        <v>3505</v>
      </c>
      <c r="G264">
        <v>3</v>
      </c>
      <c r="H264">
        <v>3</v>
      </c>
      <c r="I264" t="s">
        <v>3973</v>
      </c>
      <c r="R264" s="18"/>
      <c r="S264" t="str">
        <f t="shared" si="3"/>
        <v>Pasywa_B_3_3_H</v>
      </c>
      <c r="T264">
        <v>5</v>
      </c>
      <c r="U264" s="18" t="b">
        <v>1</v>
      </c>
      <c r="X264" t="s">
        <v>3974</v>
      </c>
    </row>
    <row r="265" spans="1:24" x14ac:dyDescent="0.3">
      <c r="A265" t="s">
        <v>3220</v>
      </c>
      <c r="B265" s="20" t="s">
        <v>3301</v>
      </c>
      <c r="C265" t="s">
        <v>3975</v>
      </c>
      <c r="D265" t="s">
        <v>3976</v>
      </c>
      <c r="E265" t="s">
        <v>3788</v>
      </c>
      <c r="F265" t="s">
        <v>3505</v>
      </c>
      <c r="G265">
        <v>3</v>
      </c>
      <c r="H265">
        <v>3</v>
      </c>
      <c r="I265" t="s">
        <v>3977</v>
      </c>
      <c r="R265" s="18"/>
      <c r="S265" t="str">
        <f t="shared" si="3"/>
        <v>Pasywa_B_3_3_I</v>
      </c>
      <c r="T265">
        <v>5</v>
      </c>
      <c r="U265" s="18" t="b">
        <v>1</v>
      </c>
      <c r="X265" t="s">
        <v>3978</v>
      </c>
    </row>
    <row r="266" spans="1:24" x14ac:dyDescent="0.3">
      <c r="A266" t="s">
        <v>3241</v>
      </c>
      <c r="B266" s="20" t="s">
        <v>3491</v>
      </c>
      <c r="C266" t="s">
        <v>3937</v>
      </c>
      <c r="D266" t="s">
        <v>3979</v>
      </c>
      <c r="E266" t="s">
        <v>3788</v>
      </c>
      <c r="F266" t="s">
        <v>3505</v>
      </c>
      <c r="G266">
        <v>3</v>
      </c>
      <c r="H266">
        <v>3</v>
      </c>
      <c r="R266" s="18"/>
      <c r="S266" t="str">
        <f t="shared" si="3"/>
        <v>Pasywa_B_3_3</v>
      </c>
      <c r="T266">
        <v>4</v>
      </c>
      <c r="U266" s="18" t="b">
        <v>0</v>
      </c>
      <c r="X266" t="s">
        <v>3980</v>
      </c>
    </row>
    <row r="267" spans="1:24" x14ac:dyDescent="0.3">
      <c r="A267" t="s">
        <v>3220</v>
      </c>
      <c r="B267" s="20" t="s">
        <v>3301</v>
      </c>
      <c r="C267" t="s">
        <v>3981</v>
      </c>
      <c r="D267" t="s">
        <v>3982</v>
      </c>
      <c r="E267" t="s">
        <v>3788</v>
      </c>
      <c r="F267" t="s">
        <v>3505</v>
      </c>
      <c r="G267">
        <v>3</v>
      </c>
      <c r="H267">
        <v>4</v>
      </c>
      <c r="R267" s="18"/>
      <c r="S267" t="str">
        <f t="shared" si="3"/>
        <v>Pasywa_B_3_4</v>
      </c>
      <c r="T267">
        <v>4</v>
      </c>
      <c r="U267" s="18" t="b">
        <v>1</v>
      </c>
      <c r="X267" t="s">
        <v>3983</v>
      </c>
    </row>
    <row r="268" spans="1:24" x14ac:dyDescent="0.3">
      <c r="A268" t="s">
        <v>3241</v>
      </c>
      <c r="B268" s="20" t="s">
        <v>3491</v>
      </c>
      <c r="C268" t="s">
        <v>3896</v>
      </c>
      <c r="D268" t="s">
        <v>3984</v>
      </c>
      <c r="E268" t="s">
        <v>3788</v>
      </c>
      <c r="F268" t="s">
        <v>3505</v>
      </c>
      <c r="G268">
        <v>3</v>
      </c>
      <c r="R268" s="18"/>
      <c r="S268" t="str">
        <f t="shared" si="3"/>
        <v>Pasywa_B_3</v>
      </c>
      <c r="T268">
        <v>3</v>
      </c>
      <c r="U268" s="18" t="b">
        <v>0</v>
      </c>
      <c r="X268" t="s">
        <v>3985</v>
      </c>
    </row>
    <row r="269" spans="1:24" x14ac:dyDescent="0.3">
      <c r="A269" t="s">
        <v>3220</v>
      </c>
      <c r="B269" s="20" t="s">
        <v>3301</v>
      </c>
      <c r="C269" t="s">
        <v>3986</v>
      </c>
      <c r="D269" t="s">
        <v>3987</v>
      </c>
      <c r="E269" t="s">
        <v>3788</v>
      </c>
      <c r="F269" t="s">
        <v>3505</v>
      </c>
      <c r="G269">
        <v>4</v>
      </c>
      <c r="R269" s="18"/>
      <c r="S269" t="str">
        <f t="shared" si="3"/>
        <v>Pasywa_B_4</v>
      </c>
      <c r="T269">
        <v>3</v>
      </c>
      <c r="U269" s="18" t="b">
        <v>0</v>
      </c>
      <c r="X269" t="s">
        <v>3988</v>
      </c>
    </row>
    <row r="270" spans="1:24" x14ac:dyDescent="0.3">
      <c r="A270" t="s">
        <v>3220</v>
      </c>
      <c r="B270" s="20" t="s">
        <v>3301</v>
      </c>
      <c r="C270" t="s">
        <v>3989</v>
      </c>
      <c r="D270" t="s">
        <v>3990</v>
      </c>
      <c r="E270" t="s">
        <v>3788</v>
      </c>
      <c r="F270" t="s">
        <v>3505</v>
      </c>
      <c r="G270">
        <v>4</v>
      </c>
      <c r="H270">
        <v>1</v>
      </c>
      <c r="R270" s="18"/>
      <c r="S270" t="str">
        <f t="shared" si="3"/>
        <v>Pasywa_B_4_1</v>
      </c>
      <c r="T270">
        <v>4</v>
      </c>
      <c r="U270" s="18" t="b">
        <v>1</v>
      </c>
      <c r="X270" t="s">
        <v>3991</v>
      </c>
    </row>
    <row r="271" spans="1:24" x14ac:dyDescent="0.3">
      <c r="A271" t="s">
        <v>3220</v>
      </c>
      <c r="B271" s="20" t="s">
        <v>3301</v>
      </c>
      <c r="C271" t="s">
        <v>3992</v>
      </c>
      <c r="D271" t="s">
        <v>3993</v>
      </c>
      <c r="E271" t="s">
        <v>3788</v>
      </c>
      <c r="F271" t="s">
        <v>3505</v>
      </c>
      <c r="G271">
        <v>4</v>
      </c>
      <c r="H271">
        <v>2</v>
      </c>
      <c r="R271" s="18"/>
      <c r="S271" t="str">
        <f t="shared" si="3"/>
        <v>Pasywa_B_4_2</v>
      </c>
      <c r="T271">
        <v>4</v>
      </c>
      <c r="U271" s="18" t="b">
        <v>0</v>
      </c>
      <c r="X271" t="s">
        <v>3994</v>
      </c>
    </row>
    <row r="272" spans="1:24" x14ac:dyDescent="0.3">
      <c r="A272" t="s">
        <v>3220</v>
      </c>
      <c r="B272" s="20" t="s">
        <v>3301</v>
      </c>
      <c r="C272" t="s">
        <v>3995</v>
      </c>
      <c r="D272" t="s">
        <v>3996</v>
      </c>
      <c r="E272" t="s">
        <v>3788</v>
      </c>
      <c r="F272" t="s">
        <v>3505</v>
      </c>
      <c r="G272">
        <v>4</v>
      </c>
      <c r="H272">
        <v>2</v>
      </c>
      <c r="I272">
        <v>1</v>
      </c>
      <c r="R272" s="18"/>
      <c r="S272" t="str">
        <f t="shared" si="3"/>
        <v>Pasywa_B_4_2_1</v>
      </c>
      <c r="T272">
        <v>5</v>
      </c>
      <c r="U272" s="18" t="b">
        <v>1</v>
      </c>
      <c r="X272" t="s">
        <v>3997</v>
      </c>
    </row>
    <row r="273" spans="1:24" x14ac:dyDescent="0.3">
      <c r="A273" t="s">
        <v>3220</v>
      </c>
      <c r="B273" s="20" t="s">
        <v>3301</v>
      </c>
      <c r="C273" t="s">
        <v>3998</v>
      </c>
      <c r="D273" t="s">
        <v>3999</v>
      </c>
      <c r="E273" t="s">
        <v>3788</v>
      </c>
      <c r="F273" t="s">
        <v>3505</v>
      </c>
      <c r="G273">
        <v>4</v>
      </c>
      <c r="H273">
        <v>2</v>
      </c>
      <c r="I273">
        <v>2</v>
      </c>
      <c r="R273" s="18"/>
      <c r="S273" t="str">
        <f t="shared" si="3"/>
        <v>Pasywa_B_4_2_2</v>
      </c>
      <c r="T273">
        <v>5</v>
      </c>
      <c r="U273" s="18" t="b">
        <v>1</v>
      </c>
      <c r="X273" t="s">
        <v>4000</v>
      </c>
    </row>
    <row r="274" spans="1:24" x14ac:dyDescent="0.3">
      <c r="A274" t="s">
        <v>3241</v>
      </c>
      <c r="B274" s="20" t="s">
        <v>3491</v>
      </c>
      <c r="C274" t="s">
        <v>3992</v>
      </c>
      <c r="D274" t="s">
        <v>4001</v>
      </c>
      <c r="E274" t="s">
        <v>3788</v>
      </c>
      <c r="F274" t="s">
        <v>3505</v>
      </c>
      <c r="G274">
        <v>4</v>
      </c>
      <c r="H274">
        <v>2</v>
      </c>
      <c r="R274" s="18"/>
      <c r="S274" t="str">
        <f t="shared" si="3"/>
        <v>Pasywa_B_4_2</v>
      </c>
      <c r="T274">
        <v>4</v>
      </c>
      <c r="U274" s="18" t="b">
        <v>0</v>
      </c>
      <c r="X274" t="s">
        <v>4002</v>
      </c>
    </row>
    <row r="275" spans="1:24" x14ac:dyDescent="0.3">
      <c r="A275" t="s">
        <v>3241</v>
      </c>
      <c r="B275" s="20" t="s">
        <v>3491</v>
      </c>
      <c r="C275" t="s">
        <v>3986</v>
      </c>
      <c r="D275" t="s">
        <v>4003</v>
      </c>
      <c r="E275" t="s">
        <v>3788</v>
      </c>
      <c r="F275" t="s">
        <v>3505</v>
      </c>
      <c r="G275">
        <v>4</v>
      </c>
      <c r="R275" s="18"/>
      <c r="S275" t="str">
        <f t="shared" si="3"/>
        <v>Pasywa_B_4</v>
      </c>
      <c r="T275">
        <v>3</v>
      </c>
      <c r="U275" s="18" t="b">
        <v>0</v>
      </c>
      <c r="X275" t="s">
        <v>4004</v>
      </c>
    </row>
    <row r="276" spans="1:24" x14ac:dyDescent="0.3">
      <c r="A276" t="s">
        <v>3241</v>
      </c>
      <c r="B276" s="20" t="s">
        <v>3491</v>
      </c>
      <c r="C276" t="s">
        <v>3833</v>
      </c>
      <c r="D276" t="s">
        <v>4005</v>
      </c>
      <c r="E276" t="s">
        <v>3788</v>
      </c>
      <c r="F276" t="s">
        <v>3505</v>
      </c>
      <c r="R276" s="18"/>
      <c r="S276" t="str">
        <f t="shared" si="3"/>
        <v>Pasywa_B</v>
      </c>
      <c r="T276">
        <v>2</v>
      </c>
      <c r="U276" s="18" t="b">
        <v>0</v>
      </c>
      <c r="X276" t="s">
        <v>4006</v>
      </c>
    </row>
    <row r="277" spans="1:24" x14ac:dyDescent="0.3">
      <c r="A277" t="s">
        <v>3241</v>
      </c>
      <c r="B277" s="20" t="s">
        <v>3491</v>
      </c>
      <c r="C277" t="s">
        <v>3788</v>
      </c>
      <c r="D277" t="s">
        <v>4007</v>
      </c>
      <c r="E277" t="s">
        <v>3788</v>
      </c>
      <c r="R277" s="18"/>
      <c r="S277" t="str">
        <f t="shared" ref="S277:S340" si="4">IF(ISERROR(FIND("_koniec",D277)),D277,LEFT(D277,FIND("_koniec",D277)-1))</f>
        <v>Pasywa</v>
      </c>
      <c r="T277">
        <v>1</v>
      </c>
      <c r="U277" s="18" t="b">
        <v>0</v>
      </c>
      <c r="W277" t="s">
        <v>3224</v>
      </c>
      <c r="X277" t="s">
        <v>4008</v>
      </c>
    </row>
    <row r="278" spans="1:24" x14ac:dyDescent="0.3">
      <c r="A278" t="s">
        <v>3241</v>
      </c>
      <c r="B278" s="20" t="s">
        <v>3344</v>
      </c>
      <c r="C278" t="s">
        <v>3469</v>
      </c>
      <c r="D278" t="s">
        <v>4009</v>
      </c>
      <c r="E278" t="s">
        <v>3469</v>
      </c>
      <c r="F278" s="26"/>
      <c r="R278" s="18"/>
      <c r="S278" t="str">
        <f t="shared" si="4"/>
        <v>Bilans</v>
      </c>
      <c r="T278">
        <v>1</v>
      </c>
      <c r="U278" s="18" t="b">
        <v>0</v>
      </c>
      <c r="W278" t="s">
        <v>3224</v>
      </c>
      <c r="X278" t="s">
        <v>4010</v>
      </c>
    </row>
    <row r="279" spans="1:24" x14ac:dyDescent="0.3">
      <c r="A279" t="s">
        <v>3241</v>
      </c>
      <c r="B279" s="20" t="s">
        <v>3330</v>
      </c>
      <c r="C279" t="s">
        <v>4011</v>
      </c>
      <c r="D279" t="s">
        <v>4012</v>
      </c>
      <c r="E279" t="s">
        <v>4011</v>
      </c>
      <c r="F279" s="26"/>
      <c r="R279" s="18"/>
      <c r="S279" t="str">
        <f t="shared" si="4"/>
        <v>Y</v>
      </c>
      <c r="T279">
        <v>1</v>
      </c>
      <c r="U279" s="18" t="b">
        <v>0</v>
      </c>
      <c r="W279" t="s">
        <v>3224</v>
      </c>
      <c r="X279" t="s">
        <v>4013</v>
      </c>
    </row>
    <row r="280" spans="1:24" x14ac:dyDescent="0.3">
      <c r="A280" t="s">
        <v>3241</v>
      </c>
      <c r="B280" s="20" t="s">
        <v>3301</v>
      </c>
      <c r="C280" t="s">
        <v>4014</v>
      </c>
      <c r="D280" t="s">
        <v>4015</v>
      </c>
      <c r="E280" t="s">
        <v>4014</v>
      </c>
      <c r="F280" s="26"/>
      <c r="R280" s="18"/>
      <c r="S280" t="str">
        <f t="shared" si="4"/>
        <v>RzisPorPor</v>
      </c>
      <c r="T280">
        <v>1</v>
      </c>
      <c r="U280" s="18" t="b">
        <v>0</v>
      </c>
      <c r="W280" t="str">
        <f>IF(WariantRZiS=1,"tak","nie")</f>
        <v>tak</v>
      </c>
      <c r="X280" t="s">
        <v>4016</v>
      </c>
    </row>
    <row r="281" spans="1:24" x14ac:dyDescent="0.3">
      <c r="A281" t="s">
        <v>3220</v>
      </c>
      <c r="B281" s="20" t="s">
        <v>3301</v>
      </c>
      <c r="C281" t="s">
        <v>3474</v>
      </c>
      <c r="D281" t="s">
        <v>4017</v>
      </c>
      <c r="E281" t="s">
        <v>3474</v>
      </c>
      <c r="R281" s="18"/>
      <c r="S281" t="str">
        <f t="shared" si="4"/>
        <v>RzisPorA</v>
      </c>
      <c r="T281">
        <v>1</v>
      </c>
      <c r="U281" s="18" t="b">
        <v>0</v>
      </c>
      <c r="V281" t="s">
        <v>3259</v>
      </c>
      <c r="W281" t="str">
        <f t="shared" ref="W281:W312" si="5">IF(WariantRZiS=1,"","nie")</f>
        <v/>
      </c>
      <c r="X281" t="s">
        <v>4018</v>
      </c>
    </row>
    <row r="282" spans="1:24" x14ac:dyDescent="0.3">
      <c r="A282" t="s">
        <v>3220</v>
      </c>
      <c r="B282" s="20" t="s">
        <v>3301</v>
      </c>
      <c r="C282" t="s">
        <v>4019</v>
      </c>
      <c r="D282" t="s">
        <v>4020</v>
      </c>
      <c r="E282" t="s">
        <v>3474</v>
      </c>
      <c r="F282" t="s">
        <v>4021</v>
      </c>
      <c r="R282" s="18"/>
      <c r="S282" t="str">
        <f t="shared" si="4"/>
        <v>RzisPorA_J</v>
      </c>
      <c r="T282">
        <v>2</v>
      </c>
      <c r="U282" s="18" t="b">
        <v>1</v>
      </c>
      <c r="V282" t="s">
        <v>3259</v>
      </c>
      <c r="W282" t="str">
        <f t="shared" si="5"/>
        <v/>
      </c>
      <c r="X282" t="s">
        <v>4022</v>
      </c>
    </row>
    <row r="283" spans="1:24" x14ac:dyDescent="0.3">
      <c r="A283" t="s">
        <v>3220</v>
      </c>
      <c r="B283" s="20" t="s">
        <v>3301</v>
      </c>
      <c r="C283" t="s">
        <v>4023</v>
      </c>
      <c r="D283" t="s">
        <v>4024</v>
      </c>
      <c r="E283" t="s">
        <v>3474</v>
      </c>
      <c r="F283">
        <v>1</v>
      </c>
      <c r="R283" s="18"/>
      <c r="S283" t="str">
        <f t="shared" si="4"/>
        <v>RzisPorA_1</v>
      </c>
      <c r="T283">
        <v>2</v>
      </c>
      <c r="U283" s="18" t="b">
        <v>1</v>
      </c>
      <c r="V283" t="s">
        <v>3259</v>
      </c>
      <c r="W283" t="str">
        <f t="shared" si="5"/>
        <v/>
      </c>
      <c r="X283" t="s">
        <v>4025</v>
      </c>
    </row>
    <row r="284" spans="1:24" x14ac:dyDescent="0.3">
      <c r="A284" t="s">
        <v>3220</v>
      </c>
      <c r="B284" s="20" t="s">
        <v>3301</v>
      </c>
      <c r="C284" t="s">
        <v>4026</v>
      </c>
      <c r="D284" t="s">
        <v>4027</v>
      </c>
      <c r="E284" t="s">
        <v>3474</v>
      </c>
      <c r="F284">
        <v>2</v>
      </c>
      <c r="R284" s="18"/>
      <c r="S284" t="str">
        <f t="shared" si="4"/>
        <v>RzisPorA_2</v>
      </c>
      <c r="T284">
        <v>2</v>
      </c>
      <c r="U284" s="18" t="b">
        <v>1</v>
      </c>
      <c r="V284" t="s">
        <v>3259</v>
      </c>
      <c r="W284" t="str">
        <f t="shared" si="5"/>
        <v/>
      </c>
      <c r="X284" t="s">
        <v>4028</v>
      </c>
    </row>
    <row r="285" spans="1:24" x14ac:dyDescent="0.3">
      <c r="A285" t="s">
        <v>3220</v>
      </c>
      <c r="B285" s="20" t="s">
        <v>3301</v>
      </c>
      <c r="C285" t="s">
        <v>4029</v>
      </c>
      <c r="D285" t="s">
        <v>4030</v>
      </c>
      <c r="E285" t="s">
        <v>3474</v>
      </c>
      <c r="F285">
        <v>3</v>
      </c>
      <c r="R285" s="18"/>
      <c r="S285" t="str">
        <f t="shared" si="4"/>
        <v>RzisPorA_3</v>
      </c>
      <c r="T285">
        <v>2</v>
      </c>
      <c r="U285" s="18" t="b">
        <v>1</v>
      </c>
      <c r="V285" t="s">
        <v>3259</v>
      </c>
      <c r="W285" t="str">
        <f t="shared" si="5"/>
        <v/>
      </c>
      <c r="X285" t="s">
        <v>4031</v>
      </c>
    </row>
    <row r="286" spans="1:24" x14ac:dyDescent="0.3">
      <c r="A286" t="s">
        <v>3220</v>
      </c>
      <c r="B286" s="20" t="s">
        <v>3301</v>
      </c>
      <c r="C286" t="s">
        <v>4032</v>
      </c>
      <c r="D286" t="s">
        <v>4033</v>
      </c>
      <c r="E286" t="s">
        <v>3474</v>
      </c>
      <c r="F286">
        <v>4</v>
      </c>
      <c r="R286" s="18"/>
      <c r="S286" t="str">
        <f t="shared" si="4"/>
        <v>RzisPorA_4</v>
      </c>
      <c r="T286">
        <v>2</v>
      </c>
      <c r="U286" s="18" t="b">
        <v>1</v>
      </c>
      <c r="V286" t="s">
        <v>3259</v>
      </c>
      <c r="W286" t="str">
        <f t="shared" si="5"/>
        <v/>
      </c>
      <c r="X286" t="s">
        <v>4034</v>
      </c>
    </row>
    <row r="287" spans="1:24" x14ac:dyDescent="0.3">
      <c r="A287" t="s">
        <v>3241</v>
      </c>
      <c r="B287" s="20" t="s">
        <v>3491</v>
      </c>
      <c r="C287" t="s">
        <v>3474</v>
      </c>
      <c r="D287" t="s">
        <v>4035</v>
      </c>
      <c r="E287" t="s">
        <v>3474</v>
      </c>
      <c r="R287" s="18"/>
      <c r="S287" t="str">
        <f t="shared" si="4"/>
        <v>RzisPorA</v>
      </c>
      <c r="T287">
        <v>1</v>
      </c>
      <c r="U287" s="18" t="b">
        <v>0</v>
      </c>
      <c r="V287" t="s">
        <v>3259</v>
      </c>
      <c r="W287" t="str">
        <f t="shared" si="5"/>
        <v/>
      </c>
      <c r="X287" t="s">
        <v>4036</v>
      </c>
    </row>
    <row r="288" spans="1:24" x14ac:dyDescent="0.3">
      <c r="A288" t="s">
        <v>3220</v>
      </c>
      <c r="B288" s="20" t="s">
        <v>3301</v>
      </c>
      <c r="C288" t="s">
        <v>3505</v>
      </c>
      <c r="D288" t="s">
        <v>4037</v>
      </c>
      <c r="E288" t="s">
        <v>3505</v>
      </c>
      <c r="R288" s="18"/>
      <c r="S288" t="str">
        <f t="shared" si="4"/>
        <v>RzisPorB</v>
      </c>
      <c r="T288">
        <v>1</v>
      </c>
      <c r="U288" s="18" t="b">
        <v>0</v>
      </c>
      <c r="V288" t="s">
        <v>3259</v>
      </c>
      <c r="W288" t="str">
        <f t="shared" si="5"/>
        <v/>
      </c>
      <c r="X288" t="s">
        <v>4038</v>
      </c>
    </row>
    <row r="289" spans="1:24" x14ac:dyDescent="0.3">
      <c r="A289" t="s">
        <v>3220</v>
      </c>
      <c r="B289" s="20" t="s">
        <v>3301</v>
      </c>
      <c r="C289" t="s">
        <v>4039</v>
      </c>
      <c r="D289" t="s">
        <v>4040</v>
      </c>
      <c r="E289" t="s">
        <v>3505</v>
      </c>
      <c r="F289">
        <v>1</v>
      </c>
      <c r="R289" s="18"/>
      <c r="S289" t="str">
        <f t="shared" si="4"/>
        <v>RzisPorB_1</v>
      </c>
      <c r="T289">
        <v>2</v>
      </c>
      <c r="U289" s="18" t="b">
        <v>1</v>
      </c>
      <c r="V289" t="s">
        <v>3259</v>
      </c>
      <c r="W289" t="str">
        <f t="shared" si="5"/>
        <v/>
      </c>
      <c r="X289" t="s">
        <v>4041</v>
      </c>
    </row>
    <row r="290" spans="1:24" x14ac:dyDescent="0.3">
      <c r="A290" t="s">
        <v>3220</v>
      </c>
      <c r="B290" s="20" t="s">
        <v>3301</v>
      </c>
      <c r="C290" t="s">
        <v>4042</v>
      </c>
      <c r="D290" t="s">
        <v>4043</v>
      </c>
      <c r="E290" t="s">
        <v>3505</v>
      </c>
      <c r="F290">
        <v>2</v>
      </c>
      <c r="R290" s="18"/>
      <c r="S290" t="str">
        <f t="shared" si="4"/>
        <v>RzisPorB_2</v>
      </c>
      <c r="T290">
        <v>2</v>
      </c>
      <c r="U290" s="18" t="b">
        <v>1</v>
      </c>
      <c r="V290" t="s">
        <v>3259</v>
      </c>
      <c r="W290" t="str">
        <f t="shared" si="5"/>
        <v/>
      </c>
      <c r="X290" t="s">
        <v>4044</v>
      </c>
    </row>
    <row r="291" spans="1:24" x14ac:dyDescent="0.3">
      <c r="A291" t="s">
        <v>3220</v>
      </c>
      <c r="B291" s="20" t="s">
        <v>3301</v>
      </c>
      <c r="C291" t="s">
        <v>4045</v>
      </c>
      <c r="D291" t="s">
        <v>4046</v>
      </c>
      <c r="E291" t="s">
        <v>3505</v>
      </c>
      <c r="F291">
        <v>3</v>
      </c>
      <c r="R291" s="18"/>
      <c r="S291" t="str">
        <f t="shared" si="4"/>
        <v>RzisPorB_3</v>
      </c>
      <c r="T291">
        <v>2</v>
      </c>
      <c r="U291" s="18" t="b">
        <v>1</v>
      </c>
      <c r="V291" t="s">
        <v>3259</v>
      </c>
      <c r="W291" t="str">
        <f t="shared" si="5"/>
        <v/>
      </c>
      <c r="X291" t="s">
        <v>4047</v>
      </c>
    </row>
    <row r="292" spans="1:24" x14ac:dyDescent="0.3">
      <c r="A292" t="s">
        <v>3220</v>
      </c>
      <c r="B292" s="20" t="s">
        <v>3301</v>
      </c>
      <c r="C292" t="s">
        <v>4048</v>
      </c>
      <c r="D292" t="s">
        <v>4049</v>
      </c>
      <c r="E292" t="s">
        <v>3505</v>
      </c>
      <c r="F292">
        <v>4</v>
      </c>
      <c r="R292" s="18"/>
      <c r="S292" t="str">
        <f t="shared" si="4"/>
        <v>RzisPorB_4</v>
      </c>
      <c r="T292">
        <v>2</v>
      </c>
      <c r="U292" s="18" t="b">
        <v>0</v>
      </c>
      <c r="V292" t="s">
        <v>3259</v>
      </c>
      <c r="W292" t="str">
        <f t="shared" si="5"/>
        <v/>
      </c>
      <c r="X292" t="s">
        <v>4050</v>
      </c>
    </row>
    <row r="293" spans="1:24" x14ac:dyDescent="0.3">
      <c r="A293" t="s">
        <v>3220</v>
      </c>
      <c r="B293" s="20" t="s">
        <v>3301</v>
      </c>
      <c r="C293" t="s">
        <v>4051</v>
      </c>
      <c r="D293" t="s">
        <v>4052</v>
      </c>
      <c r="E293" t="s">
        <v>3505</v>
      </c>
      <c r="F293">
        <v>4</v>
      </c>
      <c r="G293">
        <v>1</v>
      </c>
      <c r="R293" s="18"/>
      <c r="S293" t="str">
        <f t="shared" si="4"/>
        <v>RzisPorB_4_1</v>
      </c>
      <c r="T293">
        <v>3</v>
      </c>
      <c r="U293" s="18" t="b">
        <v>1</v>
      </c>
      <c r="V293" t="s">
        <v>3259</v>
      </c>
      <c r="W293" t="str">
        <f t="shared" si="5"/>
        <v/>
      </c>
      <c r="X293" t="s">
        <v>4053</v>
      </c>
    </row>
    <row r="294" spans="1:24" x14ac:dyDescent="0.3">
      <c r="A294" t="s">
        <v>3241</v>
      </c>
      <c r="B294" s="20" t="s">
        <v>3491</v>
      </c>
      <c r="C294" t="s">
        <v>4048</v>
      </c>
      <c r="D294" t="s">
        <v>4054</v>
      </c>
      <c r="E294" t="s">
        <v>3505</v>
      </c>
      <c r="F294">
        <v>4</v>
      </c>
      <c r="R294" s="18"/>
      <c r="S294" t="str">
        <f t="shared" si="4"/>
        <v>RzisPorB_4</v>
      </c>
      <c r="T294">
        <v>2</v>
      </c>
      <c r="U294" s="18" t="b">
        <v>0</v>
      </c>
      <c r="V294" t="s">
        <v>3259</v>
      </c>
      <c r="W294" t="str">
        <f t="shared" si="5"/>
        <v/>
      </c>
      <c r="X294" t="s">
        <v>4055</v>
      </c>
    </row>
    <row r="295" spans="1:24" x14ac:dyDescent="0.3">
      <c r="A295" t="s">
        <v>3220</v>
      </c>
      <c r="B295" s="20" t="s">
        <v>3301</v>
      </c>
      <c r="C295" t="s">
        <v>4056</v>
      </c>
      <c r="D295" t="s">
        <v>4057</v>
      </c>
      <c r="E295" t="s">
        <v>3505</v>
      </c>
      <c r="F295">
        <v>5</v>
      </c>
      <c r="R295" s="18"/>
      <c r="S295" t="str">
        <f t="shared" si="4"/>
        <v>RzisPorB_5</v>
      </c>
      <c r="T295">
        <v>2</v>
      </c>
      <c r="U295" s="18" t="b">
        <v>1</v>
      </c>
      <c r="V295" t="s">
        <v>3259</v>
      </c>
      <c r="W295" t="str">
        <f t="shared" si="5"/>
        <v/>
      </c>
      <c r="X295" t="s">
        <v>4058</v>
      </c>
    </row>
    <row r="296" spans="1:24" x14ac:dyDescent="0.3">
      <c r="A296" t="s">
        <v>3220</v>
      </c>
      <c r="B296" s="20" t="s">
        <v>3301</v>
      </c>
      <c r="C296" t="s">
        <v>4059</v>
      </c>
      <c r="D296" t="s">
        <v>4060</v>
      </c>
      <c r="E296" t="s">
        <v>3505</v>
      </c>
      <c r="F296">
        <v>6</v>
      </c>
      <c r="R296" s="18"/>
      <c r="S296" t="str">
        <f t="shared" si="4"/>
        <v>RzisPorB_6</v>
      </c>
      <c r="T296">
        <v>2</v>
      </c>
      <c r="U296" s="18" t="b">
        <v>0</v>
      </c>
      <c r="V296" t="s">
        <v>3259</v>
      </c>
      <c r="W296" t="str">
        <f t="shared" si="5"/>
        <v/>
      </c>
      <c r="X296" t="s">
        <v>4061</v>
      </c>
    </row>
    <row r="297" spans="1:24" x14ac:dyDescent="0.3">
      <c r="A297" t="s">
        <v>3220</v>
      </c>
      <c r="B297" s="20" t="s">
        <v>3301</v>
      </c>
      <c r="C297" t="s">
        <v>4062</v>
      </c>
      <c r="D297" t="s">
        <v>4063</v>
      </c>
      <c r="E297" t="s">
        <v>3505</v>
      </c>
      <c r="F297">
        <v>6</v>
      </c>
      <c r="G297">
        <v>1</v>
      </c>
      <c r="R297" s="18"/>
      <c r="S297" t="str">
        <f t="shared" si="4"/>
        <v>RzisPorB_6_1</v>
      </c>
      <c r="T297">
        <v>3</v>
      </c>
      <c r="U297" s="18" t="b">
        <v>1</v>
      </c>
      <c r="V297" t="s">
        <v>3259</v>
      </c>
      <c r="W297" t="str">
        <f t="shared" si="5"/>
        <v/>
      </c>
      <c r="X297" t="s">
        <v>4064</v>
      </c>
    </row>
    <row r="298" spans="1:24" x14ac:dyDescent="0.3">
      <c r="A298" t="s">
        <v>3241</v>
      </c>
      <c r="B298" s="20" t="s">
        <v>3491</v>
      </c>
      <c r="C298" t="s">
        <v>4059</v>
      </c>
      <c r="D298" t="s">
        <v>4065</v>
      </c>
      <c r="E298" t="s">
        <v>3505</v>
      </c>
      <c r="F298">
        <v>6</v>
      </c>
      <c r="R298" s="18"/>
      <c r="S298" t="str">
        <f t="shared" si="4"/>
        <v>RzisPorB_6</v>
      </c>
      <c r="T298">
        <v>2</v>
      </c>
      <c r="U298" s="18" t="b">
        <v>0</v>
      </c>
      <c r="V298" t="s">
        <v>3259</v>
      </c>
      <c r="W298" t="str">
        <f t="shared" si="5"/>
        <v/>
      </c>
      <c r="X298" t="s">
        <v>4066</v>
      </c>
    </row>
    <row r="299" spans="1:24" x14ac:dyDescent="0.3">
      <c r="A299" t="s">
        <v>3220</v>
      </c>
      <c r="B299" s="20" t="s">
        <v>3301</v>
      </c>
      <c r="C299" t="s">
        <v>4067</v>
      </c>
      <c r="D299" t="s">
        <v>4068</v>
      </c>
      <c r="E299" t="s">
        <v>3505</v>
      </c>
      <c r="F299">
        <v>7</v>
      </c>
      <c r="R299" s="18"/>
      <c r="S299" t="str">
        <f t="shared" si="4"/>
        <v>RzisPorB_7</v>
      </c>
      <c r="T299">
        <v>2</v>
      </c>
      <c r="U299" s="18" t="b">
        <v>1</v>
      </c>
      <c r="V299" t="s">
        <v>3259</v>
      </c>
      <c r="W299" t="str">
        <f t="shared" si="5"/>
        <v/>
      </c>
      <c r="X299" t="s">
        <v>4069</v>
      </c>
    </row>
    <row r="300" spans="1:24" x14ac:dyDescent="0.3">
      <c r="A300" t="s">
        <v>3220</v>
      </c>
      <c r="B300" s="20" t="s">
        <v>3301</v>
      </c>
      <c r="C300" t="s">
        <v>4070</v>
      </c>
      <c r="D300" t="s">
        <v>4071</v>
      </c>
      <c r="E300" t="s">
        <v>3505</v>
      </c>
      <c r="F300">
        <v>8</v>
      </c>
      <c r="R300" s="18"/>
      <c r="S300" t="str">
        <f t="shared" si="4"/>
        <v>RzisPorB_8</v>
      </c>
      <c r="T300">
        <v>2</v>
      </c>
      <c r="U300" s="18" t="b">
        <v>1</v>
      </c>
      <c r="V300" t="s">
        <v>3259</v>
      </c>
      <c r="W300" t="str">
        <f t="shared" si="5"/>
        <v/>
      </c>
      <c r="X300" t="s">
        <v>4072</v>
      </c>
    </row>
    <row r="301" spans="1:24" x14ac:dyDescent="0.3">
      <c r="A301" t="s">
        <v>3241</v>
      </c>
      <c r="B301" s="20" t="s">
        <v>3491</v>
      </c>
      <c r="C301" t="s">
        <v>3505</v>
      </c>
      <c r="D301" t="s">
        <v>4073</v>
      </c>
      <c r="E301" t="s">
        <v>3505</v>
      </c>
      <c r="R301" s="18"/>
      <c r="S301" t="str">
        <f t="shared" si="4"/>
        <v>RzisPorB</v>
      </c>
      <c r="T301">
        <v>1</v>
      </c>
      <c r="U301" s="18" t="b">
        <v>0</v>
      </c>
      <c r="V301" t="s">
        <v>3259</v>
      </c>
      <c r="W301" t="str">
        <f t="shared" si="5"/>
        <v/>
      </c>
      <c r="X301" t="s">
        <v>4074</v>
      </c>
    </row>
    <row r="302" spans="1:24" x14ac:dyDescent="0.3">
      <c r="A302" t="s">
        <v>3220</v>
      </c>
      <c r="B302" s="20" t="s">
        <v>3301</v>
      </c>
      <c r="C302" t="s">
        <v>3509</v>
      </c>
      <c r="D302" t="s">
        <v>4075</v>
      </c>
      <c r="E302" t="s">
        <v>3509</v>
      </c>
      <c r="R302" s="18"/>
      <c r="S302" t="str">
        <f t="shared" si="4"/>
        <v>RzisPorC</v>
      </c>
      <c r="T302">
        <v>1</v>
      </c>
      <c r="U302" s="18" t="b">
        <v>1</v>
      </c>
      <c r="V302" t="s">
        <v>3259</v>
      </c>
      <c r="W302" t="str">
        <f t="shared" si="5"/>
        <v/>
      </c>
      <c r="X302" t="s">
        <v>4076</v>
      </c>
    </row>
    <row r="303" spans="1:24" x14ac:dyDescent="0.3">
      <c r="A303" t="s">
        <v>3220</v>
      </c>
      <c r="B303" s="20" t="s">
        <v>3301</v>
      </c>
      <c r="C303" t="s">
        <v>3513</v>
      </c>
      <c r="D303" t="s">
        <v>4077</v>
      </c>
      <c r="E303" t="s">
        <v>3513</v>
      </c>
      <c r="R303" s="18"/>
      <c r="S303" t="str">
        <f t="shared" si="4"/>
        <v>RzisPorD</v>
      </c>
      <c r="T303">
        <v>1</v>
      </c>
      <c r="U303" s="18" t="b">
        <v>0</v>
      </c>
      <c r="V303" t="s">
        <v>3259</v>
      </c>
      <c r="W303" t="str">
        <f t="shared" si="5"/>
        <v/>
      </c>
      <c r="X303" t="s">
        <v>4078</v>
      </c>
    </row>
    <row r="304" spans="1:24" x14ac:dyDescent="0.3">
      <c r="A304" t="s">
        <v>3220</v>
      </c>
      <c r="B304" s="20" t="s">
        <v>3301</v>
      </c>
      <c r="C304" t="s">
        <v>4079</v>
      </c>
      <c r="D304" t="s">
        <v>4080</v>
      </c>
      <c r="E304" t="s">
        <v>3513</v>
      </c>
      <c r="F304">
        <v>1</v>
      </c>
      <c r="R304" s="18"/>
      <c r="S304" t="str">
        <f t="shared" si="4"/>
        <v>RzisPorD_1</v>
      </c>
      <c r="T304">
        <v>2</v>
      </c>
      <c r="U304" s="18" t="b">
        <v>1</v>
      </c>
      <c r="V304" t="s">
        <v>3259</v>
      </c>
      <c r="W304" t="str">
        <f t="shared" si="5"/>
        <v/>
      </c>
      <c r="X304" t="s">
        <v>4081</v>
      </c>
    </row>
    <row r="305" spans="1:24" x14ac:dyDescent="0.3">
      <c r="A305" t="s">
        <v>3220</v>
      </c>
      <c r="B305" s="20" t="s">
        <v>3301</v>
      </c>
      <c r="C305" t="s">
        <v>4082</v>
      </c>
      <c r="D305" t="s">
        <v>4083</v>
      </c>
      <c r="E305" t="s">
        <v>3513</v>
      </c>
      <c r="F305">
        <v>2</v>
      </c>
      <c r="R305" s="18"/>
      <c r="S305" t="str">
        <f t="shared" si="4"/>
        <v>RzisPorD_2</v>
      </c>
      <c r="T305">
        <v>2</v>
      </c>
      <c r="U305" s="18" t="b">
        <v>1</v>
      </c>
      <c r="V305" t="s">
        <v>3259</v>
      </c>
      <c r="W305" t="str">
        <f t="shared" si="5"/>
        <v/>
      </c>
      <c r="X305" t="s">
        <v>4084</v>
      </c>
    </row>
    <row r="306" spans="1:24" x14ac:dyDescent="0.3">
      <c r="A306" t="s">
        <v>3220</v>
      </c>
      <c r="B306" s="20" t="s">
        <v>3301</v>
      </c>
      <c r="C306" t="s">
        <v>4085</v>
      </c>
      <c r="D306" t="s">
        <v>4086</v>
      </c>
      <c r="E306" t="s">
        <v>3513</v>
      </c>
      <c r="F306">
        <v>3</v>
      </c>
      <c r="R306" s="18"/>
      <c r="S306" t="str">
        <f t="shared" si="4"/>
        <v>RzisPorD_3</v>
      </c>
      <c r="T306">
        <v>2</v>
      </c>
      <c r="U306" s="18" t="b">
        <v>1</v>
      </c>
      <c r="V306" t="s">
        <v>3259</v>
      </c>
      <c r="W306" t="str">
        <f t="shared" si="5"/>
        <v/>
      </c>
      <c r="X306" t="s">
        <v>4087</v>
      </c>
    </row>
    <row r="307" spans="1:24" x14ac:dyDescent="0.3">
      <c r="A307" t="s">
        <v>3220</v>
      </c>
      <c r="B307" s="20" t="s">
        <v>3301</v>
      </c>
      <c r="C307" t="s">
        <v>4088</v>
      </c>
      <c r="D307" t="s">
        <v>4089</v>
      </c>
      <c r="E307" t="s">
        <v>3513</v>
      </c>
      <c r="F307">
        <v>4</v>
      </c>
      <c r="R307" s="18"/>
      <c r="S307" t="str">
        <f t="shared" si="4"/>
        <v>RzisPorD_4</v>
      </c>
      <c r="T307">
        <v>2</v>
      </c>
      <c r="U307" s="18" t="b">
        <v>1</v>
      </c>
      <c r="V307" t="s">
        <v>3259</v>
      </c>
      <c r="W307" t="str">
        <f t="shared" si="5"/>
        <v/>
      </c>
      <c r="X307" t="s">
        <v>4090</v>
      </c>
    </row>
    <row r="308" spans="1:24" x14ac:dyDescent="0.3">
      <c r="A308" t="s">
        <v>3241</v>
      </c>
      <c r="B308" s="20" t="s">
        <v>3491</v>
      </c>
      <c r="C308" t="s">
        <v>3513</v>
      </c>
      <c r="D308" t="s">
        <v>4091</v>
      </c>
      <c r="E308" t="s">
        <v>3505</v>
      </c>
      <c r="R308" s="18"/>
      <c r="S308" t="str">
        <f t="shared" si="4"/>
        <v>RzisPorD</v>
      </c>
      <c r="T308">
        <v>1</v>
      </c>
      <c r="U308" s="18" t="b">
        <v>0</v>
      </c>
      <c r="V308" t="s">
        <v>3259</v>
      </c>
      <c r="W308" t="str">
        <f t="shared" si="5"/>
        <v/>
      </c>
      <c r="X308" t="s">
        <v>4092</v>
      </c>
    </row>
    <row r="309" spans="1:24" x14ac:dyDescent="0.3">
      <c r="A309" t="s">
        <v>3220</v>
      </c>
      <c r="B309" s="20" t="s">
        <v>3301</v>
      </c>
      <c r="C309" t="s">
        <v>3517</v>
      </c>
      <c r="D309" t="s">
        <v>4093</v>
      </c>
      <c r="E309" t="s">
        <v>3517</v>
      </c>
      <c r="R309" s="18"/>
      <c r="S309" t="str">
        <f t="shared" si="4"/>
        <v>RzisPorE</v>
      </c>
      <c r="T309">
        <v>1</v>
      </c>
      <c r="U309" s="18" t="b">
        <v>0</v>
      </c>
      <c r="V309" t="s">
        <v>3259</v>
      </c>
      <c r="W309" t="str">
        <f t="shared" si="5"/>
        <v/>
      </c>
      <c r="X309" t="s">
        <v>4094</v>
      </c>
    </row>
    <row r="310" spans="1:24" x14ac:dyDescent="0.3">
      <c r="A310" t="s">
        <v>3220</v>
      </c>
      <c r="B310" s="20" t="s">
        <v>3301</v>
      </c>
      <c r="C310" t="s">
        <v>4095</v>
      </c>
      <c r="D310" t="s">
        <v>4096</v>
      </c>
      <c r="E310" t="s">
        <v>3517</v>
      </c>
      <c r="F310">
        <v>1</v>
      </c>
      <c r="R310" s="18"/>
      <c r="S310" t="str">
        <f t="shared" si="4"/>
        <v>RzisPorE_1</v>
      </c>
      <c r="T310">
        <v>2</v>
      </c>
      <c r="U310" s="18" t="b">
        <v>1</v>
      </c>
      <c r="V310" t="s">
        <v>3259</v>
      </c>
      <c r="W310" t="str">
        <f t="shared" si="5"/>
        <v/>
      </c>
      <c r="X310" t="s">
        <v>4097</v>
      </c>
    </row>
    <row r="311" spans="1:24" x14ac:dyDescent="0.3">
      <c r="A311" t="s">
        <v>3220</v>
      </c>
      <c r="B311" s="20" t="s">
        <v>3301</v>
      </c>
      <c r="C311" t="s">
        <v>4098</v>
      </c>
      <c r="D311" t="s">
        <v>4099</v>
      </c>
      <c r="E311" t="s">
        <v>3517</v>
      </c>
      <c r="F311">
        <v>2</v>
      </c>
      <c r="R311" s="18"/>
      <c r="S311" t="str">
        <f t="shared" si="4"/>
        <v>RzisPorE_2</v>
      </c>
      <c r="T311">
        <v>2</v>
      </c>
      <c r="U311" s="18" t="b">
        <v>1</v>
      </c>
      <c r="V311" t="s">
        <v>3259</v>
      </c>
      <c r="W311" t="str">
        <f t="shared" si="5"/>
        <v/>
      </c>
      <c r="X311" t="s">
        <v>4100</v>
      </c>
    </row>
    <row r="312" spans="1:24" x14ac:dyDescent="0.3">
      <c r="A312" t="s">
        <v>3220</v>
      </c>
      <c r="B312" s="20" t="s">
        <v>3301</v>
      </c>
      <c r="C312" t="s">
        <v>4101</v>
      </c>
      <c r="D312" t="s">
        <v>4102</v>
      </c>
      <c r="E312" t="s">
        <v>3517</v>
      </c>
      <c r="F312">
        <v>3</v>
      </c>
      <c r="R312" s="18"/>
      <c r="S312" t="str">
        <f t="shared" si="4"/>
        <v>RzisPorE_3</v>
      </c>
      <c r="T312">
        <v>2</v>
      </c>
      <c r="U312" s="18" t="b">
        <v>1</v>
      </c>
      <c r="V312" t="s">
        <v>3259</v>
      </c>
      <c r="W312" t="str">
        <f t="shared" si="5"/>
        <v/>
      </c>
      <c r="X312" t="s">
        <v>4103</v>
      </c>
    </row>
    <row r="313" spans="1:24" x14ac:dyDescent="0.3">
      <c r="A313" t="s">
        <v>3241</v>
      </c>
      <c r="B313" s="20" t="s">
        <v>3491</v>
      </c>
      <c r="C313" t="s">
        <v>3517</v>
      </c>
      <c r="D313" t="s">
        <v>4104</v>
      </c>
      <c r="E313" t="s">
        <v>3517</v>
      </c>
      <c r="R313" s="18"/>
      <c r="S313" t="str">
        <f t="shared" si="4"/>
        <v>RzisPorE</v>
      </c>
      <c r="T313">
        <v>1</v>
      </c>
      <c r="U313" s="18" t="b">
        <v>0</v>
      </c>
      <c r="V313" t="s">
        <v>3259</v>
      </c>
      <c r="W313" t="str">
        <f t="shared" ref="W313:W342" si="6">IF(WariantRZiS=1,"","nie")</f>
        <v/>
      </c>
      <c r="X313" t="s">
        <v>4105</v>
      </c>
    </row>
    <row r="314" spans="1:24" x14ac:dyDescent="0.3">
      <c r="A314" t="s">
        <v>3220</v>
      </c>
      <c r="B314" s="20" t="s">
        <v>3301</v>
      </c>
      <c r="C314" t="s">
        <v>3965</v>
      </c>
      <c r="D314" t="s">
        <v>4106</v>
      </c>
      <c r="E314" t="s">
        <v>3965</v>
      </c>
      <c r="R314" s="18"/>
      <c r="S314" t="str">
        <f t="shared" si="4"/>
        <v>RzisPorF</v>
      </c>
      <c r="T314">
        <v>1</v>
      </c>
      <c r="U314" s="18" t="b">
        <v>1</v>
      </c>
      <c r="V314" t="s">
        <v>3259</v>
      </c>
      <c r="W314" t="str">
        <f t="shared" si="6"/>
        <v/>
      </c>
      <c r="X314" t="s">
        <v>4107</v>
      </c>
    </row>
    <row r="315" spans="1:24" x14ac:dyDescent="0.3">
      <c r="A315" t="s">
        <v>3220</v>
      </c>
      <c r="B315" s="20" t="s">
        <v>3301</v>
      </c>
      <c r="C315" t="s">
        <v>3969</v>
      </c>
      <c r="D315" t="s">
        <v>4108</v>
      </c>
      <c r="E315" t="s">
        <v>3969</v>
      </c>
      <c r="R315" s="18"/>
      <c r="S315" t="str">
        <f t="shared" si="4"/>
        <v>RzisPorG</v>
      </c>
      <c r="T315">
        <v>1</v>
      </c>
      <c r="U315" s="18" t="b">
        <v>0</v>
      </c>
      <c r="V315" t="s">
        <v>3259</v>
      </c>
      <c r="W315" t="str">
        <f t="shared" si="6"/>
        <v/>
      </c>
      <c r="X315" t="s">
        <v>4109</v>
      </c>
    </row>
    <row r="316" spans="1:24" x14ac:dyDescent="0.3">
      <c r="A316" t="s">
        <v>3220</v>
      </c>
      <c r="B316" s="20" t="s">
        <v>3301</v>
      </c>
      <c r="C316" t="s">
        <v>4110</v>
      </c>
      <c r="D316" t="s">
        <v>4111</v>
      </c>
      <c r="E316" t="s">
        <v>3969</v>
      </c>
      <c r="F316">
        <v>1</v>
      </c>
      <c r="R316" s="18"/>
      <c r="S316" t="str">
        <f t="shared" si="4"/>
        <v>RzisPorG_1</v>
      </c>
      <c r="T316">
        <v>2</v>
      </c>
      <c r="U316" s="18" t="b">
        <v>0</v>
      </c>
      <c r="V316" t="s">
        <v>3259</v>
      </c>
      <c r="W316" t="str">
        <f t="shared" si="6"/>
        <v/>
      </c>
      <c r="X316" t="s">
        <v>4112</v>
      </c>
    </row>
    <row r="317" spans="1:24" x14ac:dyDescent="0.3">
      <c r="A317" t="s">
        <v>3220</v>
      </c>
      <c r="B317" s="20" t="s">
        <v>3301</v>
      </c>
      <c r="C317" t="s">
        <v>4113</v>
      </c>
      <c r="D317" t="s">
        <v>4114</v>
      </c>
      <c r="E317" t="s">
        <v>3969</v>
      </c>
      <c r="F317">
        <v>1</v>
      </c>
      <c r="G317" t="s">
        <v>3474</v>
      </c>
      <c r="R317" s="18"/>
      <c r="S317" t="str">
        <f t="shared" si="4"/>
        <v>RzisPorG_1_A</v>
      </c>
      <c r="T317">
        <v>3</v>
      </c>
      <c r="U317" s="18" t="b">
        <v>0</v>
      </c>
      <c r="V317" t="s">
        <v>3259</v>
      </c>
      <c r="W317" t="str">
        <f t="shared" si="6"/>
        <v/>
      </c>
      <c r="X317" t="s">
        <v>4115</v>
      </c>
    </row>
    <row r="318" spans="1:24" x14ac:dyDescent="0.3">
      <c r="A318" t="s">
        <v>3220</v>
      </c>
      <c r="B318" s="20" t="s">
        <v>3301</v>
      </c>
      <c r="C318" t="s">
        <v>4116</v>
      </c>
      <c r="D318" t="s">
        <v>4117</v>
      </c>
      <c r="E318" t="s">
        <v>3969</v>
      </c>
      <c r="F318">
        <v>1</v>
      </c>
      <c r="G318" t="s">
        <v>3474</v>
      </c>
      <c r="H318">
        <v>1</v>
      </c>
      <c r="R318" s="18"/>
      <c r="S318" t="str">
        <f t="shared" si="4"/>
        <v>RzisPorG_1_A_1</v>
      </c>
      <c r="T318">
        <v>4</v>
      </c>
      <c r="U318" s="18" t="b">
        <v>1</v>
      </c>
      <c r="V318" t="s">
        <v>3259</v>
      </c>
      <c r="W318" t="str">
        <f t="shared" si="6"/>
        <v/>
      </c>
      <c r="X318" t="s">
        <v>4118</v>
      </c>
    </row>
    <row r="319" spans="1:24" x14ac:dyDescent="0.3">
      <c r="A319" t="s">
        <v>3241</v>
      </c>
      <c r="B319" s="20" t="s">
        <v>3491</v>
      </c>
      <c r="C319" t="s">
        <v>4113</v>
      </c>
      <c r="D319" t="s">
        <v>4119</v>
      </c>
      <c r="E319" t="s">
        <v>3969</v>
      </c>
      <c r="F319">
        <v>1</v>
      </c>
      <c r="G319" t="s">
        <v>3474</v>
      </c>
      <c r="R319" s="18"/>
      <c r="S319" t="str">
        <f t="shared" si="4"/>
        <v>RzisPorG_1_A</v>
      </c>
      <c r="T319">
        <v>3</v>
      </c>
      <c r="U319" s="18" t="b">
        <v>0</v>
      </c>
      <c r="V319" t="s">
        <v>3259</v>
      </c>
      <c r="W319" t="str">
        <f t="shared" si="6"/>
        <v/>
      </c>
      <c r="X319" t="s">
        <v>4120</v>
      </c>
    </row>
    <row r="320" spans="1:24" x14ac:dyDescent="0.3">
      <c r="A320" t="s">
        <v>3220</v>
      </c>
      <c r="B320" s="20" t="s">
        <v>3301</v>
      </c>
      <c r="C320" t="s">
        <v>4121</v>
      </c>
      <c r="D320" t="s">
        <v>4122</v>
      </c>
      <c r="E320" t="s">
        <v>3969</v>
      </c>
      <c r="F320">
        <v>1</v>
      </c>
      <c r="G320" t="s">
        <v>3505</v>
      </c>
      <c r="R320" s="18"/>
      <c r="S320" t="str">
        <f t="shared" si="4"/>
        <v>RzisPorG_1_B</v>
      </c>
      <c r="T320">
        <v>3</v>
      </c>
      <c r="U320" s="18" t="b">
        <v>0</v>
      </c>
      <c r="V320" t="s">
        <v>3259</v>
      </c>
      <c r="W320" t="str">
        <f t="shared" si="6"/>
        <v/>
      </c>
      <c r="X320" t="s">
        <v>4123</v>
      </c>
    </row>
    <row r="321" spans="1:24" x14ac:dyDescent="0.3">
      <c r="A321" t="s">
        <v>3220</v>
      </c>
      <c r="B321" s="20" t="s">
        <v>3301</v>
      </c>
      <c r="C321" t="s">
        <v>4124</v>
      </c>
      <c r="D321" t="s">
        <v>4125</v>
      </c>
      <c r="E321" t="s">
        <v>3969</v>
      </c>
      <c r="F321">
        <v>1</v>
      </c>
      <c r="G321" t="s">
        <v>3505</v>
      </c>
      <c r="H321">
        <v>1</v>
      </c>
      <c r="R321" s="18"/>
      <c r="S321" t="str">
        <f t="shared" si="4"/>
        <v>RzisPorG_1_B_1</v>
      </c>
      <c r="T321">
        <v>4</v>
      </c>
      <c r="U321" s="18" t="b">
        <v>1</v>
      </c>
      <c r="V321" t="s">
        <v>3259</v>
      </c>
      <c r="W321" t="str">
        <f t="shared" si="6"/>
        <v/>
      </c>
      <c r="X321" t="s">
        <v>4126</v>
      </c>
    </row>
    <row r="322" spans="1:24" x14ac:dyDescent="0.3">
      <c r="A322" t="s">
        <v>3241</v>
      </c>
      <c r="B322" s="20" t="s">
        <v>3491</v>
      </c>
      <c r="C322" t="s">
        <v>4121</v>
      </c>
      <c r="D322" t="s">
        <v>4127</v>
      </c>
      <c r="E322" t="s">
        <v>3969</v>
      </c>
      <c r="F322">
        <v>1</v>
      </c>
      <c r="G322" t="s">
        <v>3505</v>
      </c>
      <c r="R322" s="18"/>
      <c r="S322" t="str">
        <f t="shared" si="4"/>
        <v>RzisPorG_1_B</v>
      </c>
      <c r="T322">
        <v>3</v>
      </c>
      <c r="U322" s="18" t="b">
        <v>0</v>
      </c>
      <c r="V322" t="s">
        <v>3259</v>
      </c>
      <c r="W322" t="str">
        <f t="shared" si="6"/>
        <v/>
      </c>
      <c r="X322" t="s">
        <v>4128</v>
      </c>
    </row>
    <row r="323" spans="1:24" x14ac:dyDescent="0.3">
      <c r="A323" t="s">
        <v>3241</v>
      </c>
      <c r="B323" s="20" t="s">
        <v>3491</v>
      </c>
      <c r="C323" t="s">
        <v>4110</v>
      </c>
      <c r="D323" t="s">
        <v>4129</v>
      </c>
      <c r="E323" t="s">
        <v>3969</v>
      </c>
      <c r="F323">
        <v>1</v>
      </c>
      <c r="R323" s="18"/>
      <c r="S323" t="str">
        <f t="shared" si="4"/>
        <v>RzisPorG_1</v>
      </c>
      <c r="T323">
        <v>2</v>
      </c>
      <c r="U323" s="18" t="b">
        <v>0</v>
      </c>
      <c r="V323" t="s">
        <v>3259</v>
      </c>
      <c r="W323" t="str">
        <f t="shared" si="6"/>
        <v/>
      </c>
      <c r="X323" t="s">
        <v>4130</v>
      </c>
    </row>
    <row r="324" spans="1:24" x14ac:dyDescent="0.3">
      <c r="A324" t="s">
        <v>3220</v>
      </c>
      <c r="B324" s="20" t="s">
        <v>3301</v>
      </c>
      <c r="C324" t="s">
        <v>4131</v>
      </c>
      <c r="D324" t="s">
        <v>4132</v>
      </c>
      <c r="E324" t="s">
        <v>3969</v>
      </c>
      <c r="F324">
        <v>2</v>
      </c>
      <c r="R324" s="18"/>
      <c r="S324" t="str">
        <f t="shared" si="4"/>
        <v>RzisPorG_2</v>
      </c>
      <c r="T324">
        <v>2</v>
      </c>
      <c r="U324" s="18" t="b">
        <v>0</v>
      </c>
      <c r="V324" t="s">
        <v>3259</v>
      </c>
      <c r="W324" t="str">
        <f t="shared" si="6"/>
        <v/>
      </c>
      <c r="X324" t="s">
        <v>4133</v>
      </c>
    </row>
    <row r="325" spans="1:24" x14ac:dyDescent="0.3">
      <c r="A325" t="s">
        <v>3220</v>
      </c>
      <c r="B325" s="20" t="s">
        <v>3301</v>
      </c>
      <c r="C325" t="s">
        <v>4134</v>
      </c>
      <c r="D325" t="s">
        <v>4135</v>
      </c>
      <c r="E325" t="s">
        <v>3969</v>
      </c>
      <c r="F325">
        <v>2</v>
      </c>
      <c r="G325" t="s">
        <v>4021</v>
      </c>
      <c r="R325" s="18"/>
      <c r="S325" t="str">
        <f t="shared" si="4"/>
        <v>RzisPorG_2_J</v>
      </c>
      <c r="T325">
        <v>3</v>
      </c>
      <c r="U325" s="18" t="b">
        <v>1</v>
      </c>
      <c r="V325" t="s">
        <v>3259</v>
      </c>
      <c r="W325" t="str">
        <f t="shared" si="6"/>
        <v/>
      </c>
      <c r="X325" t="s">
        <v>4136</v>
      </c>
    </row>
    <row r="326" spans="1:24" x14ac:dyDescent="0.3">
      <c r="A326" t="s">
        <v>3241</v>
      </c>
      <c r="B326" s="20" t="s">
        <v>3491</v>
      </c>
      <c r="C326" t="s">
        <v>4131</v>
      </c>
      <c r="D326" t="s">
        <v>4137</v>
      </c>
      <c r="E326" t="s">
        <v>3969</v>
      </c>
      <c r="F326">
        <v>2</v>
      </c>
      <c r="R326" s="18"/>
      <c r="S326" t="str">
        <f t="shared" si="4"/>
        <v>RzisPorG_2</v>
      </c>
      <c r="T326">
        <v>2</v>
      </c>
      <c r="U326" s="18" t="b">
        <v>0</v>
      </c>
      <c r="V326" t="s">
        <v>3259</v>
      </c>
      <c r="W326" t="str">
        <f t="shared" si="6"/>
        <v/>
      </c>
      <c r="X326" t="s">
        <v>4138</v>
      </c>
    </row>
    <row r="327" spans="1:24" x14ac:dyDescent="0.3">
      <c r="A327" t="s">
        <v>3220</v>
      </c>
      <c r="B327" s="20" t="s">
        <v>3301</v>
      </c>
      <c r="C327" t="s">
        <v>4139</v>
      </c>
      <c r="D327" t="s">
        <v>4140</v>
      </c>
      <c r="E327" t="s">
        <v>3969</v>
      </c>
      <c r="F327">
        <v>3</v>
      </c>
      <c r="R327" s="18"/>
      <c r="S327" t="str">
        <f t="shared" si="4"/>
        <v>RzisPorG_3</v>
      </c>
      <c r="T327">
        <v>2</v>
      </c>
      <c r="U327" s="18" t="b">
        <v>0</v>
      </c>
      <c r="V327" t="s">
        <v>3259</v>
      </c>
      <c r="W327" t="str">
        <f t="shared" si="6"/>
        <v/>
      </c>
      <c r="X327" t="s">
        <v>4141</v>
      </c>
    </row>
    <row r="328" spans="1:24" x14ac:dyDescent="0.3">
      <c r="A328" t="s">
        <v>3220</v>
      </c>
      <c r="B328" s="20" t="s">
        <v>3301</v>
      </c>
      <c r="C328" t="s">
        <v>4142</v>
      </c>
      <c r="D328" t="s">
        <v>4143</v>
      </c>
      <c r="E328" t="s">
        <v>3969</v>
      </c>
      <c r="F328">
        <v>3</v>
      </c>
      <c r="G328" t="s">
        <v>4021</v>
      </c>
      <c r="R328" s="18"/>
      <c r="S328" t="str">
        <f t="shared" si="4"/>
        <v>RzisPorG_3_J</v>
      </c>
      <c r="T328">
        <v>3</v>
      </c>
      <c r="U328" s="18" t="b">
        <v>1</v>
      </c>
      <c r="V328" t="s">
        <v>3259</v>
      </c>
      <c r="W328" t="str">
        <f t="shared" si="6"/>
        <v/>
      </c>
      <c r="X328" t="s">
        <v>4144</v>
      </c>
    </row>
    <row r="329" spans="1:24" x14ac:dyDescent="0.3">
      <c r="A329" t="s">
        <v>3241</v>
      </c>
      <c r="B329" s="20" t="s">
        <v>3491</v>
      </c>
      <c r="C329" t="s">
        <v>4139</v>
      </c>
      <c r="D329" t="s">
        <v>4145</v>
      </c>
      <c r="E329" t="s">
        <v>3969</v>
      </c>
      <c r="F329">
        <v>3</v>
      </c>
      <c r="R329" s="18"/>
      <c r="S329" t="str">
        <f t="shared" si="4"/>
        <v>RzisPorG_3</v>
      </c>
      <c r="T329">
        <v>2</v>
      </c>
      <c r="U329" s="18" t="b">
        <v>0</v>
      </c>
      <c r="V329" t="s">
        <v>3259</v>
      </c>
      <c r="W329" t="str">
        <f t="shared" si="6"/>
        <v/>
      </c>
      <c r="X329" t="s">
        <v>4146</v>
      </c>
    </row>
    <row r="330" spans="1:24" x14ac:dyDescent="0.3">
      <c r="A330" t="s">
        <v>3220</v>
      </c>
      <c r="B330" s="20" t="s">
        <v>3301</v>
      </c>
      <c r="C330" t="s">
        <v>4147</v>
      </c>
      <c r="D330" t="s">
        <v>4148</v>
      </c>
      <c r="E330" t="s">
        <v>3969</v>
      </c>
      <c r="F330">
        <v>4</v>
      </c>
      <c r="R330" s="18"/>
      <c r="S330" t="str">
        <f t="shared" si="4"/>
        <v>RzisPorG_4</v>
      </c>
      <c r="T330">
        <v>2</v>
      </c>
      <c r="U330" s="18" t="b">
        <v>1</v>
      </c>
      <c r="V330" t="s">
        <v>3259</v>
      </c>
      <c r="W330" t="str">
        <f t="shared" si="6"/>
        <v/>
      </c>
      <c r="X330" t="s">
        <v>4149</v>
      </c>
    </row>
    <row r="331" spans="1:24" x14ac:dyDescent="0.3">
      <c r="A331" t="s">
        <v>3220</v>
      </c>
      <c r="B331" s="20" t="s">
        <v>3301</v>
      </c>
      <c r="C331" t="s">
        <v>4150</v>
      </c>
      <c r="D331" t="s">
        <v>4151</v>
      </c>
      <c r="E331" t="s">
        <v>3969</v>
      </c>
      <c r="F331">
        <v>5</v>
      </c>
      <c r="R331" s="18"/>
      <c r="S331" t="str">
        <f t="shared" si="4"/>
        <v>RzisPorG_5</v>
      </c>
      <c r="T331">
        <v>2</v>
      </c>
      <c r="U331" s="18" t="b">
        <v>1</v>
      </c>
      <c r="V331" t="s">
        <v>3259</v>
      </c>
      <c r="W331" t="str">
        <f t="shared" si="6"/>
        <v/>
      </c>
      <c r="X331" t="s">
        <v>4152</v>
      </c>
    </row>
    <row r="332" spans="1:24" x14ac:dyDescent="0.3">
      <c r="A332" t="s">
        <v>3241</v>
      </c>
      <c r="B332" s="20" t="s">
        <v>3491</v>
      </c>
      <c r="C332" t="s">
        <v>3969</v>
      </c>
      <c r="D332" t="s">
        <v>4153</v>
      </c>
      <c r="E332" t="s">
        <v>3969</v>
      </c>
      <c r="R332" s="18"/>
      <c r="S332" t="str">
        <f t="shared" si="4"/>
        <v>RzisPorG</v>
      </c>
      <c r="T332">
        <v>1</v>
      </c>
      <c r="U332" s="18" t="b">
        <v>0</v>
      </c>
      <c r="V332" t="s">
        <v>3259</v>
      </c>
      <c r="W332" t="str">
        <f t="shared" si="6"/>
        <v/>
      </c>
      <c r="X332" t="s">
        <v>4154</v>
      </c>
    </row>
    <row r="333" spans="1:24" x14ac:dyDescent="0.3">
      <c r="A333" t="s">
        <v>3220</v>
      </c>
      <c r="B333" s="20" t="s">
        <v>3301</v>
      </c>
      <c r="C333" t="s">
        <v>3973</v>
      </c>
      <c r="D333" t="s">
        <v>4155</v>
      </c>
      <c r="E333" t="s">
        <v>3973</v>
      </c>
      <c r="R333" s="18"/>
      <c r="S333" t="str">
        <f t="shared" si="4"/>
        <v>RzisPorH</v>
      </c>
      <c r="T333">
        <v>1</v>
      </c>
      <c r="U333" s="18" t="b">
        <v>0</v>
      </c>
      <c r="V333" t="s">
        <v>3259</v>
      </c>
      <c r="W333" t="str">
        <f t="shared" si="6"/>
        <v/>
      </c>
      <c r="X333" t="s">
        <v>4156</v>
      </c>
    </row>
    <row r="334" spans="1:24" x14ac:dyDescent="0.3">
      <c r="A334" t="s">
        <v>3220</v>
      </c>
      <c r="B334" s="20" t="s">
        <v>3301</v>
      </c>
      <c r="C334" t="s">
        <v>4157</v>
      </c>
      <c r="D334" t="s">
        <v>4158</v>
      </c>
      <c r="E334" t="s">
        <v>3973</v>
      </c>
      <c r="F334">
        <v>1</v>
      </c>
      <c r="R334" s="18"/>
      <c r="S334" t="str">
        <f t="shared" si="4"/>
        <v>RzisPorH_1</v>
      </c>
      <c r="T334">
        <v>2</v>
      </c>
      <c r="U334" s="18" t="b">
        <v>0</v>
      </c>
      <c r="V334" t="s">
        <v>3259</v>
      </c>
      <c r="W334" t="str">
        <f t="shared" si="6"/>
        <v/>
      </c>
      <c r="X334" t="s">
        <v>4159</v>
      </c>
    </row>
    <row r="335" spans="1:24" x14ac:dyDescent="0.3">
      <c r="A335" t="s">
        <v>3220</v>
      </c>
      <c r="B335" s="20" t="s">
        <v>3301</v>
      </c>
      <c r="C335" t="s">
        <v>4160</v>
      </c>
      <c r="D335" t="s">
        <v>4161</v>
      </c>
      <c r="E335" t="s">
        <v>3973</v>
      </c>
      <c r="F335">
        <v>1</v>
      </c>
      <c r="G335" t="s">
        <v>4021</v>
      </c>
      <c r="R335" s="18"/>
      <c r="S335" t="str">
        <f t="shared" si="4"/>
        <v>RzisPorH_1_J</v>
      </c>
      <c r="T335">
        <v>3</v>
      </c>
      <c r="U335" s="18" t="b">
        <v>1</v>
      </c>
      <c r="V335" t="s">
        <v>3259</v>
      </c>
      <c r="W335" t="str">
        <f t="shared" si="6"/>
        <v/>
      </c>
      <c r="X335" t="s">
        <v>4162</v>
      </c>
    </row>
    <row r="336" spans="1:24" x14ac:dyDescent="0.3">
      <c r="A336" t="s">
        <v>3241</v>
      </c>
      <c r="B336" s="20" t="s">
        <v>3491</v>
      </c>
      <c r="C336" t="s">
        <v>4157</v>
      </c>
      <c r="D336" t="s">
        <v>4163</v>
      </c>
      <c r="E336" t="s">
        <v>3973</v>
      </c>
      <c r="F336">
        <v>1</v>
      </c>
      <c r="R336" s="18"/>
      <c r="S336" t="str">
        <f t="shared" si="4"/>
        <v>RzisPorH_1</v>
      </c>
      <c r="T336">
        <v>2</v>
      </c>
      <c r="U336" s="18" t="b">
        <v>0</v>
      </c>
      <c r="V336" t="s">
        <v>3259</v>
      </c>
      <c r="W336" t="str">
        <f t="shared" si="6"/>
        <v/>
      </c>
      <c r="X336" t="s">
        <v>4164</v>
      </c>
    </row>
    <row r="337" spans="1:24" x14ac:dyDescent="0.3">
      <c r="A337" t="s">
        <v>3220</v>
      </c>
      <c r="B337" s="20" t="s">
        <v>3301</v>
      </c>
      <c r="C337" t="s">
        <v>4165</v>
      </c>
      <c r="D337" t="s">
        <v>4166</v>
      </c>
      <c r="E337" t="s">
        <v>3973</v>
      </c>
      <c r="F337">
        <v>2</v>
      </c>
      <c r="R337" s="18"/>
      <c r="S337" t="str">
        <f t="shared" si="4"/>
        <v>RzisPorH_2</v>
      </c>
      <c r="T337">
        <v>2</v>
      </c>
      <c r="U337" s="18" t="b">
        <v>0</v>
      </c>
      <c r="V337" t="s">
        <v>3259</v>
      </c>
      <c r="W337" t="str">
        <f t="shared" si="6"/>
        <v/>
      </c>
      <c r="X337" t="s">
        <v>4167</v>
      </c>
    </row>
    <row r="338" spans="1:24" x14ac:dyDescent="0.3">
      <c r="A338" t="s">
        <v>3220</v>
      </c>
      <c r="B338" s="20" t="s">
        <v>3301</v>
      </c>
      <c r="C338" t="s">
        <v>4168</v>
      </c>
      <c r="D338" t="s">
        <v>4169</v>
      </c>
      <c r="E338" t="s">
        <v>3973</v>
      </c>
      <c r="F338">
        <v>2</v>
      </c>
      <c r="G338" t="s">
        <v>4021</v>
      </c>
      <c r="R338" s="18"/>
      <c r="S338" t="str">
        <f t="shared" si="4"/>
        <v>RzisPorH_2_J</v>
      </c>
      <c r="T338">
        <v>3</v>
      </c>
      <c r="U338" s="18" t="b">
        <v>1</v>
      </c>
      <c r="V338" t="s">
        <v>3259</v>
      </c>
      <c r="W338" t="str">
        <f t="shared" si="6"/>
        <v/>
      </c>
      <c r="X338" t="s">
        <v>4170</v>
      </c>
    </row>
    <row r="339" spans="1:24" x14ac:dyDescent="0.3">
      <c r="A339" t="s">
        <v>3241</v>
      </c>
      <c r="B339" s="20" t="s">
        <v>3491</v>
      </c>
      <c r="C339" t="s">
        <v>4165</v>
      </c>
      <c r="D339" t="s">
        <v>4171</v>
      </c>
      <c r="E339" t="s">
        <v>3973</v>
      </c>
      <c r="F339">
        <v>2</v>
      </c>
      <c r="R339" s="18"/>
      <c r="S339" t="str">
        <f t="shared" si="4"/>
        <v>RzisPorH_2</v>
      </c>
      <c r="T339">
        <v>2</v>
      </c>
      <c r="U339" s="18" t="b">
        <v>0</v>
      </c>
      <c r="V339" t="s">
        <v>3259</v>
      </c>
      <c r="W339" t="str">
        <f t="shared" si="6"/>
        <v/>
      </c>
      <c r="X339" t="s">
        <v>4172</v>
      </c>
    </row>
    <row r="340" spans="1:24" x14ac:dyDescent="0.3">
      <c r="A340" t="s">
        <v>3220</v>
      </c>
      <c r="B340" s="20" t="s">
        <v>3301</v>
      </c>
      <c r="C340" t="s">
        <v>4173</v>
      </c>
      <c r="D340" t="s">
        <v>4174</v>
      </c>
      <c r="E340" t="s">
        <v>3973</v>
      </c>
      <c r="F340">
        <v>3</v>
      </c>
      <c r="R340" s="18"/>
      <c r="S340" t="str">
        <f t="shared" si="4"/>
        <v>RzisPorH_3</v>
      </c>
      <c r="T340">
        <v>2</v>
      </c>
      <c r="U340" s="18" t="b">
        <v>1</v>
      </c>
      <c r="V340" t="s">
        <v>3259</v>
      </c>
      <c r="W340" t="str">
        <f t="shared" si="6"/>
        <v/>
      </c>
      <c r="X340" t="s">
        <v>4175</v>
      </c>
    </row>
    <row r="341" spans="1:24" x14ac:dyDescent="0.3">
      <c r="A341" t="s">
        <v>3220</v>
      </c>
      <c r="B341" s="20" t="s">
        <v>3301</v>
      </c>
      <c r="C341" t="s">
        <v>4176</v>
      </c>
      <c r="D341" t="s">
        <v>4177</v>
      </c>
      <c r="E341" t="s">
        <v>3973</v>
      </c>
      <c r="F341">
        <v>4</v>
      </c>
      <c r="R341" s="18"/>
      <c r="S341" t="str">
        <f t="shared" ref="S341:S464" si="7">IF(ISERROR(FIND("_koniec",D341)),D341,LEFT(D341,FIND("_koniec",D341)-1))</f>
        <v>RzisPorH_4</v>
      </c>
      <c r="T341">
        <v>2</v>
      </c>
      <c r="U341" s="18" t="b">
        <v>1</v>
      </c>
      <c r="V341" t="s">
        <v>3259</v>
      </c>
      <c r="W341" t="str">
        <f t="shared" si="6"/>
        <v/>
      </c>
      <c r="X341" t="s">
        <v>4178</v>
      </c>
    </row>
    <row r="342" spans="1:24" x14ac:dyDescent="0.3">
      <c r="A342" t="s">
        <v>3241</v>
      </c>
      <c r="B342" s="20" t="s">
        <v>3491</v>
      </c>
      <c r="C342" t="s">
        <v>3973</v>
      </c>
      <c r="D342" t="s">
        <v>4179</v>
      </c>
      <c r="E342" t="s">
        <v>3973</v>
      </c>
      <c r="R342" s="18"/>
      <c r="S342" t="str">
        <f t="shared" si="7"/>
        <v>RzisPorH</v>
      </c>
      <c r="T342">
        <v>1</v>
      </c>
      <c r="U342" s="18" t="b">
        <v>0</v>
      </c>
      <c r="V342" t="s">
        <v>3259</v>
      </c>
      <c r="W342" t="str">
        <f t="shared" si="6"/>
        <v/>
      </c>
      <c r="X342" t="s">
        <v>4180</v>
      </c>
    </row>
    <row r="343" spans="1:24" x14ac:dyDescent="0.3">
      <c r="A343" t="s">
        <v>3220</v>
      </c>
      <c r="B343" s="20" t="s">
        <v>3301</v>
      </c>
      <c r="C343" t="s">
        <v>3977</v>
      </c>
      <c r="D343" t="s">
        <v>4181</v>
      </c>
      <c r="E343" t="s">
        <v>3977</v>
      </c>
      <c r="R343" s="18"/>
      <c r="S343" t="str">
        <f t="shared" si="7"/>
        <v>RzisPorI</v>
      </c>
      <c r="T343">
        <v>1</v>
      </c>
      <c r="U343" s="18" t="b">
        <v>1</v>
      </c>
      <c r="V343" t="s">
        <v>3259</v>
      </c>
      <c r="W343" t="str">
        <f>IF(WariantRZiS=1,"tak","nie")</f>
        <v>tak</v>
      </c>
      <c r="X343" t="s">
        <v>4182</v>
      </c>
    </row>
    <row r="344" spans="1:24" x14ac:dyDescent="0.3">
      <c r="A344" t="s">
        <v>3220</v>
      </c>
      <c r="B344" s="20" t="s">
        <v>3301</v>
      </c>
      <c r="C344" t="s">
        <v>4021</v>
      </c>
      <c r="D344" t="s">
        <v>4183</v>
      </c>
      <c r="E344" t="s">
        <v>4021</v>
      </c>
      <c r="R344" s="18"/>
      <c r="S344" t="str">
        <f t="shared" si="7"/>
        <v>RzisPorJ</v>
      </c>
      <c r="T344">
        <v>1</v>
      </c>
      <c r="U344" s="18" t="b">
        <v>1</v>
      </c>
      <c r="V344" t="s">
        <v>3259</v>
      </c>
      <c r="W344" t="str">
        <f>IF(WariantRZiS=1,"","nie")</f>
        <v/>
      </c>
      <c r="X344" t="s">
        <v>4184</v>
      </c>
    </row>
    <row r="345" spans="1:24" x14ac:dyDescent="0.3">
      <c r="A345" t="s">
        <v>3220</v>
      </c>
      <c r="B345" s="20" t="s">
        <v>3301</v>
      </c>
      <c r="C345" t="s">
        <v>4185</v>
      </c>
      <c r="D345" t="s">
        <v>4186</v>
      </c>
      <c r="E345" t="s">
        <v>4185</v>
      </c>
      <c r="R345" s="18"/>
      <c r="S345" t="str">
        <f t="shared" si="7"/>
        <v>RzisPorK</v>
      </c>
      <c r="T345">
        <v>1</v>
      </c>
      <c r="U345" s="18" t="b">
        <v>1</v>
      </c>
      <c r="V345" t="s">
        <v>3259</v>
      </c>
      <c r="W345" t="str">
        <f>IF(WariantRZiS=1,"","nie")</f>
        <v/>
      </c>
      <c r="X345" t="s">
        <v>4187</v>
      </c>
    </row>
    <row r="346" spans="1:24" x14ac:dyDescent="0.3">
      <c r="A346" t="s">
        <v>3220</v>
      </c>
      <c r="B346" s="20" t="s">
        <v>3301</v>
      </c>
      <c r="C346" t="s">
        <v>4188</v>
      </c>
      <c r="D346" t="s">
        <v>4189</v>
      </c>
      <c r="E346" t="s">
        <v>4188</v>
      </c>
      <c r="R346" s="18"/>
      <c r="S346" t="str">
        <f t="shared" si="7"/>
        <v>RzisPorL</v>
      </c>
      <c r="T346">
        <v>1</v>
      </c>
      <c r="U346" s="18" t="b">
        <v>1</v>
      </c>
      <c r="V346" t="s">
        <v>3259</v>
      </c>
      <c r="W346" t="str">
        <f>IF(WariantRZiS=1,"tak","nie")</f>
        <v>tak</v>
      </c>
      <c r="X346" t="s">
        <v>4190</v>
      </c>
    </row>
    <row r="347" spans="1:24" x14ac:dyDescent="0.3">
      <c r="A347" t="s">
        <v>3241</v>
      </c>
      <c r="B347" s="20" t="s">
        <v>3491</v>
      </c>
      <c r="C347" t="s">
        <v>4014</v>
      </c>
      <c r="D347" t="s">
        <v>4014</v>
      </c>
      <c r="E347" t="s">
        <v>4014</v>
      </c>
      <c r="F347" s="26"/>
      <c r="R347" s="18"/>
      <c r="S347" t="str">
        <f t="shared" si="7"/>
        <v>RZiSPor</v>
      </c>
      <c r="T347">
        <v>1</v>
      </c>
      <c r="U347" s="18" t="b">
        <v>0</v>
      </c>
      <c r="V347" t="s">
        <v>3259</v>
      </c>
      <c r="W347" t="str">
        <f>IF(WariantRZiS=1,"tak","nie")</f>
        <v>tak</v>
      </c>
      <c r="X347" t="s">
        <v>4191</v>
      </c>
    </row>
    <row r="348" spans="1:24" x14ac:dyDescent="0.3">
      <c r="A348" t="s">
        <v>3241</v>
      </c>
      <c r="B348" s="20" t="s">
        <v>3301</v>
      </c>
      <c r="C348" t="s">
        <v>4192</v>
      </c>
      <c r="D348" t="s">
        <v>4193</v>
      </c>
      <c r="E348" t="s">
        <v>4192</v>
      </c>
      <c r="F348" s="26"/>
      <c r="R348" s="18"/>
      <c r="S348" t="str">
        <f t="shared" si="7"/>
        <v>RzisKalk</v>
      </c>
      <c r="T348">
        <v>1</v>
      </c>
      <c r="U348" s="18" t="b">
        <v>0</v>
      </c>
      <c r="V348" t="s">
        <v>3265</v>
      </c>
      <c r="W348" t="str">
        <f>IF(WariantRZiS=2,"tak","nie")</f>
        <v>nie</v>
      </c>
      <c r="X348" t="s">
        <v>4194</v>
      </c>
    </row>
    <row r="349" spans="1:24" x14ac:dyDescent="0.3">
      <c r="A349" t="s">
        <v>3220</v>
      </c>
      <c r="B349" s="20" t="s">
        <v>3301</v>
      </c>
      <c r="C349" t="s">
        <v>3474</v>
      </c>
      <c r="D349" t="s">
        <v>4195</v>
      </c>
      <c r="E349" t="s">
        <v>3474</v>
      </c>
      <c r="R349" s="18"/>
      <c r="S349" t="str">
        <f t="shared" si="7"/>
        <v>RzisKalkA</v>
      </c>
      <c r="T349">
        <v>1</v>
      </c>
      <c r="U349" s="18" t="b">
        <v>0</v>
      </c>
      <c r="V349" t="s">
        <v>3265</v>
      </c>
      <c r="W349" t="str">
        <f t="shared" ref="W349:W380" si="8">IF(WariantRZiS=2,"","nie")</f>
        <v>nie</v>
      </c>
      <c r="X349" t="s">
        <v>4196</v>
      </c>
    </row>
    <row r="350" spans="1:24" x14ac:dyDescent="0.3">
      <c r="A350" t="s">
        <v>3220</v>
      </c>
      <c r="B350" s="20" t="s">
        <v>3301</v>
      </c>
      <c r="C350" t="s">
        <v>4019</v>
      </c>
      <c r="D350" t="s">
        <v>4197</v>
      </c>
      <c r="E350" t="s">
        <v>3474</v>
      </c>
      <c r="F350" t="s">
        <v>4021</v>
      </c>
      <c r="R350" s="18"/>
      <c r="S350" t="str">
        <f t="shared" si="7"/>
        <v>RzisKalkA_J</v>
      </c>
      <c r="T350">
        <v>2</v>
      </c>
      <c r="U350" s="18" t="b">
        <v>1</v>
      </c>
      <c r="V350" t="s">
        <v>3265</v>
      </c>
      <c r="W350" t="str">
        <f t="shared" si="8"/>
        <v>nie</v>
      </c>
      <c r="X350" t="s">
        <v>4198</v>
      </c>
    </row>
    <row r="351" spans="1:24" x14ac:dyDescent="0.3">
      <c r="A351" t="s">
        <v>3220</v>
      </c>
      <c r="B351" s="20" t="s">
        <v>3301</v>
      </c>
      <c r="C351" t="s">
        <v>4023</v>
      </c>
      <c r="D351" t="s">
        <v>4199</v>
      </c>
      <c r="E351" t="s">
        <v>3474</v>
      </c>
      <c r="F351">
        <v>1</v>
      </c>
      <c r="R351" s="18"/>
      <c r="S351" t="str">
        <f t="shared" si="7"/>
        <v>RzisKalkA_1</v>
      </c>
      <c r="T351">
        <v>2</v>
      </c>
      <c r="U351" s="18" t="b">
        <v>1</v>
      </c>
      <c r="V351" t="s">
        <v>3265</v>
      </c>
      <c r="W351" t="str">
        <f t="shared" si="8"/>
        <v>nie</v>
      </c>
      <c r="X351" t="s">
        <v>4200</v>
      </c>
    </row>
    <row r="352" spans="1:24" x14ac:dyDescent="0.3">
      <c r="A352" t="s">
        <v>3220</v>
      </c>
      <c r="B352" s="20" t="s">
        <v>3301</v>
      </c>
      <c r="C352" t="s">
        <v>4026</v>
      </c>
      <c r="D352" t="s">
        <v>4201</v>
      </c>
      <c r="E352" t="s">
        <v>3474</v>
      </c>
      <c r="F352">
        <v>2</v>
      </c>
      <c r="R352" s="18"/>
      <c r="S352" t="str">
        <f t="shared" si="7"/>
        <v>RzisKalkA_2</v>
      </c>
      <c r="T352">
        <v>2</v>
      </c>
      <c r="U352" s="18" t="b">
        <v>1</v>
      </c>
      <c r="V352" t="s">
        <v>3265</v>
      </c>
      <c r="W352" t="str">
        <f t="shared" si="8"/>
        <v>nie</v>
      </c>
      <c r="X352" t="s">
        <v>4202</v>
      </c>
    </row>
    <row r="353" spans="1:24" x14ac:dyDescent="0.3">
      <c r="A353" t="s">
        <v>3241</v>
      </c>
      <c r="B353" s="20" t="s">
        <v>3491</v>
      </c>
      <c r="C353" t="s">
        <v>3474</v>
      </c>
      <c r="D353" t="s">
        <v>4203</v>
      </c>
      <c r="E353" t="s">
        <v>3474</v>
      </c>
      <c r="R353" s="18"/>
      <c r="S353" t="str">
        <f t="shared" si="7"/>
        <v>RzisKalkA</v>
      </c>
      <c r="T353">
        <v>1</v>
      </c>
      <c r="U353" s="18" t="b">
        <v>0</v>
      </c>
      <c r="V353" t="s">
        <v>3265</v>
      </c>
      <c r="W353" t="str">
        <f t="shared" si="8"/>
        <v>nie</v>
      </c>
      <c r="X353" t="s">
        <v>4204</v>
      </c>
    </row>
    <row r="354" spans="1:24" x14ac:dyDescent="0.3">
      <c r="A354" t="s">
        <v>3220</v>
      </c>
      <c r="B354" s="20" t="s">
        <v>3301</v>
      </c>
      <c r="C354" t="s">
        <v>3505</v>
      </c>
      <c r="D354" t="s">
        <v>4205</v>
      </c>
      <c r="E354" t="s">
        <v>3505</v>
      </c>
      <c r="R354" s="18"/>
      <c r="S354" t="str">
        <f t="shared" si="7"/>
        <v>RzisKalkB</v>
      </c>
      <c r="T354">
        <v>1</v>
      </c>
      <c r="U354" s="18" t="b">
        <v>0</v>
      </c>
      <c r="V354" t="s">
        <v>3265</v>
      </c>
      <c r="W354" t="str">
        <f t="shared" si="8"/>
        <v>nie</v>
      </c>
      <c r="X354" t="s">
        <v>4206</v>
      </c>
    </row>
    <row r="355" spans="1:24" x14ac:dyDescent="0.3">
      <c r="A355" t="s">
        <v>3220</v>
      </c>
      <c r="B355" s="20" t="s">
        <v>3301</v>
      </c>
      <c r="C355" t="s">
        <v>4207</v>
      </c>
      <c r="D355" t="s">
        <v>4208</v>
      </c>
      <c r="E355" t="s">
        <v>3505</v>
      </c>
      <c r="F355" t="s">
        <v>4021</v>
      </c>
      <c r="R355" s="18"/>
      <c r="S355" t="str">
        <f t="shared" si="7"/>
        <v>RzisKalkB_J</v>
      </c>
      <c r="T355">
        <v>2</v>
      </c>
      <c r="U355" s="18" t="b">
        <v>1</v>
      </c>
      <c r="V355" t="s">
        <v>3265</v>
      </c>
      <c r="W355" t="str">
        <f t="shared" si="8"/>
        <v>nie</v>
      </c>
      <c r="X355" t="s">
        <v>4209</v>
      </c>
    </row>
    <row r="356" spans="1:24" x14ac:dyDescent="0.3">
      <c r="A356" t="s">
        <v>3220</v>
      </c>
      <c r="B356" s="20" t="s">
        <v>3301</v>
      </c>
      <c r="C356" t="s">
        <v>4039</v>
      </c>
      <c r="D356" t="s">
        <v>4210</v>
      </c>
      <c r="E356" t="s">
        <v>3505</v>
      </c>
      <c r="F356">
        <v>1</v>
      </c>
      <c r="R356" s="18"/>
      <c r="S356" t="str">
        <f t="shared" si="7"/>
        <v>RzisKalkB_1</v>
      </c>
      <c r="T356">
        <v>2</v>
      </c>
      <c r="U356" s="18" t="b">
        <v>1</v>
      </c>
      <c r="V356" t="s">
        <v>3265</v>
      </c>
      <c r="W356" t="str">
        <f t="shared" si="8"/>
        <v>nie</v>
      </c>
      <c r="X356" t="s">
        <v>4211</v>
      </c>
    </row>
    <row r="357" spans="1:24" x14ac:dyDescent="0.3">
      <c r="A357" t="s">
        <v>3220</v>
      </c>
      <c r="B357" s="20" t="s">
        <v>3301</v>
      </c>
      <c r="C357" t="s">
        <v>4042</v>
      </c>
      <c r="D357" t="s">
        <v>4212</v>
      </c>
      <c r="E357" t="s">
        <v>3505</v>
      </c>
      <c r="F357">
        <v>2</v>
      </c>
      <c r="R357" s="18"/>
      <c r="S357" t="str">
        <f t="shared" si="7"/>
        <v>RzisKalkB_2</v>
      </c>
      <c r="T357">
        <v>2</v>
      </c>
      <c r="U357" s="18" t="b">
        <v>1</v>
      </c>
      <c r="V357" t="s">
        <v>3265</v>
      </c>
      <c r="W357" t="str">
        <f t="shared" si="8"/>
        <v>nie</v>
      </c>
      <c r="X357" t="s">
        <v>4213</v>
      </c>
    </row>
    <row r="358" spans="1:24" x14ac:dyDescent="0.3">
      <c r="A358" t="s">
        <v>3241</v>
      </c>
      <c r="B358" s="20" t="s">
        <v>3491</v>
      </c>
      <c r="C358" t="s">
        <v>3505</v>
      </c>
      <c r="D358" t="s">
        <v>4214</v>
      </c>
      <c r="E358" t="s">
        <v>3505</v>
      </c>
      <c r="R358" s="18"/>
      <c r="S358" t="str">
        <f t="shared" si="7"/>
        <v>RzisKalkB</v>
      </c>
      <c r="T358">
        <v>1</v>
      </c>
      <c r="U358" s="18" t="b">
        <v>0</v>
      </c>
      <c r="V358" t="s">
        <v>3265</v>
      </c>
      <c r="W358" t="str">
        <f t="shared" si="8"/>
        <v>nie</v>
      </c>
      <c r="X358" t="s">
        <v>4215</v>
      </c>
    </row>
    <row r="359" spans="1:24" x14ac:dyDescent="0.3">
      <c r="A359" t="s">
        <v>3220</v>
      </c>
      <c r="B359" s="20" t="s">
        <v>3301</v>
      </c>
      <c r="C359" t="s">
        <v>3509</v>
      </c>
      <c r="D359" t="s">
        <v>4216</v>
      </c>
      <c r="E359" t="s">
        <v>3509</v>
      </c>
      <c r="R359" s="18"/>
      <c r="S359" t="str">
        <f t="shared" si="7"/>
        <v>RzisKalkC</v>
      </c>
      <c r="T359">
        <v>1</v>
      </c>
      <c r="U359" s="18" t="b">
        <v>1</v>
      </c>
      <c r="V359" t="s">
        <v>3265</v>
      </c>
      <c r="W359" t="str">
        <f t="shared" si="8"/>
        <v>nie</v>
      </c>
      <c r="X359" t="s">
        <v>4217</v>
      </c>
    </row>
    <row r="360" spans="1:24" x14ac:dyDescent="0.3">
      <c r="A360" t="s">
        <v>3220</v>
      </c>
      <c r="B360" s="20" t="s">
        <v>3301</v>
      </c>
      <c r="C360" t="s">
        <v>3513</v>
      </c>
      <c r="D360" t="s">
        <v>4218</v>
      </c>
      <c r="E360" t="s">
        <v>3513</v>
      </c>
      <c r="R360" s="18"/>
      <c r="S360" t="str">
        <f t="shared" si="7"/>
        <v>RzisKalkD</v>
      </c>
      <c r="T360">
        <v>1</v>
      </c>
      <c r="U360" s="18" t="b">
        <v>1</v>
      </c>
      <c r="V360" t="s">
        <v>3265</v>
      </c>
      <c r="W360" t="str">
        <f t="shared" si="8"/>
        <v>nie</v>
      </c>
      <c r="X360" t="s">
        <v>4219</v>
      </c>
    </row>
    <row r="361" spans="1:24" x14ac:dyDescent="0.3">
      <c r="A361" t="s">
        <v>3220</v>
      </c>
      <c r="B361" s="20" t="s">
        <v>3301</v>
      </c>
      <c r="C361" t="s">
        <v>3517</v>
      </c>
      <c r="D361" t="s">
        <v>4220</v>
      </c>
      <c r="E361" t="s">
        <v>3517</v>
      </c>
      <c r="R361" s="18"/>
      <c r="S361" t="str">
        <f t="shared" si="7"/>
        <v>RzisKalkE</v>
      </c>
      <c r="T361">
        <v>1</v>
      </c>
      <c r="U361" s="18" t="b">
        <v>1</v>
      </c>
      <c r="V361" t="s">
        <v>3265</v>
      </c>
      <c r="W361" t="str">
        <f t="shared" si="8"/>
        <v>nie</v>
      </c>
      <c r="X361" t="s">
        <v>4221</v>
      </c>
    </row>
    <row r="362" spans="1:24" x14ac:dyDescent="0.3">
      <c r="A362" t="s">
        <v>3220</v>
      </c>
      <c r="B362" s="20" t="s">
        <v>3301</v>
      </c>
      <c r="C362" t="s">
        <v>3965</v>
      </c>
      <c r="D362" t="s">
        <v>4222</v>
      </c>
      <c r="E362" t="s">
        <v>3965</v>
      </c>
      <c r="R362" s="18"/>
      <c r="S362" t="str">
        <f t="shared" si="7"/>
        <v>RzisKalkF</v>
      </c>
      <c r="T362">
        <v>1</v>
      </c>
      <c r="U362" s="18" t="b">
        <v>1</v>
      </c>
      <c r="V362" t="s">
        <v>3265</v>
      </c>
      <c r="W362" t="str">
        <f t="shared" si="8"/>
        <v>nie</v>
      </c>
      <c r="X362" t="s">
        <v>4223</v>
      </c>
    </row>
    <row r="363" spans="1:24" x14ac:dyDescent="0.3">
      <c r="A363" t="s">
        <v>3220</v>
      </c>
      <c r="B363" s="20" t="s">
        <v>3301</v>
      </c>
      <c r="C363" t="s">
        <v>3969</v>
      </c>
      <c r="D363" t="s">
        <v>4224</v>
      </c>
      <c r="E363" t="s">
        <v>3969</v>
      </c>
      <c r="R363" s="18"/>
      <c r="S363" t="str">
        <f t="shared" si="7"/>
        <v>RzisKalkG</v>
      </c>
      <c r="T363">
        <v>1</v>
      </c>
      <c r="U363" s="18" t="b">
        <v>0</v>
      </c>
      <c r="V363" t="s">
        <v>3265</v>
      </c>
      <c r="W363" t="str">
        <f t="shared" si="8"/>
        <v>nie</v>
      </c>
      <c r="X363" t="s">
        <v>4225</v>
      </c>
    </row>
    <row r="364" spans="1:24" x14ac:dyDescent="0.3">
      <c r="A364" t="s">
        <v>3220</v>
      </c>
      <c r="B364" s="20" t="s">
        <v>3301</v>
      </c>
      <c r="C364" t="s">
        <v>4110</v>
      </c>
      <c r="D364" t="s">
        <v>4226</v>
      </c>
      <c r="E364" t="s">
        <v>3969</v>
      </c>
      <c r="F364">
        <v>1</v>
      </c>
      <c r="R364" s="18"/>
      <c r="S364" t="str">
        <f t="shared" si="7"/>
        <v>RzisKalkG_1</v>
      </c>
      <c r="T364">
        <v>2</v>
      </c>
      <c r="U364" s="18" t="b">
        <v>1</v>
      </c>
      <c r="V364" t="s">
        <v>3265</v>
      </c>
      <c r="W364" t="str">
        <f t="shared" si="8"/>
        <v>nie</v>
      </c>
      <c r="X364" t="s">
        <v>4227</v>
      </c>
    </row>
    <row r="365" spans="1:24" x14ac:dyDescent="0.3">
      <c r="A365" t="s">
        <v>3220</v>
      </c>
      <c r="B365" s="20" t="s">
        <v>3301</v>
      </c>
      <c r="C365" t="s">
        <v>4131</v>
      </c>
      <c r="D365" t="s">
        <v>4228</v>
      </c>
      <c r="E365" t="s">
        <v>3969</v>
      </c>
      <c r="F365">
        <v>2</v>
      </c>
      <c r="R365" s="18"/>
      <c r="S365" t="str">
        <f t="shared" si="7"/>
        <v>RzisKalkG_2</v>
      </c>
      <c r="T365">
        <v>2</v>
      </c>
      <c r="U365" s="18" t="b">
        <v>1</v>
      </c>
      <c r="V365" t="s">
        <v>3265</v>
      </c>
      <c r="W365" t="str">
        <f t="shared" si="8"/>
        <v>nie</v>
      </c>
      <c r="X365" t="s">
        <v>4229</v>
      </c>
    </row>
    <row r="366" spans="1:24" x14ac:dyDescent="0.3">
      <c r="A366" t="s">
        <v>3220</v>
      </c>
      <c r="B366" s="20" t="s">
        <v>3301</v>
      </c>
      <c r="C366" t="s">
        <v>4139</v>
      </c>
      <c r="D366" t="s">
        <v>4230</v>
      </c>
      <c r="E366" t="s">
        <v>3969</v>
      </c>
      <c r="F366">
        <v>3</v>
      </c>
      <c r="R366" s="18"/>
      <c r="S366" t="str">
        <f t="shared" si="7"/>
        <v>RzisKalkG_3</v>
      </c>
      <c r="T366">
        <v>2</v>
      </c>
      <c r="U366" s="18" t="b">
        <v>1</v>
      </c>
      <c r="V366" t="s">
        <v>3265</v>
      </c>
      <c r="W366" t="str">
        <f t="shared" si="8"/>
        <v>nie</v>
      </c>
      <c r="X366" t="s">
        <v>4231</v>
      </c>
    </row>
    <row r="367" spans="1:24" x14ac:dyDescent="0.3">
      <c r="A367" t="s">
        <v>3220</v>
      </c>
      <c r="B367" s="20" t="s">
        <v>3301</v>
      </c>
      <c r="C367" t="s">
        <v>4147</v>
      </c>
      <c r="D367" t="s">
        <v>4232</v>
      </c>
      <c r="E367" t="s">
        <v>3969</v>
      </c>
      <c r="F367">
        <v>4</v>
      </c>
      <c r="R367" s="18"/>
      <c r="S367" t="str">
        <f t="shared" si="7"/>
        <v>RzisKalkG_4</v>
      </c>
      <c r="T367">
        <v>2</v>
      </c>
      <c r="U367" s="18" t="b">
        <v>1</v>
      </c>
      <c r="V367" t="s">
        <v>3265</v>
      </c>
      <c r="W367" t="str">
        <f t="shared" si="8"/>
        <v>nie</v>
      </c>
      <c r="X367" t="s">
        <v>4233</v>
      </c>
    </row>
    <row r="368" spans="1:24" x14ac:dyDescent="0.3">
      <c r="A368" t="s">
        <v>3241</v>
      </c>
      <c r="B368" s="20" t="s">
        <v>3491</v>
      </c>
      <c r="C368" t="s">
        <v>3969</v>
      </c>
      <c r="D368" t="s">
        <v>4234</v>
      </c>
      <c r="E368" t="s">
        <v>3969</v>
      </c>
      <c r="R368" s="18"/>
      <c r="S368" t="str">
        <f t="shared" si="7"/>
        <v>RzisKalkG</v>
      </c>
      <c r="T368">
        <v>1</v>
      </c>
      <c r="U368" s="18" t="b">
        <v>0</v>
      </c>
      <c r="V368" t="s">
        <v>3265</v>
      </c>
      <c r="W368" t="str">
        <f t="shared" si="8"/>
        <v>nie</v>
      </c>
      <c r="X368" t="s">
        <v>4235</v>
      </c>
    </row>
    <row r="369" spans="1:24" x14ac:dyDescent="0.3">
      <c r="A369" t="s">
        <v>3220</v>
      </c>
      <c r="B369" s="20" t="s">
        <v>3301</v>
      </c>
      <c r="C369" t="s">
        <v>3973</v>
      </c>
      <c r="D369" t="s">
        <v>4236</v>
      </c>
      <c r="E369" t="s">
        <v>3973</v>
      </c>
      <c r="R369" s="18"/>
      <c r="S369" t="str">
        <f t="shared" si="7"/>
        <v>RzisKalkH</v>
      </c>
      <c r="T369">
        <v>1</v>
      </c>
      <c r="U369" s="18" t="b">
        <v>0</v>
      </c>
      <c r="V369" t="s">
        <v>3265</v>
      </c>
      <c r="W369" t="str">
        <f t="shared" si="8"/>
        <v>nie</v>
      </c>
      <c r="X369" t="s">
        <v>4237</v>
      </c>
    </row>
    <row r="370" spans="1:24" x14ac:dyDescent="0.3">
      <c r="A370" t="s">
        <v>3220</v>
      </c>
      <c r="B370" s="20" t="s">
        <v>3301</v>
      </c>
      <c r="C370" t="s">
        <v>4157</v>
      </c>
      <c r="D370" t="s">
        <v>4238</v>
      </c>
      <c r="E370" t="s">
        <v>3973</v>
      </c>
      <c r="F370">
        <v>1</v>
      </c>
      <c r="R370" s="18"/>
      <c r="S370" t="str">
        <f t="shared" si="7"/>
        <v>RzisKalkH_1</v>
      </c>
      <c r="T370">
        <v>2</v>
      </c>
      <c r="U370" s="18" t="b">
        <v>1</v>
      </c>
      <c r="V370" t="s">
        <v>3265</v>
      </c>
      <c r="W370" t="str">
        <f t="shared" si="8"/>
        <v>nie</v>
      </c>
      <c r="X370" t="s">
        <v>4239</v>
      </c>
    </row>
    <row r="371" spans="1:24" x14ac:dyDescent="0.3">
      <c r="A371" t="s">
        <v>3220</v>
      </c>
      <c r="B371" s="20" t="s">
        <v>3301</v>
      </c>
      <c r="C371" t="s">
        <v>4165</v>
      </c>
      <c r="D371" t="s">
        <v>4240</v>
      </c>
      <c r="E371" t="s">
        <v>3973</v>
      </c>
      <c r="F371">
        <v>2</v>
      </c>
      <c r="R371" s="18"/>
      <c r="S371" t="str">
        <f t="shared" si="7"/>
        <v>RzisKalkH_2</v>
      </c>
      <c r="T371">
        <v>2</v>
      </c>
      <c r="U371" s="18" t="b">
        <v>1</v>
      </c>
      <c r="V371" t="s">
        <v>3265</v>
      </c>
      <c r="W371" t="str">
        <f t="shared" si="8"/>
        <v>nie</v>
      </c>
      <c r="X371" t="s">
        <v>4241</v>
      </c>
    </row>
    <row r="372" spans="1:24" x14ac:dyDescent="0.3">
      <c r="A372" t="s">
        <v>3220</v>
      </c>
      <c r="B372" s="20" t="s">
        <v>3301</v>
      </c>
      <c r="C372" t="s">
        <v>4173</v>
      </c>
      <c r="D372" t="s">
        <v>4242</v>
      </c>
      <c r="E372" t="s">
        <v>3973</v>
      </c>
      <c r="F372">
        <v>3</v>
      </c>
      <c r="R372" s="18"/>
      <c r="S372" t="str">
        <f t="shared" si="7"/>
        <v>RzisKalkH_3</v>
      </c>
      <c r="T372">
        <v>2</v>
      </c>
      <c r="U372" s="18" t="b">
        <v>1</v>
      </c>
      <c r="V372" t="s">
        <v>3265</v>
      </c>
      <c r="W372" t="str">
        <f t="shared" si="8"/>
        <v>nie</v>
      </c>
      <c r="X372" t="s">
        <v>4243</v>
      </c>
    </row>
    <row r="373" spans="1:24" x14ac:dyDescent="0.3">
      <c r="A373" t="s">
        <v>3241</v>
      </c>
      <c r="B373" s="20" t="s">
        <v>3491</v>
      </c>
      <c r="C373" t="s">
        <v>3973</v>
      </c>
      <c r="D373" t="s">
        <v>4244</v>
      </c>
      <c r="E373" t="s">
        <v>3973</v>
      </c>
      <c r="R373" s="18"/>
      <c r="S373" t="str">
        <f t="shared" si="7"/>
        <v>RzisKalkH</v>
      </c>
      <c r="T373">
        <v>1</v>
      </c>
      <c r="U373" s="18" t="b">
        <v>0</v>
      </c>
      <c r="V373" t="s">
        <v>3265</v>
      </c>
      <c r="W373" t="str">
        <f t="shared" si="8"/>
        <v>nie</v>
      </c>
      <c r="X373" t="s">
        <v>4245</v>
      </c>
    </row>
    <row r="374" spans="1:24" x14ac:dyDescent="0.3">
      <c r="A374" t="s">
        <v>3220</v>
      </c>
      <c r="B374" s="20" t="s">
        <v>3301</v>
      </c>
      <c r="C374" t="s">
        <v>3977</v>
      </c>
      <c r="D374" t="s">
        <v>4246</v>
      </c>
      <c r="E374" t="s">
        <v>3977</v>
      </c>
      <c r="R374" s="18"/>
      <c r="S374" t="str">
        <f t="shared" si="7"/>
        <v>RzisKalkI</v>
      </c>
      <c r="T374">
        <v>1</v>
      </c>
      <c r="U374" s="18" t="b">
        <v>1</v>
      </c>
      <c r="V374" t="s">
        <v>3265</v>
      </c>
      <c r="W374" t="str">
        <f t="shared" si="8"/>
        <v>nie</v>
      </c>
      <c r="X374" t="s">
        <v>4247</v>
      </c>
    </row>
    <row r="375" spans="1:24" x14ac:dyDescent="0.3">
      <c r="A375" t="s">
        <v>3220</v>
      </c>
      <c r="B375" s="20" t="s">
        <v>3301</v>
      </c>
      <c r="C375" t="s">
        <v>4021</v>
      </c>
      <c r="D375" t="s">
        <v>4248</v>
      </c>
      <c r="E375" t="s">
        <v>4021</v>
      </c>
      <c r="R375" s="18"/>
      <c r="S375" t="str">
        <f t="shared" si="7"/>
        <v>RzisKalkJ</v>
      </c>
      <c r="T375">
        <v>1</v>
      </c>
      <c r="U375" s="18" t="b">
        <v>0</v>
      </c>
      <c r="V375" t="s">
        <v>3265</v>
      </c>
      <c r="W375" t="str">
        <f t="shared" si="8"/>
        <v>nie</v>
      </c>
      <c r="X375" t="s">
        <v>4249</v>
      </c>
    </row>
    <row r="376" spans="1:24" x14ac:dyDescent="0.3">
      <c r="A376" t="s">
        <v>3220</v>
      </c>
      <c r="B376" s="20" t="s">
        <v>3301</v>
      </c>
      <c r="C376" t="s">
        <v>4250</v>
      </c>
      <c r="D376" t="s">
        <v>4251</v>
      </c>
      <c r="E376" t="s">
        <v>4021</v>
      </c>
      <c r="F376">
        <v>1</v>
      </c>
      <c r="R376" s="18"/>
      <c r="S376" t="str">
        <f t="shared" si="7"/>
        <v>RzisKalkJ_1</v>
      </c>
      <c r="T376">
        <v>2</v>
      </c>
      <c r="U376" s="18" t="b">
        <v>0</v>
      </c>
      <c r="V376" t="s">
        <v>3265</v>
      </c>
      <c r="W376" t="str">
        <f t="shared" si="8"/>
        <v>nie</v>
      </c>
      <c r="X376" t="s">
        <v>4252</v>
      </c>
    </row>
    <row r="377" spans="1:24" x14ac:dyDescent="0.3">
      <c r="A377" t="s">
        <v>3220</v>
      </c>
      <c r="B377" s="20" t="s">
        <v>3301</v>
      </c>
      <c r="C377" t="s">
        <v>4253</v>
      </c>
      <c r="D377" t="s">
        <v>4254</v>
      </c>
      <c r="E377" t="s">
        <v>4021</v>
      </c>
      <c r="F377">
        <v>1</v>
      </c>
      <c r="G377">
        <v>1</v>
      </c>
      <c r="R377" s="18"/>
      <c r="S377" t="str">
        <f t="shared" si="7"/>
        <v>RzisKalkJ_1_1</v>
      </c>
      <c r="T377">
        <v>3</v>
      </c>
      <c r="U377" s="18" t="b">
        <v>0</v>
      </c>
      <c r="V377" t="s">
        <v>3265</v>
      </c>
      <c r="W377" t="str">
        <f t="shared" si="8"/>
        <v>nie</v>
      </c>
      <c r="X377" t="s">
        <v>4255</v>
      </c>
    </row>
    <row r="378" spans="1:24" x14ac:dyDescent="0.3">
      <c r="A378" t="s">
        <v>3220</v>
      </c>
      <c r="B378" s="20" t="s">
        <v>3301</v>
      </c>
      <c r="C378" t="s">
        <v>4256</v>
      </c>
      <c r="D378" t="s">
        <v>4257</v>
      </c>
      <c r="E378" t="s">
        <v>4021</v>
      </c>
      <c r="F378">
        <v>1</v>
      </c>
      <c r="G378">
        <v>1</v>
      </c>
      <c r="H378">
        <v>1</v>
      </c>
      <c r="R378" s="18"/>
      <c r="S378" t="str">
        <f t="shared" si="7"/>
        <v>RzisKalkJ_1_1_1</v>
      </c>
      <c r="T378">
        <v>4</v>
      </c>
      <c r="U378" s="18" t="b">
        <v>1</v>
      </c>
      <c r="V378" t="s">
        <v>3265</v>
      </c>
      <c r="W378" t="str">
        <f t="shared" si="8"/>
        <v>nie</v>
      </c>
      <c r="X378" t="s">
        <v>4258</v>
      </c>
    </row>
    <row r="379" spans="1:24" x14ac:dyDescent="0.3">
      <c r="A379" t="s">
        <v>3241</v>
      </c>
      <c r="B379" s="20" t="s">
        <v>3491</v>
      </c>
      <c r="C379" t="s">
        <v>4253</v>
      </c>
      <c r="D379" t="s">
        <v>4259</v>
      </c>
      <c r="E379" t="s">
        <v>4021</v>
      </c>
      <c r="F379">
        <v>1</v>
      </c>
      <c r="G379">
        <v>1</v>
      </c>
      <c r="R379" s="18"/>
      <c r="S379" t="str">
        <f t="shared" si="7"/>
        <v>RzisKalkJ_1_1</v>
      </c>
      <c r="T379">
        <v>3</v>
      </c>
      <c r="U379" s="18" t="b">
        <v>0</v>
      </c>
      <c r="V379" t="s">
        <v>3265</v>
      </c>
      <c r="W379" t="str">
        <f t="shared" si="8"/>
        <v>nie</v>
      </c>
      <c r="X379" t="s">
        <v>4260</v>
      </c>
    </row>
    <row r="380" spans="1:24" x14ac:dyDescent="0.3">
      <c r="A380" t="s">
        <v>3220</v>
      </c>
      <c r="B380" s="20" t="s">
        <v>3301</v>
      </c>
      <c r="C380" t="s">
        <v>4261</v>
      </c>
      <c r="D380" t="s">
        <v>4262</v>
      </c>
      <c r="E380" t="s">
        <v>4021</v>
      </c>
      <c r="F380">
        <v>1</v>
      </c>
      <c r="G380">
        <v>2</v>
      </c>
      <c r="R380" s="18"/>
      <c r="S380" t="str">
        <f t="shared" si="7"/>
        <v>RzisKalkJ_1_2</v>
      </c>
      <c r="T380">
        <v>3</v>
      </c>
      <c r="U380" s="18" t="b">
        <v>0</v>
      </c>
      <c r="V380" t="s">
        <v>3265</v>
      </c>
      <c r="W380" t="str">
        <f t="shared" si="8"/>
        <v>nie</v>
      </c>
      <c r="X380" t="s">
        <v>4263</v>
      </c>
    </row>
    <row r="381" spans="1:24" x14ac:dyDescent="0.3">
      <c r="A381" t="s">
        <v>3220</v>
      </c>
      <c r="B381" s="20" t="s">
        <v>3301</v>
      </c>
      <c r="C381" t="s">
        <v>4264</v>
      </c>
      <c r="D381" t="s">
        <v>4265</v>
      </c>
      <c r="E381" t="s">
        <v>4021</v>
      </c>
      <c r="F381">
        <v>1</v>
      </c>
      <c r="G381">
        <v>2</v>
      </c>
      <c r="H381">
        <v>1</v>
      </c>
      <c r="R381" s="18"/>
      <c r="S381" t="str">
        <f t="shared" si="7"/>
        <v>RzisKalkJ_1_2_1</v>
      </c>
      <c r="T381">
        <v>4</v>
      </c>
      <c r="U381" s="18" t="b">
        <v>1</v>
      </c>
      <c r="V381" t="s">
        <v>3265</v>
      </c>
      <c r="W381" t="str">
        <f t="shared" ref="W381:W405" si="9">IF(WariantRZiS=2,"","nie")</f>
        <v>nie</v>
      </c>
      <c r="X381" t="s">
        <v>4266</v>
      </c>
    </row>
    <row r="382" spans="1:24" x14ac:dyDescent="0.3">
      <c r="A382" t="s">
        <v>3241</v>
      </c>
      <c r="B382" s="20" t="s">
        <v>3491</v>
      </c>
      <c r="C382" t="s">
        <v>4261</v>
      </c>
      <c r="D382" t="s">
        <v>4267</v>
      </c>
      <c r="E382" t="s">
        <v>4021</v>
      </c>
      <c r="F382">
        <v>1</v>
      </c>
      <c r="G382">
        <v>2</v>
      </c>
      <c r="R382" s="18"/>
      <c r="S382" t="str">
        <f t="shared" si="7"/>
        <v>RzisKalkJ_1_2</v>
      </c>
      <c r="T382">
        <v>3</v>
      </c>
      <c r="U382" s="18" t="b">
        <v>0</v>
      </c>
      <c r="V382" t="s">
        <v>3265</v>
      </c>
      <c r="W382" t="str">
        <f t="shared" si="9"/>
        <v>nie</v>
      </c>
      <c r="X382" t="s">
        <v>4268</v>
      </c>
    </row>
    <row r="383" spans="1:24" x14ac:dyDescent="0.3">
      <c r="A383" t="s">
        <v>3241</v>
      </c>
      <c r="B383" s="20" t="s">
        <v>3491</v>
      </c>
      <c r="C383" t="s">
        <v>4250</v>
      </c>
      <c r="D383" t="s">
        <v>4269</v>
      </c>
      <c r="E383" t="s">
        <v>4021</v>
      </c>
      <c r="F383">
        <v>1</v>
      </c>
      <c r="R383" s="18"/>
      <c r="S383" t="str">
        <f t="shared" si="7"/>
        <v>RzisKalkJ_1</v>
      </c>
      <c r="T383">
        <v>2</v>
      </c>
      <c r="U383" s="18" t="b">
        <v>0</v>
      </c>
      <c r="V383" t="s">
        <v>3265</v>
      </c>
      <c r="W383" t="str">
        <f t="shared" si="9"/>
        <v>nie</v>
      </c>
      <c r="X383" t="s">
        <v>4270</v>
      </c>
    </row>
    <row r="384" spans="1:24" x14ac:dyDescent="0.3">
      <c r="A384" t="s">
        <v>3220</v>
      </c>
      <c r="B384" s="20" t="s">
        <v>3301</v>
      </c>
      <c r="C384" t="s">
        <v>4271</v>
      </c>
      <c r="D384" t="s">
        <v>4272</v>
      </c>
      <c r="E384" t="s">
        <v>4021</v>
      </c>
      <c r="F384">
        <v>2</v>
      </c>
      <c r="R384" s="18"/>
      <c r="S384" t="str">
        <f t="shared" si="7"/>
        <v>RzisKalkJ_2</v>
      </c>
      <c r="T384">
        <v>2</v>
      </c>
      <c r="U384" s="18" t="b">
        <v>0</v>
      </c>
      <c r="V384" t="s">
        <v>3265</v>
      </c>
      <c r="W384" t="str">
        <f t="shared" si="9"/>
        <v>nie</v>
      </c>
      <c r="X384" t="s">
        <v>4273</v>
      </c>
    </row>
    <row r="385" spans="1:24" x14ac:dyDescent="0.3">
      <c r="A385" t="s">
        <v>3220</v>
      </c>
      <c r="B385" s="20" t="s">
        <v>3301</v>
      </c>
      <c r="C385" t="s">
        <v>4274</v>
      </c>
      <c r="D385" t="s">
        <v>4275</v>
      </c>
      <c r="E385" t="s">
        <v>4021</v>
      </c>
      <c r="F385">
        <v>2</v>
      </c>
      <c r="G385" t="s">
        <v>4021</v>
      </c>
      <c r="R385" s="18"/>
      <c r="S385" t="str">
        <f t="shared" si="7"/>
        <v>RzisKalkJ_2_J</v>
      </c>
      <c r="T385">
        <v>3</v>
      </c>
      <c r="U385" s="18" t="b">
        <v>1</v>
      </c>
      <c r="V385" t="s">
        <v>3265</v>
      </c>
      <c r="W385" t="str">
        <f t="shared" si="9"/>
        <v>nie</v>
      </c>
      <c r="X385" t="s">
        <v>4276</v>
      </c>
    </row>
    <row r="386" spans="1:24" x14ac:dyDescent="0.3">
      <c r="A386" t="s">
        <v>3241</v>
      </c>
      <c r="B386" s="20" t="s">
        <v>3491</v>
      </c>
      <c r="C386" t="s">
        <v>4271</v>
      </c>
      <c r="D386" t="s">
        <v>4277</v>
      </c>
      <c r="E386" t="s">
        <v>4021</v>
      </c>
      <c r="F386">
        <v>2</v>
      </c>
      <c r="R386" s="18"/>
      <c r="S386" t="str">
        <f t="shared" si="7"/>
        <v>RzisKalkJ_2</v>
      </c>
      <c r="T386">
        <v>2</v>
      </c>
      <c r="U386" s="18" t="b">
        <v>0</v>
      </c>
      <c r="V386" t="s">
        <v>3265</v>
      </c>
      <c r="W386" t="str">
        <f t="shared" si="9"/>
        <v>nie</v>
      </c>
      <c r="X386" t="s">
        <v>4278</v>
      </c>
    </row>
    <row r="387" spans="1:24" x14ac:dyDescent="0.3">
      <c r="A387" t="s">
        <v>3220</v>
      </c>
      <c r="B387" s="20" t="s">
        <v>3301</v>
      </c>
      <c r="C387" t="s">
        <v>4279</v>
      </c>
      <c r="D387" t="s">
        <v>4280</v>
      </c>
      <c r="E387" t="s">
        <v>4021</v>
      </c>
      <c r="F387">
        <v>3</v>
      </c>
      <c r="R387" s="18"/>
      <c r="S387" t="str">
        <f t="shared" si="7"/>
        <v>RzisKalkJ_3</v>
      </c>
      <c r="T387">
        <v>2</v>
      </c>
      <c r="U387" s="18" t="b">
        <v>0</v>
      </c>
      <c r="V387" t="s">
        <v>3265</v>
      </c>
      <c r="W387" t="str">
        <f t="shared" si="9"/>
        <v>nie</v>
      </c>
      <c r="X387" t="s">
        <v>4281</v>
      </c>
    </row>
    <row r="388" spans="1:24" x14ac:dyDescent="0.3">
      <c r="A388" t="s">
        <v>3220</v>
      </c>
      <c r="B388" s="20" t="s">
        <v>3301</v>
      </c>
      <c r="C388" t="s">
        <v>4282</v>
      </c>
      <c r="D388" t="s">
        <v>4283</v>
      </c>
      <c r="E388" t="s">
        <v>4021</v>
      </c>
      <c r="F388">
        <v>3</v>
      </c>
      <c r="G388" t="s">
        <v>4021</v>
      </c>
      <c r="R388" s="18"/>
      <c r="S388" t="str">
        <f t="shared" si="7"/>
        <v>RzisKalkJ_3_J</v>
      </c>
      <c r="T388">
        <v>3</v>
      </c>
      <c r="U388" s="18" t="b">
        <v>1</v>
      </c>
      <c r="V388" t="s">
        <v>3265</v>
      </c>
      <c r="W388" t="str">
        <f t="shared" si="9"/>
        <v>nie</v>
      </c>
      <c r="X388" t="s">
        <v>4284</v>
      </c>
    </row>
    <row r="389" spans="1:24" x14ac:dyDescent="0.3">
      <c r="A389" t="s">
        <v>3241</v>
      </c>
      <c r="B389" s="20" t="s">
        <v>3491</v>
      </c>
      <c r="C389" t="s">
        <v>4279</v>
      </c>
      <c r="D389" t="s">
        <v>4285</v>
      </c>
      <c r="E389" t="s">
        <v>4021</v>
      </c>
      <c r="F389">
        <v>3</v>
      </c>
      <c r="R389" s="18"/>
      <c r="S389" t="str">
        <f t="shared" si="7"/>
        <v>RzisKalkJ_3</v>
      </c>
      <c r="T389">
        <v>2</v>
      </c>
      <c r="U389" s="18" t="b">
        <v>0</v>
      </c>
      <c r="V389" t="s">
        <v>3265</v>
      </c>
      <c r="W389" t="str">
        <f t="shared" si="9"/>
        <v>nie</v>
      </c>
      <c r="X389" t="s">
        <v>4286</v>
      </c>
    </row>
    <row r="390" spans="1:24" x14ac:dyDescent="0.3">
      <c r="A390" t="s">
        <v>3220</v>
      </c>
      <c r="B390" s="20" t="s">
        <v>3301</v>
      </c>
      <c r="C390" t="s">
        <v>4287</v>
      </c>
      <c r="D390" t="s">
        <v>4288</v>
      </c>
      <c r="E390" t="s">
        <v>4021</v>
      </c>
      <c r="F390">
        <v>4</v>
      </c>
      <c r="R390" s="18"/>
      <c r="S390" t="str">
        <f t="shared" si="7"/>
        <v>RzisKalkJ_4</v>
      </c>
      <c r="T390">
        <v>2</v>
      </c>
      <c r="U390" s="18" t="b">
        <v>1</v>
      </c>
      <c r="V390" t="s">
        <v>3265</v>
      </c>
      <c r="W390" t="str">
        <f t="shared" si="9"/>
        <v>nie</v>
      </c>
      <c r="X390" t="s">
        <v>4289</v>
      </c>
    </row>
    <row r="391" spans="1:24" x14ac:dyDescent="0.3">
      <c r="A391" t="s">
        <v>3220</v>
      </c>
      <c r="B391" s="20" t="s">
        <v>3301</v>
      </c>
      <c r="C391" t="s">
        <v>4290</v>
      </c>
      <c r="D391" t="s">
        <v>4291</v>
      </c>
      <c r="E391" t="s">
        <v>4021</v>
      </c>
      <c r="F391">
        <v>5</v>
      </c>
      <c r="R391" s="18"/>
      <c r="S391" t="str">
        <f t="shared" si="7"/>
        <v>RzisKalkJ_5</v>
      </c>
      <c r="T391">
        <v>2</v>
      </c>
      <c r="U391" s="18" t="b">
        <v>1</v>
      </c>
      <c r="V391" t="s">
        <v>3265</v>
      </c>
      <c r="W391" t="str">
        <f t="shared" si="9"/>
        <v>nie</v>
      </c>
      <c r="X391" t="s">
        <v>4292</v>
      </c>
    </row>
    <row r="392" spans="1:24" x14ac:dyDescent="0.3">
      <c r="A392" t="s">
        <v>3241</v>
      </c>
      <c r="B392" s="20" t="s">
        <v>3491</v>
      </c>
      <c r="C392" t="s">
        <v>4021</v>
      </c>
      <c r="D392" t="s">
        <v>4293</v>
      </c>
      <c r="E392" t="s">
        <v>4021</v>
      </c>
      <c r="R392" s="18"/>
      <c r="S392" t="str">
        <f t="shared" si="7"/>
        <v>RzisKalkJ</v>
      </c>
      <c r="T392">
        <v>1</v>
      </c>
      <c r="U392" s="18" t="b">
        <v>0</v>
      </c>
      <c r="V392" t="s">
        <v>3265</v>
      </c>
      <c r="W392" t="str">
        <f t="shared" si="9"/>
        <v>nie</v>
      </c>
      <c r="X392" t="s">
        <v>4294</v>
      </c>
    </row>
    <row r="393" spans="1:24" x14ac:dyDescent="0.3">
      <c r="A393" t="s">
        <v>3220</v>
      </c>
      <c r="B393" s="20" t="s">
        <v>3301</v>
      </c>
      <c r="C393" t="s">
        <v>4185</v>
      </c>
      <c r="D393" t="s">
        <v>4295</v>
      </c>
      <c r="E393" t="s">
        <v>4185</v>
      </c>
      <c r="R393" s="18"/>
      <c r="S393" t="str">
        <f t="shared" si="7"/>
        <v>RzisKalkK</v>
      </c>
      <c r="T393">
        <v>1</v>
      </c>
      <c r="U393" s="18" t="b">
        <v>0</v>
      </c>
      <c r="V393" t="s">
        <v>3265</v>
      </c>
      <c r="W393" t="str">
        <f t="shared" si="9"/>
        <v>nie</v>
      </c>
      <c r="X393" t="s">
        <v>4296</v>
      </c>
    </row>
    <row r="394" spans="1:24" x14ac:dyDescent="0.3">
      <c r="A394" t="s">
        <v>3220</v>
      </c>
      <c r="B394" s="20" t="s">
        <v>3301</v>
      </c>
      <c r="C394" t="s">
        <v>4297</v>
      </c>
      <c r="D394" t="s">
        <v>4298</v>
      </c>
      <c r="E394" t="s">
        <v>4185</v>
      </c>
      <c r="F394">
        <v>1</v>
      </c>
      <c r="R394" s="18"/>
      <c r="S394" t="str">
        <f t="shared" si="7"/>
        <v>RzisKalkK_1</v>
      </c>
      <c r="T394">
        <v>2</v>
      </c>
      <c r="U394" s="18" t="b">
        <v>0</v>
      </c>
      <c r="V394" t="s">
        <v>3265</v>
      </c>
      <c r="W394" t="str">
        <f t="shared" si="9"/>
        <v>nie</v>
      </c>
      <c r="X394" t="s">
        <v>4299</v>
      </c>
    </row>
    <row r="395" spans="1:24" x14ac:dyDescent="0.3">
      <c r="A395" t="s">
        <v>3220</v>
      </c>
      <c r="B395" s="20" t="s">
        <v>3301</v>
      </c>
      <c r="C395" t="s">
        <v>4300</v>
      </c>
      <c r="D395" t="s">
        <v>4301</v>
      </c>
      <c r="E395" t="s">
        <v>4185</v>
      </c>
      <c r="F395">
        <v>1</v>
      </c>
      <c r="G395" t="s">
        <v>4021</v>
      </c>
      <c r="R395" s="18"/>
      <c r="S395" t="str">
        <f t="shared" si="7"/>
        <v>RzisKalkK_1_J</v>
      </c>
      <c r="T395">
        <v>3</v>
      </c>
      <c r="U395" s="18" t="b">
        <v>1</v>
      </c>
      <c r="V395" t="s">
        <v>3265</v>
      </c>
      <c r="W395" t="str">
        <f t="shared" si="9"/>
        <v>nie</v>
      </c>
      <c r="X395" t="s">
        <v>4302</v>
      </c>
    </row>
    <row r="396" spans="1:24" x14ac:dyDescent="0.3">
      <c r="A396" t="s">
        <v>3241</v>
      </c>
      <c r="B396" s="20" t="s">
        <v>3491</v>
      </c>
      <c r="C396" t="s">
        <v>4297</v>
      </c>
      <c r="D396" t="s">
        <v>4303</v>
      </c>
      <c r="E396" t="s">
        <v>4185</v>
      </c>
      <c r="F396">
        <v>1</v>
      </c>
      <c r="R396" s="18"/>
      <c r="S396" t="str">
        <f t="shared" si="7"/>
        <v>RzisKalkK_1</v>
      </c>
      <c r="T396">
        <v>2</v>
      </c>
      <c r="U396" s="18" t="b">
        <v>0</v>
      </c>
      <c r="V396" t="s">
        <v>3265</v>
      </c>
      <c r="W396" t="str">
        <f t="shared" si="9"/>
        <v>nie</v>
      </c>
      <c r="X396" t="s">
        <v>4304</v>
      </c>
    </row>
    <row r="397" spans="1:24" x14ac:dyDescent="0.3">
      <c r="A397" t="s">
        <v>3220</v>
      </c>
      <c r="B397" s="20" t="s">
        <v>3301</v>
      </c>
      <c r="C397" t="s">
        <v>4305</v>
      </c>
      <c r="D397" t="s">
        <v>4306</v>
      </c>
      <c r="E397" t="s">
        <v>4185</v>
      </c>
      <c r="F397">
        <v>2</v>
      </c>
      <c r="R397" s="18"/>
      <c r="S397" t="str">
        <f t="shared" si="7"/>
        <v>RzisKalkK_2</v>
      </c>
      <c r="T397">
        <v>2</v>
      </c>
      <c r="U397" s="18" t="b">
        <v>0</v>
      </c>
      <c r="V397" t="s">
        <v>3265</v>
      </c>
      <c r="W397" t="str">
        <f t="shared" si="9"/>
        <v>nie</v>
      </c>
      <c r="X397" t="s">
        <v>4307</v>
      </c>
    </row>
    <row r="398" spans="1:24" x14ac:dyDescent="0.3">
      <c r="A398" t="s">
        <v>3220</v>
      </c>
      <c r="B398" s="20" t="s">
        <v>3301</v>
      </c>
      <c r="C398" t="s">
        <v>4308</v>
      </c>
      <c r="D398" t="s">
        <v>4309</v>
      </c>
      <c r="E398" t="s">
        <v>4185</v>
      </c>
      <c r="F398">
        <v>2</v>
      </c>
      <c r="G398" t="s">
        <v>4021</v>
      </c>
      <c r="R398" s="18"/>
      <c r="S398" t="str">
        <f t="shared" si="7"/>
        <v>RzisKalkK_2_J</v>
      </c>
      <c r="T398">
        <v>3</v>
      </c>
      <c r="U398" s="18" t="b">
        <v>1</v>
      </c>
      <c r="V398" t="s">
        <v>3265</v>
      </c>
      <c r="W398" t="str">
        <f t="shared" si="9"/>
        <v>nie</v>
      </c>
      <c r="X398" t="s">
        <v>4310</v>
      </c>
    </row>
    <row r="399" spans="1:24" x14ac:dyDescent="0.3">
      <c r="A399" t="s">
        <v>3241</v>
      </c>
      <c r="B399" s="20" t="s">
        <v>3491</v>
      </c>
      <c r="C399" t="s">
        <v>4305</v>
      </c>
      <c r="D399" t="s">
        <v>4311</v>
      </c>
      <c r="E399" t="s">
        <v>4185</v>
      </c>
      <c r="F399">
        <v>2</v>
      </c>
      <c r="R399" s="18"/>
      <c r="S399" t="str">
        <f t="shared" si="7"/>
        <v>RzisKalkK_2</v>
      </c>
      <c r="T399">
        <v>2</v>
      </c>
      <c r="U399" s="18" t="b">
        <v>0</v>
      </c>
      <c r="V399" t="s">
        <v>3265</v>
      </c>
      <c r="W399" t="str">
        <f t="shared" si="9"/>
        <v>nie</v>
      </c>
      <c r="X399" t="s">
        <v>4312</v>
      </c>
    </row>
    <row r="400" spans="1:24" x14ac:dyDescent="0.3">
      <c r="A400" t="s">
        <v>3220</v>
      </c>
      <c r="B400" s="20" t="s">
        <v>3301</v>
      </c>
      <c r="C400" t="s">
        <v>4313</v>
      </c>
      <c r="D400" t="s">
        <v>4314</v>
      </c>
      <c r="E400" t="s">
        <v>4185</v>
      </c>
      <c r="F400">
        <v>3</v>
      </c>
      <c r="R400" s="18"/>
      <c r="S400" t="str">
        <f t="shared" si="7"/>
        <v>RzisKalkK_3</v>
      </c>
      <c r="T400">
        <v>2</v>
      </c>
      <c r="U400" s="18" t="b">
        <v>1</v>
      </c>
      <c r="V400" t="s">
        <v>3265</v>
      </c>
      <c r="W400" t="str">
        <f t="shared" si="9"/>
        <v>nie</v>
      </c>
      <c r="X400" t="s">
        <v>4315</v>
      </c>
    </row>
    <row r="401" spans="1:24" x14ac:dyDescent="0.3">
      <c r="A401" t="s">
        <v>3220</v>
      </c>
      <c r="B401" s="20" t="s">
        <v>3301</v>
      </c>
      <c r="C401" t="s">
        <v>4316</v>
      </c>
      <c r="D401" t="s">
        <v>4317</v>
      </c>
      <c r="E401" t="s">
        <v>4185</v>
      </c>
      <c r="F401">
        <v>4</v>
      </c>
      <c r="R401" s="18"/>
      <c r="S401" t="str">
        <f t="shared" si="7"/>
        <v>RzisKalkK_4</v>
      </c>
      <c r="T401">
        <v>2</v>
      </c>
      <c r="U401" s="18" t="b">
        <v>1</v>
      </c>
      <c r="V401" t="s">
        <v>3265</v>
      </c>
      <c r="W401" t="str">
        <f t="shared" si="9"/>
        <v>nie</v>
      </c>
      <c r="X401" t="s">
        <v>4318</v>
      </c>
    </row>
    <row r="402" spans="1:24" x14ac:dyDescent="0.3">
      <c r="A402" t="s">
        <v>3241</v>
      </c>
      <c r="B402" s="20" t="s">
        <v>3491</v>
      </c>
      <c r="C402" t="s">
        <v>4185</v>
      </c>
      <c r="D402" t="s">
        <v>4319</v>
      </c>
      <c r="E402" t="s">
        <v>4185</v>
      </c>
      <c r="R402" s="18"/>
      <c r="S402" t="str">
        <f t="shared" si="7"/>
        <v>RzisKalkK</v>
      </c>
      <c r="T402">
        <v>1</v>
      </c>
      <c r="U402" s="18" t="b">
        <v>0</v>
      </c>
      <c r="V402" t="s">
        <v>3265</v>
      </c>
      <c r="W402" t="str">
        <f t="shared" si="9"/>
        <v>nie</v>
      </c>
      <c r="X402" t="s">
        <v>4320</v>
      </c>
    </row>
    <row r="403" spans="1:24" x14ac:dyDescent="0.3">
      <c r="A403" t="s">
        <v>3220</v>
      </c>
      <c r="B403" s="20" t="s">
        <v>3301</v>
      </c>
      <c r="C403" t="s">
        <v>4188</v>
      </c>
      <c r="D403" t="s">
        <v>4321</v>
      </c>
      <c r="E403" t="s">
        <v>4188</v>
      </c>
      <c r="R403" s="18"/>
      <c r="S403" t="str">
        <f t="shared" si="7"/>
        <v>RzisKalkL</v>
      </c>
      <c r="T403">
        <v>1</v>
      </c>
      <c r="U403" s="18" t="b">
        <v>1</v>
      </c>
      <c r="V403" t="s">
        <v>3265</v>
      </c>
      <c r="W403" t="str">
        <f>IF(WariantRZiS=2,"tak","nie")</f>
        <v>nie</v>
      </c>
      <c r="X403" t="s">
        <v>4322</v>
      </c>
    </row>
    <row r="404" spans="1:24" x14ac:dyDescent="0.3">
      <c r="A404" t="s">
        <v>3220</v>
      </c>
      <c r="B404" s="20" t="s">
        <v>3301</v>
      </c>
      <c r="C404" t="s">
        <v>4323</v>
      </c>
      <c r="D404" t="s">
        <v>4324</v>
      </c>
      <c r="E404" t="s">
        <v>4323</v>
      </c>
      <c r="R404" s="18"/>
      <c r="S404" t="str">
        <f t="shared" si="7"/>
        <v>RzisKalkM</v>
      </c>
      <c r="T404">
        <v>1</v>
      </c>
      <c r="U404" s="18" t="b">
        <v>1</v>
      </c>
      <c r="V404" t="s">
        <v>3265</v>
      </c>
      <c r="W404" t="str">
        <f t="shared" si="9"/>
        <v>nie</v>
      </c>
      <c r="X404" t="s">
        <v>4325</v>
      </c>
    </row>
    <row r="405" spans="1:24" x14ac:dyDescent="0.3">
      <c r="A405" t="s">
        <v>3220</v>
      </c>
      <c r="B405" s="20" t="s">
        <v>3301</v>
      </c>
      <c r="C405" t="s">
        <v>4326</v>
      </c>
      <c r="D405" t="s">
        <v>4327</v>
      </c>
      <c r="E405" t="s">
        <v>4326</v>
      </c>
      <c r="R405" s="18"/>
      <c r="S405" t="str">
        <f t="shared" si="7"/>
        <v>RzisKalkN</v>
      </c>
      <c r="T405">
        <v>1</v>
      </c>
      <c r="U405" s="18" t="b">
        <v>1</v>
      </c>
      <c r="V405" t="s">
        <v>3265</v>
      </c>
      <c r="W405" t="str">
        <f t="shared" si="9"/>
        <v>nie</v>
      </c>
      <c r="X405" t="s">
        <v>4328</v>
      </c>
    </row>
    <row r="406" spans="1:24" x14ac:dyDescent="0.3">
      <c r="A406" t="s">
        <v>3220</v>
      </c>
      <c r="B406" s="20" t="s">
        <v>3301</v>
      </c>
      <c r="C406" t="s">
        <v>4329</v>
      </c>
      <c r="D406" t="s">
        <v>4330</v>
      </c>
      <c r="E406" t="s">
        <v>4329</v>
      </c>
      <c r="R406" s="18"/>
      <c r="S406" t="str">
        <f t="shared" si="7"/>
        <v>RzisKalkO</v>
      </c>
      <c r="T406">
        <v>1</v>
      </c>
      <c r="U406" s="18" t="b">
        <v>1</v>
      </c>
      <c r="V406" t="s">
        <v>3265</v>
      </c>
      <c r="W406" t="str">
        <f>IF(WariantRZiS=2,"tak","nie")</f>
        <v>nie</v>
      </c>
      <c r="X406" t="s">
        <v>4331</v>
      </c>
    </row>
    <row r="407" spans="1:24" x14ac:dyDescent="0.3">
      <c r="A407" t="s">
        <v>3241</v>
      </c>
      <c r="B407" s="20" t="s">
        <v>3491</v>
      </c>
      <c r="C407" t="s">
        <v>4192</v>
      </c>
      <c r="D407" t="s">
        <v>4192</v>
      </c>
      <c r="E407" t="s">
        <v>4192</v>
      </c>
      <c r="F407" s="26"/>
      <c r="R407" s="18"/>
      <c r="S407" t="str">
        <f t="shared" si="7"/>
        <v>RZiSKalk</v>
      </c>
      <c r="T407">
        <v>1</v>
      </c>
      <c r="U407" s="18" t="b">
        <v>0</v>
      </c>
      <c r="V407" t="s">
        <v>3265</v>
      </c>
      <c r="W407" t="str">
        <f>IF(WariantRZiS=2,"tak","nie")</f>
        <v>nie</v>
      </c>
      <c r="X407" t="s">
        <v>4332</v>
      </c>
    </row>
    <row r="408" spans="1:24" x14ac:dyDescent="0.3">
      <c r="A408" t="s">
        <v>3241</v>
      </c>
      <c r="B408" s="20" t="s">
        <v>3344</v>
      </c>
      <c r="C408" t="s">
        <v>4011</v>
      </c>
      <c r="D408" t="s">
        <v>4011</v>
      </c>
      <c r="E408" t="s">
        <v>4011</v>
      </c>
      <c r="F408" s="26"/>
      <c r="R408" s="18"/>
      <c r="S408" t="str">
        <f t="shared" si="7"/>
        <v>RZiS</v>
      </c>
      <c r="T408">
        <v>1</v>
      </c>
      <c r="U408" s="18" t="b">
        <v>0</v>
      </c>
      <c r="W408" t="s">
        <v>3224</v>
      </c>
      <c r="X408" t="s">
        <v>4333</v>
      </c>
    </row>
    <row r="409" spans="1:24" x14ac:dyDescent="0.3">
      <c r="A409" t="s">
        <v>3241</v>
      </c>
      <c r="B409" s="20"/>
      <c r="C409" t="s">
        <v>4334</v>
      </c>
      <c r="D409" t="s">
        <v>4334</v>
      </c>
      <c r="E409" t="s">
        <v>4334</v>
      </c>
      <c r="R409" s="18"/>
      <c r="T409">
        <v>1</v>
      </c>
      <c r="U409" s="18" t="b">
        <v>0</v>
      </c>
      <c r="W409" t="str">
        <f>IF(ZestKapital=1,"tak","nie")</f>
        <v>tak</v>
      </c>
      <c r="X409" t="s">
        <v>4335</v>
      </c>
    </row>
    <row r="410" spans="1:24" x14ac:dyDescent="0.3">
      <c r="A410" t="s">
        <v>3220</v>
      </c>
      <c r="B410" s="20" t="s">
        <v>3301</v>
      </c>
      <c r="C410" t="s">
        <v>3977</v>
      </c>
      <c r="D410" t="s">
        <v>4336</v>
      </c>
      <c r="E410">
        <v>1</v>
      </c>
      <c r="R410" s="18"/>
      <c r="S410" t="str">
        <f t="shared" si="7"/>
        <v>Kapital_1</v>
      </c>
      <c r="T410">
        <v>1</v>
      </c>
      <c r="U410" s="18" t="b">
        <v>0</v>
      </c>
      <c r="W410" t="str">
        <f>IF(ZestKapital=1,"tak","nie")</f>
        <v>tak</v>
      </c>
      <c r="X410" t="s">
        <v>4337</v>
      </c>
    </row>
    <row r="411" spans="1:24" x14ac:dyDescent="0.3">
      <c r="A411" t="s">
        <v>3220</v>
      </c>
      <c r="B411" s="20" t="s">
        <v>3301</v>
      </c>
      <c r="C411" t="s">
        <v>4338</v>
      </c>
      <c r="D411" t="s">
        <v>4339</v>
      </c>
      <c r="E411">
        <v>1</v>
      </c>
      <c r="F411">
        <v>1</v>
      </c>
      <c r="R411" s="18"/>
      <c r="S411" t="str">
        <f t="shared" si="7"/>
        <v>Kapital_1_1</v>
      </c>
      <c r="T411">
        <v>2</v>
      </c>
      <c r="U411" s="18" t="b">
        <v>1</v>
      </c>
      <c r="W411" t="str">
        <f t="shared" ref="W411:W441" si="10">IF(ZestKapital=1,"","nie")</f>
        <v/>
      </c>
      <c r="X411" t="s">
        <v>4340</v>
      </c>
    </row>
    <row r="412" spans="1:24" x14ac:dyDescent="0.3">
      <c r="A412" t="s">
        <v>3220</v>
      </c>
      <c r="B412" s="20" t="s">
        <v>3301</v>
      </c>
      <c r="C412" t="s">
        <v>4341</v>
      </c>
      <c r="D412" t="s">
        <v>4342</v>
      </c>
      <c r="E412">
        <v>1</v>
      </c>
      <c r="F412">
        <v>2</v>
      </c>
      <c r="R412" s="18"/>
      <c r="S412" t="str">
        <f t="shared" si="7"/>
        <v>Kapital_1_2</v>
      </c>
      <c r="T412">
        <v>2</v>
      </c>
      <c r="U412" s="18" t="b">
        <v>1</v>
      </c>
      <c r="W412" t="str">
        <f t="shared" si="10"/>
        <v/>
      </c>
      <c r="X412" t="s">
        <v>4343</v>
      </c>
    </row>
    <row r="413" spans="1:24" x14ac:dyDescent="0.3">
      <c r="A413" t="s">
        <v>3241</v>
      </c>
      <c r="B413" s="20" t="s">
        <v>3491</v>
      </c>
      <c r="C413" t="s">
        <v>3977</v>
      </c>
      <c r="D413" t="s">
        <v>4344</v>
      </c>
      <c r="E413">
        <v>1</v>
      </c>
      <c r="R413" s="18"/>
      <c r="S413" t="str">
        <f t="shared" si="7"/>
        <v>Kapital_1</v>
      </c>
      <c r="T413">
        <v>1</v>
      </c>
      <c r="U413" s="18" t="b">
        <v>0</v>
      </c>
      <c r="W413" t="str">
        <f>IF(ZestKapital=1,"tak","nie")</f>
        <v>tak</v>
      </c>
      <c r="X413" t="s">
        <v>4345</v>
      </c>
    </row>
    <row r="414" spans="1:24" x14ac:dyDescent="0.3">
      <c r="A414" t="s">
        <v>3220</v>
      </c>
      <c r="B414" s="20" t="s">
        <v>3301</v>
      </c>
      <c r="C414" t="s">
        <v>4346</v>
      </c>
      <c r="D414" t="s">
        <v>4347</v>
      </c>
      <c r="E414" t="s">
        <v>4348</v>
      </c>
      <c r="R414" s="18"/>
      <c r="S414" t="str">
        <f t="shared" si="7"/>
        <v>Kapital_1A</v>
      </c>
      <c r="T414">
        <v>1</v>
      </c>
      <c r="U414" s="18" t="b">
        <v>0</v>
      </c>
      <c r="W414" t="str">
        <f t="shared" si="10"/>
        <v/>
      </c>
      <c r="X414" t="s">
        <v>4349</v>
      </c>
    </row>
    <row r="415" spans="1:24" x14ac:dyDescent="0.3">
      <c r="A415" t="s">
        <v>3220</v>
      </c>
      <c r="B415" s="20" t="s">
        <v>3301</v>
      </c>
      <c r="C415" t="s">
        <v>4350</v>
      </c>
      <c r="D415" t="s">
        <v>4351</v>
      </c>
      <c r="E415" t="s">
        <v>4348</v>
      </c>
      <c r="F415">
        <v>1</v>
      </c>
      <c r="R415" s="18"/>
      <c r="S415" t="str">
        <f t="shared" si="7"/>
        <v>Kapital_1A_1</v>
      </c>
      <c r="T415">
        <v>2</v>
      </c>
      <c r="U415" s="18" t="b">
        <v>0</v>
      </c>
      <c r="W415" t="str">
        <f t="shared" si="10"/>
        <v/>
      </c>
      <c r="X415" t="s">
        <v>4352</v>
      </c>
    </row>
    <row r="416" spans="1:24" x14ac:dyDescent="0.3">
      <c r="A416" t="s">
        <v>3220</v>
      </c>
      <c r="B416" s="20" t="s">
        <v>3301</v>
      </c>
      <c r="C416" t="s">
        <v>4353</v>
      </c>
      <c r="D416" t="s">
        <v>4354</v>
      </c>
      <c r="E416" t="s">
        <v>4348</v>
      </c>
      <c r="F416">
        <v>1</v>
      </c>
      <c r="G416">
        <v>1</v>
      </c>
      <c r="R416" s="18"/>
      <c r="S416" t="str">
        <f t="shared" si="7"/>
        <v>Kapital_1A_1_1</v>
      </c>
      <c r="T416">
        <v>3</v>
      </c>
      <c r="U416" s="18" t="b">
        <v>0</v>
      </c>
      <c r="W416" t="str">
        <f t="shared" si="10"/>
        <v/>
      </c>
      <c r="X416" t="s">
        <v>4355</v>
      </c>
    </row>
    <row r="417" spans="1:24" x14ac:dyDescent="0.3">
      <c r="A417" t="s">
        <v>3220</v>
      </c>
      <c r="B417" s="20" t="s">
        <v>3301</v>
      </c>
      <c r="C417" t="s">
        <v>4356</v>
      </c>
      <c r="D417" t="s">
        <v>4357</v>
      </c>
      <c r="E417" t="s">
        <v>4348</v>
      </c>
      <c r="F417">
        <v>1</v>
      </c>
      <c r="G417">
        <v>1</v>
      </c>
      <c r="H417" t="s">
        <v>3474</v>
      </c>
      <c r="R417" s="18"/>
      <c r="S417" t="str">
        <f t="shared" si="7"/>
        <v>Kapital_1A_1_1_A</v>
      </c>
      <c r="T417">
        <v>4</v>
      </c>
      <c r="U417" s="18" t="b">
        <v>0</v>
      </c>
      <c r="W417" t="str">
        <f t="shared" si="10"/>
        <v/>
      </c>
      <c r="X417" t="s">
        <v>4358</v>
      </c>
    </row>
    <row r="418" spans="1:24" x14ac:dyDescent="0.3">
      <c r="A418" t="s">
        <v>3220</v>
      </c>
      <c r="B418" s="20" t="s">
        <v>3301</v>
      </c>
      <c r="C418" t="s">
        <v>4359</v>
      </c>
      <c r="D418" t="s">
        <v>4360</v>
      </c>
      <c r="E418" t="s">
        <v>4348</v>
      </c>
      <c r="F418">
        <v>1</v>
      </c>
      <c r="G418">
        <v>1</v>
      </c>
      <c r="H418" t="s">
        <v>3474</v>
      </c>
      <c r="I418">
        <v>1</v>
      </c>
      <c r="R418" s="18"/>
      <c r="S418" t="str">
        <f t="shared" si="7"/>
        <v>Kapital_1A_1_1_A_1</v>
      </c>
      <c r="T418">
        <v>5</v>
      </c>
      <c r="U418" s="18" t="b">
        <v>1</v>
      </c>
      <c r="W418" t="str">
        <f t="shared" si="10"/>
        <v/>
      </c>
      <c r="X418" t="s">
        <v>4361</v>
      </c>
    </row>
    <row r="419" spans="1:24" x14ac:dyDescent="0.3">
      <c r="A419" t="s">
        <v>3241</v>
      </c>
      <c r="B419" s="20" t="s">
        <v>3491</v>
      </c>
      <c r="C419" t="s">
        <v>4356</v>
      </c>
      <c r="D419" t="s">
        <v>4362</v>
      </c>
      <c r="E419" t="s">
        <v>4348</v>
      </c>
      <c r="F419">
        <v>1</v>
      </c>
      <c r="G419">
        <v>1</v>
      </c>
      <c r="H419" t="s">
        <v>3474</v>
      </c>
      <c r="R419" s="18"/>
      <c r="S419" t="str">
        <f t="shared" si="7"/>
        <v>Kapital_1A_1_1_A</v>
      </c>
      <c r="T419">
        <v>4</v>
      </c>
      <c r="U419" s="18" t="b">
        <v>0</v>
      </c>
      <c r="W419" t="str">
        <f t="shared" si="10"/>
        <v/>
      </c>
      <c r="X419" t="s">
        <v>4363</v>
      </c>
    </row>
    <row r="420" spans="1:24" x14ac:dyDescent="0.3">
      <c r="A420" t="s">
        <v>3220</v>
      </c>
      <c r="B420" s="20" t="s">
        <v>3301</v>
      </c>
      <c r="C420" t="s">
        <v>4364</v>
      </c>
      <c r="D420" t="s">
        <v>4365</v>
      </c>
      <c r="E420" t="s">
        <v>4348</v>
      </c>
      <c r="F420">
        <v>1</v>
      </c>
      <c r="G420">
        <v>1</v>
      </c>
      <c r="H420" t="s">
        <v>3505</v>
      </c>
      <c r="R420" s="18"/>
      <c r="S420" t="str">
        <f t="shared" si="7"/>
        <v>Kapital_1A_1_1_B</v>
      </c>
      <c r="T420">
        <v>4</v>
      </c>
      <c r="U420" s="18" t="b">
        <v>0</v>
      </c>
      <c r="W420" t="str">
        <f t="shared" si="10"/>
        <v/>
      </c>
      <c r="X420" t="s">
        <v>4366</v>
      </c>
    </row>
    <row r="421" spans="1:24" x14ac:dyDescent="0.3">
      <c r="A421" t="s">
        <v>3220</v>
      </c>
      <c r="B421" s="20" t="s">
        <v>3301</v>
      </c>
      <c r="C421" t="s">
        <v>4367</v>
      </c>
      <c r="D421" t="s">
        <v>4368</v>
      </c>
      <c r="E421" t="s">
        <v>4348</v>
      </c>
      <c r="F421">
        <v>1</v>
      </c>
      <c r="G421">
        <v>1</v>
      </c>
      <c r="H421" t="s">
        <v>3505</v>
      </c>
      <c r="I421">
        <v>1</v>
      </c>
      <c r="R421" s="18"/>
      <c r="S421" t="str">
        <f t="shared" si="7"/>
        <v>Kapital_1A_1_1_B_1</v>
      </c>
      <c r="T421">
        <v>5</v>
      </c>
      <c r="U421" s="18" t="b">
        <v>1</v>
      </c>
      <c r="W421" t="str">
        <f t="shared" si="10"/>
        <v/>
      </c>
      <c r="X421" t="s">
        <v>4369</v>
      </c>
    </row>
    <row r="422" spans="1:24" x14ac:dyDescent="0.3">
      <c r="A422" t="s">
        <v>3241</v>
      </c>
      <c r="B422" s="20" t="s">
        <v>3491</v>
      </c>
      <c r="C422" t="s">
        <v>4364</v>
      </c>
      <c r="D422" t="s">
        <v>4370</v>
      </c>
      <c r="E422" t="s">
        <v>4348</v>
      </c>
      <c r="F422">
        <v>1</v>
      </c>
      <c r="G422">
        <v>1</v>
      </c>
      <c r="H422" t="s">
        <v>3505</v>
      </c>
      <c r="R422" s="18"/>
      <c r="S422" t="str">
        <f t="shared" si="7"/>
        <v>Kapital_1A_1_1_B</v>
      </c>
      <c r="T422">
        <v>4</v>
      </c>
      <c r="U422" s="18" t="b">
        <v>0</v>
      </c>
      <c r="W422" t="str">
        <f t="shared" si="10"/>
        <v/>
      </c>
      <c r="X422" t="s">
        <v>4371</v>
      </c>
    </row>
    <row r="423" spans="1:24" x14ac:dyDescent="0.3">
      <c r="A423" t="s">
        <v>3241</v>
      </c>
      <c r="B423" s="20" t="s">
        <v>3491</v>
      </c>
      <c r="C423" t="s">
        <v>4353</v>
      </c>
      <c r="D423" t="s">
        <v>4372</v>
      </c>
      <c r="E423" t="s">
        <v>4348</v>
      </c>
      <c r="F423">
        <v>1</v>
      </c>
      <c r="G423">
        <v>1</v>
      </c>
      <c r="R423" s="18"/>
      <c r="S423" t="str">
        <f t="shared" si="7"/>
        <v>Kapital_1A_1_1</v>
      </c>
      <c r="T423">
        <v>3</v>
      </c>
      <c r="U423" s="18" t="b">
        <v>0</v>
      </c>
      <c r="W423" t="str">
        <f t="shared" si="10"/>
        <v/>
      </c>
      <c r="X423" t="s">
        <v>4373</v>
      </c>
    </row>
    <row r="424" spans="1:24" x14ac:dyDescent="0.3">
      <c r="A424" t="s">
        <v>3220</v>
      </c>
      <c r="B424" s="20" t="s">
        <v>3301</v>
      </c>
      <c r="C424" t="s">
        <v>4374</v>
      </c>
      <c r="D424" t="s">
        <v>4375</v>
      </c>
      <c r="E424" t="s">
        <v>4348</v>
      </c>
      <c r="F424">
        <v>1</v>
      </c>
      <c r="G424">
        <v>2</v>
      </c>
      <c r="R424" s="18"/>
      <c r="S424" t="str">
        <f t="shared" si="7"/>
        <v>Kapital_1A_1_2</v>
      </c>
      <c r="T424">
        <v>3</v>
      </c>
      <c r="U424" s="18" t="b">
        <v>1</v>
      </c>
      <c r="W424" t="str">
        <f t="shared" si="10"/>
        <v/>
      </c>
      <c r="X424" t="s">
        <v>4376</v>
      </c>
    </row>
    <row r="425" spans="1:24" x14ac:dyDescent="0.3">
      <c r="A425" t="s">
        <v>3241</v>
      </c>
      <c r="B425" s="20" t="s">
        <v>3491</v>
      </c>
      <c r="C425" t="s">
        <v>4350</v>
      </c>
      <c r="D425" t="s">
        <v>4377</v>
      </c>
      <c r="E425" t="s">
        <v>4348</v>
      </c>
      <c r="F425">
        <v>1</v>
      </c>
      <c r="R425" s="18"/>
      <c r="S425" t="str">
        <f t="shared" si="7"/>
        <v>Kapital_1A_1</v>
      </c>
      <c r="T425">
        <v>2</v>
      </c>
      <c r="U425" s="18" t="b">
        <v>0</v>
      </c>
      <c r="W425" t="str">
        <f t="shared" si="10"/>
        <v/>
      </c>
      <c r="X425" t="s">
        <v>4378</v>
      </c>
    </row>
    <row r="426" spans="1:24" x14ac:dyDescent="0.3">
      <c r="A426" t="s">
        <v>3220</v>
      </c>
      <c r="B426" s="20" t="s">
        <v>3301</v>
      </c>
      <c r="C426" t="s">
        <v>4379</v>
      </c>
      <c r="D426" t="s">
        <v>4380</v>
      </c>
      <c r="E426" t="s">
        <v>4348</v>
      </c>
      <c r="F426">
        <v>2</v>
      </c>
      <c r="R426" s="18"/>
      <c r="S426" t="str">
        <f t="shared" si="7"/>
        <v>Kapital_1A_2</v>
      </c>
      <c r="T426">
        <v>2</v>
      </c>
      <c r="U426" s="18" t="b">
        <v>0</v>
      </c>
      <c r="W426" t="str">
        <f t="shared" si="10"/>
        <v/>
      </c>
      <c r="X426" t="s">
        <v>4381</v>
      </c>
    </row>
    <row r="427" spans="1:24" x14ac:dyDescent="0.3">
      <c r="A427" t="s">
        <v>3220</v>
      </c>
      <c r="B427" s="20" t="s">
        <v>3301</v>
      </c>
      <c r="C427" t="s">
        <v>4382</v>
      </c>
      <c r="D427" t="s">
        <v>4383</v>
      </c>
      <c r="E427" t="s">
        <v>4348</v>
      </c>
      <c r="F427">
        <v>2</v>
      </c>
      <c r="G427">
        <v>1</v>
      </c>
      <c r="R427" s="18"/>
      <c r="S427" t="str">
        <f t="shared" si="7"/>
        <v>Kapital_1A_2_1</v>
      </c>
      <c r="T427">
        <v>3</v>
      </c>
      <c r="U427" s="18" t="b">
        <v>0</v>
      </c>
      <c r="W427" t="str">
        <f t="shared" si="10"/>
        <v/>
      </c>
      <c r="X427" t="s">
        <v>4384</v>
      </c>
    </row>
    <row r="428" spans="1:24" x14ac:dyDescent="0.3">
      <c r="A428" t="s">
        <v>3220</v>
      </c>
      <c r="B428" s="20" t="s">
        <v>3301</v>
      </c>
      <c r="C428" t="s">
        <v>4385</v>
      </c>
      <c r="D428" t="s">
        <v>4386</v>
      </c>
      <c r="E428" t="s">
        <v>4348</v>
      </c>
      <c r="F428">
        <v>2</v>
      </c>
      <c r="G428">
        <v>1</v>
      </c>
      <c r="H428" t="s">
        <v>3474</v>
      </c>
      <c r="R428" s="18"/>
      <c r="S428" t="str">
        <f t="shared" si="7"/>
        <v>Kapital_1A_2_1_A</v>
      </c>
      <c r="T428">
        <v>4</v>
      </c>
      <c r="U428" s="18" t="b">
        <v>0</v>
      </c>
      <c r="W428" t="str">
        <f t="shared" si="10"/>
        <v/>
      </c>
      <c r="X428" t="s">
        <v>4387</v>
      </c>
    </row>
    <row r="429" spans="1:24" x14ac:dyDescent="0.3">
      <c r="A429" t="s">
        <v>3220</v>
      </c>
      <c r="B429" s="20" t="s">
        <v>3301</v>
      </c>
      <c r="C429" t="s">
        <v>4388</v>
      </c>
      <c r="D429" t="s">
        <v>4389</v>
      </c>
      <c r="E429" t="s">
        <v>4348</v>
      </c>
      <c r="F429">
        <v>2</v>
      </c>
      <c r="G429">
        <v>1</v>
      </c>
      <c r="H429" t="s">
        <v>3474</v>
      </c>
      <c r="I429">
        <v>1</v>
      </c>
      <c r="R429" s="18"/>
      <c r="S429" t="str">
        <f t="shared" si="7"/>
        <v>Kapital_1A_2_1_A_1</v>
      </c>
      <c r="T429">
        <v>5</v>
      </c>
      <c r="U429" s="18" t="b">
        <v>1</v>
      </c>
      <c r="W429" t="str">
        <f t="shared" si="10"/>
        <v/>
      </c>
      <c r="X429" t="s">
        <v>4390</v>
      </c>
    </row>
    <row r="430" spans="1:24" x14ac:dyDescent="0.3">
      <c r="A430" t="s">
        <v>3220</v>
      </c>
      <c r="B430" s="20" t="s">
        <v>3301</v>
      </c>
      <c r="C430" t="s">
        <v>4391</v>
      </c>
      <c r="D430" t="s">
        <v>4392</v>
      </c>
      <c r="E430" t="s">
        <v>4348</v>
      </c>
      <c r="F430">
        <v>2</v>
      </c>
      <c r="G430">
        <v>1</v>
      </c>
      <c r="H430" t="s">
        <v>3474</v>
      </c>
      <c r="I430">
        <v>2</v>
      </c>
      <c r="R430" s="18"/>
      <c r="S430" t="str">
        <f t="shared" si="7"/>
        <v>Kapital_1A_2_1_A_2</v>
      </c>
      <c r="T430">
        <v>5</v>
      </c>
      <c r="U430" s="18" t="b">
        <v>1</v>
      </c>
      <c r="W430" t="str">
        <f t="shared" si="10"/>
        <v/>
      </c>
      <c r="X430" t="s">
        <v>4393</v>
      </c>
    </row>
    <row r="431" spans="1:24" x14ac:dyDescent="0.3">
      <c r="A431" t="s">
        <v>3220</v>
      </c>
      <c r="B431" s="20" t="s">
        <v>3301</v>
      </c>
      <c r="C431" t="s">
        <v>4394</v>
      </c>
      <c r="D431" t="s">
        <v>4395</v>
      </c>
      <c r="E431" t="s">
        <v>4348</v>
      </c>
      <c r="F431">
        <v>2</v>
      </c>
      <c r="G431">
        <v>1</v>
      </c>
      <c r="H431" t="s">
        <v>3474</v>
      </c>
      <c r="I431">
        <v>3</v>
      </c>
      <c r="R431" s="18"/>
      <c r="S431" t="str">
        <f t="shared" si="7"/>
        <v>Kapital_1A_2_1_A_3</v>
      </c>
      <c r="T431">
        <v>5</v>
      </c>
      <c r="U431" s="18" t="b">
        <v>1</v>
      </c>
      <c r="W431" t="str">
        <f t="shared" si="10"/>
        <v/>
      </c>
      <c r="X431" t="s">
        <v>4396</v>
      </c>
    </row>
    <row r="432" spans="1:24" x14ac:dyDescent="0.3">
      <c r="A432" t="s">
        <v>3241</v>
      </c>
      <c r="B432" s="20" t="s">
        <v>3491</v>
      </c>
      <c r="C432" t="s">
        <v>4385</v>
      </c>
      <c r="D432" t="s">
        <v>4397</v>
      </c>
      <c r="E432" t="s">
        <v>4348</v>
      </c>
      <c r="F432">
        <v>2</v>
      </c>
      <c r="G432">
        <v>1</v>
      </c>
      <c r="H432" t="s">
        <v>3474</v>
      </c>
      <c r="R432" s="18"/>
      <c r="S432" t="str">
        <f t="shared" si="7"/>
        <v>Kapital_1A_2_1_A</v>
      </c>
      <c r="T432">
        <v>4</v>
      </c>
      <c r="U432" s="18" t="b">
        <v>0</v>
      </c>
      <c r="W432" t="str">
        <f t="shared" si="10"/>
        <v/>
      </c>
      <c r="X432" t="s">
        <v>4398</v>
      </c>
    </row>
    <row r="433" spans="1:24" x14ac:dyDescent="0.3">
      <c r="A433" t="s">
        <v>3220</v>
      </c>
      <c r="B433" s="20" t="s">
        <v>3301</v>
      </c>
      <c r="C433" t="s">
        <v>4399</v>
      </c>
      <c r="D433" t="s">
        <v>4400</v>
      </c>
      <c r="E433" t="s">
        <v>4348</v>
      </c>
      <c r="F433">
        <v>2</v>
      </c>
      <c r="G433">
        <v>1</v>
      </c>
      <c r="H433" t="s">
        <v>3505</v>
      </c>
      <c r="R433" s="18"/>
      <c r="S433" t="str">
        <f t="shared" si="7"/>
        <v>Kapital_1A_2_1_B</v>
      </c>
      <c r="T433">
        <v>4</v>
      </c>
      <c r="U433" s="18" t="b">
        <v>0</v>
      </c>
      <c r="W433" t="str">
        <f t="shared" si="10"/>
        <v/>
      </c>
      <c r="X433" t="s">
        <v>4401</v>
      </c>
    </row>
    <row r="434" spans="1:24" x14ac:dyDescent="0.3">
      <c r="A434" t="s">
        <v>3220</v>
      </c>
      <c r="B434" s="20" t="s">
        <v>3301</v>
      </c>
      <c r="C434" t="s">
        <v>4402</v>
      </c>
      <c r="D434" t="s">
        <v>4403</v>
      </c>
      <c r="E434" t="s">
        <v>4348</v>
      </c>
      <c r="F434">
        <v>2</v>
      </c>
      <c r="G434">
        <v>1</v>
      </c>
      <c r="H434" t="s">
        <v>3505</v>
      </c>
      <c r="I434">
        <v>1</v>
      </c>
      <c r="R434" s="18"/>
      <c r="S434" t="str">
        <f t="shared" si="7"/>
        <v>Kapital_1A_2_1_B_1</v>
      </c>
      <c r="T434">
        <v>5</v>
      </c>
      <c r="U434" s="18" t="b">
        <v>1</v>
      </c>
      <c r="W434" t="str">
        <f t="shared" si="10"/>
        <v/>
      </c>
      <c r="X434" t="s">
        <v>4404</v>
      </c>
    </row>
    <row r="435" spans="1:24" x14ac:dyDescent="0.3">
      <c r="A435" t="s">
        <v>3241</v>
      </c>
      <c r="B435" s="20" t="s">
        <v>3491</v>
      </c>
      <c r="C435" t="s">
        <v>4399</v>
      </c>
      <c r="D435" t="s">
        <v>4405</v>
      </c>
      <c r="E435" t="s">
        <v>4348</v>
      </c>
      <c r="F435">
        <v>2</v>
      </c>
      <c r="G435">
        <v>1</v>
      </c>
      <c r="H435" t="s">
        <v>3505</v>
      </c>
      <c r="R435" s="18"/>
      <c r="S435" t="str">
        <f t="shared" si="7"/>
        <v>Kapital_1A_2_1_B</v>
      </c>
      <c r="T435">
        <v>4</v>
      </c>
      <c r="U435" s="18" t="b">
        <v>0</v>
      </c>
      <c r="W435" t="str">
        <f t="shared" si="10"/>
        <v/>
      </c>
      <c r="X435" t="s">
        <v>4406</v>
      </c>
    </row>
    <row r="436" spans="1:24" x14ac:dyDescent="0.3">
      <c r="A436" t="s">
        <v>3241</v>
      </c>
      <c r="B436" s="20" t="s">
        <v>3491</v>
      </c>
      <c r="C436" t="s">
        <v>4382</v>
      </c>
      <c r="D436" t="s">
        <v>4407</v>
      </c>
      <c r="E436" t="s">
        <v>4348</v>
      </c>
      <c r="F436">
        <v>2</v>
      </c>
      <c r="G436">
        <v>1</v>
      </c>
      <c r="R436" s="18"/>
      <c r="S436" t="str">
        <f t="shared" si="7"/>
        <v>Kapital_1A_2_1</v>
      </c>
      <c r="T436">
        <v>3</v>
      </c>
      <c r="U436" s="18" t="b">
        <v>0</v>
      </c>
      <c r="W436" t="str">
        <f t="shared" si="10"/>
        <v/>
      </c>
      <c r="X436" t="s">
        <v>4408</v>
      </c>
    </row>
    <row r="437" spans="1:24" x14ac:dyDescent="0.3">
      <c r="A437" t="s">
        <v>3220</v>
      </c>
      <c r="B437" s="20" t="s">
        <v>3301</v>
      </c>
      <c r="C437" t="s">
        <v>4409</v>
      </c>
      <c r="D437" t="s">
        <v>4410</v>
      </c>
      <c r="E437" t="s">
        <v>4348</v>
      </c>
      <c r="F437">
        <v>2</v>
      </c>
      <c r="G437">
        <v>2</v>
      </c>
      <c r="R437" s="18"/>
      <c r="S437" t="str">
        <f t="shared" si="7"/>
        <v>Kapital_1A_2_2</v>
      </c>
      <c r="T437">
        <v>3</v>
      </c>
      <c r="U437" s="18" t="b">
        <v>1</v>
      </c>
      <c r="W437" t="str">
        <f t="shared" si="10"/>
        <v/>
      </c>
      <c r="X437" t="s">
        <v>4411</v>
      </c>
    </row>
    <row r="438" spans="1:24" x14ac:dyDescent="0.3">
      <c r="A438" t="s">
        <v>3241</v>
      </c>
      <c r="B438" s="20" t="s">
        <v>3491</v>
      </c>
      <c r="C438" t="s">
        <v>4379</v>
      </c>
      <c r="D438" t="s">
        <v>4412</v>
      </c>
      <c r="E438" t="s">
        <v>4348</v>
      </c>
      <c r="F438">
        <v>2</v>
      </c>
      <c r="R438" s="18"/>
      <c r="S438" t="str">
        <f t="shared" si="7"/>
        <v>Kapital_1A_2</v>
      </c>
      <c r="T438">
        <v>2</v>
      </c>
      <c r="U438" s="18" t="b">
        <v>0</v>
      </c>
      <c r="W438" t="str">
        <f t="shared" si="10"/>
        <v/>
      </c>
      <c r="X438" t="s">
        <v>4413</v>
      </c>
    </row>
    <row r="439" spans="1:24" x14ac:dyDescent="0.3">
      <c r="A439" t="s">
        <v>3220</v>
      </c>
      <c r="B439" s="20" t="s">
        <v>3301</v>
      </c>
      <c r="C439" t="s">
        <v>4414</v>
      </c>
      <c r="D439" t="s">
        <v>4415</v>
      </c>
      <c r="E439" t="s">
        <v>4348</v>
      </c>
      <c r="F439">
        <v>3</v>
      </c>
      <c r="R439" s="18"/>
      <c r="S439" t="str">
        <f t="shared" si="7"/>
        <v>Kapital_1A_3</v>
      </c>
      <c r="T439">
        <v>2</v>
      </c>
      <c r="U439" s="18" t="b">
        <v>0</v>
      </c>
      <c r="W439" t="str">
        <f t="shared" si="10"/>
        <v/>
      </c>
      <c r="X439" t="s">
        <v>4416</v>
      </c>
    </row>
    <row r="440" spans="1:24" x14ac:dyDescent="0.3">
      <c r="A440" t="s">
        <v>3220</v>
      </c>
      <c r="B440" s="20" t="s">
        <v>3301</v>
      </c>
      <c r="C440" t="s">
        <v>4417</v>
      </c>
      <c r="D440" t="s">
        <v>4418</v>
      </c>
      <c r="E440" t="s">
        <v>4348</v>
      </c>
      <c r="F440">
        <v>3</v>
      </c>
      <c r="G440">
        <v>1</v>
      </c>
      <c r="R440" s="18"/>
      <c r="S440" t="str">
        <f t="shared" si="7"/>
        <v>Kapital_1A_3_1</v>
      </c>
      <c r="T440">
        <v>3</v>
      </c>
      <c r="U440" s="18" t="b">
        <v>0</v>
      </c>
      <c r="W440" t="str">
        <f t="shared" si="10"/>
        <v/>
      </c>
      <c r="X440" t="s">
        <v>4419</v>
      </c>
    </row>
    <row r="441" spans="1:24" x14ac:dyDescent="0.3">
      <c r="A441" t="s">
        <v>3220</v>
      </c>
      <c r="B441" s="20" t="s">
        <v>3301</v>
      </c>
      <c r="C441" t="s">
        <v>4420</v>
      </c>
      <c r="D441" t="s">
        <v>4421</v>
      </c>
      <c r="E441" t="s">
        <v>4348</v>
      </c>
      <c r="F441">
        <v>3</v>
      </c>
      <c r="G441">
        <v>1</v>
      </c>
      <c r="H441" t="s">
        <v>3474</v>
      </c>
      <c r="R441" s="18"/>
      <c r="S441" t="str">
        <f t="shared" si="7"/>
        <v>Kapital_1A_3_1_A</v>
      </c>
      <c r="T441">
        <v>4</v>
      </c>
      <c r="U441" s="18" t="b">
        <v>1</v>
      </c>
      <c r="W441" t="str">
        <f t="shared" si="10"/>
        <v/>
      </c>
      <c r="X441" t="s">
        <v>4422</v>
      </c>
    </row>
    <row r="442" spans="1:24" x14ac:dyDescent="0.3">
      <c r="A442" t="s">
        <v>3220</v>
      </c>
      <c r="B442" s="20" t="s">
        <v>3301</v>
      </c>
      <c r="C442" t="s">
        <v>4423</v>
      </c>
      <c r="D442" t="s">
        <v>4424</v>
      </c>
      <c r="E442" t="s">
        <v>4348</v>
      </c>
      <c r="F442">
        <v>3</v>
      </c>
      <c r="G442">
        <v>1</v>
      </c>
      <c r="H442" t="s">
        <v>3505</v>
      </c>
      <c r="R442" s="18"/>
      <c r="S442" t="str">
        <f t="shared" si="7"/>
        <v>Kapital_1A_3_1_B</v>
      </c>
      <c r="T442">
        <v>4</v>
      </c>
      <c r="U442" s="18" t="b">
        <v>0</v>
      </c>
      <c r="W442" t="str">
        <f t="shared" ref="W442:W473" si="11">IF(ZestKapital=1,"","nie")</f>
        <v/>
      </c>
      <c r="X442" t="s">
        <v>4425</v>
      </c>
    </row>
    <row r="443" spans="1:24" x14ac:dyDescent="0.3">
      <c r="A443" t="s">
        <v>3220</v>
      </c>
      <c r="B443" s="20" t="s">
        <v>3301</v>
      </c>
      <c r="C443" t="s">
        <v>4426</v>
      </c>
      <c r="D443" t="s">
        <v>4427</v>
      </c>
      <c r="E443" t="s">
        <v>4348</v>
      </c>
      <c r="F443">
        <v>3</v>
      </c>
      <c r="G443">
        <v>1</v>
      </c>
      <c r="H443" t="s">
        <v>3505</v>
      </c>
      <c r="I443">
        <v>1</v>
      </c>
      <c r="R443" s="18"/>
      <c r="S443" t="str">
        <f t="shared" si="7"/>
        <v>Kapital_1A_3_1_B_1</v>
      </c>
      <c r="T443">
        <v>5</v>
      </c>
      <c r="U443" s="18" t="b">
        <v>1</v>
      </c>
      <c r="W443" t="str">
        <f t="shared" si="11"/>
        <v/>
      </c>
      <c r="X443" t="s">
        <v>4428</v>
      </c>
    </row>
    <row r="444" spans="1:24" x14ac:dyDescent="0.3">
      <c r="A444" t="s">
        <v>3241</v>
      </c>
      <c r="B444" s="20" t="s">
        <v>3491</v>
      </c>
      <c r="C444" t="s">
        <v>4423</v>
      </c>
      <c r="D444" t="s">
        <v>4429</v>
      </c>
      <c r="E444" t="s">
        <v>4348</v>
      </c>
      <c r="F444">
        <v>3</v>
      </c>
      <c r="G444">
        <v>1</v>
      </c>
      <c r="H444" t="s">
        <v>3505</v>
      </c>
      <c r="R444" s="18"/>
      <c r="S444" t="str">
        <f t="shared" si="7"/>
        <v>Kapital_1A_3_1_B</v>
      </c>
      <c r="T444">
        <v>4</v>
      </c>
      <c r="U444" s="18" t="b">
        <v>0</v>
      </c>
      <c r="W444" t="str">
        <f t="shared" si="11"/>
        <v/>
      </c>
      <c r="X444" t="s">
        <v>4430</v>
      </c>
    </row>
    <row r="445" spans="1:24" x14ac:dyDescent="0.3">
      <c r="A445" t="s">
        <v>3241</v>
      </c>
      <c r="B445" s="20" t="s">
        <v>3491</v>
      </c>
      <c r="C445" t="s">
        <v>4417</v>
      </c>
      <c r="D445" t="s">
        <v>4431</v>
      </c>
      <c r="E445" t="s">
        <v>4348</v>
      </c>
      <c r="F445">
        <v>3</v>
      </c>
      <c r="G445">
        <v>1</v>
      </c>
      <c r="R445" s="18"/>
      <c r="S445" t="str">
        <f t="shared" si="7"/>
        <v>Kapital_1A_3_1</v>
      </c>
      <c r="T445">
        <v>3</v>
      </c>
      <c r="U445" s="18" t="b">
        <v>0</v>
      </c>
      <c r="W445" t="str">
        <f t="shared" si="11"/>
        <v/>
      </c>
      <c r="X445" t="s">
        <v>4432</v>
      </c>
    </row>
    <row r="446" spans="1:24" x14ac:dyDescent="0.3">
      <c r="A446" t="s">
        <v>3220</v>
      </c>
      <c r="B446" s="20" t="s">
        <v>3301</v>
      </c>
      <c r="C446" t="s">
        <v>4433</v>
      </c>
      <c r="D446" t="s">
        <v>4434</v>
      </c>
      <c r="E446" t="s">
        <v>4348</v>
      </c>
      <c r="F446">
        <v>3</v>
      </c>
      <c r="G446">
        <v>2</v>
      </c>
      <c r="R446" s="18"/>
      <c r="S446" t="str">
        <f t="shared" si="7"/>
        <v>Kapital_1A_3_2</v>
      </c>
      <c r="T446">
        <v>3</v>
      </c>
      <c r="U446" s="18" t="b">
        <v>1</v>
      </c>
      <c r="W446" t="str">
        <f t="shared" si="11"/>
        <v/>
      </c>
      <c r="X446" t="s">
        <v>4435</v>
      </c>
    </row>
    <row r="447" spans="1:24" x14ac:dyDescent="0.3">
      <c r="A447" t="s">
        <v>3241</v>
      </c>
      <c r="B447" s="20" t="s">
        <v>3491</v>
      </c>
      <c r="C447" t="s">
        <v>4414</v>
      </c>
      <c r="D447" t="s">
        <v>4436</v>
      </c>
      <c r="E447" t="s">
        <v>4348</v>
      </c>
      <c r="F447">
        <v>3</v>
      </c>
      <c r="R447" s="18"/>
      <c r="S447" t="str">
        <f t="shared" si="7"/>
        <v>Kapital_1A_3</v>
      </c>
      <c r="T447">
        <v>2</v>
      </c>
      <c r="U447" s="18" t="b">
        <v>0</v>
      </c>
      <c r="W447" t="str">
        <f t="shared" si="11"/>
        <v/>
      </c>
      <c r="X447" t="s">
        <v>4437</v>
      </c>
    </row>
    <row r="448" spans="1:24" x14ac:dyDescent="0.3">
      <c r="A448" t="s">
        <v>3220</v>
      </c>
      <c r="B448" s="20" t="s">
        <v>3301</v>
      </c>
      <c r="C448" t="s">
        <v>4438</v>
      </c>
      <c r="D448" t="s">
        <v>4439</v>
      </c>
      <c r="E448" t="s">
        <v>4348</v>
      </c>
      <c r="F448">
        <v>4</v>
      </c>
      <c r="R448" s="18"/>
      <c r="S448" t="str">
        <f t="shared" si="7"/>
        <v>Kapital_1A_4</v>
      </c>
      <c r="T448">
        <v>2</v>
      </c>
      <c r="U448" s="18" t="b">
        <v>0</v>
      </c>
      <c r="W448" t="str">
        <f t="shared" si="11"/>
        <v/>
      </c>
      <c r="X448" t="s">
        <v>4440</v>
      </c>
    </row>
    <row r="449" spans="1:24" x14ac:dyDescent="0.3">
      <c r="A449" t="s">
        <v>3220</v>
      </c>
      <c r="B449" s="20" t="s">
        <v>3301</v>
      </c>
      <c r="C449" t="s">
        <v>4441</v>
      </c>
      <c r="D449" t="s">
        <v>4442</v>
      </c>
      <c r="E449" t="s">
        <v>4348</v>
      </c>
      <c r="F449">
        <v>4</v>
      </c>
      <c r="G449">
        <v>1</v>
      </c>
      <c r="R449" s="18"/>
      <c r="S449" t="str">
        <f t="shared" si="7"/>
        <v>Kapital_1A_4_1</v>
      </c>
      <c r="T449">
        <v>3</v>
      </c>
      <c r="U449" s="18" t="b">
        <v>0</v>
      </c>
      <c r="W449" t="str">
        <f t="shared" si="11"/>
        <v/>
      </c>
      <c r="X449" t="s">
        <v>4443</v>
      </c>
    </row>
    <row r="450" spans="1:24" x14ac:dyDescent="0.3">
      <c r="A450" t="s">
        <v>3220</v>
      </c>
      <c r="B450" s="20" t="s">
        <v>3301</v>
      </c>
      <c r="C450" t="s">
        <v>4444</v>
      </c>
      <c r="D450" t="s">
        <v>4445</v>
      </c>
      <c r="E450" t="s">
        <v>4348</v>
      </c>
      <c r="F450">
        <v>4</v>
      </c>
      <c r="G450">
        <v>1</v>
      </c>
      <c r="H450" t="s">
        <v>3474</v>
      </c>
      <c r="R450" s="18"/>
      <c r="S450" t="str">
        <f t="shared" si="7"/>
        <v>Kapital_1A_4_1_A</v>
      </c>
      <c r="T450">
        <v>4</v>
      </c>
      <c r="U450" s="18" t="b">
        <v>1</v>
      </c>
      <c r="W450" t="str">
        <f t="shared" si="11"/>
        <v/>
      </c>
      <c r="X450" t="s">
        <v>4446</v>
      </c>
    </row>
    <row r="451" spans="1:24" x14ac:dyDescent="0.3">
      <c r="A451" t="s">
        <v>3220</v>
      </c>
      <c r="B451" s="20" t="s">
        <v>3301</v>
      </c>
      <c r="C451" t="s">
        <v>4447</v>
      </c>
      <c r="D451" t="s">
        <v>4448</v>
      </c>
      <c r="E451" t="s">
        <v>4348</v>
      </c>
      <c r="F451">
        <v>4</v>
      </c>
      <c r="G451">
        <v>1</v>
      </c>
      <c r="H451" t="s">
        <v>3505</v>
      </c>
      <c r="R451" s="18"/>
      <c r="S451" t="str">
        <f t="shared" si="7"/>
        <v>Kapital_1A_4_1_B</v>
      </c>
      <c r="T451">
        <v>4</v>
      </c>
      <c r="U451" s="18" t="b">
        <v>1</v>
      </c>
      <c r="W451" t="str">
        <f t="shared" si="11"/>
        <v/>
      </c>
      <c r="X451" t="s">
        <v>4449</v>
      </c>
    </row>
    <row r="452" spans="1:24" x14ac:dyDescent="0.3">
      <c r="A452" t="s">
        <v>3241</v>
      </c>
      <c r="B452" s="20" t="s">
        <v>3491</v>
      </c>
      <c r="C452" t="s">
        <v>4441</v>
      </c>
      <c r="D452" t="s">
        <v>4450</v>
      </c>
      <c r="E452" t="s">
        <v>4348</v>
      </c>
      <c r="F452">
        <v>4</v>
      </c>
      <c r="G452">
        <v>1</v>
      </c>
      <c r="R452" s="18"/>
      <c r="S452" t="str">
        <f t="shared" si="7"/>
        <v>Kapital_1A_4_1</v>
      </c>
      <c r="T452">
        <v>3</v>
      </c>
      <c r="U452" s="18" t="b">
        <v>0</v>
      </c>
      <c r="W452" t="str">
        <f t="shared" si="11"/>
        <v/>
      </c>
      <c r="X452" t="s">
        <v>4451</v>
      </c>
    </row>
    <row r="453" spans="1:24" x14ac:dyDescent="0.3">
      <c r="A453" t="s">
        <v>3220</v>
      </c>
      <c r="B453" s="20" t="s">
        <v>3301</v>
      </c>
      <c r="C453" t="s">
        <v>4452</v>
      </c>
      <c r="D453" t="s">
        <v>4453</v>
      </c>
      <c r="E453" t="s">
        <v>4348</v>
      </c>
      <c r="F453">
        <v>4</v>
      </c>
      <c r="G453">
        <v>2</v>
      </c>
      <c r="R453" s="18"/>
      <c r="S453" t="str">
        <f t="shared" si="7"/>
        <v>Kapital_1A_4_2</v>
      </c>
      <c r="T453">
        <v>3</v>
      </c>
      <c r="U453" s="18" t="b">
        <v>1</v>
      </c>
      <c r="W453" t="str">
        <f t="shared" si="11"/>
        <v/>
      </c>
      <c r="X453" t="s">
        <v>4454</v>
      </c>
    </row>
    <row r="454" spans="1:24" x14ac:dyDescent="0.3">
      <c r="A454" t="s">
        <v>3241</v>
      </c>
      <c r="B454" s="20" t="s">
        <v>3491</v>
      </c>
      <c r="C454" t="s">
        <v>4438</v>
      </c>
      <c r="D454" t="s">
        <v>4455</v>
      </c>
      <c r="E454" t="s">
        <v>4348</v>
      </c>
      <c r="F454">
        <v>4</v>
      </c>
      <c r="R454" s="18"/>
      <c r="S454" t="str">
        <f t="shared" si="7"/>
        <v>Kapital_1A_4</v>
      </c>
      <c r="T454">
        <v>2</v>
      </c>
      <c r="U454" s="18" t="b">
        <v>0</v>
      </c>
      <c r="W454" t="str">
        <f t="shared" si="11"/>
        <v/>
      </c>
      <c r="X454" t="s">
        <v>4456</v>
      </c>
    </row>
    <row r="455" spans="1:24" x14ac:dyDescent="0.3">
      <c r="A455" t="s">
        <v>3220</v>
      </c>
      <c r="B455" s="20" t="s">
        <v>3301</v>
      </c>
      <c r="C455" t="s">
        <v>4457</v>
      </c>
      <c r="D455" t="s">
        <v>4458</v>
      </c>
      <c r="E455" t="s">
        <v>4348</v>
      </c>
      <c r="F455">
        <v>5</v>
      </c>
      <c r="R455" s="18"/>
      <c r="S455" t="str">
        <f t="shared" si="7"/>
        <v>Kapital_1A_5</v>
      </c>
      <c r="T455">
        <v>2</v>
      </c>
      <c r="U455" s="18" t="b">
        <v>0</v>
      </c>
      <c r="W455" t="str">
        <f t="shared" si="11"/>
        <v/>
      </c>
      <c r="X455" t="s">
        <v>4459</v>
      </c>
    </row>
    <row r="456" spans="1:24" x14ac:dyDescent="0.3">
      <c r="A456" t="s">
        <v>3220</v>
      </c>
      <c r="B456" s="20" t="s">
        <v>3301</v>
      </c>
      <c r="C456" t="s">
        <v>4460</v>
      </c>
      <c r="D456" t="s">
        <v>4461</v>
      </c>
      <c r="E456" t="s">
        <v>4348</v>
      </c>
      <c r="F456">
        <v>5</v>
      </c>
      <c r="G456">
        <v>1</v>
      </c>
      <c r="R456" s="18"/>
      <c r="S456" t="str">
        <f t="shared" si="7"/>
        <v>Kapital_1A_5_1</v>
      </c>
      <c r="T456">
        <v>3</v>
      </c>
      <c r="U456" s="18" t="b">
        <v>0</v>
      </c>
      <c r="W456" t="str">
        <f t="shared" si="11"/>
        <v/>
      </c>
      <c r="X456" t="s">
        <v>4462</v>
      </c>
    </row>
    <row r="457" spans="1:24" x14ac:dyDescent="0.3">
      <c r="A457" t="s">
        <v>3220</v>
      </c>
      <c r="B457" s="20" t="s">
        <v>3301</v>
      </c>
      <c r="C457" t="s">
        <v>4463</v>
      </c>
      <c r="D457" t="s">
        <v>4464</v>
      </c>
      <c r="E457" t="s">
        <v>4348</v>
      </c>
      <c r="F457">
        <v>5</v>
      </c>
      <c r="G457">
        <v>1</v>
      </c>
      <c r="H457">
        <v>1</v>
      </c>
      <c r="R457" s="18"/>
      <c r="S457" t="str">
        <f t="shared" si="7"/>
        <v>Kapital_1A_5_1_1</v>
      </c>
      <c r="T457">
        <v>4</v>
      </c>
      <c r="U457" s="18" t="b">
        <v>1</v>
      </c>
      <c r="W457" t="str">
        <f t="shared" si="11"/>
        <v/>
      </c>
      <c r="X457" t="s">
        <v>4465</v>
      </c>
    </row>
    <row r="458" spans="1:24" x14ac:dyDescent="0.3">
      <c r="A458" t="s">
        <v>3220</v>
      </c>
      <c r="B458" s="20" t="s">
        <v>3301</v>
      </c>
      <c r="C458" t="s">
        <v>4466</v>
      </c>
      <c r="D458" t="s">
        <v>4467</v>
      </c>
      <c r="E458" t="s">
        <v>4348</v>
      </c>
      <c r="F458">
        <v>5</v>
      </c>
      <c r="G458">
        <v>1</v>
      </c>
      <c r="H458">
        <v>2</v>
      </c>
      <c r="R458" s="18"/>
      <c r="S458" t="str">
        <f t="shared" si="7"/>
        <v>Kapital_1A_5_1_2</v>
      </c>
      <c r="T458">
        <v>4</v>
      </c>
      <c r="U458" s="18" t="b">
        <v>1</v>
      </c>
      <c r="W458" t="str">
        <f t="shared" si="11"/>
        <v/>
      </c>
      <c r="X458" t="s">
        <v>4468</v>
      </c>
    </row>
    <row r="459" spans="1:24" x14ac:dyDescent="0.3">
      <c r="A459" t="s">
        <v>3241</v>
      </c>
      <c r="B459" s="20" t="s">
        <v>3491</v>
      </c>
      <c r="C459" t="s">
        <v>4460</v>
      </c>
      <c r="D459" t="s">
        <v>4469</v>
      </c>
      <c r="E459" t="s">
        <v>4348</v>
      </c>
      <c r="F459">
        <v>5</v>
      </c>
      <c r="G459">
        <v>1</v>
      </c>
      <c r="R459" s="18"/>
      <c r="S459" t="str">
        <f t="shared" si="7"/>
        <v>Kapital_1A_5_1</v>
      </c>
      <c r="T459">
        <v>3</v>
      </c>
      <c r="U459" s="18" t="b">
        <v>0</v>
      </c>
      <c r="W459" t="str">
        <f t="shared" si="11"/>
        <v/>
      </c>
      <c r="X459" t="s">
        <v>4470</v>
      </c>
    </row>
    <row r="460" spans="1:24" x14ac:dyDescent="0.3">
      <c r="A460" t="s">
        <v>3220</v>
      </c>
      <c r="B460" s="20" t="s">
        <v>3301</v>
      </c>
      <c r="C460" t="s">
        <v>4471</v>
      </c>
      <c r="D460" t="s">
        <v>4472</v>
      </c>
      <c r="E460" t="s">
        <v>4348</v>
      </c>
      <c r="F460">
        <v>5</v>
      </c>
      <c r="G460">
        <v>2</v>
      </c>
      <c r="R460" s="18"/>
      <c r="S460" t="str">
        <f t="shared" si="7"/>
        <v>Kapital_1A_5_2</v>
      </c>
      <c r="T460">
        <v>3</v>
      </c>
      <c r="U460" s="18" t="b">
        <v>0</v>
      </c>
      <c r="W460" t="str">
        <f t="shared" si="11"/>
        <v/>
      </c>
      <c r="X460" t="s">
        <v>4473</v>
      </c>
    </row>
    <row r="461" spans="1:24" x14ac:dyDescent="0.3">
      <c r="A461" t="s">
        <v>3220</v>
      </c>
      <c r="B461" s="20" t="s">
        <v>3301</v>
      </c>
      <c r="C461" t="s">
        <v>4474</v>
      </c>
      <c r="D461" t="s">
        <v>4475</v>
      </c>
      <c r="E461" t="s">
        <v>4348</v>
      </c>
      <c r="F461">
        <v>5</v>
      </c>
      <c r="G461">
        <v>2</v>
      </c>
      <c r="H461" t="s">
        <v>3474</v>
      </c>
      <c r="R461" s="18"/>
      <c r="S461" t="str">
        <f t="shared" si="7"/>
        <v>Kapital_1A_5_2_A</v>
      </c>
      <c r="T461">
        <v>4</v>
      </c>
      <c r="U461" s="18" t="b">
        <v>0</v>
      </c>
      <c r="W461" t="str">
        <f t="shared" si="11"/>
        <v/>
      </c>
      <c r="X461" t="s">
        <v>4476</v>
      </c>
    </row>
    <row r="462" spans="1:24" x14ac:dyDescent="0.3">
      <c r="A462" t="s">
        <v>3220</v>
      </c>
      <c r="B462" s="20" t="s">
        <v>3301</v>
      </c>
      <c r="C462" t="s">
        <v>4477</v>
      </c>
      <c r="D462" t="s">
        <v>4478</v>
      </c>
      <c r="E462" t="s">
        <v>4348</v>
      </c>
      <c r="F462">
        <v>5</v>
      </c>
      <c r="G462">
        <v>2</v>
      </c>
      <c r="H462" t="s">
        <v>3474</v>
      </c>
      <c r="I462">
        <v>1</v>
      </c>
      <c r="R462" s="18"/>
      <c r="S462" t="str">
        <f t="shared" si="7"/>
        <v>Kapital_1A_5_2_A_1</v>
      </c>
      <c r="T462">
        <v>5</v>
      </c>
      <c r="U462" s="18" t="b">
        <v>1</v>
      </c>
      <c r="W462" t="str">
        <f t="shared" si="11"/>
        <v/>
      </c>
      <c r="X462" t="s">
        <v>4479</v>
      </c>
    </row>
    <row r="463" spans="1:24" x14ac:dyDescent="0.3">
      <c r="A463" t="s">
        <v>3241</v>
      </c>
      <c r="B463" s="20" t="s">
        <v>3491</v>
      </c>
      <c r="C463" t="s">
        <v>4474</v>
      </c>
      <c r="D463" t="s">
        <v>4480</v>
      </c>
      <c r="E463" t="s">
        <v>4348</v>
      </c>
      <c r="F463">
        <v>5</v>
      </c>
      <c r="G463">
        <v>2</v>
      </c>
      <c r="H463" t="s">
        <v>3474</v>
      </c>
      <c r="R463" s="18"/>
      <c r="S463" t="str">
        <f t="shared" si="7"/>
        <v>Kapital_1A_5_2_A</v>
      </c>
      <c r="T463">
        <v>4</v>
      </c>
      <c r="U463" s="18" t="b">
        <v>0</v>
      </c>
      <c r="W463" t="str">
        <f t="shared" si="11"/>
        <v/>
      </c>
      <c r="X463" t="s">
        <v>4481</v>
      </c>
    </row>
    <row r="464" spans="1:24" x14ac:dyDescent="0.3">
      <c r="A464" t="s">
        <v>3220</v>
      </c>
      <c r="B464" s="20" t="s">
        <v>3301</v>
      </c>
      <c r="C464" t="s">
        <v>4482</v>
      </c>
      <c r="D464" t="s">
        <v>4483</v>
      </c>
      <c r="E464" t="s">
        <v>4348</v>
      </c>
      <c r="F464">
        <v>5</v>
      </c>
      <c r="G464">
        <v>2</v>
      </c>
      <c r="H464" t="s">
        <v>3505</v>
      </c>
      <c r="R464" s="18"/>
      <c r="S464" t="str">
        <f t="shared" si="7"/>
        <v>Kapital_1A_5_2_B</v>
      </c>
      <c r="T464">
        <v>4</v>
      </c>
      <c r="U464" s="18" t="b">
        <v>1</v>
      </c>
      <c r="W464" t="str">
        <f t="shared" si="11"/>
        <v/>
      </c>
      <c r="X464" t="s">
        <v>4484</v>
      </c>
    </row>
    <row r="465" spans="1:24" x14ac:dyDescent="0.3">
      <c r="A465" t="s">
        <v>3241</v>
      </c>
      <c r="B465" s="20" t="s">
        <v>3491</v>
      </c>
      <c r="C465" t="s">
        <v>4471</v>
      </c>
      <c r="D465" t="s">
        <v>4485</v>
      </c>
      <c r="E465" t="s">
        <v>4348</v>
      </c>
      <c r="F465">
        <v>5</v>
      </c>
      <c r="G465">
        <v>2</v>
      </c>
      <c r="R465" s="18"/>
      <c r="S465" t="str">
        <f t="shared" ref="S465:S528" si="12">IF(ISERROR(FIND("_koniec",D465)),D465,LEFT(D465,FIND("_koniec",D465)-1))</f>
        <v>Kapital_1A_5_2</v>
      </c>
      <c r="T465">
        <v>3</v>
      </c>
      <c r="U465" s="18" t="b">
        <v>0</v>
      </c>
      <c r="W465" t="str">
        <f t="shared" si="11"/>
        <v/>
      </c>
      <c r="X465" t="s">
        <v>4486</v>
      </c>
    </row>
    <row r="466" spans="1:24" x14ac:dyDescent="0.3">
      <c r="A466" t="s">
        <v>3220</v>
      </c>
      <c r="B466" s="20" t="s">
        <v>3301</v>
      </c>
      <c r="C466" t="s">
        <v>4487</v>
      </c>
      <c r="D466" t="s">
        <v>4488</v>
      </c>
      <c r="E466" t="s">
        <v>4348</v>
      </c>
      <c r="F466">
        <v>5</v>
      </c>
      <c r="G466">
        <v>3</v>
      </c>
      <c r="R466" s="18"/>
      <c r="S466" t="str">
        <f t="shared" si="12"/>
        <v>Kapital_1A_5_3</v>
      </c>
      <c r="T466">
        <v>3</v>
      </c>
      <c r="U466" s="18" t="b">
        <v>1</v>
      </c>
      <c r="W466" t="str">
        <f t="shared" si="11"/>
        <v/>
      </c>
      <c r="X466" t="s">
        <v>4489</v>
      </c>
    </row>
    <row r="467" spans="1:24" x14ac:dyDescent="0.3">
      <c r="A467" t="s">
        <v>3220</v>
      </c>
      <c r="B467" s="20" t="s">
        <v>3301</v>
      </c>
      <c r="C467" t="s">
        <v>4490</v>
      </c>
      <c r="D467" t="s">
        <v>4491</v>
      </c>
      <c r="E467" t="s">
        <v>4348</v>
      </c>
      <c r="F467">
        <v>5</v>
      </c>
      <c r="G467">
        <v>4</v>
      </c>
      <c r="R467" s="18"/>
      <c r="S467" t="str">
        <f t="shared" si="12"/>
        <v>Kapital_1A_5_4</v>
      </c>
      <c r="T467">
        <v>3</v>
      </c>
      <c r="U467" s="18" t="b">
        <v>0</v>
      </c>
      <c r="W467" t="str">
        <f t="shared" si="11"/>
        <v/>
      </c>
      <c r="X467" t="s">
        <v>4492</v>
      </c>
    </row>
    <row r="468" spans="1:24" x14ac:dyDescent="0.3">
      <c r="A468" t="s">
        <v>3220</v>
      </c>
      <c r="B468" s="20" t="s">
        <v>3301</v>
      </c>
      <c r="C468" t="s">
        <v>4493</v>
      </c>
      <c r="D468" t="s">
        <v>4494</v>
      </c>
      <c r="E468" t="s">
        <v>4348</v>
      </c>
      <c r="F468">
        <v>5</v>
      </c>
      <c r="G468">
        <v>4</v>
      </c>
      <c r="H468">
        <v>1</v>
      </c>
      <c r="R468" s="18"/>
      <c r="S468" t="str">
        <f t="shared" si="12"/>
        <v>Kapital_1A_5_4_1</v>
      </c>
      <c r="T468">
        <v>4</v>
      </c>
      <c r="U468" s="18" t="b">
        <v>1</v>
      </c>
      <c r="W468" t="str">
        <f t="shared" si="11"/>
        <v/>
      </c>
      <c r="X468" t="s">
        <v>4495</v>
      </c>
    </row>
    <row r="469" spans="1:24" x14ac:dyDescent="0.3">
      <c r="A469" t="s">
        <v>3220</v>
      </c>
      <c r="B469" s="20" t="s">
        <v>3301</v>
      </c>
      <c r="C469" t="s">
        <v>4496</v>
      </c>
      <c r="D469" t="s">
        <v>4497</v>
      </c>
      <c r="E469" t="s">
        <v>4348</v>
      </c>
      <c r="F469">
        <v>5</v>
      </c>
      <c r="G469">
        <v>4</v>
      </c>
      <c r="H469">
        <v>2</v>
      </c>
      <c r="R469" s="18"/>
      <c r="S469" t="str">
        <f t="shared" si="12"/>
        <v>Kapital_1A_5_4_2</v>
      </c>
      <c r="T469">
        <v>4</v>
      </c>
      <c r="U469" s="18" t="b">
        <v>1</v>
      </c>
      <c r="W469" t="str">
        <f t="shared" si="11"/>
        <v/>
      </c>
      <c r="X469" t="s">
        <v>4498</v>
      </c>
    </row>
    <row r="470" spans="1:24" x14ac:dyDescent="0.3">
      <c r="A470" t="s">
        <v>3241</v>
      </c>
      <c r="B470" s="20" t="s">
        <v>3491</v>
      </c>
      <c r="C470" t="s">
        <v>4490</v>
      </c>
      <c r="D470" t="s">
        <v>4499</v>
      </c>
      <c r="E470" t="s">
        <v>4348</v>
      </c>
      <c r="F470">
        <v>5</v>
      </c>
      <c r="G470">
        <v>4</v>
      </c>
      <c r="R470" s="18"/>
      <c r="S470" t="str">
        <f t="shared" si="12"/>
        <v>Kapital_1A_5_4</v>
      </c>
      <c r="T470">
        <v>3</v>
      </c>
      <c r="U470" s="18" t="b">
        <v>0</v>
      </c>
      <c r="W470" t="str">
        <f t="shared" si="11"/>
        <v/>
      </c>
      <c r="X470" t="s">
        <v>4500</v>
      </c>
    </row>
    <row r="471" spans="1:24" x14ac:dyDescent="0.3">
      <c r="A471" t="s">
        <v>3220</v>
      </c>
      <c r="B471" s="20" t="s">
        <v>3301</v>
      </c>
      <c r="C471" t="s">
        <v>4501</v>
      </c>
      <c r="D471" t="s">
        <v>4502</v>
      </c>
      <c r="E471" t="s">
        <v>4348</v>
      </c>
      <c r="F471">
        <v>5</v>
      </c>
      <c r="G471">
        <v>5</v>
      </c>
      <c r="R471" s="18"/>
      <c r="S471" t="str">
        <f t="shared" si="12"/>
        <v>Kapital_1A_5_5</v>
      </c>
      <c r="T471">
        <v>3</v>
      </c>
      <c r="U471" s="18" t="b">
        <v>0</v>
      </c>
      <c r="W471" t="str">
        <f t="shared" si="11"/>
        <v/>
      </c>
      <c r="X471" t="s">
        <v>4503</v>
      </c>
    </row>
    <row r="472" spans="1:24" x14ac:dyDescent="0.3">
      <c r="A472" t="s">
        <v>3220</v>
      </c>
      <c r="B472" s="20" t="s">
        <v>3301</v>
      </c>
      <c r="C472" t="s">
        <v>4504</v>
      </c>
      <c r="D472" t="s">
        <v>4505</v>
      </c>
      <c r="E472" t="s">
        <v>4348</v>
      </c>
      <c r="F472">
        <v>5</v>
      </c>
      <c r="G472">
        <v>5</v>
      </c>
      <c r="H472" t="s">
        <v>3474</v>
      </c>
      <c r="R472" s="18"/>
      <c r="S472" t="str">
        <f t="shared" si="12"/>
        <v>Kapital_1A_5_5_A</v>
      </c>
      <c r="T472">
        <v>4</v>
      </c>
      <c r="U472" s="18" t="b">
        <v>0</v>
      </c>
      <c r="W472" t="str">
        <f t="shared" si="11"/>
        <v/>
      </c>
      <c r="X472" t="s">
        <v>4506</v>
      </c>
    </row>
    <row r="473" spans="1:24" x14ac:dyDescent="0.3">
      <c r="A473" t="s">
        <v>3220</v>
      </c>
      <c r="B473" s="20" t="s">
        <v>3301</v>
      </c>
      <c r="C473" t="s">
        <v>4507</v>
      </c>
      <c r="D473" t="s">
        <v>4508</v>
      </c>
      <c r="E473" t="s">
        <v>4348</v>
      </c>
      <c r="F473">
        <v>5</v>
      </c>
      <c r="G473">
        <v>5</v>
      </c>
      <c r="H473" t="s">
        <v>3474</v>
      </c>
      <c r="I473">
        <v>1</v>
      </c>
      <c r="R473" s="18"/>
      <c r="S473" t="str">
        <f t="shared" si="12"/>
        <v>Kapital_1A_5_5_A_1</v>
      </c>
      <c r="T473">
        <v>5</v>
      </c>
      <c r="U473" s="18" t="b">
        <v>1</v>
      </c>
      <c r="W473" t="str">
        <f t="shared" si="11"/>
        <v/>
      </c>
      <c r="X473" t="s">
        <v>4509</v>
      </c>
    </row>
    <row r="474" spans="1:24" x14ac:dyDescent="0.3">
      <c r="A474" t="s">
        <v>3241</v>
      </c>
      <c r="B474" s="20" t="s">
        <v>3491</v>
      </c>
      <c r="C474" t="s">
        <v>4504</v>
      </c>
      <c r="D474" t="s">
        <v>4510</v>
      </c>
      <c r="E474" t="s">
        <v>4348</v>
      </c>
      <c r="F474">
        <v>5</v>
      </c>
      <c r="G474">
        <v>5</v>
      </c>
      <c r="H474" t="s">
        <v>3474</v>
      </c>
      <c r="R474" s="18"/>
      <c r="S474" t="str">
        <f t="shared" si="12"/>
        <v>Kapital_1A_5_5_A</v>
      </c>
      <c r="T474">
        <v>4</v>
      </c>
      <c r="U474" s="18" t="b">
        <v>0</v>
      </c>
      <c r="W474" t="str">
        <f t="shared" ref="W474:W485" si="13">IF(ZestKapital=1,"","nie")</f>
        <v/>
      </c>
      <c r="X474" t="s">
        <v>4511</v>
      </c>
    </row>
    <row r="475" spans="1:24" x14ac:dyDescent="0.3">
      <c r="A475" t="s">
        <v>3220</v>
      </c>
      <c r="B475" s="20" t="s">
        <v>3301</v>
      </c>
      <c r="C475" t="s">
        <v>4512</v>
      </c>
      <c r="D475" t="s">
        <v>4513</v>
      </c>
      <c r="E475" t="s">
        <v>4348</v>
      </c>
      <c r="F475">
        <v>5</v>
      </c>
      <c r="G475">
        <v>5</v>
      </c>
      <c r="H475" t="s">
        <v>3505</v>
      </c>
      <c r="R475" s="18"/>
      <c r="S475" t="str">
        <f t="shared" si="12"/>
        <v>Kapital_1A_5_5_B</v>
      </c>
      <c r="T475">
        <v>4</v>
      </c>
      <c r="U475" s="18" t="b">
        <v>1</v>
      </c>
      <c r="W475" t="str">
        <f t="shared" si="13"/>
        <v/>
      </c>
      <c r="X475" t="s">
        <v>4514</v>
      </c>
    </row>
    <row r="476" spans="1:24" x14ac:dyDescent="0.3">
      <c r="A476" t="s">
        <v>3241</v>
      </c>
      <c r="B476" s="20" t="s">
        <v>3491</v>
      </c>
      <c r="C476" t="s">
        <v>4501</v>
      </c>
      <c r="D476" t="s">
        <v>4515</v>
      </c>
      <c r="E476" t="s">
        <v>4348</v>
      </c>
      <c r="F476">
        <v>5</v>
      </c>
      <c r="G476">
        <v>5</v>
      </c>
      <c r="R476" s="18"/>
      <c r="S476" t="str">
        <f t="shared" si="12"/>
        <v>Kapital_1A_5_5</v>
      </c>
      <c r="T476">
        <v>3</v>
      </c>
      <c r="U476" s="18" t="b">
        <v>0</v>
      </c>
      <c r="W476" t="str">
        <f t="shared" si="13"/>
        <v/>
      </c>
      <c r="X476" t="s">
        <v>4516</v>
      </c>
    </row>
    <row r="477" spans="1:24" x14ac:dyDescent="0.3">
      <c r="A477" t="s">
        <v>3220</v>
      </c>
      <c r="B477" s="20" t="s">
        <v>3301</v>
      </c>
      <c r="C477" t="s">
        <v>4517</v>
      </c>
      <c r="D477" t="s">
        <v>4518</v>
      </c>
      <c r="E477" t="s">
        <v>4348</v>
      </c>
      <c r="F477">
        <v>5</v>
      </c>
      <c r="G477">
        <v>6</v>
      </c>
      <c r="R477" s="18"/>
      <c r="S477" t="str">
        <f t="shared" si="12"/>
        <v>Kapital_1A_5_6</v>
      </c>
      <c r="T477">
        <v>3</v>
      </c>
      <c r="U477" s="18" t="b">
        <v>1</v>
      </c>
      <c r="W477" t="str">
        <f t="shared" si="13"/>
        <v/>
      </c>
      <c r="X477" t="s">
        <v>4519</v>
      </c>
    </row>
    <row r="478" spans="1:24" x14ac:dyDescent="0.3">
      <c r="A478" t="s">
        <v>3220</v>
      </c>
      <c r="B478" s="20" t="s">
        <v>3301</v>
      </c>
      <c r="C478" t="s">
        <v>4520</v>
      </c>
      <c r="D478" t="s">
        <v>4521</v>
      </c>
      <c r="E478" t="s">
        <v>4348</v>
      </c>
      <c r="F478">
        <v>5</v>
      </c>
      <c r="G478">
        <v>7</v>
      </c>
      <c r="R478" s="18"/>
      <c r="S478" t="str">
        <f t="shared" si="12"/>
        <v>Kapital_1A_5_7</v>
      </c>
      <c r="T478">
        <v>3</v>
      </c>
      <c r="U478" s="18" t="b">
        <v>1</v>
      </c>
      <c r="W478" t="str">
        <f t="shared" si="13"/>
        <v/>
      </c>
      <c r="X478" t="s">
        <v>4522</v>
      </c>
    </row>
    <row r="479" spans="1:24" x14ac:dyDescent="0.3">
      <c r="A479" t="s">
        <v>3241</v>
      </c>
      <c r="B479" s="20" t="s">
        <v>3491</v>
      </c>
      <c r="C479" t="s">
        <v>4457</v>
      </c>
      <c r="D479" t="s">
        <v>4523</v>
      </c>
      <c r="E479" t="s">
        <v>4348</v>
      </c>
      <c r="F479">
        <v>5</v>
      </c>
      <c r="R479" s="18"/>
      <c r="S479" t="str">
        <f t="shared" si="12"/>
        <v>Kapital_1A_5</v>
      </c>
      <c r="T479">
        <v>2</v>
      </c>
      <c r="U479" s="18" t="b">
        <v>0</v>
      </c>
      <c r="W479" t="str">
        <f t="shared" si="13"/>
        <v/>
      </c>
      <c r="X479" t="s">
        <v>4524</v>
      </c>
    </row>
    <row r="480" spans="1:24" x14ac:dyDescent="0.3">
      <c r="A480" t="s">
        <v>3220</v>
      </c>
      <c r="B480" s="20" t="s">
        <v>3301</v>
      </c>
      <c r="C480" t="s">
        <v>4525</v>
      </c>
      <c r="D480" t="s">
        <v>4526</v>
      </c>
      <c r="E480" t="s">
        <v>4348</v>
      </c>
      <c r="F480">
        <v>6</v>
      </c>
      <c r="R480" s="18"/>
      <c r="S480" t="str">
        <f t="shared" si="12"/>
        <v>Kapital_1A_6</v>
      </c>
      <c r="T480">
        <v>2</v>
      </c>
      <c r="U480" s="18" t="b">
        <v>0</v>
      </c>
      <c r="W480" t="str">
        <f t="shared" si="13"/>
        <v/>
      </c>
      <c r="X480" t="s">
        <v>4527</v>
      </c>
    </row>
    <row r="481" spans="1:24" x14ac:dyDescent="0.3">
      <c r="A481" t="s">
        <v>3220</v>
      </c>
      <c r="B481" s="20" t="s">
        <v>3301</v>
      </c>
      <c r="C481" t="s">
        <v>4528</v>
      </c>
      <c r="D481" t="s">
        <v>4529</v>
      </c>
      <c r="E481" t="s">
        <v>4348</v>
      </c>
      <c r="F481">
        <v>6</v>
      </c>
      <c r="G481" t="s">
        <v>3474</v>
      </c>
      <c r="R481" s="18"/>
      <c r="S481" t="str">
        <f t="shared" si="12"/>
        <v>Kapital_1A_6_A</v>
      </c>
      <c r="T481">
        <v>3</v>
      </c>
      <c r="U481" s="18" t="b">
        <v>1</v>
      </c>
      <c r="W481" t="str">
        <f t="shared" si="13"/>
        <v/>
      </c>
      <c r="X481" t="s">
        <v>4530</v>
      </c>
    </row>
    <row r="482" spans="1:24" x14ac:dyDescent="0.3">
      <c r="A482" t="s">
        <v>3220</v>
      </c>
      <c r="B482" s="20" t="s">
        <v>3301</v>
      </c>
      <c r="C482" t="s">
        <v>4531</v>
      </c>
      <c r="D482" t="s">
        <v>4532</v>
      </c>
      <c r="E482" t="s">
        <v>4348</v>
      </c>
      <c r="F482">
        <v>6</v>
      </c>
      <c r="G482" t="s">
        <v>3505</v>
      </c>
      <c r="R482" s="18"/>
      <c r="S482" t="str">
        <f t="shared" si="12"/>
        <v>Kapital_1A_6_B</v>
      </c>
      <c r="T482">
        <v>3</v>
      </c>
      <c r="U482" s="18" t="b">
        <v>1</v>
      </c>
      <c r="W482" t="str">
        <f t="shared" si="13"/>
        <v/>
      </c>
      <c r="X482" t="s">
        <v>4533</v>
      </c>
    </row>
    <row r="483" spans="1:24" x14ac:dyDescent="0.3">
      <c r="A483" t="s">
        <v>3220</v>
      </c>
      <c r="B483" s="20" t="s">
        <v>3301</v>
      </c>
      <c r="C483" t="s">
        <v>4534</v>
      </c>
      <c r="D483" t="s">
        <v>4535</v>
      </c>
      <c r="E483" t="s">
        <v>4348</v>
      </c>
      <c r="F483">
        <v>6</v>
      </c>
      <c r="G483" t="s">
        <v>3509</v>
      </c>
      <c r="R483" s="18"/>
      <c r="S483" t="str">
        <f t="shared" si="12"/>
        <v>Kapital_1A_6_C</v>
      </c>
      <c r="T483">
        <v>3</v>
      </c>
      <c r="U483" s="18" t="b">
        <v>1</v>
      </c>
      <c r="W483" t="str">
        <f t="shared" si="13"/>
        <v/>
      </c>
      <c r="X483" t="s">
        <v>4536</v>
      </c>
    </row>
    <row r="484" spans="1:24" x14ac:dyDescent="0.3">
      <c r="A484" t="s">
        <v>3241</v>
      </c>
      <c r="B484" s="20" t="s">
        <v>3491</v>
      </c>
      <c r="C484" t="s">
        <v>4525</v>
      </c>
      <c r="D484" t="s">
        <v>4537</v>
      </c>
      <c r="E484" t="s">
        <v>4348</v>
      </c>
      <c r="F484">
        <v>6</v>
      </c>
      <c r="R484" s="18"/>
      <c r="S484" t="str">
        <f t="shared" si="12"/>
        <v>Kapital_1A_6</v>
      </c>
      <c r="T484">
        <v>2</v>
      </c>
      <c r="U484" s="18" t="b">
        <v>0</v>
      </c>
      <c r="W484" t="str">
        <f t="shared" si="13"/>
        <v/>
      </c>
      <c r="X484" t="s">
        <v>4538</v>
      </c>
    </row>
    <row r="485" spans="1:24" x14ac:dyDescent="0.3">
      <c r="A485" t="s">
        <v>3241</v>
      </c>
      <c r="B485" s="20" t="s">
        <v>3491</v>
      </c>
      <c r="C485" t="s">
        <v>4346</v>
      </c>
      <c r="D485" t="s">
        <v>4539</v>
      </c>
      <c r="E485" t="s">
        <v>4348</v>
      </c>
      <c r="R485" s="18"/>
      <c r="S485" t="str">
        <f t="shared" si="12"/>
        <v>Kapital_1A</v>
      </c>
      <c r="T485">
        <v>1</v>
      </c>
      <c r="U485" s="18" t="b">
        <v>0</v>
      </c>
      <c r="W485" t="str">
        <f t="shared" si="13"/>
        <v/>
      </c>
      <c r="X485" t="s">
        <v>4540</v>
      </c>
    </row>
    <row r="486" spans="1:24" x14ac:dyDescent="0.3">
      <c r="A486" t="s">
        <v>3220</v>
      </c>
      <c r="B486" s="20" t="s">
        <v>3301</v>
      </c>
      <c r="C486" t="s">
        <v>4541</v>
      </c>
      <c r="D486" t="s">
        <v>4542</v>
      </c>
      <c r="E486">
        <v>2</v>
      </c>
      <c r="R486" s="18"/>
      <c r="S486" t="str">
        <f t="shared" si="12"/>
        <v>Kapital_2</v>
      </c>
      <c r="T486">
        <v>1</v>
      </c>
      <c r="U486" s="18" t="b">
        <v>1</v>
      </c>
      <c r="W486" t="str">
        <f>IF(ZestKapital=1,"tak","nie")</f>
        <v>tak</v>
      </c>
      <c r="X486" t="s">
        <v>4543</v>
      </c>
    </row>
    <row r="487" spans="1:24" x14ac:dyDescent="0.3">
      <c r="A487" t="s">
        <v>3220</v>
      </c>
      <c r="B487" s="20" t="s">
        <v>3301</v>
      </c>
      <c r="C487" t="s">
        <v>4544</v>
      </c>
      <c r="D487" t="s">
        <v>4545</v>
      </c>
      <c r="E487">
        <v>3</v>
      </c>
      <c r="R487" s="18"/>
      <c r="S487" t="str">
        <f t="shared" si="12"/>
        <v>Kapital_3</v>
      </c>
      <c r="T487">
        <v>1</v>
      </c>
      <c r="U487" s="18" t="b">
        <v>1</v>
      </c>
      <c r="W487" t="str">
        <f>IF(ZestKapital=1,"tak","nie")</f>
        <v>tak</v>
      </c>
      <c r="X487" t="s">
        <v>4546</v>
      </c>
    </row>
    <row r="488" spans="1:24" x14ac:dyDescent="0.3">
      <c r="A488" t="s">
        <v>3241</v>
      </c>
      <c r="B488" s="20" t="s">
        <v>3344</v>
      </c>
      <c r="C488" t="s">
        <v>4334</v>
      </c>
      <c r="D488" t="s">
        <v>4334</v>
      </c>
      <c r="E488" t="s">
        <v>4334</v>
      </c>
      <c r="R488" s="18"/>
      <c r="T488">
        <v>1</v>
      </c>
      <c r="U488" s="18" t="b">
        <v>0</v>
      </c>
      <c r="W488" t="str">
        <f>IF(ZestKapital=1,"tak","nie")</f>
        <v>tak</v>
      </c>
      <c r="X488" t="s">
        <v>4335</v>
      </c>
    </row>
    <row r="489" spans="1:24" x14ac:dyDescent="0.3">
      <c r="A489" t="s">
        <v>3241</v>
      </c>
      <c r="B489" s="20"/>
      <c r="C489" t="s">
        <v>4547</v>
      </c>
      <c r="D489" t="s">
        <v>4548</v>
      </c>
      <c r="E489" t="s">
        <v>4549</v>
      </c>
      <c r="F489" s="26"/>
      <c r="R489" s="18"/>
      <c r="T489">
        <v>1</v>
      </c>
      <c r="U489" s="18" t="b">
        <v>0</v>
      </c>
      <c r="W489" t="str">
        <f>IF(Przeplyw=1,"tak","nie")</f>
        <v>tak</v>
      </c>
      <c r="X489" t="s">
        <v>4550</v>
      </c>
    </row>
    <row r="490" spans="1:24" x14ac:dyDescent="0.3">
      <c r="A490" t="s">
        <v>3241</v>
      </c>
      <c r="B490" s="20" t="s">
        <v>3301</v>
      </c>
      <c r="C490" t="s">
        <v>4551</v>
      </c>
      <c r="D490" t="s">
        <v>4552</v>
      </c>
      <c r="E490" t="s">
        <v>4552</v>
      </c>
      <c r="F490" s="26"/>
      <c r="R490" s="18"/>
      <c r="T490">
        <v>1</v>
      </c>
      <c r="U490" s="18" t="b">
        <v>0</v>
      </c>
      <c r="W490" t="str">
        <f>IF(Przeplyw=1,"tak","nie")</f>
        <v>tak</v>
      </c>
      <c r="X490" t="s">
        <v>4553</v>
      </c>
    </row>
    <row r="491" spans="1:24" x14ac:dyDescent="0.3">
      <c r="A491" t="s">
        <v>3241</v>
      </c>
      <c r="B491" s="20" t="s">
        <v>3301</v>
      </c>
      <c r="C491" t="s">
        <v>3474</v>
      </c>
      <c r="D491" t="s">
        <v>4554</v>
      </c>
      <c r="E491" t="s">
        <v>4555</v>
      </c>
      <c r="F491" t="s">
        <v>3474</v>
      </c>
      <c r="R491" s="18"/>
      <c r="S491" t="str">
        <f t="shared" si="12"/>
        <v>CFPosr_A</v>
      </c>
      <c r="T491">
        <v>2</v>
      </c>
      <c r="U491" s="18" t="b">
        <v>0</v>
      </c>
      <c r="W491" t="str">
        <f>IF(Przeplyw=1,"","nie")</f>
        <v/>
      </c>
      <c r="X491" t="s">
        <v>4556</v>
      </c>
    </row>
    <row r="492" spans="1:24" x14ac:dyDescent="0.3">
      <c r="A492" t="s">
        <v>3220</v>
      </c>
      <c r="B492" s="20" t="s">
        <v>3301</v>
      </c>
      <c r="C492" t="s">
        <v>4023</v>
      </c>
      <c r="D492" t="s">
        <v>4557</v>
      </c>
      <c r="E492" t="s">
        <v>4555</v>
      </c>
      <c r="F492" t="s">
        <v>3474</v>
      </c>
      <c r="G492">
        <v>1</v>
      </c>
      <c r="R492" s="18"/>
      <c r="S492" t="str">
        <f t="shared" si="12"/>
        <v>CFPosr_A_1</v>
      </c>
      <c r="T492">
        <v>3</v>
      </c>
      <c r="U492" s="18" t="b">
        <v>1</v>
      </c>
      <c r="W492" t="str">
        <f t="shared" ref="W492:W522" si="14">IF(Przeplyw=1,"","nie")</f>
        <v/>
      </c>
      <c r="X492" t="s">
        <v>4558</v>
      </c>
    </row>
    <row r="493" spans="1:24" x14ac:dyDescent="0.3">
      <c r="A493" t="s">
        <v>3220</v>
      </c>
      <c r="B493" s="20" t="s">
        <v>3301</v>
      </c>
      <c r="C493" t="s">
        <v>4026</v>
      </c>
      <c r="D493" t="s">
        <v>4559</v>
      </c>
      <c r="E493" t="s">
        <v>4555</v>
      </c>
      <c r="F493" t="s">
        <v>3474</v>
      </c>
      <c r="G493">
        <v>2</v>
      </c>
      <c r="R493" s="18"/>
      <c r="S493" t="str">
        <f t="shared" si="12"/>
        <v>CFPosr_A_2</v>
      </c>
      <c r="T493">
        <v>3</v>
      </c>
      <c r="U493" s="18" t="b">
        <v>0</v>
      </c>
      <c r="W493" t="str">
        <f t="shared" si="14"/>
        <v/>
      </c>
      <c r="X493" t="s">
        <v>4560</v>
      </c>
    </row>
    <row r="494" spans="1:24" x14ac:dyDescent="0.3">
      <c r="A494" t="s">
        <v>3220</v>
      </c>
      <c r="B494" s="20" t="s">
        <v>3301</v>
      </c>
      <c r="C494" t="s">
        <v>4561</v>
      </c>
      <c r="D494" t="s">
        <v>4562</v>
      </c>
      <c r="E494" t="s">
        <v>4555</v>
      </c>
      <c r="F494" t="s">
        <v>3474</v>
      </c>
      <c r="G494">
        <v>2</v>
      </c>
      <c r="H494">
        <v>1</v>
      </c>
      <c r="R494" s="18"/>
      <c r="S494" t="str">
        <f t="shared" si="12"/>
        <v>CFPosr_A_2_1</v>
      </c>
      <c r="T494">
        <v>4</v>
      </c>
      <c r="U494" s="18" t="b">
        <v>1</v>
      </c>
      <c r="W494" t="str">
        <f t="shared" si="14"/>
        <v/>
      </c>
      <c r="X494" t="s">
        <v>4563</v>
      </c>
    </row>
    <row r="495" spans="1:24" x14ac:dyDescent="0.3">
      <c r="A495" t="s">
        <v>3220</v>
      </c>
      <c r="B495" s="20" t="s">
        <v>3301</v>
      </c>
      <c r="C495" t="s">
        <v>4564</v>
      </c>
      <c r="D495" t="s">
        <v>4565</v>
      </c>
      <c r="E495" t="s">
        <v>4555</v>
      </c>
      <c r="F495" t="s">
        <v>3474</v>
      </c>
      <c r="G495">
        <v>2</v>
      </c>
      <c r="H495">
        <v>2</v>
      </c>
      <c r="R495" s="18"/>
      <c r="S495" t="str">
        <f t="shared" si="12"/>
        <v>CFPosr_A_2_2</v>
      </c>
      <c r="T495">
        <v>4</v>
      </c>
      <c r="U495" s="18" t="b">
        <v>1</v>
      </c>
      <c r="W495" t="str">
        <f t="shared" si="14"/>
        <v/>
      </c>
      <c r="X495" t="s">
        <v>4566</v>
      </c>
    </row>
    <row r="496" spans="1:24" x14ac:dyDescent="0.3">
      <c r="A496" t="s">
        <v>3220</v>
      </c>
      <c r="B496" s="20" t="s">
        <v>3301</v>
      </c>
      <c r="C496" t="s">
        <v>4567</v>
      </c>
      <c r="D496" t="s">
        <v>4568</v>
      </c>
      <c r="E496" t="s">
        <v>4555</v>
      </c>
      <c r="F496" t="s">
        <v>3474</v>
      </c>
      <c r="G496">
        <v>2</v>
      </c>
      <c r="H496">
        <v>3</v>
      </c>
      <c r="R496" s="18"/>
      <c r="S496" t="str">
        <f t="shared" si="12"/>
        <v>CFPosr_A_2_3</v>
      </c>
      <c r="T496">
        <v>4</v>
      </c>
      <c r="U496" s="18" t="b">
        <v>1</v>
      </c>
      <c r="W496" t="str">
        <f t="shared" si="14"/>
        <v/>
      </c>
      <c r="X496" t="s">
        <v>4569</v>
      </c>
    </row>
    <row r="497" spans="1:24" x14ac:dyDescent="0.3">
      <c r="A497" t="s">
        <v>3220</v>
      </c>
      <c r="B497" s="20" t="s">
        <v>3301</v>
      </c>
      <c r="C497" t="s">
        <v>4570</v>
      </c>
      <c r="D497" t="s">
        <v>4571</v>
      </c>
      <c r="E497" t="s">
        <v>4555</v>
      </c>
      <c r="F497" t="s">
        <v>3474</v>
      </c>
      <c r="G497">
        <v>2</v>
      </c>
      <c r="H497">
        <v>4</v>
      </c>
      <c r="R497" s="18"/>
      <c r="S497" t="str">
        <f t="shared" si="12"/>
        <v>CFPosr_A_2_4</v>
      </c>
      <c r="T497">
        <v>4</v>
      </c>
      <c r="U497" s="18" t="b">
        <v>1</v>
      </c>
      <c r="W497" t="str">
        <f t="shared" si="14"/>
        <v/>
      </c>
      <c r="X497" t="s">
        <v>4572</v>
      </c>
    </row>
    <row r="498" spans="1:24" x14ac:dyDescent="0.3">
      <c r="A498" t="s">
        <v>3220</v>
      </c>
      <c r="B498" s="20" t="s">
        <v>3301</v>
      </c>
      <c r="C498" t="s">
        <v>4573</v>
      </c>
      <c r="D498" t="s">
        <v>4574</v>
      </c>
      <c r="E498" t="s">
        <v>4555</v>
      </c>
      <c r="F498" t="s">
        <v>3474</v>
      </c>
      <c r="G498">
        <v>2</v>
      </c>
      <c r="H498">
        <v>5</v>
      </c>
      <c r="R498" s="18"/>
      <c r="S498" t="str">
        <f t="shared" si="12"/>
        <v>CFPosr_A_2_5</v>
      </c>
      <c r="T498">
        <v>4</v>
      </c>
      <c r="U498" s="18" t="b">
        <v>1</v>
      </c>
      <c r="W498" t="str">
        <f t="shared" si="14"/>
        <v/>
      </c>
      <c r="X498" t="s">
        <v>4575</v>
      </c>
    </row>
    <row r="499" spans="1:24" x14ac:dyDescent="0.3">
      <c r="A499" t="s">
        <v>3220</v>
      </c>
      <c r="B499" s="20" t="s">
        <v>3301</v>
      </c>
      <c r="C499" t="s">
        <v>4576</v>
      </c>
      <c r="D499" t="s">
        <v>4577</v>
      </c>
      <c r="E499" t="s">
        <v>4555</v>
      </c>
      <c r="F499" t="s">
        <v>3474</v>
      </c>
      <c r="G499">
        <v>2</v>
      </c>
      <c r="H499">
        <v>6</v>
      </c>
      <c r="R499" s="18"/>
      <c r="S499" t="str">
        <f t="shared" si="12"/>
        <v>CFPosr_A_2_6</v>
      </c>
      <c r="T499">
        <v>4</v>
      </c>
      <c r="U499" s="18" t="b">
        <v>1</v>
      </c>
      <c r="W499" t="str">
        <f t="shared" si="14"/>
        <v/>
      </c>
      <c r="X499" t="s">
        <v>4578</v>
      </c>
    </row>
    <row r="500" spans="1:24" x14ac:dyDescent="0.3">
      <c r="A500" t="s">
        <v>3220</v>
      </c>
      <c r="B500" s="20" t="s">
        <v>3301</v>
      </c>
      <c r="C500" t="s">
        <v>4579</v>
      </c>
      <c r="D500" t="s">
        <v>4580</v>
      </c>
      <c r="E500" t="s">
        <v>4555</v>
      </c>
      <c r="F500" t="s">
        <v>3474</v>
      </c>
      <c r="G500">
        <v>2</v>
      </c>
      <c r="H500">
        <v>7</v>
      </c>
      <c r="R500" s="18"/>
      <c r="S500" t="str">
        <f t="shared" si="12"/>
        <v>CFPosr_A_2_7</v>
      </c>
      <c r="T500">
        <v>4</v>
      </c>
      <c r="U500" s="18" t="b">
        <v>1</v>
      </c>
      <c r="W500" t="str">
        <f t="shared" si="14"/>
        <v/>
      </c>
      <c r="X500" t="s">
        <v>4581</v>
      </c>
    </row>
    <row r="501" spans="1:24" x14ac:dyDescent="0.3">
      <c r="A501" t="s">
        <v>3220</v>
      </c>
      <c r="B501" s="20" t="s">
        <v>3301</v>
      </c>
      <c r="C501" t="s">
        <v>4582</v>
      </c>
      <c r="D501" t="s">
        <v>4583</v>
      </c>
      <c r="E501" t="s">
        <v>4555</v>
      </c>
      <c r="F501" t="s">
        <v>3474</v>
      </c>
      <c r="G501">
        <v>2</v>
      </c>
      <c r="H501">
        <v>8</v>
      </c>
      <c r="R501" s="18"/>
      <c r="S501" t="str">
        <f t="shared" si="12"/>
        <v>CFPosr_A_2_8</v>
      </c>
      <c r="T501">
        <v>4</v>
      </c>
      <c r="U501" s="18" t="b">
        <v>1</v>
      </c>
      <c r="W501" t="str">
        <f t="shared" si="14"/>
        <v/>
      </c>
      <c r="X501" t="s">
        <v>4584</v>
      </c>
    </row>
    <row r="502" spans="1:24" x14ac:dyDescent="0.3">
      <c r="A502" t="s">
        <v>3220</v>
      </c>
      <c r="B502" s="20" t="s">
        <v>3301</v>
      </c>
      <c r="C502" t="s">
        <v>4585</v>
      </c>
      <c r="D502" t="s">
        <v>4586</v>
      </c>
      <c r="E502" t="s">
        <v>4555</v>
      </c>
      <c r="F502" t="s">
        <v>3474</v>
      </c>
      <c r="G502">
        <v>2</v>
      </c>
      <c r="H502">
        <v>9</v>
      </c>
      <c r="R502" s="18"/>
      <c r="S502" t="str">
        <f t="shared" si="12"/>
        <v>CFPosr_A_2_9</v>
      </c>
      <c r="T502">
        <v>4</v>
      </c>
      <c r="U502" s="18" t="b">
        <v>1</v>
      </c>
      <c r="W502" t="str">
        <f t="shared" si="14"/>
        <v/>
      </c>
      <c r="X502" t="s">
        <v>4587</v>
      </c>
    </row>
    <row r="503" spans="1:24" x14ac:dyDescent="0.3">
      <c r="A503" t="s">
        <v>3220</v>
      </c>
      <c r="B503" s="20" t="s">
        <v>3301</v>
      </c>
      <c r="C503" t="s">
        <v>4588</v>
      </c>
      <c r="D503" t="s">
        <v>4589</v>
      </c>
      <c r="E503" t="s">
        <v>4555</v>
      </c>
      <c r="F503" t="s">
        <v>3474</v>
      </c>
      <c r="G503">
        <v>2</v>
      </c>
      <c r="H503">
        <v>10</v>
      </c>
      <c r="R503" s="18"/>
      <c r="S503" t="str">
        <f t="shared" si="12"/>
        <v>CFPosr_A_2_10</v>
      </c>
      <c r="T503">
        <v>4</v>
      </c>
      <c r="U503" s="18" t="b">
        <v>1</v>
      </c>
      <c r="W503" t="str">
        <f t="shared" si="14"/>
        <v/>
      </c>
      <c r="X503" t="s">
        <v>4590</v>
      </c>
    </row>
    <row r="504" spans="1:24" x14ac:dyDescent="0.3">
      <c r="A504" t="s">
        <v>3241</v>
      </c>
      <c r="B504" s="20" t="s">
        <v>3491</v>
      </c>
      <c r="C504" t="s">
        <v>4026</v>
      </c>
      <c r="D504" t="s">
        <v>4591</v>
      </c>
      <c r="E504" t="s">
        <v>4555</v>
      </c>
      <c r="F504" t="s">
        <v>3474</v>
      </c>
      <c r="G504">
        <v>2</v>
      </c>
      <c r="R504" s="18"/>
      <c r="S504" t="str">
        <f t="shared" si="12"/>
        <v>CFPosr_A_2</v>
      </c>
      <c r="T504">
        <v>3</v>
      </c>
      <c r="U504" s="18" t="b">
        <v>0</v>
      </c>
      <c r="W504" t="str">
        <f t="shared" si="14"/>
        <v/>
      </c>
      <c r="X504" t="s">
        <v>4592</v>
      </c>
    </row>
    <row r="505" spans="1:24" x14ac:dyDescent="0.3">
      <c r="A505" t="s">
        <v>3220</v>
      </c>
      <c r="B505" s="20" t="s">
        <v>3301</v>
      </c>
      <c r="C505" t="s">
        <v>4029</v>
      </c>
      <c r="D505" t="s">
        <v>4593</v>
      </c>
      <c r="E505" t="s">
        <v>4555</v>
      </c>
      <c r="F505" t="s">
        <v>3474</v>
      </c>
      <c r="G505">
        <v>3</v>
      </c>
      <c r="R505" s="18"/>
      <c r="S505" t="str">
        <f t="shared" si="12"/>
        <v>CFPosr_A_3</v>
      </c>
      <c r="T505">
        <v>3</v>
      </c>
      <c r="U505" s="18" t="b">
        <v>1</v>
      </c>
      <c r="W505" t="str">
        <f t="shared" si="14"/>
        <v/>
      </c>
      <c r="X505" t="s">
        <v>4594</v>
      </c>
    </row>
    <row r="506" spans="1:24" x14ac:dyDescent="0.3">
      <c r="A506" t="s">
        <v>3241</v>
      </c>
      <c r="B506" s="20" t="s">
        <v>3491</v>
      </c>
      <c r="C506" t="s">
        <v>3474</v>
      </c>
      <c r="D506" t="s">
        <v>4595</v>
      </c>
      <c r="E506" t="s">
        <v>4555</v>
      </c>
      <c r="F506" t="s">
        <v>3474</v>
      </c>
      <c r="R506" s="18"/>
      <c r="S506" t="str">
        <f t="shared" si="12"/>
        <v>CFPosr_A</v>
      </c>
      <c r="T506">
        <v>2</v>
      </c>
      <c r="U506" s="18" t="b">
        <v>0</v>
      </c>
      <c r="W506" t="str">
        <f t="shared" si="14"/>
        <v/>
      </c>
      <c r="X506" t="s">
        <v>4596</v>
      </c>
    </row>
    <row r="507" spans="1:24" x14ac:dyDescent="0.3">
      <c r="A507" t="s">
        <v>3241</v>
      </c>
      <c r="B507" s="20" t="s">
        <v>3301</v>
      </c>
      <c r="C507" t="s">
        <v>3505</v>
      </c>
      <c r="D507" t="s">
        <v>4597</v>
      </c>
      <c r="E507" t="s">
        <v>4555</v>
      </c>
      <c r="F507" t="s">
        <v>3505</v>
      </c>
      <c r="R507" s="18"/>
      <c r="S507" t="str">
        <f t="shared" si="12"/>
        <v>CFPosr_B</v>
      </c>
      <c r="T507">
        <v>2</v>
      </c>
      <c r="U507" s="18" t="b">
        <v>0</v>
      </c>
      <c r="W507" t="str">
        <f t="shared" si="14"/>
        <v/>
      </c>
      <c r="X507" t="s">
        <v>4598</v>
      </c>
    </row>
    <row r="508" spans="1:24" x14ac:dyDescent="0.3">
      <c r="A508" t="s">
        <v>3220</v>
      </c>
      <c r="B508" s="20" t="s">
        <v>3301</v>
      </c>
      <c r="C508" t="s">
        <v>4039</v>
      </c>
      <c r="D508" t="s">
        <v>4599</v>
      </c>
      <c r="E508" t="s">
        <v>4555</v>
      </c>
      <c r="F508" t="s">
        <v>3505</v>
      </c>
      <c r="G508">
        <v>1</v>
      </c>
      <c r="R508" s="18"/>
      <c r="S508" t="str">
        <f t="shared" si="12"/>
        <v>CFPosr_B_1</v>
      </c>
      <c r="T508">
        <v>3</v>
      </c>
      <c r="U508" s="18" t="b">
        <v>0</v>
      </c>
      <c r="W508" t="str">
        <f t="shared" si="14"/>
        <v/>
      </c>
      <c r="X508" t="s">
        <v>4600</v>
      </c>
    </row>
    <row r="509" spans="1:24" x14ac:dyDescent="0.3">
      <c r="A509" t="s">
        <v>3220</v>
      </c>
      <c r="B509" s="20" t="s">
        <v>3301</v>
      </c>
      <c r="C509" t="s">
        <v>4601</v>
      </c>
      <c r="D509" t="s">
        <v>4602</v>
      </c>
      <c r="E509" t="s">
        <v>4555</v>
      </c>
      <c r="F509" t="s">
        <v>3505</v>
      </c>
      <c r="G509">
        <v>1</v>
      </c>
      <c r="H509">
        <v>1</v>
      </c>
      <c r="R509" s="18"/>
      <c r="S509" t="str">
        <f t="shared" si="12"/>
        <v>CFPosr_B_1_1</v>
      </c>
      <c r="T509">
        <v>4</v>
      </c>
      <c r="U509" s="18" t="b">
        <v>1</v>
      </c>
      <c r="W509" t="str">
        <f t="shared" si="14"/>
        <v/>
      </c>
      <c r="X509" t="s">
        <v>4603</v>
      </c>
    </row>
    <row r="510" spans="1:24" x14ac:dyDescent="0.3">
      <c r="A510" t="s">
        <v>3220</v>
      </c>
      <c r="B510" s="20" t="s">
        <v>3301</v>
      </c>
      <c r="C510" t="s">
        <v>4604</v>
      </c>
      <c r="D510" t="s">
        <v>4605</v>
      </c>
      <c r="E510" t="s">
        <v>4555</v>
      </c>
      <c r="F510" t="s">
        <v>3505</v>
      </c>
      <c r="G510">
        <v>1</v>
      </c>
      <c r="H510">
        <v>2</v>
      </c>
      <c r="R510" s="18"/>
      <c r="S510" t="str">
        <f t="shared" si="12"/>
        <v>CFPosr_B_1_2</v>
      </c>
      <c r="T510">
        <v>4</v>
      </c>
      <c r="U510" s="18" t="b">
        <v>1</v>
      </c>
      <c r="W510" t="str">
        <f t="shared" si="14"/>
        <v/>
      </c>
      <c r="X510" t="s">
        <v>4606</v>
      </c>
    </row>
    <row r="511" spans="1:24" x14ac:dyDescent="0.3">
      <c r="A511" t="s">
        <v>3220</v>
      </c>
      <c r="B511" s="20" t="s">
        <v>3301</v>
      </c>
      <c r="C511" t="s">
        <v>4607</v>
      </c>
      <c r="D511" t="s">
        <v>4608</v>
      </c>
      <c r="E511" t="s">
        <v>4555</v>
      </c>
      <c r="F511" t="s">
        <v>3505</v>
      </c>
      <c r="G511">
        <v>1</v>
      </c>
      <c r="H511">
        <v>3</v>
      </c>
      <c r="R511" s="18"/>
      <c r="S511" t="str">
        <f t="shared" si="12"/>
        <v>CFPosr_B_1_3</v>
      </c>
      <c r="T511">
        <v>4</v>
      </c>
      <c r="U511" s="18" t="b">
        <v>0</v>
      </c>
      <c r="W511" t="str">
        <f t="shared" si="14"/>
        <v/>
      </c>
      <c r="X511" t="s">
        <v>4609</v>
      </c>
    </row>
    <row r="512" spans="1:24" x14ac:dyDescent="0.3">
      <c r="A512" t="s">
        <v>3220</v>
      </c>
      <c r="B512" s="20" t="s">
        <v>3301</v>
      </c>
      <c r="C512" t="s">
        <v>4610</v>
      </c>
      <c r="D512" t="s">
        <v>4611</v>
      </c>
      <c r="E512" t="s">
        <v>4555</v>
      </c>
      <c r="F512" t="s">
        <v>3505</v>
      </c>
      <c r="G512">
        <v>1</v>
      </c>
      <c r="H512">
        <v>3</v>
      </c>
      <c r="I512" t="s">
        <v>3474</v>
      </c>
      <c r="R512" s="18"/>
      <c r="S512" t="str">
        <f t="shared" si="12"/>
        <v>CFPosr_B_1_3_A</v>
      </c>
      <c r="T512">
        <v>5</v>
      </c>
      <c r="U512" s="18" t="b">
        <v>1</v>
      </c>
      <c r="W512" t="str">
        <f t="shared" si="14"/>
        <v/>
      </c>
      <c r="X512" t="s">
        <v>4612</v>
      </c>
    </row>
    <row r="513" spans="1:24" x14ac:dyDescent="0.3">
      <c r="A513" t="s">
        <v>3220</v>
      </c>
      <c r="B513" s="20" t="s">
        <v>3301</v>
      </c>
      <c r="C513" t="s">
        <v>4613</v>
      </c>
      <c r="D513" t="s">
        <v>4614</v>
      </c>
      <c r="E513" t="s">
        <v>4555</v>
      </c>
      <c r="F513" t="s">
        <v>3505</v>
      </c>
      <c r="G513">
        <v>1</v>
      </c>
      <c r="H513">
        <v>3</v>
      </c>
      <c r="I513" t="s">
        <v>3505</v>
      </c>
      <c r="R513" s="18"/>
      <c r="S513" t="str">
        <f t="shared" si="12"/>
        <v>CFPosr_B_1_3_B</v>
      </c>
      <c r="T513">
        <v>5</v>
      </c>
      <c r="U513" s="18" t="b">
        <v>0</v>
      </c>
      <c r="W513" t="str">
        <f t="shared" si="14"/>
        <v/>
      </c>
      <c r="X513" t="s">
        <v>4615</v>
      </c>
    </row>
    <row r="514" spans="1:24" x14ac:dyDescent="0.3">
      <c r="A514" t="s">
        <v>3220</v>
      </c>
      <c r="B514" s="20" t="s">
        <v>3301</v>
      </c>
      <c r="C514" t="s">
        <v>4616</v>
      </c>
      <c r="D514" t="s">
        <v>4617</v>
      </c>
      <c r="E514" t="s">
        <v>4555</v>
      </c>
      <c r="F514" t="s">
        <v>3505</v>
      </c>
      <c r="G514">
        <v>1</v>
      </c>
      <c r="H514">
        <v>3</v>
      </c>
      <c r="I514" t="s">
        <v>3505</v>
      </c>
      <c r="J514">
        <v>1</v>
      </c>
      <c r="R514" s="18"/>
      <c r="S514" t="str">
        <f t="shared" si="12"/>
        <v>CFPosr_B_1_3_B_1</v>
      </c>
      <c r="T514">
        <v>6</v>
      </c>
      <c r="U514" s="18" t="b">
        <v>1</v>
      </c>
      <c r="W514" t="str">
        <f t="shared" si="14"/>
        <v/>
      </c>
      <c r="X514" t="s">
        <v>4618</v>
      </c>
    </row>
    <row r="515" spans="1:24" x14ac:dyDescent="0.3">
      <c r="A515" t="s">
        <v>3220</v>
      </c>
      <c r="B515" s="20" t="s">
        <v>3301</v>
      </c>
      <c r="C515" t="s">
        <v>4619</v>
      </c>
      <c r="D515" t="s">
        <v>4620</v>
      </c>
      <c r="E515" t="s">
        <v>4555</v>
      </c>
      <c r="F515" t="s">
        <v>3505</v>
      </c>
      <c r="G515">
        <v>1</v>
      </c>
      <c r="H515">
        <v>3</v>
      </c>
      <c r="I515" t="s">
        <v>3505</v>
      </c>
      <c r="J515">
        <v>2</v>
      </c>
      <c r="R515" s="18"/>
      <c r="S515" t="str">
        <f t="shared" si="12"/>
        <v>CFPosr_B_1_3_B_2</v>
      </c>
      <c r="T515">
        <v>6</v>
      </c>
      <c r="U515" s="18" t="b">
        <v>1</v>
      </c>
      <c r="W515" t="str">
        <f t="shared" si="14"/>
        <v/>
      </c>
      <c r="X515" t="s">
        <v>4621</v>
      </c>
    </row>
    <row r="516" spans="1:24" x14ac:dyDescent="0.3">
      <c r="A516" t="s">
        <v>3220</v>
      </c>
      <c r="B516" s="20" t="s">
        <v>3301</v>
      </c>
      <c r="C516" t="s">
        <v>4622</v>
      </c>
      <c r="D516" t="s">
        <v>4623</v>
      </c>
      <c r="E516" t="s">
        <v>4555</v>
      </c>
      <c r="F516" t="s">
        <v>3505</v>
      </c>
      <c r="G516">
        <v>1</v>
      </c>
      <c r="H516">
        <v>3</v>
      </c>
      <c r="I516" t="s">
        <v>3505</v>
      </c>
      <c r="J516">
        <v>3</v>
      </c>
      <c r="R516" s="18"/>
      <c r="S516" t="str">
        <f t="shared" si="12"/>
        <v>CFPosr_B_1_3_B_3</v>
      </c>
      <c r="T516">
        <v>6</v>
      </c>
      <c r="U516" s="18" t="b">
        <v>1</v>
      </c>
      <c r="W516" t="str">
        <f t="shared" si="14"/>
        <v/>
      </c>
      <c r="X516" t="s">
        <v>4624</v>
      </c>
    </row>
    <row r="517" spans="1:24" x14ac:dyDescent="0.3">
      <c r="A517" t="s">
        <v>3220</v>
      </c>
      <c r="B517" s="20" t="s">
        <v>3301</v>
      </c>
      <c r="C517" t="s">
        <v>4625</v>
      </c>
      <c r="D517" t="s">
        <v>4626</v>
      </c>
      <c r="E517" t="s">
        <v>4555</v>
      </c>
      <c r="F517" t="s">
        <v>3505</v>
      </c>
      <c r="G517">
        <v>1</v>
      </c>
      <c r="H517">
        <v>3</v>
      </c>
      <c r="I517" t="s">
        <v>3505</v>
      </c>
      <c r="J517">
        <v>4</v>
      </c>
      <c r="R517" s="18"/>
      <c r="S517" t="str">
        <f t="shared" si="12"/>
        <v>CFPosr_B_1_3_B_4</v>
      </c>
      <c r="T517">
        <v>6</v>
      </c>
      <c r="U517" s="18" t="b">
        <v>1</v>
      </c>
      <c r="W517" t="str">
        <f t="shared" si="14"/>
        <v/>
      </c>
      <c r="X517" t="s">
        <v>4627</v>
      </c>
    </row>
    <row r="518" spans="1:24" x14ac:dyDescent="0.3">
      <c r="A518" t="s">
        <v>3220</v>
      </c>
      <c r="B518" s="20" t="s">
        <v>3301</v>
      </c>
      <c r="C518" t="s">
        <v>4628</v>
      </c>
      <c r="D518" t="s">
        <v>4629</v>
      </c>
      <c r="E518" t="s">
        <v>4555</v>
      </c>
      <c r="F518" t="s">
        <v>3505</v>
      </c>
      <c r="G518">
        <v>1</v>
      </c>
      <c r="H518">
        <v>3</v>
      </c>
      <c r="I518" t="s">
        <v>3505</v>
      </c>
      <c r="J518">
        <v>5</v>
      </c>
      <c r="R518" s="18"/>
      <c r="S518" t="str">
        <f t="shared" si="12"/>
        <v>CFPosr_B_1_3_B_5</v>
      </c>
      <c r="T518">
        <v>6</v>
      </c>
      <c r="U518" s="18" t="b">
        <v>1</v>
      </c>
      <c r="W518" t="str">
        <f t="shared" si="14"/>
        <v/>
      </c>
      <c r="X518" t="s">
        <v>4630</v>
      </c>
    </row>
    <row r="519" spans="1:24" x14ac:dyDescent="0.3">
      <c r="A519" t="s">
        <v>3241</v>
      </c>
      <c r="B519" s="20" t="s">
        <v>3491</v>
      </c>
      <c r="C519" t="s">
        <v>4613</v>
      </c>
      <c r="D519" t="s">
        <v>4631</v>
      </c>
      <c r="E519" t="s">
        <v>4555</v>
      </c>
      <c r="F519" t="s">
        <v>3505</v>
      </c>
      <c r="G519">
        <v>1</v>
      </c>
      <c r="H519">
        <v>3</v>
      </c>
      <c r="I519" t="s">
        <v>3505</v>
      </c>
      <c r="R519" s="18"/>
      <c r="S519" t="str">
        <f t="shared" si="12"/>
        <v>CFPosr_B_1_3_B</v>
      </c>
      <c r="T519">
        <v>5</v>
      </c>
      <c r="U519" s="18" t="b">
        <v>0</v>
      </c>
      <c r="W519" t="str">
        <f t="shared" si="14"/>
        <v/>
      </c>
      <c r="X519" t="s">
        <v>4632</v>
      </c>
    </row>
    <row r="520" spans="1:24" x14ac:dyDescent="0.3">
      <c r="A520" t="s">
        <v>3241</v>
      </c>
      <c r="B520" s="20" t="s">
        <v>3491</v>
      </c>
      <c r="C520" t="s">
        <v>4607</v>
      </c>
      <c r="D520" t="s">
        <v>4633</v>
      </c>
      <c r="E520" t="s">
        <v>4555</v>
      </c>
      <c r="F520" t="s">
        <v>3505</v>
      </c>
      <c r="G520">
        <v>1</v>
      </c>
      <c r="H520">
        <v>3</v>
      </c>
      <c r="R520" s="18"/>
      <c r="S520" t="str">
        <f t="shared" si="12"/>
        <v>CFPosr_B_1_3</v>
      </c>
      <c r="T520">
        <v>4</v>
      </c>
      <c r="U520" s="18" t="b">
        <v>0</v>
      </c>
      <c r="W520" t="str">
        <f t="shared" si="14"/>
        <v/>
      </c>
      <c r="X520" t="s">
        <v>4634</v>
      </c>
    </row>
    <row r="521" spans="1:24" x14ac:dyDescent="0.3">
      <c r="A521" t="s">
        <v>3220</v>
      </c>
      <c r="B521" s="20" t="s">
        <v>3301</v>
      </c>
      <c r="C521" t="s">
        <v>4635</v>
      </c>
      <c r="D521" t="s">
        <v>4636</v>
      </c>
      <c r="E521" t="s">
        <v>4555</v>
      </c>
      <c r="F521" t="s">
        <v>3505</v>
      </c>
      <c r="G521">
        <v>1</v>
      </c>
      <c r="H521">
        <v>4</v>
      </c>
      <c r="R521" s="18"/>
      <c r="S521" t="str">
        <f t="shared" si="12"/>
        <v>CFPosr_B_1_4</v>
      </c>
      <c r="T521">
        <v>4</v>
      </c>
      <c r="U521" s="18" t="b">
        <v>1</v>
      </c>
      <c r="W521" t="str">
        <f t="shared" si="14"/>
        <v/>
      </c>
      <c r="X521" t="s">
        <v>4637</v>
      </c>
    </row>
    <row r="522" spans="1:24" x14ac:dyDescent="0.3">
      <c r="A522" t="s">
        <v>3241</v>
      </c>
      <c r="B522" s="20" t="s">
        <v>3491</v>
      </c>
      <c r="C522" t="s">
        <v>4039</v>
      </c>
      <c r="D522" t="s">
        <v>4638</v>
      </c>
      <c r="E522" t="s">
        <v>4555</v>
      </c>
      <c r="F522" t="s">
        <v>3505</v>
      </c>
      <c r="G522">
        <v>1</v>
      </c>
      <c r="R522" s="18"/>
      <c r="S522" t="str">
        <f t="shared" si="12"/>
        <v>CFPosr_B_1</v>
      </c>
      <c r="T522">
        <v>3</v>
      </c>
      <c r="U522" s="18" t="b">
        <v>0</v>
      </c>
      <c r="W522" t="str">
        <f t="shared" si="14"/>
        <v/>
      </c>
      <c r="X522" t="s">
        <v>4639</v>
      </c>
    </row>
    <row r="523" spans="1:24" x14ac:dyDescent="0.3">
      <c r="A523" t="s">
        <v>3220</v>
      </c>
      <c r="B523" s="20" t="s">
        <v>3301</v>
      </c>
      <c r="C523" t="s">
        <v>4042</v>
      </c>
      <c r="D523" t="s">
        <v>4640</v>
      </c>
      <c r="E523" t="s">
        <v>4555</v>
      </c>
      <c r="F523" t="s">
        <v>3505</v>
      </c>
      <c r="G523">
        <v>2</v>
      </c>
      <c r="R523" s="18"/>
      <c r="S523" t="str">
        <f t="shared" si="12"/>
        <v>CFPosr_B_2</v>
      </c>
      <c r="T523">
        <v>3</v>
      </c>
      <c r="U523" s="18" t="b">
        <v>0</v>
      </c>
      <c r="W523" t="str">
        <f t="shared" ref="W523:W554" si="15">IF(Przeplyw=1,"","nie")</f>
        <v/>
      </c>
      <c r="X523" t="s">
        <v>4641</v>
      </c>
    </row>
    <row r="524" spans="1:24" x14ac:dyDescent="0.3">
      <c r="A524" t="s">
        <v>3220</v>
      </c>
      <c r="B524" s="20" t="s">
        <v>3301</v>
      </c>
      <c r="C524" t="s">
        <v>4642</v>
      </c>
      <c r="D524" t="s">
        <v>4643</v>
      </c>
      <c r="E524" t="s">
        <v>4555</v>
      </c>
      <c r="F524" t="s">
        <v>3505</v>
      </c>
      <c r="G524">
        <v>2</v>
      </c>
      <c r="H524">
        <v>1</v>
      </c>
      <c r="R524" s="18"/>
      <c r="S524" t="str">
        <f t="shared" si="12"/>
        <v>CFPosr_B_2_1</v>
      </c>
      <c r="T524">
        <v>4</v>
      </c>
      <c r="U524" s="18" t="b">
        <v>1</v>
      </c>
      <c r="W524" t="str">
        <f t="shared" si="15"/>
        <v/>
      </c>
      <c r="X524" t="s">
        <v>4644</v>
      </c>
    </row>
    <row r="525" spans="1:24" x14ac:dyDescent="0.3">
      <c r="A525" t="s">
        <v>3220</v>
      </c>
      <c r="B525" s="20" t="s">
        <v>3301</v>
      </c>
      <c r="C525" t="s">
        <v>4645</v>
      </c>
      <c r="D525" t="s">
        <v>4646</v>
      </c>
      <c r="E525" t="s">
        <v>4555</v>
      </c>
      <c r="F525" t="s">
        <v>3505</v>
      </c>
      <c r="G525">
        <v>2</v>
      </c>
      <c r="H525">
        <v>2</v>
      </c>
      <c r="R525" s="18"/>
      <c r="S525" t="str">
        <f t="shared" si="12"/>
        <v>CFPosr_B_2_2</v>
      </c>
      <c r="T525">
        <v>4</v>
      </c>
      <c r="U525" s="18" t="b">
        <v>1</v>
      </c>
      <c r="W525" t="str">
        <f t="shared" si="15"/>
        <v/>
      </c>
      <c r="X525" t="s">
        <v>4647</v>
      </c>
    </row>
    <row r="526" spans="1:24" x14ac:dyDescent="0.3">
      <c r="A526" t="s">
        <v>3220</v>
      </c>
      <c r="B526" s="20" t="s">
        <v>3301</v>
      </c>
      <c r="C526" t="s">
        <v>4648</v>
      </c>
      <c r="D526" t="s">
        <v>4649</v>
      </c>
      <c r="E526" t="s">
        <v>4555</v>
      </c>
      <c r="F526" t="s">
        <v>3505</v>
      </c>
      <c r="G526">
        <v>2</v>
      </c>
      <c r="H526">
        <v>3</v>
      </c>
      <c r="R526" s="18"/>
      <c r="S526" t="str">
        <f t="shared" si="12"/>
        <v>CFPosr_B_2_3</v>
      </c>
      <c r="T526">
        <v>4</v>
      </c>
      <c r="U526" s="18" t="b">
        <v>0</v>
      </c>
      <c r="W526" t="str">
        <f t="shared" si="15"/>
        <v/>
      </c>
      <c r="X526" t="s">
        <v>4650</v>
      </c>
    </row>
    <row r="527" spans="1:24" x14ac:dyDescent="0.3">
      <c r="A527" t="s">
        <v>3220</v>
      </c>
      <c r="B527" s="20" t="s">
        <v>3301</v>
      </c>
      <c r="C527" t="s">
        <v>4651</v>
      </c>
      <c r="D527" t="s">
        <v>4652</v>
      </c>
      <c r="E527" t="s">
        <v>4555</v>
      </c>
      <c r="F527" t="s">
        <v>3505</v>
      </c>
      <c r="G527">
        <v>2</v>
      </c>
      <c r="H527">
        <v>3</v>
      </c>
      <c r="I527" t="s">
        <v>3474</v>
      </c>
      <c r="R527" s="18"/>
      <c r="S527" t="str">
        <f t="shared" si="12"/>
        <v>CFPosr_B_2_3_A</v>
      </c>
      <c r="T527">
        <v>5</v>
      </c>
      <c r="U527" s="18" t="b">
        <v>1</v>
      </c>
      <c r="W527" t="str">
        <f t="shared" si="15"/>
        <v/>
      </c>
      <c r="X527" t="s">
        <v>4653</v>
      </c>
    </row>
    <row r="528" spans="1:24" x14ac:dyDescent="0.3">
      <c r="A528" t="s">
        <v>3220</v>
      </c>
      <c r="B528" s="20" t="s">
        <v>3301</v>
      </c>
      <c r="C528" t="s">
        <v>4654</v>
      </c>
      <c r="D528" t="s">
        <v>4655</v>
      </c>
      <c r="E528" t="s">
        <v>4555</v>
      </c>
      <c r="F528" t="s">
        <v>3505</v>
      </c>
      <c r="G528">
        <v>2</v>
      </c>
      <c r="H528">
        <v>3</v>
      </c>
      <c r="I528" t="s">
        <v>3505</v>
      </c>
      <c r="R528" s="18"/>
      <c r="S528" t="str">
        <f t="shared" si="12"/>
        <v>CFPosr_B_2_3_B</v>
      </c>
      <c r="T528">
        <v>5</v>
      </c>
      <c r="U528" s="18" t="b">
        <v>0</v>
      </c>
      <c r="W528" t="str">
        <f t="shared" si="15"/>
        <v/>
      </c>
      <c r="X528" t="s">
        <v>4656</v>
      </c>
    </row>
    <row r="529" spans="1:24" x14ac:dyDescent="0.3">
      <c r="A529" t="s">
        <v>3220</v>
      </c>
      <c r="B529" s="20" t="s">
        <v>3301</v>
      </c>
      <c r="C529" t="s">
        <v>4657</v>
      </c>
      <c r="D529" t="s">
        <v>4658</v>
      </c>
      <c r="E529" t="s">
        <v>4555</v>
      </c>
      <c r="F529" t="s">
        <v>3505</v>
      </c>
      <c r="G529">
        <v>2</v>
      </c>
      <c r="H529">
        <v>3</v>
      </c>
      <c r="I529" t="s">
        <v>3505</v>
      </c>
      <c r="J529">
        <v>1</v>
      </c>
      <c r="R529" s="18"/>
      <c r="S529" t="str">
        <f t="shared" ref="S529:S564" si="16">IF(ISERROR(FIND("_koniec",D529)),D529,LEFT(D529,FIND("_koniec",D529)-1))</f>
        <v>CFPosr_B_2_3_B_1</v>
      </c>
      <c r="T529">
        <v>6</v>
      </c>
      <c r="U529" s="18" t="b">
        <v>1</v>
      </c>
      <c r="W529" t="str">
        <f t="shared" si="15"/>
        <v/>
      </c>
      <c r="X529" t="s">
        <v>4659</v>
      </c>
    </row>
    <row r="530" spans="1:24" x14ac:dyDescent="0.3">
      <c r="A530" t="s">
        <v>3220</v>
      </c>
      <c r="B530" s="20" t="s">
        <v>3301</v>
      </c>
      <c r="C530" t="s">
        <v>4660</v>
      </c>
      <c r="D530" t="s">
        <v>4661</v>
      </c>
      <c r="E530" t="s">
        <v>4555</v>
      </c>
      <c r="F530" t="s">
        <v>3505</v>
      </c>
      <c r="G530">
        <v>2</v>
      </c>
      <c r="H530">
        <v>3</v>
      </c>
      <c r="I530" t="s">
        <v>3505</v>
      </c>
      <c r="J530">
        <v>2</v>
      </c>
      <c r="R530" s="18"/>
      <c r="S530" t="str">
        <f t="shared" si="16"/>
        <v>CFPosr_B_2_3_B_2</v>
      </c>
      <c r="T530">
        <v>6</v>
      </c>
      <c r="U530" s="18" t="b">
        <v>1</v>
      </c>
      <c r="W530" t="str">
        <f t="shared" si="15"/>
        <v/>
      </c>
      <c r="X530" t="s">
        <v>4662</v>
      </c>
    </row>
    <row r="531" spans="1:24" x14ac:dyDescent="0.3">
      <c r="A531" t="s">
        <v>3241</v>
      </c>
      <c r="B531" s="20" t="s">
        <v>3491</v>
      </c>
      <c r="C531" t="s">
        <v>4654</v>
      </c>
      <c r="D531" t="s">
        <v>4663</v>
      </c>
      <c r="E531" t="s">
        <v>4555</v>
      </c>
      <c r="F531" t="s">
        <v>3505</v>
      </c>
      <c r="G531">
        <v>2</v>
      </c>
      <c r="H531">
        <v>3</v>
      </c>
      <c r="I531" t="s">
        <v>3505</v>
      </c>
      <c r="R531" s="18"/>
      <c r="S531" t="str">
        <f t="shared" si="16"/>
        <v>CFPosr_B_2_3_B</v>
      </c>
      <c r="T531">
        <v>5</v>
      </c>
      <c r="U531" s="18" t="b">
        <v>0</v>
      </c>
      <c r="W531" t="str">
        <f t="shared" si="15"/>
        <v/>
      </c>
      <c r="X531" t="s">
        <v>4664</v>
      </c>
    </row>
    <row r="532" spans="1:24" x14ac:dyDescent="0.3">
      <c r="A532" t="s">
        <v>3241</v>
      </c>
      <c r="B532" s="20" t="s">
        <v>3491</v>
      </c>
      <c r="C532" t="s">
        <v>4648</v>
      </c>
      <c r="D532" t="s">
        <v>4665</v>
      </c>
      <c r="E532" t="s">
        <v>4555</v>
      </c>
      <c r="F532" t="s">
        <v>3505</v>
      </c>
      <c r="G532">
        <v>2</v>
      </c>
      <c r="H532">
        <v>3</v>
      </c>
      <c r="R532" s="18"/>
      <c r="S532" t="str">
        <f t="shared" si="16"/>
        <v>CFPosr_B_2_3</v>
      </c>
      <c r="T532">
        <v>4</v>
      </c>
      <c r="U532" s="18" t="b">
        <v>0</v>
      </c>
      <c r="W532" t="str">
        <f t="shared" si="15"/>
        <v/>
      </c>
      <c r="X532" t="s">
        <v>4666</v>
      </c>
    </row>
    <row r="533" spans="1:24" x14ac:dyDescent="0.3">
      <c r="A533" t="s">
        <v>3220</v>
      </c>
      <c r="B533" s="20" t="s">
        <v>3301</v>
      </c>
      <c r="C533" t="s">
        <v>4667</v>
      </c>
      <c r="D533" t="s">
        <v>4668</v>
      </c>
      <c r="E533" t="s">
        <v>4555</v>
      </c>
      <c r="F533" t="s">
        <v>3505</v>
      </c>
      <c r="G533">
        <v>2</v>
      </c>
      <c r="H533">
        <v>4</v>
      </c>
      <c r="R533" s="18"/>
      <c r="S533" t="str">
        <f t="shared" si="16"/>
        <v>CFPosr_B_2_4</v>
      </c>
      <c r="T533">
        <v>4</v>
      </c>
      <c r="U533" s="18" t="b">
        <v>1</v>
      </c>
      <c r="W533" t="str">
        <f t="shared" si="15"/>
        <v/>
      </c>
      <c r="X533" t="s">
        <v>4669</v>
      </c>
    </row>
    <row r="534" spans="1:24" x14ac:dyDescent="0.3">
      <c r="A534" t="s">
        <v>3241</v>
      </c>
      <c r="B534" s="20" t="s">
        <v>3491</v>
      </c>
      <c r="C534" t="s">
        <v>4042</v>
      </c>
      <c r="D534" t="s">
        <v>4670</v>
      </c>
      <c r="E534" t="s">
        <v>4555</v>
      </c>
      <c r="F534" t="s">
        <v>3505</v>
      </c>
      <c r="G534">
        <v>2</v>
      </c>
      <c r="R534" s="18"/>
      <c r="S534" t="str">
        <f t="shared" si="16"/>
        <v>CFPosr_B_2</v>
      </c>
      <c r="T534">
        <v>3</v>
      </c>
      <c r="U534" s="18" t="b">
        <v>0</v>
      </c>
      <c r="W534" t="str">
        <f t="shared" si="15"/>
        <v/>
      </c>
      <c r="X534" t="s">
        <v>4671</v>
      </c>
    </row>
    <row r="535" spans="1:24" x14ac:dyDescent="0.3">
      <c r="A535" t="s">
        <v>3220</v>
      </c>
      <c r="B535" s="20" t="s">
        <v>3301</v>
      </c>
      <c r="C535" t="s">
        <v>4045</v>
      </c>
      <c r="D535" t="s">
        <v>4672</v>
      </c>
      <c r="E535" t="s">
        <v>4555</v>
      </c>
      <c r="F535" t="s">
        <v>3505</v>
      </c>
      <c r="G535">
        <v>3</v>
      </c>
      <c r="R535" s="18"/>
      <c r="S535" t="str">
        <f t="shared" si="16"/>
        <v>CFPosr_B_3</v>
      </c>
      <c r="T535">
        <v>3</v>
      </c>
      <c r="U535" s="18" t="b">
        <v>1</v>
      </c>
      <c r="W535" t="str">
        <f t="shared" si="15"/>
        <v/>
      </c>
      <c r="X535" t="s">
        <v>4673</v>
      </c>
    </row>
    <row r="536" spans="1:24" x14ac:dyDescent="0.3">
      <c r="A536" t="s">
        <v>3241</v>
      </c>
      <c r="B536" s="20" t="s">
        <v>3491</v>
      </c>
      <c r="C536" t="s">
        <v>3505</v>
      </c>
      <c r="D536" t="s">
        <v>4674</v>
      </c>
      <c r="E536" t="s">
        <v>4555</v>
      </c>
      <c r="F536" t="s">
        <v>3505</v>
      </c>
      <c r="R536" s="18"/>
      <c r="S536" t="str">
        <f t="shared" si="16"/>
        <v>CFPosr_B</v>
      </c>
      <c r="T536">
        <v>2</v>
      </c>
      <c r="U536" s="18" t="b">
        <v>0</v>
      </c>
      <c r="W536" t="str">
        <f t="shared" si="15"/>
        <v/>
      </c>
      <c r="X536" t="s">
        <v>4675</v>
      </c>
    </row>
    <row r="537" spans="1:24" x14ac:dyDescent="0.3">
      <c r="A537" t="s">
        <v>3241</v>
      </c>
      <c r="B537" s="20" t="s">
        <v>3301</v>
      </c>
      <c r="C537" t="s">
        <v>3509</v>
      </c>
      <c r="D537" t="s">
        <v>4676</v>
      </c>
      <c r="E537" t="s">
        <v>4555</v>
      </c>
      <c r="F537" t="s">
        <v>3509</v>
      </c>
      <c r="R537" s="18"/>
      <c r="S537" t="str">
        <f t="shared" si="16"/>
        <v>CFPosr_C</v>
      </c>
      <c r="T537">
        <v>2</v>
      </c>
      <c r="U537" s="18" t="b">
        <v>0</v>
      </c>
      <c r="W537" t="str">
        <f t="shared" si="15"/>
        <v/>
      </c>
      <c r="X537" t="s">
        <v>4677</v>
      </c>
    </row>
    <row r="538" spans="1:24" x14ac:dyDescent="0.3">
      <c r="A538" t="s">
        <v>3220</v>
      </c>
      <c r="B538" s="20" t="s">
        <v>3301</v>
      </c>
      <c r="C538" t="s">
        <v>4678</v>
      </c>
      <c r="D538" t="s">
        <v>4679</v>
      </c>
      <c r="E538" t="s">
        <v>4555</v>
      </c>
      <c r="F538" t="s">
        <v>3509</v>
      </c>
      <c r="G538">
        <v>1</v>
      </c>
      <c r="R538" s="18"/>
      <c r="S538" t="str">
        <f t="shared" si="16"/>
        <v>CFPosr_C_1</v>
      </c>
      <c r="T538">
        <v>3</v>
      </c>
      <c r="U538" s="18" t="b">
        <v>0</v>
      </c>
      <c r="W538" t="str">
        <f t="shared" si="15"/>
        <v/>
      </c>
      <c r="X538" t="s">
        <v>4680</v>
      </c>
    </row>
    <row r="539" spans="1:24" x14ac:dyDescent="0.3">
      <c r="A539" t="s">
        <v>3220</v>
      </c>
      <c r="B539" s="20" t="s">
        <v>3301</v>
      </c>
      <c r="C539" t="s">
        <v>4681</v>
      </c>
      <c r="D539" t="s">
        <v>4682</v>
      </c>
      <c r="E539" t="s">
        <v>4555</v>
      </c>
      <c r="F539" t="s">
        <v>3509</v>
      </c>
      <c r="G539">
        <v>1</v>
      </c>
      <c r="H539">
        <v>1</v>
      </c>
      <c r="R539" s="18"/>
      <c r="S539" t="str">
        <f t="shared" si="16"/>
        <v>CFPosr_C_1_1</v>
      </c>
      <c r="T539">
        <v>4</v>
      </c>
      <c r="U539" s="18" t="b">
        <v>1</v>
      </c>
      <c r="W539" t="str">
        <f t="shared" si="15"/>
        <v/>
      </c>
      <c r="X539" t="s">
        <v>4683</v>
      </c>
    </row>
    <row r="540" spans="1:24" x14ac:dyDescent="0.3">
      <c r="A540" t="s">
        <v>3220</v>
      </c>
      <c r="B540" s="20" t="s">
        <v>3301</v>
      </c>
      <c r="C540" t="s">
        <v>4684</v>
      </c>
      <c r="D540" t="s">
        <v>4685</v>
      </c>
      <c r="E540" t="s">
        <v>4555</v>
      </c>
      <c r="F540" t="s">
        <v>3509</v>
      </c>
      <c r="G540">
        <v>1</v>
      </c>
      <c r="H540">
        <v>2</v>
      </c>
      <c r="R540" s="18"/>
      <c r="S540" t="str">
        <f t="shared" si="16"/>
        <v>CFPosr_C_1_2</v>
      </c>
      <c r="T540">
        <v>4</v>
      </c>
      <c r="U540" s="18" t="b">
        <v>1</v>
      </c>
      <c r="W540" t="str">
        <f t="shared" si="15"/>
        <v/>
      </c>
      <c r="X540" t="s">
        <v>4686</v>
      </c>
    </row>
    <row r="541" spans="1:24" x14ac:dyDescent="0.3">
      <c r="A541" t="s">
        <v>3220</v>
      </c>
      <c r="B541" s="20" t="s">
        <v>3301</v>
      </c>
      <c r="C541" t="s">
        <v>4687</v>
      </c>
      <c r="D541" t="s">
        <v>4688</v>
      </c>
      <c r="E541" t="s">
        <v>4555</v>
      </c>
      <c r="F541" t="s">
        <v>3509</v>
      </c>
      <c r="G541">
        <v>1</v>
      </c>
      <c r="H541">
        <v>3</v>
      </c>
      <c r="R541" s="18"/>
      <c r="S541" t="str">
        <f t="shared" si="16"/>
        <v>CFPosr_C_1_3</v>
      </c>
      <c r="T541">
        <v>4</v>
      </c>
      <c r="U541" s="18" t="b">
        <v>1</v>
      </c>
      <c r="W541" t="str">
        <f t="shared" si="15"/>
        <v/>
      </c>
      <c r="X541" t="s">
        <v>4689</v>
      </c>
    </row>
    <row r="542" spans="1:24" x14ac:dyDescent="0.3">
      <c r="A542" t="s">
        <v>3220</v>
      </c>
      <c r="B542" s="20" t="s">
        <v>3301</v>
      </c>
      <c r="C542" t="s">
        <v>4690</v>
      </c>
      <c r="D542" t="s">
        <v>4691</v>
      </c>
      <c r="E542" t="s">
        <v>4555</v>
      </c>
      <c r="F542" t="s">
        <v>3509</v>
      </c>
      <c r="G542">
        <v>1</v>
      </c>
      <c r="H542">
        <v>4</v>
      </c>
      <c r="R542" s="18"/>
      <c r="S542" t="str">
        <f t="shared" si="16"/>
        <v>CFPosr_C_1_4</v>
      </c>
      <c r="T542">
        <v>4</v>
      </c>
      <c r="U542" s="18" t="b">
        <v>1</v>
      </c>
      <c r="W542" t="str">
        <f t="shared" si="15"/>
        <v/>
      </c>
      <c r="X542" t="s">
        <v>4692</v>
      </c>
    </row>
    <row r="543" spans="1:24" x14ac:dyDescent="0.3">
      <c r="A543" t="s">
        <v>3241</v>
      </c>
      <c r="B543" s="20" t="s">
        <v>3491</v>
      </c>
      <c r="C543" t="s">
        <v>4678</v>
      </c>
      <c r="D543" t="s">
        <v>4693</v>
      </c>
      <c r="E543" t="s">
        <v>4555</v>
      </c>
      <c r="F543" t="s">
        <v>3509</v>
      </c>
      <c r="G543">
        <v>1</v>
      </c>
      <c r="R543" s="18"/>
      <c r="S543" t="str">
        <f t="shared" si="16"/>
        <v>CFPosr_C_1</v>
      </c>
      <c r="T543">
        <v>3</v>
      </c>
      <c r="U543" s="18" t="b">
        <v>0</v>
      </c>
      <c r="W543" t="str">
        <f t="shared" si="15"/>
        <v/>
      </c>
      <c r="X543" t="s">
        <v>4694</v>
      </c>
    </row>
    <row r="544" spans="1:24" x14ac:dyDescent="0.3">
      <c r="A544" t="s">
        <v>3220</v>
      </c>
      <c r="B544" s="20" t="s">
        <v>3301</v>
      </c>
      <c r="C544" t="s">
        <v>4695</v>
      </c>
      <c r="D544" t="s">
        <v>4696</v>
      </c>
      <c r="E544" t="s">
        <v>4555</v>
      </c>
      <c r="F544" t="s">
        <v>3509</v>
      </c>
      <c r="G544">
        <v>2</v>
      </c>
      <c r="R544" s="18"/>
      <c r="S544" t="str">
        <f t="shared" si="16"/>
        <v>CFPosr_C_2</v>
      </c>
      <c r="T544">
        <v>3</v>
      </c>
      <c r="U544" s="18" t="b">
        <v>0</v>
      </c>
      <c r="W544" t="str">
        <f t="shared" si="15"/>
        <v/>
      </c>
      <c r="X544" t="s">
        <v>4697</v>
      </c>
    </row>
    <row r="545" spans="1:24" x14ac:dyDescent="0.3">
      <c r="A545" t="s">
        <v>3220</v>
      </c>
      <c r="B545" s="20" t="s">
        <v>3301</v>
      </c>
      <c r="C545" t="s">
        <v>4698</v>
      </c>
      <c r="D545" t="s">
        <v>4699</v>
      </c>
      <c r="E545" t="s">
        <v>4555</v>
      </c>
      <c r="F545" t="s">
        <v>3509</v>
      </c>
      <c r="G545">
        <v>2</v>
      </c>
      <c r="H545">
        <v>1</v>
      </c>
      <c r="R545" s="18"/>
      <c r="S545" t="str">
        <f t="shared" si="16"/>
        <v>CFPosr_C_2_1</v>
      </c>
      <c r="T545">
        <v>4</v>
      </c>
      <c r="U545" s="18" t="b">
        <v>1</v>
      </c>
      <c r="W545" t="str">
        <f t="shared" si="15"/>
        <v/>
      </c>
      <c r="X545" t="s">
        <v>4700</v>
      </c>
    </row>
    <row r="546" spans="1:24" x14ac:dyDescent="0.3">
      <c r="A546" t="s">
        <v>3220</v>
      </c>
      <c r="B546" s="20" t="s">
        <v>3301</v>
      </c>
      <c r="C546" t="s">
        <v>4701</v>
      </c>
      <c r="D546" t="s">
        <v>4702</v>
      </c>
      <c r="E546" t="s">
        <v>4555</v>
      </c>
      <c r="F546" t="s">
        <v>3509</v>
      </c>
      <c r="G546">
        <v>2</v>
      </c>
      <c r="H546">
        <v>2</v>
      </c>
      <c r="R546" s="18"/>
      <c r="S546" t="str">
        <f t="shared" si="16"/>
        <v>CFPosr_C_2_2</v>
      </c>
      <c r="T546">
        <v>4</v>
      </c>
      <c r="U546" s="18" t="b">
        <v>1</v>
      </c>
      <c r="W546" t="str">
        <f t="shared" si="15"/>
        <v/>
      </c>
      <c r="X546" t="s">
        <v>4703</v>
      </c>
    </row>
    <row r="547" spans="1:24" x14ac:dyDescent="0.3">
      <c r="A547" t="s">
        <v>3220</v>
      </c>
      <c r="B547" s="20" t="s">
        <v>3301</v>
      </c>
      <c r="C547" t="s">
        <v>4704</v>
      </c>
      <c r="D547" t="s">
        <v>4705</v>
      </c>
      <c r="E547" t="s">
        <v>4555</v>
      </c>
      <c r="F547" t="s">
        <v>3509</v>
      </c>
      <c r="G547">
        <v>2</v>
      </c>
      <c r="H547">
        <v>3</v>
      </c>
      <c r="R547" s="18"/>
      <c r="S547" t="str">
        <f t="shared" si="16"/>
        <v>CFPosr_C_2_3</v>
      </c>
      <c r="T547">
        <v>4</v>
      </c>
      <c r="U547" s="18" t="b">
        <v>1</v>
      </c>
      <c r="W547" t="str">
        <f t="shared" si="15"/>
        <v/>
      </c>
      <c r="X547" t="s">
        <v>4706</v>
      </c>
    </row>
    <row r="548" spans="1:24" x14ac:dyDescent="0.3">
      <c r="A548" t="s">
        <v>3220</v>
      </c>
      <c r="B548" s="20" t="s">
        <v>3301</v>
      </c>
      <c r="C548" t="s">
        <v>4707</v>
      </c>
      <c r="D548" t="s">
        <v>4708</v>
      </c>
      <c r="E548" t="s">
        <v>4555</v>
      </c>
      <c r="F548" t="s">
        <v>3509</v>
      </c>
      <c r="G548">
        <v>2</v>
      </c>
      <c r="H548">
        <v>4</v>
      </c>
      <c r="R548" s="18"/>
      <c r="S548" t="str">
        <f t="shared" si="16"/>
        <v>CFPosr_C_2_4</v>
      </c>
      <c r="T548">
        <v>4</v>
      </c>
      <c r="U548" s="18" t="b">
        <v>1</v>
      </c>
      <c r="W548" t="str">
        <f t="shared" si="15"/>
        <v/>
      </c>
      <c r="X548" t="s">
        <v>4709</v>
      </c>
    </row>
    <row r="549" spans="1:24" x14ac:dyDescent="0.3">
      <c r="A549" t="s">
        <v>3220</v>
      </c>
      <c r="B549" s="20" t="s">
        <v>3301</v>
      </c>
      <c r="C549" t="s">
        <v>4710</v>
      </c>
      <c r="D549" t="s">
        <v>4711</v>
      </c>
      <c r="E549" t="s">
        <v>4555</v>
      </c>
      <c r="F549" t="s">
        <v>3509</v>
      </c>
      <c r="G549">
        <v>2</v>
      </c>
      <c r="H549">
        <v>5</v>
      </c>
      <c r="R549" s="18"/>
      <c r="S549" t="str">
        <f t="shared" si="16"/>
        <v>CFPosr_C_2_5</v>
      </c>
      <c r="T549">
        <v>4</v>
      </c>
      <c r="U549" s="18" t="b">
        <v>1</v>
      </c>
      <c r="W549" t="str">
        <f t="shared" si="15"/>
        <v/>
      </c>
      <c r="X549" t="s">
        <v>4712</v>
      </c>
    </row>
    <row r="550" spans="1:24" x14ac:dyDescent="0.3">
      <c r="A550" t="s">
        <v>3220</v>
      </c>
      <c r="B550" s="20" t="s">
        <v>3301</v>
      </c>
      <c r="C550" t="s">
        <v>4713</v>
      </c>
      <c r="D550" t="s">
        <v>4714</v>
      </c>
      <c r="E550" t="s">
        <v>4555</v>
      </c>
      <c r="F550" t="s">
        <v>3509</v>
      </c>
      <c r="G550">
        <v>2</v>
      </c>
      <c r="H550">
        <v>6</v>
      </c>
      <c r="R550" s="18"/>
      <c r="S550" t="str">
        <f t="shared" si="16"/>
        <v>CFPosr_C_2_6</v>
      </c>
      <c r="T550">
        <v>4</v>
      </c>
      <c r="U550" s="18" t="b">
        <v>1</v>
      </c>
      <c r="W550" t="str">
        <f t="shared" si="15"/>
        <v/>
      </c>
      <c r="X550" t="s">
        <v>4715</v>
      </c>
    </row>
    <row r="551" spans="1:24" x14ac:dyDescent="0.3">
      <c r="A551" t="s">
        <v>3220</v>
      </c>
      <c r="B551" s="20" t="s">
        <v>3301</v>
      </c>
      <c r="C551" t="s">
        <v>4716</v>
      </c>
      <c r="D551" t="s">
        <v>4717</v>
      </c>
      <c r="E551" t="s">
        <v>4555</v>
      </c>
      <c r="F551" t="s">
        <v>3509</v>
      </c>
      <c r="G551">
        <v>2</v>
      </c>
      <c r="H551">
        <v>7</v>
      </c>
      <c r="R551" s="18"/>
      <c r="S551" t="str">
        <f t="shared" si="16"/>
        <v>CFPosr_C_2_7</v>
      </c>
      <c r="T551">
        <v>4</v>
      </c>
      <c r="U551" s="18" t="b">
        <v>1</v>
      </c>
      <c r="W551" t="str">
        <f t="shared" si="15"/>
        <v/>
      </c>
      <c r="X551" t="s">
        <v>4718</v>
      </c>
    </row>
    <row r="552" spans="1:24" x14ac:dyDescent="0.3">
      <c r="A552" t="s">
        <v>3220</v>
      </c>
      <c r="B552" s="20" t="s">
        <v>3301</v>
      </c>
      <c r="C552" t="s">
        <v>4719</v>
      </c>
      <c r="D552" t="s">
        <v>4720</v>
      </c>
      <c r="E552" t="s">
        <v>4555</v>
      </c>
      <c r="F552" t="s">
        <v>3509</v>
      </c>
      <c r="G552">
        <v>2</v>
      </c>
      <c r="H552">
        <v>8</v>
      </c>
      <c r="R552" s="18"/>
      <c r="S552" t="str">
        <f t="shared" si="16"/>
        <v>CFPosr_C_2_8</v>
      </c>
      <c r="T552">
        <v>4</v>
      </c>
      <c r="U552" s="18" t="b">
        <v>1</v>
      </c>
      <c r="W552" t="str">
        <f t="shared" si="15"/>
        <v/>
      </c>
      <c r="X552" t="s">
        <v>4721</v>
      </c>
    </row>
    <row r="553" spans="1:24" x14ac:dyDescent="0.3">
      <c r="A553" t="s">
        <v>3220</v>
      </c>
      <c r="B553" s="20" t="s">
        <v>3301</v>
      </c>
      <c r="C553" t="s">
        <v>4722</v>
      </c>
      <c r="D553" t="s">
        <v>4723</v>
      </c>
      <c r="E553" t="s">
        <v>4555</v>
      </c>
      <c r="F553" t="s">
        <v>3509</v>
      </c>
      <c r="G553">
        <v>2</v>
      </c>
      <c r="H553">
        <v>9</v>
      </c>
      <c r="R553" s="18"/>
      <c r="S553" t="str">
        <f t="shared" si="16"/>
        <v>CFPosr_C_2_9</v>
      </c>
      <c r="T553">
        <v>4</v>
      </c>
      <c r="U553" s="18" t="b">
        <v>1</v>
      </c>
      <c r="W553" t="str">
        <f t="shared" si="15"/>
        <v/>
      </c>
      <c r="X553" t="s">
        <v>4724</v>
      </c>
    </row>
    <row r="554" spans="1:24" x14ac:dyDescent="0.3">
      <c r="A554" t="s">
        <v>3241</v>
      </c>
      <c r="B554" s="20" t="s">
        <v>3491</v>
      </c>
      <c r="C554" t="s">
        <v>4695</v>
      </c>
      <c r="D554" t="s">
        <v>4725</v>
      </c>
      <c r="E554" t="s">
        <v>4555</v>
      </c>
      <c r="F554" t="s">
        <v>3509</v>
      </c>
      <c r="G554">
        <v>2</v>
      </c>
      <c r="R554" s="18"/>
      <c r="S554" t="str">
        <f t="shared" si="16"/>
        <v>CFPosr_C_2</v>
      </c>
      <c r="T554">
        <v>3</v>
      </c>
      <c r="U554" s="18" t="b">
        <v>0</v>
      </c>
      <c r="W554" t="str">
        <f t="shared" si="15"/>
        <v/>
      </c>
      <c r="X554" t="s">
        <v>4726</v>
      </c>
    </row>
    <row r="555" spans="1:24" x14ac:dyDescent="0.3">
      <c r="A555" t="s">
        <v>3220</v>
      </c>
      <c r="B555" s="20" t="s">
        <v>3301</v>
      </c>
      <c r="C555" t="s">
        <v>4727</v>
      </c>
      <c r="D555" t="s">
        <v>4728</v>
      </c>
      <c r="E555" t="s">
        <v>4555</v>
      </c>
      <c r="F555" t="s">
        <v>3509</v>
      </c>
      <c r="G555">
        <v>3</v>
      </c>
      <c r="R555" s="18"/>
      <c r="S555" t="str">
        <f t="shared" si="16"/>
        <v>CFPosr_C_3</v>
      </c>
      <c r="T555">
        <v>3</v>
      </c>
      <c r="U555" s="18" t="b">
        <v>1</v>
      </c>
      <c r="W555" t="str">
        <f t="shared" ref="W555:W563" si="17">IF(Przeplyw=1,"","nie")</f>
        <v/>
      </c>
      <c r="X555" t="s">
        <v>4729</v>
      </c>
    </row>
    <row r="556" spans="1:24" x14ac:dyDescent="0.3">
      <c r="A556" t="s">
        <v>3241</v>
      </c>
      <c r="B556" s="20" t="s">
        <v>3491</v>
      </c>
      <c r="C556" t="s">
        <v>3509</v>
      </c>
      <c r="D556" t="s">
        <v>4730</v>
      </c>
      <c r="E556" t="s">
        <v>4555</v>
      </c>
      <c r="F556" t="s">
        <v>3509</v>
      </c>
      <c r="R556" s="18"/>
      <c r="S556" t="str">
        <f t="shared" si="16"/>
        <v>CFPosr_C</v>
      </c>
      <c r="T556">
        <v>2</v>
      </c>
      <c r="U556" s="18" t="b">
        <v>0</v>
      </c>
      <c r="W556" t="str">
        <f t="shared" si="17"/>
        <v/>
      </c>
      <c r="X556" t="s">
        <v>4731</v>
      </c>
    </row>
    <row r="557" spans="1:24" x14ac:dyDescent="0.3">
      <c r="A557" t="s">
        <v>3220</v>
      </c>
      <c r="B557" s="20" t="s">
        <v>3301</v>
      </c>
      <c r="C557" t="s">
        <v>3513</v>
      </c>
      <c r="D557" t="s">
        <v>4732</v>
      </c>
      <c r="E557" t="s">
        <v>4555</v>
      </c>
      <c r="F557" t="s">
        <v>3513</v>
      </c>
      <c r="R557" s="18"/>
      <c r="S557" t="str">
        <f t="shared" si="16"/>
        <v>CFPosr_D</v>
      </c>
      <c r="T557">
        <v>2</v>
      </c>
      <c r="U557" s="18" t="b">
        <v>1</v>
      </c>
      <c r="W557" t="str">
        <f t="shared" si="17"/>
        <v/>
      </c>
      <c r="X557" t="s">
        <v>4733</v>
      </c>
    </row>
    <row r="558" spans="1:24" x14ac:dyDescent="0.3">
      <c r="A558" t="s">
        <v>3220</v>
      </c>
      <c r="B558" s="20" t="s">
        <v>3301</v>
      </c>
      <c r="C558" t="s">
        <v>3517</v>
      </c>
      <c r="D558" t="s">
        <v>4734</v>
      </c>
      <c r="E558" t="s">
        <v>4555</v>
      </c>
      <c r="F558" t="s">
        <v>3517</v>
      </c>
      <c r="R558" s="18"/>
      <c r="S558" t="str">
        <f t="shared" si="16"/>
        <v>CFPosr_E</v>
      </c>
      <c r="T558">
        <v>2</v>
      </c>
      <c r="U558" s="18" t="b">
        <v>0</v>
      </c>
      <c r="W558" t="str">
        <f t="shared" si="17"/>
        <v/>
      </c>
      <c r="X558" t="s">
        <v>4735</v>
      </c>
    </row>
    <row r="559" spans="1:24" x14ac:dyDescent="0.3">
      <c r="A559" t="s">
        <v>3220</v>
      </c>
      <c r="B559" s="20" t="s">
        <v>3301</v>
      </c>
      <c r="C559" t="s">
        <v>4736</v>
      </c>
      <c r="D559" t="s">
        <v>4737</v>
      </c>
      <c r="E559" t="s">
        <v>4555</v>
      </c>
      <c r="F559" t="s">
        <v>3517</v>
      </c>
      <c r="G559">
        <v>1</v>
      </c>
      <c r="R559" s="18"/>
      <c r="S559" t="str">
        <f t="shared" si="16"/>
        <v>CFPosr_E_1</v>
      </c>
      <c r="T559">
        <v>3</v>
      </c>
      <c r="U559" s="18" t="b">
        <v>1</v>
      </c>
      <c r="W559" t="str">
        <f t="shared" si="17"/>
        <v/>
      </c>
      <c r="X559" t="s">
        <v>4738</v>
      </c>
    </row>
    <row r="560" spans="1:24" x14ac:dyDescent="0.3">
      <c r="A560" t="s">
        <v>3241</v>
      </c>
      <c r="B560" s="20" t="s">
        <v>3491</v>
      </c>
      <c r="C560" t="s">
        <v>3517</v>
      </c>
      <c r="D560" t="s">
        <v>4739</v>
      </c>
      <c r="E560" t="s">
        <v>4555</v>
      </c>
      <c r="F560" t="s">
        <v>3517</v>
      </c>
      <c r="R560" s="18"/>
      <c r="S560" t="str">
        <f t="shared" si="16"/>
        <v>CFPosr_E</v>
      </c>
      <c r="T560">
        <v>2</v>
      </c>
      <c r="U560" s="18" t="b">
        <v>0</v>
      </c>
      <c r="W560" t="str">
        <f t="shared" si="17"/>
        <v/>
      </c>
      <c r="X560" t="s">
        <v>4740</v>
      </c>
    </row>
    <row r="561" spans="1:24" x14ac:dyDescent="0.3">
      <c r="A561" t="s">
        <v>3220</v>
      </c>
      <c r="B561" s="20" t="s">
        <v>3301</v>
      </c>
      <c r="C561" t="s">
        <v>3965</v>
      </c>
      <c r="D561" t="s">
        <v>4741</v>
      </c>
      <c r="E561" t="s">
        <v>4555</v>
      </c>
      <c r="F561" t="s">
        <v>3965</v>
      </c>
      <c r="R561" s="18"/>
      <c r="S561" t="str">
        <f t="shared" si="16"/>
        <v>CFPosr_F</v>
      </c>
      <c r="T561">
        <v>2</v>
      </c>
      <c r="U561" s="18" t="b">
        <v>1</v>
      </c>
      <c r="W561" t="str">
        <f>IF(Przeplyw=1,"tak","nie")</f>
        <v>tak</v>
      </c>
      <c r="X561" t="s">
        <v>4742</v>
      </c>
    </row>
    <row r="562" spans="1:24" x14ac:dyDescent="0.3">
      <c r="A562" t="s">
        <v>3220</v>
      </c>
      <c r="B562" s="20" t="s">
        <v>3301</v>
      </c>
      <c r="C562" t="s">
        <v>3969</v>
      </c>
      <c r="D562" t="s">
        <v>4743</v>
      </c>
      <c r="E562" t="s">
        <v>4555</v>
      </c>
      <c r="F562" t="s">
        <v>3969</v>
      </c>
      <c r="R562" s="18"/>
      <c r="S562" t="str">
        <f t="shared" si="16"/>
        <v>CFPosr_G</v>
      </c>
      <c r="T562">
        <v>2</v>
      </c>
      <c r="U562" s="18" t="b">
        <v>0</v>
      </c>
      <c r="W562" t="str">
        <f>IF(Przeplyw=1,"tak","nie")</f>
        <v>tak</v>
      </c>
      <c r="X562" t="s">
        <v>4744</v>
      </c>
    </row>
    <row r="563" spans="1:24" x14ac:dyDescent="0.3">
      <c r="A563" t="s">
        <v>3220</v>
      </c>
      <c r="B563" s="20" t="s">
        <v>3301</v>
      </c>
      <c r="C563" t="s">
        <v>4745</v>
      </c>
      <c r="D563" t="s">
        <v>4746</v>
      </c>
      <c r="E563" t="s">
        <v>4555</v>
      </c>
      <c r="F563" t="s">
        <v>3969</v>
      </c>
      <c r="G563">
        <v>1</v>
      </c>
      <c r="R563" s="18"/>
      <c r="S563" t="str">
        <f t="shared" si="16"/>
        <v>CFPosr_G_1</v>
      </c>
      <c r="T563">
        <v>3</v>
      </c>
      <c r="U563" s="18" t="b">
        <v>1</v>
      </c>
      <c r="W563" t="str">
        <f t="shared" si="17"/>
        <v/>
      </c>
      <c r="X563" t="s">
        <v>4747</v>
      </c>
    </row>
    <row r="564" spans="1:24" x14ac:dyDescent="0.3">
      <c r="A564" t="s">
        <v>3241</v>
      </c>
      <c r="B564" s="20" t="s">
        <v>3491</v>
      </c>
      <c r="C564" t="s">
        <v>3969</v>
      </c>
      <c r="D564" t="s">
        <v>4748</v>
      </c>
      <c r="E564" t="s">
        <v>4555</v>
      </c>
      <c r="F564" t="s">
        <v>3969</v>
      </c>
      <c r="R564" s="18"/>
      <c r="S564" t="str">
        <f t="shared" si="16"/>
        <v>CFPosr_G</v>
      </c>
      <c r="T564">
        <v>2</v>
      </c>
      <c r="U564" s="18" t="b">
        <v>0</v>
      </c>
      <c r="W564" t="str">
        <f>IF(Przeplyw=1,"tak","nie")</f>
        <v>tak</v>
      </c>
      <c r="X564" t="s">
        <v>4749</v>
      </c>
    </row>
    <row r="565" spans="1:24" x14ac:dyDescent="0.3">
      <c r="A565" t="s">
        <v>3241</v>
      </c>
      <c r="B565" s="20" t="s">
        <v>3491</v>
      </c>
      <c r="C565" t="s">
        <v>4551</v>
      </c>
      <c r="D565" t="s">
        <v>4552</v>
      </c>
      <c r="E565" t="s">
        <v>4552</v>
      </c>
      <c r="F565" s="26"/>
      <c r="R565" s="18"/>
      <c r="T565">
        <v>1</v>
      </c>
      <c r="U565" s="18" t="b">
        <v>0</v>
      </c>
      <c r="W565" t="str">
        <f>IF(Przeplyw=1,"tak","nie")</f>
        <v>tak</v>
      </c>
      <c r="X565" t="s">
        <v>4553</v>
      </c>
    </row>
    <row r="566" spans="1:24" x14ac:dyDescent="0.3">
      <c r="A566" t="s">
        <v>3241</v>
      </c>
      <c r="B566" s="20" t="s">
        <v>3344</v>
      </c>
      <c r="C566" t="s">
        <v>4547</v>
      </c>
      <c r="D566" t="s">
        <v>4548</v>
      </c>
      <c r="E566" t="s">
        <v>4549</v>
      </c>
      <c r="F566" s="26"/>
      <c r="R566" s="18"/>
      <c r="T566">
        <v>1</v>
      </c>
      <c r="U566" s="18" t="b">
        <v>0</v>
      </c>
      <c r="W566" t="str">
        <f>IF(Przeplyw=1,"tak","nie")</f>
        <v>tak</v>
      </c>
      <c r="X566" t="s">
        <v>4550</v>
      </c>
    </row>
    <row r="567" spans="1:24" x14ac:dyDescent="0.3">
      <c r="A567" t="s">
        <v>3241</v>
      </c>
      <c r="B567" s="20" t="s">
        <v>3330</v>
      </c>
      <c r="C567" t="s">
        <v>4750</v>
      </c>
      <c r="D567" t="s">
        <v>4751</v>
      </c>
      <c r="E567" t="s">
        <v>4751</v>
      </c>
      <c r="R567" s="18"/>
      <c r="S567" t="str">
        <f t="shared" ref="S567:S581" si="18">IF(ISERROR(FIND("_koniec",D567)),D567,LEFT(D567,FIND("_koniec",D567)-1))</f>
        <v>DodatkoweInformacjeIObjasnieniaJednstkaInna</v>
      </c>
      <c r="T567">
        <v>1</v>
      </c>
      <c r="U567" s="18" t="b">
        <v>0</v>
      </c>
      <c r="W567" t="s">
        <v>3224</v>
      </c>
      <c r="X567" t="s">
        <v>4752</v>
      </c>
    </row>
    <row r="568" spans="1:24" x14ac:dyDescent="0.3">
      <c r="A568" t="s">
        <v>3241</v>
      </c>
      <c r="B568" s="20" t="s">
        <v>3330</v>
      </c>
      <c r="C568" t="s">
        <v>4753</v>
      </c>
      <c r="D568" t="s">
        <v>4753</v>
      </c>
      <c r="E568" t="s">
        <v>4753</v>
      </c>
      <c r="R568" s="18"/>
      <c r="S568" t="str">
        <f t="shared" si="18"/>
        <v>DodatkoweInformacjeIObjasnienia</v>
      </c>
      <c r="T568">
        <v>1</v>
      </c>
      <c r="U568" s="18" t="b">
        <v>0</v>
      </c>
      <c r="W568" t="str">
        <f t="shared" ref="W568:W574" si="19">IF(NazwaPDF1="","nie","tak")</f>
        <v>nie</v>
      </c>
      <c r="X568" t="s">
        <v>4754</v>
      </c>
    </row>
    <row r="569" spans="1:24" x14ac:dyDescent="0.3">
      <c r="A569" t="s">
        <v>3248</v>
      </c>
      <c r="B569" s="20" t="s">
        <v>3289</v>
      </c>
      <c r="C569" t="s">
        <v>1</v>
      </c>
      <c r="D569" t="s">
        <v>4755</v>
      </c>
      <c r="E569" t="s">
        <v>1</v>
      </c>
      <c r="R569" s="18"/>
      <c r="S569" t="str">
        <f t="shared" si="18"/>
        <v>Opis1</v>
      </c>
      <c r="T569">
        <v>1</v>
      </c>
      <c r="U569" s="18" t="b">
        <v>1</v>
      </c>
      <c r="W569" t="str">
        <f t="shared" si="19"/>
        <v>nie</v>
      </c>
      <c r="X569" t="s">
        <v>4756</v>
      </c>
    </row>
    <row r="570" spans="1:24" x14ac:dyDescent="0.3">
      <c r="A570" t="s">
        <v>3241</v>
      </c>
      <c r="B570" s="20" t="s">
        <v>3289</v>
      </c>
      <c r="C570" t="s">
        <v>1961</v>
      </c>
      <c r="D570" t="s">
        <v>1961</v>
      </c>
      <c r="E570" t="s">
        <v>1961</v>
      </c>
      <c r="R570" s="18"/>
      <c r="S570" t="str">
        <f t="shared" si="18"/>
        <v>Plik</v>
      </c>
      <c r="T570">
        <v>1</v>
      </c>
      <c r="U570" s="18" t="b">
        <v>0</v>
      </c>
      <c r="W570" t="str">
        <f t="shared" si="19"/>
        <v>nie</v>
      </c>
      <c r="X570" t="s">
        <v>4757</v>
      </c>
    </row>
    <row r="571" spans="1:24" x14ac:dyDescent="0.3">
      <c r="A571" t="s">
        <v>3248</v>
      </c>
      <c r="B571" s="20" t="s">
        <v>3289</v>
      </c>
      <c r="C571" t="s">
        <v>1966</v>
      </c>
      <c r="D571" t="s">
        <v>4758</v>
      </c>
      <c r="E571" t="s">
        <v>1966</v>
      </c>
      <c r="R571" s="18"/>
      <c r="S571" t="str">
        <f t="shared" si="18"/>
        <v>NazwaPDF1</v>
      </c>
      <c r="T571">
        <v>1</v>
      </c>
      <c r="U571" s="18" t="b">
        <v>1</v>
      </c>
      <c r="W571" t="str">
        <f t="shared" si="19"/>
        <v>nie</v>
      </c>
      <c r="X571" t="s">
        <v>4759</v>
      </c>
    </row>
    <row r="572" spans="1:24" x14ac:dyDescent="0.3">
      <c r="A572" t="s">
        <v>4760</v>
      </c>
      <c r="B572" s="20" t="s">
        <v>3289</v>
      </c>
      <c r="C572" t="s">
        <v>4761</v>
      </c>
      <c r="D572" t="s">
        <v>4761</v>
      </c>
      <c r="E572" t="s">
        <v>4761</v>
      </c>
      <c r="R572" s="18"/>
      <c r="S572" t="str">
        <f t="shared" si="18"/>
        <v>Zawartosc</v>
      </c>
      <c r="T572">
        <v>1</v>
      </c>
      <c r="U572" s="18" t="b">
        <v>1</v>
      </c>
      <c r="W572" t="str">
        <f t="shared" si="19"/>
        <v>nie</v>
      </c>
      <c r="X572" t="s">
        <v>4762</v>
      </c>
    </row>
    <row r="573" spans="1:24" x14ac:dyDescent="0.3">
      <c r="A573" t="s">
        <v>3241</v>
      </c>
      <c r="B573" s="20" t="s">
        <v>3363</v>
      </c>
      <c r="C573" t="s">
        <v>1961</v>
      </c>
      <c r="D573" t="s">
        <v>1961</v>
      </c>
      <c r="E573" t="s">
        <v>1961</v>
      </c>
      <c r="R573" s="18"/>
      <c r="S573" t="str">
        <f t="shared" si="18"/>
        <v>Plik</v>
      </c>
      <c r="T573">
        <v>1</v>
      </c>
      <c r="U573" s="18" t="b">
        <v>0</v>
      </c>
      <c r="W573" t="str">
        <f t="shared" si="19"/>
        <v>nie</v>
      </c>
      <c r="X573" t="s">
        <v>4757</v>
      </c>
    </row>
    <row r="574" spans="1:24" x14ac:dyDescent="0.3">
      <c r="A574" t="s">
        <v>3241</v>
      </c>
      <c r="B574" s="20" t="s">
        <v>3344</v>
      </c>
      <c r="C574" t="s">
        <v>4753</v>
      </c>
      <c r="D574" t="s">
        <v>4753</v>
      </c>
      <c r="E574" t="s">
        <v>4753</v>
      </c>
      <c r="R574" s="18"/>
      <c r="S574" t="str">
        <f t="shared" si="18"/>
        <v>DodatkoweInformacjeIObjasnienia</v>
      </c>
      <c r="T574">
        <v>1</v>
      </c>
      <c r="U574" s="18" t="b">
        <v>0</v>
      </c>
      <c r="W574" t="str">
        <f t="shared" si="19"/>
        <v>nie</v>
      </c>
      <c r="X574" t="s">
        <v>4754</v>
      </c>
    </row>
    <row r="575" spans="1:24" x14ac:dyDescent="0.3">
      <c r="A575" t="s">
        <v>3241</v>
      </c>
      <c r="B575" s="20" t="s">
        <v>3330</v>
      </c>
      <c r="C575" t="s">
        <v>4753</v>
      </c>
      <c r="D575" t="s">
        <v>4753</v>
      </c>
      <c r="E575" t="s">
        <v>4753</v>
      </c>
      <c r="R575" s="18"/>
      <c r="S575" t="str">
        <f t="shared" si="18"/>
        <v>DodatkoweInformacjeIObjasnienia</v>
      </c>
      <c r="T575">
        <v>1</v>
      </c>
      <c r="U575" s="18" t="b">
        <v>0</v>
      </c>
      <c r="W575" t="str">
        <f t="shared" ref="W575:W581" si="20">IF(NazwaPDF2="","nie","tak")</f>
        <v>nie</v>
      </c>
      <c r="X575" t="s">
        <v>4754</v>
      </c>
    </row>
    <row r="576" spans="1:24" x14ac:dyDescent="0.3">
      <c r="A576" t="s">
        <v>3248</v>
      </c>
      <c r="B576" s="20" t="s">
        <v>3289</v>
      </c>
      <c r="C576" t="s">
        <v>1</v>
      </c>
      <c r="D576" t="s">
        <v>4763</v>
      </c>
      <c r="E576" t="s">
        <v>1</v>
      </c>
      <c r="R576" s="18"/>
      <c r="S576" t="str">
        <f t="shared" si="18"/>
        <v>Opis2</v>
      </c>
      <c r="T576">
        <v>1</v>
      </c>
      <c r="U576" s="18" t="b">
        <v>1</v>
      </c>
      <c r="W576" t="str">
        <f t="shared" si="20"/>
        <v>nie</v>
      </c>
      <c r="X576" t="s">
        <v>4764</v>
      </c>
    </row>
    <row r="577" spans="1:24" x14ac:dyDescent="0.3">
      <c r="A577" t="s">
        <v>3241</v>
      </c>
      <c r="B577" s="20" t="s">
        <v>3289</v>
      </c>
      <c r="C577" t="s">
        <v>1961</v>
      </c>
      <c r="D577" t="s">
        <v>1961</v>
      </c>
      <c r="E577" t="s">
        <v>1961</v>
      </c>
      <c r="R577" s="18"/>
      <c r="S577" t="str">
        <f t="shared" si="18"/>
        <v>Plik</v>
      </c>
      <c r="T577">
        <v>1</v>
      </c>
      <c r="U577" s="18" t="b">
        <v>0</v>
      </c>
      <c r="W577" t="str">
        <f t="shared" si="20"/>
        <v>nie</v>
      </c>
      <c r="X577" t="s">
        <v>4757</v>
      </c>
    </row>
    <row r="578" spans="1:24" x14ac:dyDescent="0.3">
      <c r="A578" t="s">
        <v>3248</v>
      </c>
      <c r="B578" s="20" t="s">
        <v>3289</v>
      </c>
      <c r="C578" t="s">
        <v>1966</v>
      </c>
      <c r="D578" t="s">
        <v>4765</v>
      </c>
      <c r="E578" t="s">
        <v>1966</v>
      </c>
      <c r="R578" s="18"/>
      <c r="S578" t="str">
        <f t="shared" si="18"/>
        <v>NazwaPDF2</v>
      </c>
      <c r="T578">
        <v>1</v>
      </c>
      <c r="U578" s="18" t="b">
        <v>1</v>
      </c>
      <c r="W578" t="str">
        <f t="shared" si="20"/>
        <v>nie</v>
      </c>
      <c r="X578" t="s">
        <v>4766</v>
      </c>
    </row>
    <row r="579" spans="1:24" x14ac:dyDescent="0.3">
      <c r="A579" t="s">
        <v>4760</v>
      </c>
      <c r="B579" s="20" t="s">
        <v>3289</v>
      </c>
      <c r="C579" t="s">
        <v>4761</v>
      </c>
      <c r="D579" t="s">
        <v>4761</v>
      </c>
      <c r="E579" t="s">
        <v>4761</v>
      </c>
      <c r="R579" s="18"/>
      <c r="S579" t="str">
        <f t="shared" si="18"/>
        <v>Zawartosc</v>
      </c>
      <c r="T579">
        <v>1</v>
      </c>
      <c r="U579" s="18" t="b">
        <v>1</v>
      </c>
      <c r="W579" t="str">
        <f t="shared" si="20"/>
        <v>nie</v>
      </c>
      <c r="X579" t="s">
        <v>4762</v>
      </c>
    </row>
    <row r="580" spans="1:24" x14ac:dyDescent="0.3">
      <c r="A580" t="s">
        <v>3241</v>
      </c>
      <c r="B580" s="20" t="s">
        <v>3363</v>
      </c>
      <c r="C580" t="s">
        <v>1961</v>
      </c>
      <c r="D580" t="s">
        <v>1961</v>
      </c>
      <c r="E580" t="s">
        <v>1961</v>
      </c>
      <c r="R580" s="18"/>
      <c r="S580" t="str">
        <f t="shared" si="18"/>
        <v>Plik</v>
      </c>
      <c r="T580">
        <v>1</v>
      </c>
      <c r="U580" s="18" t="b">
        <v>0</v>
      </c>
      <c r="W580" t="str">
        <f t="shared" si="20"/>
        <v>nie</v>
      </c>
      <c r="X580" t="s">
        <v>4757</v>
      </c>
    </row>
    <row r="581" spans="1:24" x14ac:dyDescent="0.3">
      <c r="A581" t="s">
        <v>3241</v>
      </c>
      <c r="B581" s="20" t="s">
        <v>3344</v>
      </c>
      <c r="C581" t="s">
        <v>4753</v>
      </c>
      <c r="D581" t="s">
        <v>4753</v>
      </c>
      <c r="E581" t="s">
        <v>4753</v>
      </c>
      <c r="R581" s="18"/>
      <c r="S581" t="str">
        <f t="shared" si="18"/>
        <v>DodatkoweInformacjeIObjasnienia</v>
      </c>
      <c r="T581">
        <v>1</v>
      </c>
      <c r="U581" s="18" t="b">
        <v>0</v>
      </c>
      <c r="W581" t="str">
        <f t="shared" si="20"/>
        <v>nie</v>
      </c>
      <c r="X581" t="s">
        <v>4754</v>
      </c>
    </row>
    <row r="582" spans="1:24" x14ac:dyDescent="0.3">
      <c r="A582" t="s">
        <v>3241</v>
      </c>
      <c r="B582" s="20" t="s">
        <v>3330</v>
      </c>
      <c r="C582" t="s">
        <v>4753</v>
      </c>
      <c r="D582" t="s">
        <v>4753</v>
      </c>
      <c r="E582" t="s">
        <v>4753</v>
      </c>
      <c r="R582" s="18"/>
      <c r="S582" t="str">
        <f t="shared" ref="S582:S588" si="21">IF(ISERROR(FIND("_koniec",D582)),D582,LEFT(D582,FIND("_koniec",D582)-1))</f>
        <v>DodatkoweInformacjeIObjasnienia</v>
      </c>
      <c r="T582">
        <v>1</v>
      </c>
      <c r="U582" s="18" t="b">
        <v>0</v>
      </c>
      <c r="W582" t="str">
        <f t="shared" ref="W582:W588" si="22">IF(NazwaPDF3="","nie","tak")</f>
        <v>nie</v>
      </c>
      <c r="X582" t="s">
        <v>4754</v>
      </c>
    </row>
    <row r="583" spans="1:24" x14ac:dyDescent="0.3">
      <c r="A583" t="s">
        <v>3248</v>
      </c>
      <c r="B583" s="20" t="s">
        <v>3289</v>
      </c>
      <c r="C583" t="s">
        <v>1</v>
      </c>
      <c r="D583" t="s">
        <v>4767</v>
      </c>
      <c r="E583" t="s">
        <v>1</v>
      </c>
      <c r="R583" s="18"/>
      <c r="S583" t="str">
        <f t="shared" si="21"/>
        <v>Opis3</v>
      </c>
      <c r="T583">
        <v>1</v>
      </c>
      <c r="U583" s="18" t="b">
        <v>1</v>
      </c>
      <c r="W583" t="str">
        <f t="shared" si="22"/>
        <v>nie</v>
      </c>
      <c r="X583" t="s">
        <v>4768</v>
      </c>
    </row>
    <row r="584" spans="1:24" x14ac:dyDescent="0.3">
      <c r="A584" t="s">
        <v>3241</v>
      </c>
      <c r="B584" s="20" t="s">
        <v>3289</v>
      </c>
      <c r="C584" t="s">
        <v>1961</v>
      </c>
      <c r="D584" t="s">
        <v>1961</v>
      </c>
      <c r="E584" t="s">
        <v>1961</v>
      </c>
      <c r="R584" s="18"/>
      <c r="S584" t="str">
        <f t="shared" si="21"/>
        <v>Plik</v>
      </c>
      <c r="T584">
        <v>1</v>
      </c>
      <c r="U584" s="18" t="b">
        <v>0</v>
      </c>
      <c r="W584" t="str">
        <f t="shared" si="22"/>
        <v>nie</v>
      </c>
      <c r="X584" t="s">
        <v>4757</v>
      </c>
    </row>
    <row r="585" spans="1:24" x14ac:dyDescent="0.3">
      <c r="A585" t="s">
        <v>3248</v>
      </c>
      <c r="B585" s="20" t="s">
        <v>3289</v>
      </c>
      <c r="C585" t="s">
        <v>1966</v>
      </c>
      <c r="D585" t="s">
        <v>4769</v>
      </c>
      <c r="E585" t="s">
        <v>1966</v>
      </c>
      <c r="R585" s="18"/>
      <c r="S585" t="str">
        <f t="shared" si="21"/>
        <v>NazwaPDF3</v>
      </c>
      <c r="T585">
        <v>1</v>
      </c>
      <c r="U585" s="18" t="b">
        <v>1</v>
      </c>
      <c r="W585" t="str">
        <f t="shared" si="22"/>
        <v>nie</v>
      </c>
      <c r="X585" t="s">
        <v>4770</v>
      </c>
    </row>
    <row r="586" spans="1:24" x14ac:dyDescent="0.3">
      <c r="A586" t="s">
        <v>4760</v>
      </c>
      <c r="B586" s="20" t="s">
        <v>3289</v>
      </c>
      <c r="C586" t="s">
        <v>4761</v>
      </c>
      <c r="D586" t="s">
        <v>4761</v>
      </c>
      <c r="E586" t="s">
        <v>4761</v>
      </c>
      <c r="R586" s="18"/>
      <c r="S586" t="str">
        <f t="shared" si="21"/>
        <v>Zawartosc</v>
      </c>
      <c r="T586">
        <v>1</v>
      </c>
      <c r="U586" s="18" t="b">
        <v>1</v>
      </c>
      <c r="W586" t="str">
        <f t="shared" si="22"/>
        <v>nie</v>
      </c>
      <c r="X586" t="s">
        <v>4762</v>
      </c>
    </row>
    <row r="587" spans="1:24" x14ac:dyDescent="0.3">
      <c r="A587" t="s">
        <v>3241</v>
      </c>
      <c r="B587" s="20" t="s">
        <v>3363</v>
      </c>
      <c r="C587" t="s">
        <v>1961</v>
      </c>
      <c r="D587" t="s">
        <v>1961</v>
      </c>
      <c r="E587" t="s">
        <v>1961</v>
      </c>
      <c r="R587" s="18"/>
      <c r="S587" t="str">
        <f t="shared" si="21"/>
        <v>Plik</v>
      </c>
      <c r="T587">
        <v>1</v>
      </c>
      <c r="U587" s="18" t="b">
        <v>0</v>
      </c>
      <c r="W587" t="str">
        <f t="shared" si="22"/>
        <v>nie</v>
      </c>
      <c r="X587" t="s">
        <v>4757</v>
      </c>
    </row>
    <row r="588" spans="1:24" x14ac:dyDescent="0.3">
      <c r="A588" t="s">
        <v>3241</v>
      </c>
      <c r="B588" s="20" t="s">
        <v>3344</v>
      </c>
      <c r="C588" t="s">
        <v>4753</v>
      </c>
      <c r="D588" t="s">
        <v>4753</v>
      </c>
      <c r="E588" t="s">
        <v>4753</v>
      </c>
      <c r="R588" s="18"/>
      <c r="S588" t="str">
        <f t="shared" si="21"/>
        <v>DodatkoweInformacjeIObjasnienia</v>
      </c>
      <c r="T588">
        <v>1</v>
      </c>
      <c r="U588" s="18" t="b">
        <v>0</v>
      </c>
      <c r="W588" t="str">
        <f t="shared" si="22"/>
        <v>nie</v>
      </c>
      <c r="X588" t="s">
        <v>4754</v>
      </c>
    </row>
    <row r="589" spans="1:24" x14ac:dyDescent="0.3">
      <c r="A589" t="s">
        <v>3241</v>
      </c>
      <c r="B589" s="20" t="s">
        <v>3330</v>
      </c>
      <c r="C589" t="s">
        <v>4753</v>
      </c>
      <c r="D589" t="s">
        <v>4753</v>
      </c>
      <c r="E589" t="s">
        <v>4753</v>
      </c>
      <c r="R589" s="18"/>
      <c r="S589" t="str">
        <f t="shared" ref="S589:S595" si="23">IF(ISERROR(FIND("_koniec",D589)),D589,LEFT(D589,FIND("_koniec",D589)-1))</f>
        <v>DodatkoweInformacjeIObjasnienia</v>
      </c>
      <c r="T589">
        <v>1</v>
      </c>
      <c r="U589" s="18" t="b">
        <v>0</v>
      </c>
      <c r="W589" t="str">
        <f t="shared" ref="W589:W595" si="24">IF(NazwaPDF4="","nie","tak")</f>
        <v>nie</v>
      </c>
      <c r="X589" t="s">
        <v>4754</v>
      </c>
    </row>
    <row r="590" spans="1:24" x14ac:dyDescent="0.3">
      <c r="A590" t="s">
        <v>3248</v>
      </c>
      <c r="B590" s="20" t="s">
        <v>3289</v>
      </c>
      <c r="C590" t="s">
        <v>1</v>
      </c>
      <c r="D590" t="s">
        <v>4771</v>
      </c>
      <c r="E590" t="s">
        <v>1</v>
      </c>
      <c r="R590" s="18"/>
      <c r="S590" t="str">
        <f t="shared" si="23"/>
        <v>Opis4</v>
      </c>
      <c r="T590">
        <v>1</v>
      </c>
      <c r="U590" s="18" t="b">
        <v>1</v>
      </c>
      <c r="W590" t="str">
        <f t="shared" si="24"/>
        <v>nie</v>
      </c>
      <c r="X590" t="s">
        <v>4772</v>
      </c>
    </row>
    <row r="591" spans="1:24" x14ac:dyDescent="0.3">
      <c r="A591" t="s">
        <v>3241</v>
      </c>
      <c r="B591" s="20" t="s">
        <v>3289</v>
      </c>
      <c r="C591" t="s">
        <v>1961</v>
      </c>
      <c r="D591" t="s">
        <v>1961</v>
      </c>
      <c r="E591" t="s">
        <v>1961</v>
      </c>
      <c r="R591" s="18"/>
      <c r="S591" t="str">
        <f t="shared" si="23"/>
        <v>Plik</v>
      </c>
      <c r="T591">
        <v>1</v>
      </c>
      <c r="U591" s="18" t="b">
        <v>0</v>
      </c>
      <c r="W591" t="str">
        <f t="shared" si="24"/>
        <v>nie</v>
      </c>
      <c r="X591" t="s">
        <v>4757</v>
      </c>
    </row>
    <row r="592" spans="1:24" x14ac:dyDescent="0.3">
      <c r="A592" t="s">
        <v>3248</v>
      </c>
      <c r="B592" s="20" t="s">
        <v>3289</v>
      </c>
      <c r="C592" t="s">
        <v>1966</v>
      </c>
      <c r="D592" t="s">
        <v>4773</v>
      </c>
      <c r="E592" t="s">
        <v>1966</v>
      </c>
      <c r="R592" s="18"/>
      <c r="S592" t="str">
        <f t="shared" si="23"/>
        <v>NazwaPDF4</v>
      </c>
      <c r="T592">
        <v>1</v>
      </c>
      <c r="U592" s="18" t="b">
        <v>1</v>
      </c>
      <c r="W592" t="str">
        <f t="shared" si="24"/>
        <v>nie</v>
      </c>
      <c r="X592" t="s">
        <v>4774</v>
      </c>
    </row>
    <row r="593" spans="1:24" x14ac:dyDescent="0.3">
      <c r="A593" t="s">
        <v>4760</v>
      </c>
      <c r="B593" s="20" t="s">
        <v>3289</v>
      </c>
      <c r="C593" t="s">
        <v>4761</v>
      </c>
      <c r="D593" t="s">
        <v>4761</v>
      </c>
      <c r="E593" t="s">
        <v>4761</v>
      </c>
      <c r="R593" s="18"/>
      <c r="S593" t="str">
        <f t="shared" si="23"/>
        <v>Zawartosc</v>
      </c>
      <c r="T593">
        <v>1</v>
      </c>
      <c r="U593" s="18" t="b">
        <v>1</v>
      </c>
      <c r="W593" t="str">
        <f t="shared" si="24"/>
        <v>nie</v>
      </c>
      <c r="X593" t="s">
        <v>4762</v>
      </c>
    </row>
    <row r="594" spans="1:24" x14ac:dyDescent="0.3">
      <c r="A594" t="s">
        <v>3241</v>
      </c>
      <c r="B594" s="20" t="s">
        <v>3363</v>
      </c>
      <c r="C594" t="s">
        <v>1961</v>
      </c>
      <c r="D594" t="s">
        <v>1961</v>
      </c>
      <c r="E594" t="s">
        <v>1961</v>
      </c>
      <c r="R594" s="18"/>
      <c r="S594" t="str">
        <f t="shared" si="23"/>
        <v>Plik</v>
      </c>
      <c r="T594">
        <v>1</v>
      </c>
      <c r="U594" s="18" t="b">
        <v>0</v>
      </c>
      <c r="W594" t="str">
        <f t="shared" si="24"/>
        <v>nie</v>
      </c>
      <c r="X594" t="s">
        <v>4757</v>
      </c>
    </row>
    <row r="595" spans="1:24" x14ac:dyDescent="0.3">
      <c r="A595" t="s">
        <v>3241</v>
      </c>
      <c r="B595" s="20" t="s">
        <v>3344</v>
      </c>
      <c r="C595" t="s">
        <v>4753</v>
      </c>
      <c r="D595" t="s">
        <v>4753</v>
      </c>
      <c r="E595" t="s">
        <v>4753</v>
      </c>
      <c r="R595" s="18"/>
      <c r="S595" t="str">
        <f t="shared" si="23"/>
        <v>DodatkoweInformacjeIObjasnienia</v>
      </c>
      <c r="T595">
        <v>1</v>
      </c>
      <c r="U595" s="18" t="b">
        <v>0</v>
      </c>
      <c r="W595" t="str">
        <f t="shared" si="24"/>
        <v>nie</v>
      </c>
      <c r="X595" t="s">
        <v>4754</v>
      </c>
    </row>
    <row r="596" spans="1:24" x14ac:dyDescent="0.3">
      <c r="A596" t="s">
        <v>3241</v>
      </c>
      <c r="B596" s="20" t="s">
        <v>3330</v>
      </c>
      <c r="C596" t="s">
        <v>4753</v>
      </c>
      <c r="D596" t="s">
        <v>4753</v>
      </c>
      <c r="E596" t="s">
        <v>4753</v>
      </c>
      <c r="R596" s="18"/>
      <c r="S596" t="str">
        <f t="shared" ref="S596:S602" si="25">IF(ISERROR(FIND("_koniec",D596)),D596,LEFT(D596,FIND("_koniec",D596)-1))</f>
        <v>DodatkoweInformacjeIObjasnienia</v>
      </c>
      <c r="T596">
        <v>1</v>
      </c>
      <c r="U596" s="18" t="b">
        <v>0</v>
      </c>
      <c r="W596" t="str">
        <f t="shared" ref="W596:W602" si="26">IF(NazwaPDF5="","nie","tak")</f>
        <v>nie</v>
      </c>
      <c r="X596" t="s">
        <v>4754</v>
      </c>
    </row>
    <row r="597" spans="1:24" x14ac:dyDescent="0.3">
      <c r="A597" t="s">
        <v>3248</v>
      </c>
      <c r="B597" s="20" t="s">
        <v>3289</v>
      </c>
      <c r="C597" t="s">
        <v>1</v>
      </c>
      <c r="D597" t="s">
        <v>4775</v>
      </c>
      <c r="E597" t="s">
        <v>1</v>
      </c>
      <c r="R597" s="18"/>
      <c r="S597" t="str">
        <f t="shared" si="25"/>
        <v>Opis5</v>
      </c>
      <c r="T597">
        <v>1</v>
      </c>
      <c r="U597" s="18" t="b">
        <v>1</v>
      </c>
      <c r="W597" t="str">
        <f t="shared" si="26"/>
        <v>nie</v>
      </c>
      <c r="X597" t="s">
        <v>4776</v>
      </c>
    </row>
    <row r="598" spans="1:24" x14ac:dyDescent="0.3">
      <c r="A598" t="s">
        <v>3241</v>
      </c>
      <c r="B598" s="20" t="s">
        <v>3289</v>
      </c>
      <c r="C598" t="s">
        <v>1961</v>
      </c>
      <c r="D598" t="s">
        <v>1961</v>
      </c>
      <c r="E598" t="s">
        <v>1961</v>
      </c>
      <c r="R598" s="18"/>
      <c r="S598" t="str">
        <f t="shared" si="25"/>
        <v>Plik</v>
      </c>
      <c r="T598">
        <v>1</v>
      </c>
      <c r="U598" s="18" t="b">
        <v>0</v>
      </c>
      <c r="W598" t="str">
        <f t="shared" si="26"/>
        <v>nie</v>
      </c>
      <c r="X598" t="s">
        <v>4757</v>
      </c>
    </row>
    <row r="599" spans="1:24" x14ac:dyDescent="0.3">
      <c r="A599" t="s">
        <v>3248</v>
      </c>
      <c r="B599" s="20" t="s">
        <v>3289</v>
      </c>
      <c r="C599" t="s">
        <v>1966</v>
      </c>
      <c r="D599" t="s">
        <v>4777</v>
      </c>
      <c r="E599" t="s">
        <v>1966</v>
      </c>
      <c r="R599" s="18"/>
      <c r="S599" t="str">
        <f t="shared" si="25"/>
        <v>NazwaPDF5</v>
      </c>
      <c r="T599">
        <v>1</v>
      </c>
      <c r="U599" s="18" t="b">
        <v>1</v>
      </c>
      <c r="W599" t="str">
        <f t="shared" si="26"/>
        <v>nie</v>
      </c>
      <c r="X599" t="s">
        <v>4778</v>
      </c>
    </row>
    <row r="600" spans="1:24" x14ac:dyDescent="0.3">
      <c r="A600" t="s">
        <v>4760</v>
      </c>
      <c r="B600" s="20" t="s">
        <v>3289</v>
      </c>
      <c r="C600" t="s">
        <v>4761</v>
      </c>
      <c r="D600" t="s">
        <v>4761</v>
      </c>
      <c r="E600" t="s">
        <v>4761</v>
      </c>
      <c r="R600" s="18"/>
      <c r="S600" t="str">
        <f t="shared" si="25"/>
        <v>Zawartosc</v>
      </c>
      <c r="T600">
        <v>1</v>
      </c>
      <c r="U600" s="18" t="b">
        <v>1</v>
      </c>
      <c r="W600" t="str">
        <f t="shared" si="26"/>
        <v>nie</v>
      </c>
      <c r="X600" t="s">
        <v>4762</v>
      </c>
    </row>
    <row r="601" spans="1:24" x14ac:dyDescent="0.3">
      <c r="A601" t="s">
        <v>3241</v>
      </c>
      <c r="B601" s="20" t="s">
        <v>3363</v>
      </c>
      <c r="C601" t="s">
        <v>1961</v>
      </c>
      <c r="D601" t="s">
        <v>1961</v>
      </c>
      <c r="E601" t="s">
        <v>1961</v>
      </c>
      <c r="R601" s="18"/>
      <c r="S601" t="str">
        <f t="shared" si="25"/>
        <v>Plik</v>
      </c>
      <c r="T601">
        <v>1</v>
      </c>
      <c r="U601" s="18" t="b">
        <v>0</v>
      </c>
      <c r="W601" t="str">
        <f t="shared" si="26"/>
        <v>nie</v>
      </c>
      <c r="X601" t="s">
        <v>4757</v>
      </c>
    </row>
    <row r="602" spans="1:24" x14ac:dyDescent="0.3">
      <c r="A602" t="s">
        <v>3241</v>
      </c>
      <c r="B602" s="20" t="s">
        <v>3344</v>
      </c>
      <c r="C602" t="s">
        <v>4753</v>
      </c>
      <c r="D602" t="s">
        <v>4753</v>
      </c>
      <c r="E602" t="s">
        <v>4753</v>
      </c>
      <c r="R602" s="18"/>
      <c r="S602" t="str">
        <f t="shared" si="25"/>
        <v>DodatkoweInformacjeIObjasnienia</v>
      </c>
      <c r="T602">
        <v>1</v>
      </c>
      <c r="U602" s="18" t="b">
        <v>0</v>
      </c>
      <c r="W602" t="str">
        <f t="shared" si="26"/>
        <v>nie</v>
      </c>
      <c r="X602" t="s">
        <v>4754</v>
      </c>
    </row>
    <row r="603" spans="1:24" x14ac:dyDescent="0.3">
      <c r="A603" t="s">
        <v>3241</v>
      </c>
      <c r="B603" s="20" t="s">
        <v>3330</v>
      </c>
      <c r="C603" t="s">
        <v>4753</v>
      </c>
      <c r="D603" t="s">
        <v>4753</v>
      </c>
      <c r="E603" t="s">
        <v>4753</v>
      </c>
      <c r="R603" s="18"/>
      <c r="S603" t="str">
        <f t="shared" ref="S603:S609" si="27">IF(ISERROR(FIND("_koniec",D603)),D603,LEFT(D603,FIND("_koniec",D603)-1))</f>
        <v>DodatkoweInformacjeIObjasnienia</v>
      </c>
      <c r="T603">
        <v>1</v>
      </c>
      <c r="U603" s="18" t="b">
        <v>0</v>
      </c>
      <c r="W603" t="str">
        <f t="shared" ref="W603:W609" si="28">IF(NazwaPDF6="","nie","tak")</f>
        <v>nie</v>
      </c>
      <c r="X603" t="s">
        <v>4754</v>
      </c>
    </row>
    <row r="604" spans="1:24" x14ac:dyDescent="0.3">
      <c r="A604" t="s">
        <v>3248</v>
      </c>
      <c r="B604" s="20" t="s">
        <v>3289</v>
      </c>
      <c r="C604" t="s">
        <v>1</v>
      </c>
      <c r="D604" t="s">
        <v>4779</v>
      </c>
      <c r="E604" t="s">
        <v>1</v>
      </c>
      <c r="R604" s="18"/>
      <c r="S604" t="str">
        <f t="shared" si="27"/>
        <v>Opis6</v>
      </c>
      <c r="T604">
        <v>1</v>
      </c>
      <c r="U604" s="18" t="b">
        <v>1</v>
      </c>
      <c r="W604" t="str">
        <f t="shared" si="28"/>
        <v>nie</v>
      </c>
      <c r="X604" t="s">
        <v>4780</v>
      </c>
    </row>
    <row r="605" spans="1:24" x14ac:dyDescent="0.3">
      <c r="A605" t="s">
        <v>3241</v>
      </c>
      <c r="B605" s="20" t="s">
        <v>3289</v>
      </c>
      <c r="C605" t="s">
        <v>1961</v>
      </c>
      <c r="D605" t="s">
        <v>1961</v>
      </c>
      <c r="E605" t="s">
        <v>1961</v>
      </c>
      <c r="R605" s="18"/>
      <c r="S605" t="str">
        <f t="shared" si="27"/>
        <v>Plik</v>
      </c>
      <c r="T605">
        <v>1</v>
      </c>
      <c r="U605" s="18" t="b">
        <v>0</v>
      </c>
      <c r="W605" t="str">
        <f t="shared" si="28"/>
        <v>nie</v>
      </c>
      <c r="X605" t="s">
        <v>4757</v>
      </c>
    </row>
    <row r="606" spans="1:24" x14ac:dyDescent="0.3">
      <c r="A606" t="s">
        <v>3248</v>
      </c>
      <c r="B606" s="20" t="s">
        <v>3289</v>
      </c>
      <c r="C606" t="s">
        <v>1966</v>
      </c>
      <c r="D606" t="s">
        <v>4781</v>
      </c>
      <c r="E606" t="s">
        <v>1966</v>
      </c>
      <c r="R606" s="18"/>
      <c r="S606" t="str">
        <f t="shared" si="27"/>
        <v>NazwaPDF6</v>
      </c>
      <c r="T606">
        <v>1</v>
      </c>
      <c r="U606" s="18" t="b">
        <v>1</v>
      </c>
      <c r="W606" t="str">
        <f t="shared" si="28"/>
        <v>nie</v>
      </c>
      <c r="X606" t="s">
        <v>4782</v>
      </c>
    </row>
    <row r="607" spans="1:24" x14ac:dyDescent="0.3">
      <c r="A607" t="s">
        <v>4760</v>
      </c>
      <c r="B607" s="20" t="s">
        <v>3289</v>
      </c>
      <c r="C607" t="s">
        <v>4761</v>
      </c>
      <c r="D607" t="s">
        <v>4761</v>
      </c>
      <c r="E607" t="s">
        <v>4761</v>
      </c>
      <c r="R607" s="18"/>
      <c r="S607" t="str">
        <f t="shared" si="27"/>
        <v>Zawartosc</v>
      </c>
      <c r="T607">
        <v>1</v>
      </c>
      <c r="U607" s="18" t="b">
        <v>1</v>
      </c>
      <c r="W607" t="str">
        <f t="shared" si="28"/>
        <v>nie</v>
      </c>
      <c r="X607" t="s">
        <v>4762</v>
      </c>
    </row>
    <row r="608" spans="1:24" x14ac:dyDescent="0.3">
      <c r="A608" t="s">
        <v>3241</v>
      </c>
      <c r="B608" s="20" t="s">
        <v>3363</v>
      </c>
      <c r="C608" t="s">
        <v>1961</v>
      </c>
      <c r="D608" t="s">
        <v>1961</v>
      </c>
      <c r="E608" t="s">
        <v>1961</v>
      </c>
      <c r="R608" s="18"/>
      <c r="S608" t="str">
        <f t="shared" si="27"/>
        <v>Plik</v>
      </c>
      <c r="T608">
        <v>1</v>
      </c>
      <c r="U608" s="18" t="b">
        <v>0</v>
      </c>
      <c r="W608" t="str">
        <f t="shared" si="28"/>
        <v>nie</v>
      </c>
      <c r="X608" t="s">
        <v>4757</v>
      </c>
    </row>
    <row r="609" spans="1:24" x14ac:dyDescent="0.3">
      <c r="A609" t="s">
        <v>3241</v>
      </c>
      <c r="B609" s="20" t="s">
        <v>3344</v>
      </c>
      <c r="C609" t="s">
        <v>4753</v>
      </c>
      <c r="D609" t="s">
        <v>4753</v>
      </c>
      <c r="E609" t="s">
        <v>4753</v>
      </c>
      <c r="R609" s="18"/>
      <c r="S609" t="str">
        <f t="shared" si="27"/>
        <v>DodatkoweInformacjeIObjasnienia</v>
      </c>
      <c r="T609">
        <v>1</v>
      </c>
      <c r="U609" s="18" t="b">
        <v>0</v>
      </c>
      <c r="W609" t="str">
        <f t="shared" si="28"/>
        <v>nie</v>
      </c>
      <c r="X609" t="s">
        <v>4754</v>
      </c>
    </row>
    <row r="610" spans="1:24" x14ac:dyDescent="0.3">
      <c r="A610" t="s">
        <v>3241</v>
      </c>
      <c r="B610" s="20" t="s">
        <v>3330</v>
      </c>
      <c r="C610" t="s">
        <v>4753</v>
      </c>
      <c r="D610" t="s">
        <v>4753</v>
      </c>
      <c r="E610" t="s">
        <v>4753</v>
      </c>
      <c r="R610" s="18"/>
      <c r="S610" t="str">
        <f t="shared" ref="S610:S616" si="29">IF(ISERROR(FIND("_koniec",D610)),D610,LEFT(D610,FIND("_koniec",D610)-1))</f>
        <v>DodatkoweInformacjeIObjasnienia</v>
      </c>
      <c r="T610">
        <v>1</v>
      </c>
      <c r="U610" s="18" t="b">
        <v>0</v>
      </c>
      <c r="W610" t="str">
        <f t="shared" ref="W610:W616" si="30">IF(NazwaPDF7="","nie","tak")</f>
        <v>nie</v>
      </c>
      <c r="X610" t="s">
        <v>4754</v>
      </c>
    </row>
    <row r="611" spans="1:24" x14ac:dyDescent="0.3">
      <c r="A611" t="s">
        <v>3248</v>
      </c>
      <c r="B611" s="20" t="s">
        <v>3289</v>
      </c>
      <c r="C611" t="s">
        <v>1</v>
      </c>
      <c r="D611" t="s">
        <v>4783</v>
      </c>
      <c r="E611" t="s">
        <v>1</v>
      </c>
      <c r="R611" s="18"/>
      <c r="S611" t="str">
        <f t="shared" si="29"/>
        <v>Opis7</v>
      </c>
      <c r="T611">
        <v>1</v>
      </c>
      <c r="U611" s="18" t="b">
        <v>1</v>
      </c>
      <c r="W611" t="str">
        <f t="shared" si="30"/>
        <v>nie</v>
      </c>
      <c r="X611" t="s">
        <v>4784</v>
      </c>
    </row>
    <row r="612" spans="1:24" x14ac:dyDescent="0.3">
      <c r="A612" t="s">
        <v>3241</v>
      </c>
      <c r="B612" s="20" t="s">
        <v>3289</v>
      </c>
      <c r="C612" t="s">
        <v>1961</v>
      </c>
      <c r="D612" t="s">
        <v>1961</v>
      </c>
      <c r="E612" t="s">
        <v>1961</v>
      </c>
      <c r="R612" s="18"/>
      <c r="S612" t="str">
        <f t="shared" si="29"/>
        <v>Plik</v>
      </c>
      <c r="T612">
        <v>1</v>
      </c>
      <c r="U612" s="18" t="b">
        <v>0</v>
      </c>
      <c r="W612" t="str">
        <f t="shared" si="30"/>
        <v>nie</v>
      </c>
      <c r="X612" t="s">
        <v>4757</v>
      </c>
    </row>
    <row r="613" spans="1:24" x14ac:dyDescent="0.3">
      <c r="A613" t="s">
        <v>3248</v>
      </c>
      <c r="B613" s="20" t="s">
        <v>3289</v>
      </c>
      <c r="C613" t="s">
        <v>1966</v>
      </c>
      <c r="D613" t="s">
        <v>4785</v>
      </c>
      <c r="E613" t="s">
        <v>1966</v>
      </c>
      <c r="R613" s="18"/>
      <c r="S613" t="str">
        <f t="shared" si="29"/>
        <v>NazwaPDF7</v>
      </c>
      <c r="T613">
        <v>1</v>
      </c>
      <c r="U613" s="18" t="b">
        <v>1</v>
      </c>
      <c r="W613" t="str">
        <f t="shared" si="30"/>
        <v>nie</v>
      </c>
      <c r="X613" t="s">
        <v>4786</v>
      </c>
    </row>
    <row r="614" spans="1:24" x14ac:dyDescent="0.3">
      <c r="A614" t="s">
        <v>4760</v>
      </c>
      <c r="B614" s="20" t="s">
        <v>3289</v>
      </c>
      <c r="C614" t="s">
        <v>4761</v>
      </c>
      <c r="D614" t="s">
        <v>4761</v>
      </c>
      <c r="E614" t="s">
        <v>4761</v>
      </c>
      <c r="R614" s="18"/>
      <c r="S614" t="str">
        <f t="shared" si="29"/>
        <v>Zawartosc</v>
      </c>
      <c r="T614">
        <v>1</v>
      </c>
      <c r="U614" s="18" t="b">
        <v>1</v>
      </c>
      <c r="W614" t="str">
        <f t="shared" si="30"/>
        <v>nie</v>
      </c>
      <c r="X614" t="s">
        <v>4762</v>
      </c>
    </row>
    <row r="615" spans="1:24" x14ac:dyDescent="0.3">
      <c r="A615" t="s">
        <v>3241</v>
      </c>
      <c r="B615" s="20" t="s">
        <v>3363</v>
      </c>
      <c r="C615" t="s">
        <v>1961</v>
      </c>
      <c r="D615" t="s">
        <v>1961</v>
      </c>
      <c r="E615" t="s">
        <v>1961</v>
      </c>
      <c r="R615" s="18"/>
      <c r="S615" t="str">
        <f t="shared" si="29"/>
        <v>Plik</v>
      </c>
      <c r="T615">
        <v>1</v>
      </c>
      <c r="U615" s="18" t="b">
        <v>0</v>
      </c>
      <c r="W615" t="str">
        <f t="shared" si="30"/>
        <v>nie</v>
      </c>
      <c r="X615" t="s">
        <v>4757</v>
      </c>
    </row>
    <row r="616" spans="1:24" x14ac:dyDescent="0.3">
      <c r="A616" t="s">
        <v>3241</v>
      </c>
      <c r="B616" s="20" t="s">
        <v>3344</v>
      </c>
      <c r="C616" t="s">
        <v>4753</v>
      </c>
      <c r="D616" t="s">
        <v>4753</v>
      </c>
      <c r="E616" t="s">
        <v>4753</v>
      </c>
      <c r="R616" s="18"/>
      <c r="S616" t="str">
        <f t="shared" si="29"/>
        <v>DodatkoweInformacjeIObjasnienia</v>
      </c>
      <c r="T616">
        <v>1</v>
      </c>
      <c r="U616" s="18" t="b">
        <v>0</v>
      </c>
      <c r="W616" t="str">
        <f t="shared" si="30"/>
        <v>nie</v>
      </c>
      <c r="X616" t="s">
        <v>4754</v>
      </c>
    </row>
    <row r="617" spans="1:24" x14ac:dyDescent="0.3">
      <c r="A617" t="s">
        <v>3241</v>
      </c>
      <c r="B617" s="20" t="s">
        <v>3330</v>
      </c>
      <c r="C617" t="s">
        <v>4753</v>
      </c>
      <c r="D617" t="s">
        <v>4753</v>
      </c>
      <c r="E617" t="s">
        <v>4753</v>
      </c>
      <c r="R617" s="18"/>
      <c r="S617" t="str">
        <f t="shared" ref="S617:S623" si="31">IF(ISERROR(FIND("_koniec",D617)),D617,LEFT(D617,FIND("_koniec",D617)-1))</f>
        <v>DodatkoweInformacjeIObjasnienia</v>
      </c>
      <c r="T617">
        <v>1</v>
      </c>
      <c r="U617" s="18" t="b">
        <v>0</v>
      </c>
      <c r="W617" t="str">
        <f t="shared" ref="W617:W623" si="32">IF(NazwaPDF8="","nie","tak")</f>
        <v>nie</v>
      </c>
      <c r="X617" t="s">
        <v>4754</v>
      </c>
    </row>
    <row r="618" spans="1:24" x14ac:dyDescent="0.3">
      <c r="A618" t="s">
        <v>3248</v>
      </c>
      <c r="B618" s="20" t="s">
        <v>3289</v>
      </c>
      <c r="C618" t="s">
        <v>1</v>
      </c>
      <c r="D618" t="s">
        <v>4787</v>
      </c>
      <c r="E618" t="s">
        <v>1</v>
      </c>
      <c r="R618" s="18"/>
      <c r="S618" t="str">
        <f t="shared" si="31"/>
        <v>Opis8</v>
      </c>
      <c r="T618">
        <v>1</v>
      </c>
      <c r="U618" s="18" t="b">
        <v>1</v>
      </c>
      <c r="W618" t="str">
        <f t="shared" si="32"/>
        <v>nie</v>
      </c>
      <c r="X618" t="s">
        <v>4788</v>
      </c>
    </row>
    <row r="619" spans="1:24" x14ac:dyDescent="0.3">
      <c r="A619" t="s">
        <v>3241</v>
      </c>
      <c r="B619" s="20" t="s">
        <v>3289</v>
      </c>
      <c r="C619" t="s">
        <v>1961</v>
      </c>
      <c r="D619" t="s">
        <v>1961</v>
      </c>
      <c r="E619" t="s">
        <v>1961</v>
      </c>
      <c r="R619" s="18"/>
      <c r="S619" t="str">
        <f t="shared" si="31"/>
        <v>Plik</v>
      </c>
      <c r="T619">
        <v>1</v>
      </c>
      <c r="U619" s="18" t="b">
        <v>0</v>
      </c>
      <c r="W619" t="str">
        <f t="shared" si="32"/>
        <v>nie</v>
      </c>
      <c r="X619" t="s">
        <v>4757</v>
      </c>
    </row>
    <row r="620" spans="1:24" x14ac:dyDescent="0.3">
      <c r="A620" t="s">
        <v>3248</v>
      </c>
      <c r="B620" s="20" t="s">
        <v>3289</v>
      </c>
      <c r="C620" t="s">
        <v>1966</v>
      </c>
      <c r="D620" t="s">
        <v>4789</v>
      </c>
      <c r="E620" t="s">
        <v>1966</v>
      </c>
      <c r="R620" s="18"/>
      <c r="S620" t="str">
        <f t="shared" si="31"/>
        <v>NazwaPDF8</v>
      </c>
      <c r="T620">
        <v>1</v>
      </c>
      <c r="U620" s="18" t="b">
        <v>1</v>
      </c>
      <c r="W620" t="str">
        <f t="shared" si="32"/>
        <v>nie</v>
      </c>
      <c r="X620" t="s">
        <v>4790</v>
      </c>
    </row>
    <row r="621" spans="1:24" x14ac:dyDescent="0.3">
      <c r="A621" t="s">
        <v>4760</v>
      </c>
      <c r="B621" s="20" t="s">
        <v>3289</v>
      </c>
      <c r="C621" t="s">
        <v>4761</v>
      </c>
      <c r="D621" t="s">
        <v>4761</v>
      </c>
      <c r="E621" t="s">
        <v>4761</v>
      </c>
      <c r="R621" s="18"/>
      <c r="S621" t="str">
        <f t="shared" si="31"/>
        <v>Zawartosc</v>
      </c>
      <c r="T621">
        <v>1</v>
      </c>
      <c r="U621" s="18" t="b">
        <v>1</v>
      </c>
      <c r="W621" t="str">
        <f t="shared" si="32"/>
        <v>nie</v>
      </c>
      <c r="X621" t="s">
        <v>4762</v>
      </c>
    </row>
    <row r="622" spans="1:24" x14ac:dyDescent="0.3">
      <c r="A622" t="s">
        <v>3241</v>
      </c>
      <c r="B622" s="20" t="s">
        <v>3363</v>
      </c>
      <c r="C622" t="s">
        <v>1961</v>
      </c>
      <c r="D622" t="s">
        <v>1961</v>
      </c>
      <c r="E622" t="s">
        <v>1961</v>
      </c>
      <c r="R622" s="18"/>
      <c r="S622" t="str">
        <f t="shared" si="31"/>
        <v>Plik</v>
      </c>
      <c r="T622">
        <v>1</v>
      </c>
      <c r="U622" s="18" t="b">
        <v>0</v>
      </c>
      <c r="W622" t="str">
        <f t="shared" si="32"/>
        <v>nie</v>
      </c>
      <c r="X622" t="s">
        <v>4757</v>
      </c>
    </row>
    <row r="623" spans="1:24" x14ac:dyDescent="0.3">
      <c r="A623" t="s">
        <v>3241</v>
      </c>
      <c r="B623" s="20" t="s">
        <v>3344</v>
      </c>
      <c r="C623" t="s">
        <v>4753</v>
      </c>
      <c r="D623" t="s">
        <v>4753</v>
      </c>
      <c r="E623" t="s">
        <v>4753</v>
      </c>
      <c r="R623" s="18"/>
      <c r="S623" t="str">
        <f t="shared" si="31"/>
        <v>DodatkoweInformacjeIObjasnienia</v>
      </c>
      <c r="T623">
        <v>1</v>
      </c>
      <c r="U623" s="18" t="b">
        <v>0</v>
      </c>
      <c r="W623" t="str">
        <f t="shared" si="32"/>
        <v>nie</v>
      </c>
      <c r="X623" t="s">
        <v>4754</v>
      </c>
    </row>
    <row r="624" spans="1:24" x14ac:dyDescent="0.3">
      <c r="A624" t="s">
        <v>3241</v>
      </c>
      <c r="B624" s="20" t="s">
        <v>3330</v>
      </c>
      <c r="C624" t="s">
        <v>4753</v>
      </c>
      <c r="D624" t="s">
        <v>4753</v>
      </c>
      <c r="E624" t="s">
        <v>4753</v>
      </c>
      <c r="R624" s="18"/>
      <c r="S624" t="str">
        <f t="shared" ref="S624:S630" si="33">IF(ISERROR(FIND("_koniec",D624)),D624,LEFT(D624,FIND("_koniec",D624)-1))</f>
        <v>DodatkoweInformacjeIObjasnienia</v>
      </c>
      <c r="T624">
        <v>1</v>
      </c>
      <c r="U624" s="18" t="b">
        <v>0</v>
      </c>
      <c r="W624" t="str">
        <f t="shared" ref="W624:W630" si="34">IF(NazwaPDF9="","nie","tak")</f>
        <v>nie</v>
      </c>
      <c r="X624" t="s">
        <v>4754</v>
      </c>
    </row>
    <row r="625" spans="1:24" x14ac:dyDescent="0.3">
      <c r="A625" t="s">
        <v>3248</v>
      </c>
      <c r="B625" s="20" t="s">
        <v>3289</v>
      </c>
      <c r="C625" t="s">
        <v>1</v>
      </c>
      <c r="D625" t="s">
        <v>4791</v>
      </c>
      <c r="E625" t="s">
        <v>1</v>
      </c>
      <c r="R625" s="18"/>
      <c r="S625" t="str">
        <f t="shared" si="33"/>
        <v>Opis9</v>
      </c>
      <c r="T625">
        <v>1</v>
      </c>
      <c r="U625" s="18" t="b">
        <v>1</v>
      </c>
      <c r="W625" t="str">
        <f t="shared" si="34"/>
        <v>nie</v>
      </c>
      <c r="X625" t="s">
        <v>4792</v>
      </c>
    </row>
    <row r="626" spans="1:24" x14ac:dyDescent="0.3">
      <c r="A626" t="s">
        <v>3241</v>
      </c>
      <c r="B626" s="20" t="s">
        <v>3289</v>
      </c>
      <c r="C626" t="s">
        <v>1961</v>
      </c>
      <c r="D626" t="s">
        <v>1961</v>
      </c>
      <c r="E626" t="s">
        <v>1961</v>
      </c>
      <c r="R626" s="18"/>
      <c r="S626" t="str">
        <f t="shared" si="33"/>
        <v>Plik</v>
      </c>
      <c r="T626">
        <v>1</v>
      </c>
      <c r="U626" s="18" t="b">
        <v>0</v>
      </c>
      <c r="W626" t="str">
        <f t="shared" si="34"/>
        <v>nie</v>
      </c>
      <c r="X626" t="s">
        <v>4757</v>
      </c>
    </row>
    <row r="627" spans="1:24" x14ac:dyDescent="0.3">
      <c r="A627" t="s">
        <v>3248</v>
      </c>
      <c r="B627" s="20" t="s">
        <v>3289</v>
      </c>
      <c r="C627" t="s">
        <v>1966</v>
      </c>
      <c r="D627" t="s">
        <v>4793</v>
      </c>
      <c r="E627" t="s">
        <v>1966</v>
      </c>
      <c r="R627" s="18"/>
      <c r="S627" t="str">
        <f t="shared" si="33"/>
        <v>NazwaPDF9</v>
      </c>
      <c r="T627">
        <v>1</v>
      </c>
      <c r="U627" s="18" t="b">
        <v>1</v>
      </c>
      <c r="W627" t="str">
        <f t="shared" si="34"/>
        <v>nie</v>
      </c>
      <c r="X627" t="s">
        <v>4794</v>
      </c>
    </row>
    <row r="628" spans="1:24" x14ac:dyDescent="0.3">
      <c r="A628" t="s">
        <v>4760</v>
      </c>
      <c r="B628" s="20" t="s">
        <v>3289</v>
      </c>
      <c r="C628" t="s">
        <v>4761</v>
      </c>
      <c r="D628" t="s">
        <v>4761</v>
      </c>
      <c r="E628" t="s">
        <v>4761</v>
      </c>
      <c r="R628" s="18"/>
      <c r="S628" t="str">
        <f t="shared" si="33"/>
        <v>Zawartosc</v>
      </c>
      <c r="T628">
        <v>1</v>
      </c>
      <c r="U628" s="18" t="b">
        <v>1</v>
      </c>
      <c r="W628" t="str">
        <f t="shared" si="34"/>
        <v>nie</v>
      </c>
      <c r="X628" t="s">
        <v>4762</v>
      </c>
    </row>
    <row r="629" spans="1:24" x14ac:dyDescent="0.3">
      <c r="A629" t="s">
        <v>3241</v>
      </c>
      <c r="B629" s="20" t="s">
        <v>3363</v>
      </c>
      <c r="C629" t="s">
        <v>1961</v>
      </c>
      <c r="D629" t="s">
        <v>1961</v>
      </c>
      <c r="E629" t="s">
        <v>1961</v>
      </c>
      <c r="R629" s="18"/>
      <c r="S629" t="str">
        <f t="shared" si="33"/>
        <v>Plik</v>
      </c>
      <c r="T629">
        <v>1</v>
      </c>
      <c r="U629" s="18" t="b">
        <v>0</v>
      </c>
      <c r="W629" t="str">
        <f t="shared" si="34"/>
        <v>nie</v>
      </c>
      <c r="X629" t="s">
        <v>4757</v>
      </c>
    </row>
    <row r="630" spans="1:24" x14ac:dyDescent="0.3">
      <c r="A630" t="s">
        <v>3241</v>
      </c>
      <c r="B630" s="20" t="s">
        <v>3344</v>
      </c>
      <c r="C630" t="s">
        <v>4753</v>
      </c>
      <c r="D630" t="s">
        <v>4753</v>
      </c>
      <c r="E630" t="s">
        <v>4753</v>
      </c>
      <c r="R630" s="18"/>
      <c r="S630" t="str">
        <f t="shared" si="33"/>
        <v>DodatkoweInformacjeIObjasnienia</v>
      </c>
      <c r="T630">
        <v>1</v>
      </c>
      <c r="U630" s="18" t="b">
        <v>0</v>
      </c>
      <c r="W630" t="str">
        <f t="shared" si="34"/>
        <v>nie</v>
      </c>
      <c r="X630" t="s">
        <v>4754</v>
      </c>
    </row>
    <row r="631" spans="1:24" x14ac:dyDescent="0.3">
      <c r="A631" t="s">
        <v>3241</v>
      </c>
      <c r="B631" s="20" t="s">
        <v>3330</v>
      </c>
      <c r="C631" t="s">
        <v>4753</v>
      </c>
      <c r="D631" t="s">
        <v>4753</v>
      </c>
      <c r="E631" t="s">
        <v>4753</v>
      </c>
      <c r="R631" s="18"/>
      <c r="S631" t="str">
        <f t="shared" ref="S631:S637" si="35">IF(ISERROR(FIND("_koniec",D631)),D631,LEFT(D631,FIND("_koniec",D631)-1))</f>
        <v>DodatkoweInformacjeIObjasnienia</v>
      </c>
      <c r="T631">
        <v>1</v>
      </c>
      <c r="U631" s="18" t="b">
        <v>0</v>
      </c>
      <c r="W631" t="str">
        <f t="shared" ref="W631:W644" si="36">IF(NazwaPDF10="","nie","tak")</f>
        <v>nie</v>
      </c>
      <c r="X631" t="s">
        <v>4754</v>
      </c>
    </row>
    <row r="632" spans="1:24" x14ac:dyDescent="0.3">
      <c r="A632" t="s">
        <v>3248</v>
      </c>
      <c r="B632" s="20" t="s">
        <v>3289</v>
      </c>
      <c r="C632" t="s">
        <v>1</v>
      </c>
      <c r="D632" t="s">
        <v>4795</v>
      </c>
      <c r="E632" t="s">
        <v>1</v>
      </c>
      <c r="R632" s="18"/>
      <c r="S632" t="str">
        <f t="shared" si="35"/>
        <v>Opis10</v>
      </c>
      <c r="T632">
        <v>1</v>
      </c>
      <c r="U632" s="18" t="b">
        <v>1</v>
      </c>
      <c r="W632" t="str">
        <f t="shared" si="36"/>
        <v>nie</v>
      </c>
      <c r="X632" t="s">
        <v>4796</v>
      </c>
    </row>
    <row r="633" spans="1:24" x14ac:dyDescent="0.3">
      <c r="A633" t="s">
        <v>3241</v>
      </c>
      <c r="B633" s="20" t="s">
        <v>3289</v>
      </c>
      <c r="C633" t="s">
        <v>1961</v>
      </c>
      <c r="D633" t="s">
        <v>1961</v>
      </c>
      <c r="E633" t="s">
        <v>1961</v>
      </c>
      <c r="R633" s="18"/>
      <c r="S633" t="str">
        <f t="shared" si="35"/>
        <v>Plik</v>
      </c>
      <c r="T633">
        <v>1</v>
      </c>
      <c r="U633" s="18" t="b">
        <v>0</v>
      </c>
      <c r="W633" t="str">
        <f t="shared" si="36"/>
        <v>nie</v>
      </c>
      <c r="X633" t="s">
        <v>4757</v>
      </c>
    </row>
    <row r="634" spans="1:24" x14ac:dyDescent="0.3">
      <c r="A634" t="s">
        <v>3248</v>
      </c>
      <c r="B634" s="20" t="s">
        <v>3289</v>
      </c>
      <c r="C634" t="s">
        <v>1966</v>
      </c>
      <c r="D634" t="s">
        <v>4797</v>
      </c>
      <c r="E634" t="s">
        <v>1966</v>
      </c>
      <c r="R634" s="18"/>
      <c r="S634" t="str">
        <f t="shared" si="35"/>
        <v>NazwaPDF10</v>
      </c>
      <c r="T634">
        <v>1</v>
      </c>
      <c r="U634" s="18" t="b">
        <v>1</v>
      </c>
      <c r="W634" t="str">
        <f t="shared" si="36"/>
        <v>nie</v>
      </c>
      <c r="X634" t="s">
        <v>4798</v>
      </c>
    </row>
    <row r="635" spans="1:24" x14ac:dyDescent="0.3">
      <c r="A635" t="s">
        <v>4760</v>
      </c>
      <c r="B635" s="20" t="s">
        <v>3289</v>
      </c>
      <c r="C635" t="s">
        <v>4761</v>
      </c>
      <c r="D635" t="s">
        <v>4761</v>
      </c>
      <c r="E635" t="s">
        <v>4761</v>
      </c>
      <c r="R635" s="18"/>
      <c r="S635" t="str">
        <f t="shared" si="35"/>
        <v>Zawartosc</v>
      </c>
      <c r="T635">
        <v>1</v>
      </c>
      <c r="U635" s="18" t="b">
        <v>1</v>
      </c>
      <c r="W635" t="str">
        <f t="shared" si="36"/>
        <v>nie</v>
      </c>
      <c r="X635" t="s">
        <v>4762</v>
      </c>
    </row>
    <row r="636" spans="1:24" x14ac:dyDescent="0.3">
      <c r="A636" t="s">
        <v>3241</v>
      </c>
      <c r="B636" s="20" t="s">
        <v>3363</v>
      </c>
      <c r="C636" t="s">
        <v>1961</v>
      </c>
      <c r="D636" t="s">
        <v>1961</v>
      </c>
      <c r="E636" t="s">
        <v>1961</v>
      </c>
      <c r="R636" s="18"/>
      <c r="S636" t="str">
        <f t="shared" si="35"/>
        <v>Plik</v>
      </c>
      <c r="T636">
        <v>1</v>
      </c>
      <c r="U636" s="18" t="b">
        <v>0</v>
      </c>
      <c r="W636" t="str">
        <f t="shared" si="36"/>
        <v>nie</v>
      </c>
      <c r="X636" t="s">
        <v>4757</v>
      </c>
    </row>
    <row r="637" spans="1:24" x14ac:dyDescent="0.3">
      <c r="A637" t="s">
        <v>3241</v>
      </c>
      <c r="B637" s="20" t="s">
        <v>3344</v>
      </c>
      <c r="C637" t="s">
        <v>4753</v>
      </c>
      <c r="D637" t="s">
        <v>4753</v>
      </c>
      <c r="E637" t="s">
        <v>4753</v>
      </c>
      <c r="R637" s="18"/>
      <c r="S637" t="str">
        <f t="shared" si="35"/>
        <v>DodatkoweInformacjeIObjasnienia</v>
      </c>
      <c r="T637">
        <v>1</v>
      </c>
      <c r="U637" s="18" t="b">
        <v>0</v>
      </c>
      <c r="W637" t="str">
        <f t="shared" si="36"/>
        <v>nie</v>
      </c>
      <c r="X637" t="s">
        <v>4754</v>
      </c>
    </row>
    <row r="638" spans="1:24" x14ac:dyDescent="0.3">
      <c r="A638" t="s">
        <v>3241</v>
      </c>
      <c r="B638" s="20" t="s">
        <v>3330</v>
      </c>
      <c r="C638" t="s">
        <v>4753</v>
      </c>
      <c r="D638" t="s">
        <v>4753</v>
      </c>
      <c r="E638" t="s">
        <v>4753</v>
      </c>
      <c r="R638" s="18"/>
      <c r="S638" t="str">
        <f t="shared" ref="S638:S644" si="37">IF(ISERROR(FIND("_koniec",D638)),D638,LEFT(D638,FIND("_koniec",D638)-1))</f>
        <v>DodatkoweInformacjeIObjasnienia</v>
      </c>
      <c r="T638">
        <v>1</v>
      </c>
      <c r="U638" s="18" t="b">
        <v>0</v>
      </c>
      <c r="W638" t="str">
        <f t="shared" si="36"/>
        <v>nie</v>
      </c>
      <c r="X638" t="s">
        <v>4754</v>
      </c>
    </row>
    <row r="639" spans="1:24" x14ac:dyDescent="0.3">
      <c r="A639" t="s">
        <v>3248</v>
      </c>
      <c r="B639" s="20" t="s">
        <v>3289</v>
      </c>
      <c r="C639" t="s">
        <v>1</v>
      </c>
      <c r="D639" t="s">
        <v>4799</v>
      </c>
      <c r="E639" t="s">
        <v>1</v>
      </c>
      <c r="R639" s="18"/>
      <c r="S639" t="str">
        <f t="shared" si="37"/>
        <v>Opis11</v>
      </c>
      <c r="T639">
        <v>1</v>
      </c>
      <c r="U639" s="18" t="b">
        <v>1</v>
      </c>
      <c r="W639" t="str">
        <f t="shared" si="36"/>
        <v>nie</v>
      </c>
      <c r="X639" t="s">
        <v>4800</v>
      </c>
    </row>
    <row r="640" spans="1:24" x14ac:dyDescent="0.3">
      <c r="A640" t="s">
        <v>3241</v>
      </c>
      <c r="B640" s="20" t="s">
        <v>3289</v>
      </c>
      <c r="C640" t="s">
        <v>1961</v>
      </c>
      <c r="D640" t="s">
        <v>1961</v>
      </c>
      <c r="E640" t="s">
        <v>1961</v>
      </c>
      <c r="R640" s="18"/>
      <c r="S640" t="str">
        <f t="shared" si="37"/>
        <v>Plik</v>
      </c>
      <c r="T640">
        <v>1</v>
      </c>
      <c r="U640" s="18" t="b">
        <v>0</v>
      </c>
      <c r="W640" t="str">
        <f t="shared" si="36"/>
        <v>nie</v>
      </c>
      <c r="X640" t="s">
        <v>4757</v>
      </c>
    </row>
    <row r="641" spans="1:24" x14ac:dyDescent="0.3">
      <c r="A641" t="s">
        <v>3248</v>
      </c>
      <c r="B641" s="20" t="s">
        <v>3289</v>
      </c>
      <c r="C641" t="s">
        <v>1966</v>
      </c>
      <c r="D641" t="s">
        <v>4801</v>
      </c>
      <c r="E641" t="s">
        <v>1966</v>
      </c>
      <c r="R641" s="18"/>
      <c r="S641" t="str">
        <f t="shared" si="37"/>
        <v>NazwaPDF11</v>
      </c>
      <c r="T641">
        <v>1</v>
      </c>
      <c r="U641" s="18" t="b">
        <v>1</v>
      </c>
      <c r="W641" t="str">
        <f t="shared" si="36"/>
        <v>nie</v>
      </c>
      <c r="X641" t="s">
        <v>4802</v>
      </c>
    </row>
    <row r="642" spans="1:24" x14ac:dyDescent="0.3">
      <c r="A642" t="s">
        <v>4760</v>
      </c>
      <c r="B642" s="20" t="s">
        <v>3289</v>
      </c>
      <c r="C642" t="s">
        <v>4761</v>
      </c>
      <c r="D642" t="s">
        <v>4761</v>
      </c>
      <c r="E642" t="s">
        <v>4761</v>
      </c>
      <c r="R642" s="18"/>
      <c r="S642" t="str">
        <f t="shared" si="37"/>
        <v>Zawartosc</v>
      </c>
      <c r="T642">
        <v>1</v>
      </c>
      <c r="U642" s="18" t="b">
        <v>1</v>
      </c>
      <c r="W642" t="str">
        <f t="shared" si="36"/>
        <v>nie</v>
      </c>
      <c r="X642" t="s">
        <v>4762</v>
      </c>
    </row>
    <row r="643" spans="1:24" x14ac:dyDescent="0.3">
      <c r="A643" t="s">
        <v>3241</v>
      </c>
      <c r="B643" s="20" t="s">
        <v>3363</v>
      </c>
      <c r="C643" t="s">
        <v>1961</v>
      </c>
      <c r="D643" t="s">
        <v>1961</v>
      </c>
      <c r="E643" t="s">
        <v>1961</v>
      </c>
      <c r="R643" s="18"/>
      <c r="S643" t="str">
        <f t="shared" si="37"/>
        <v>Plik</v>
      </c>
      <c r="T643">
        <v>1</v>
      </c>
      <c r="U643" s="18" t="b">
        <v>0</v>
      </c>
      <c r="W643" t="str">
        <f t="shared" si="36"/>
        <v>nie</v>
      </c>
      <c r="X643" t="s">
        <v>4757</v>
      </c>
    </row>
    <row r="644" spans="1:24" x14ac:dyDescent="0.3">
      <c r="A644" t="s">
        <v>3241</v>
      </c>
      <c r="B644" s="20" t="s">
        <v>3344</v>
      </c>
      <c r="C644" t="s">
        <v>4753</v>
      </c>
      <c r="D644" t="s">
        <v>4753</v>
      </c>
      <c r="E644" t="s">
        <v>4753</v>
      </c>
      <c r="R644" s="18"/>
      <c r="S644" t="str">
        <f t="shared" si="37"/>
        <v>DodatkoweInformacjeIObjasnienia</v>
      </c>
      <c r="T644">
        <v>1</v>
      </c>
      <c r="U644" s="18" t="b">
        <v>0</v>
      </c>
      <c r="W644" t="str">
        <f t="shared" si="36"/>
        <v>nie</v>
      </c>
      <c r="X644" t="s">
        <v>4754</v>
      </c>
    </row>
    <row r="645" spans="1:24" x14ac:dyDescent="0.3">
      <c r="A645" t="s">
        <v>3241</v>
      </c>
      <c r="B645" s="20" t="s">
        <v>3330</v>
      </c>
      <c r="C645" t="s">
        <v>4803</v>
      </c>
      <c r="D645" t="s">
        <v>4803</v>
      </c>
      <c r="E645" t="s">
        <v>4803</v>
      </c>
      <c r="R645" s="18"/>
      <c r="S645" t="str">
        <f t="shared" ref="S645:S648" si="38">IF(ISERROR(FIND("_koniec",D645)),D645,LEFT(D645,FIND("_koniec",D645)-1))</f>
        <v>InformacjaDodatkowaDotyczacaPodatkuDochodowego</v>
      </c>
      <c r="T645">
        <v>1</v>
      </c>
      <c r="U645" s="18" t="b">
        <v>0</v>
      </c>
      <c r="W645" t="str">
        <f t="shared" ref="W645:W657" si="39">IF(NotaPodatkowa=1,"tak","nie")</f>
        <v>tak</v>
      </c>
      <c r="X645" t="s">
        <v>4804</v>
      </c>
    </row>
    <row r="646" spans="1:24" x14ac:dyDescent="0.3">
      <c r="A646" t="s">
        <v>4805</v>
      </c>
      <c r="B646" s="20" t="s">
        <v>3289</v>
      </c>
      <c r="C646" t="s">
        <v>4806</v>
      </c>
      <c r="D646" t="s">
        <v>4806</v>
      </c>
      <c r="E646" s="26" t="s">
        <v>4807</v>
      </c>
      <c r="F646" t="s">
        <v>4808</v>
      </c>
      <c r="G646">
        <v>1</v>
      </c>
      <c r="R646" s="18"/>
      <c r="S646" t="str">
        <f t="shared" si="38"/>
        <v>P_ID_1</v>
      </c>
      <c r="T646">
        <v>3</v>
      </c>
      <c r="U646" s="18" t="b">
        <v>1</v>
      </c>
      <c r="W646" t="str">
        <f t="shared" si="39"/>
        <v>tak</v>
      </c>
      <c r="X646" t="s">
        <v>4809</v>
      </c>
    </row>
    <row r="647" spans="1:24" x14ac:dyDescent="0.3">
      <c r="A647" t="s">
        <v>4810</v>
      </c>
      <c r="B647" s="20" t="s">
        <v>3289</v>
      </c>
      <c r="C647" t="s">
        <v>4811</v>
      </c>
      <c r="D647" t="s">
        <v>4811</v>
      </c>
      <c r="E647" s="26" t="s">
        <v>4807</v>
      </c>
      <c r="F647" t="s">
        <v>4808</v>
      </c>
      <c r="G647">
        <v>2</v>
      </c>
      <c r="R647" s="18"/>
      <c r="S647" t="str">
        <f t="shared" si="38"/>
        <v>P_ID_2</v>
      </c>
      <c r="T647">
        <v>3</v>
      </c>
      <c r="U647" s="18" t="b">
        <v>1</v>
      </c>
      <c r="W647" t="str">
        <f t="shared" si="39"/>
        <v>tak</v>
      </c>
      <c r="X647" t="s">
        <v>4812</v>
      </c>
    </row>
    <row r="648" spans="1:24" x14ac:dyDescent="0.3">
      <c r="A648" t="s">
        <v>4810</v>
      </c>
      <c r="B648" s="20" t="s">
        <v>3289</v>
      </c>
      <c r="C648" t="s">
        <v>4813</v>
      </c>
      <c r="D648" t="s">
        <v>4813</v>
      </c>
      <c r="E648" s="26" t="s">
        <v>4807</v>
      </c>
      <c r="F648" t="s">
        <v>4808</v>
      </c>
      <c r="G648">
        <v>3</v>
      </c>
      <c r="R648" s="18"/>
      <c r="S648" t="str">
        <f t="shared" si="38"/>
        <v>P_ID_3</v>
      </c>
      <c r="T648">
        <v>3</v>
      </c>
      <c r="U648" s="18" t="b">
        <v>1</v>
      </c>
      <c r="W648" t="str">
        <f t="shared" si="39"/>
        <v>tak</v>
      </c>
      <c r="X648" t="s">
        <v>4814</v>
      </c>
    </row>
    <row r="649" spans="1:24" x14ac:dyDescent="0.3">
      <c r="A649" t="s">
        <v>4810</v>
      </c>
      <c r="B649" s="20" t="s">
        <v>3289</v>
      </c>
      <c r="C649" t="s">
        <v>4815</v>
      </c>
      <c r="D649" t="s">
        <v>4815</v>
      </c>
      <c r="E649" s="26" t="s">
        <v>4807</v>
      </c>
      <c r="F649" t="s">
        <v>4808</v>
      </c>
      <c r="G649">
        <v>4</v>
      </c>
      <c r="R649" s="18"/>
      <c r="S649" t="str">
        <f t="shared" ref="S649:S658" si="40">IF(ISERROR(FIND("_koniec",D649)),D649,LEFT(D649,FIND("_koniec",D649)-1))</f>
        <v>P_ID_4</v>
      </c>
      <c r="T649">
        <v>3</v>
      </c>
      <c r="U649" s="18" t="b">
        <v>1</v>
      </c>
      <c r="W649" t="str">
        <f t="shared" si="39"/>
        <v>tak</v>
      </c>
      <c r="X649" t="s">
        <v>4816</v>
      </c>
    </row>
    <row r="650" spans="1:24" x14ac:dyDescent="0.3">
      <c r="A650" t="s">
        <v>4810</v>
      </c>
      <c r="B650" s="20" t="s">
        <v>3289</v>
      </c>
      <c r="C650" t="s">
        <v>4817</v>
      </c>
      <c r="D650" t="s">
        <v>4817</v>
      </c>
      <c r="E650" s="26" t="s">
        <v>4807</v>
      </c>
      <c r="F650" t="s">
        <v>4808</v>
      </c>
      <c r="G650">
        <v>5</v>
      </c>
      <c r="R650" s="18"/>
      <c r="S650" t="str">
        <f t="shared" si="40"/>
        <v>P_ID_5</v>
      </c>
      <c r="T650">
        <v>3</v>
      </c>
      <c r="U650" s="18" t="b">
        <v>1</v>
      </c>
      <c r="W650" t="str">
        <f t="shared" si="39"/>
        <v>tak</v>
      </c>
      <c r="X650" t="s">
        <v>4818</v>
      </c>
    </row>
    <row r="651" spans="1:24" x14ac:dyDescent="0.3">
      <c r="A651" t="s">
        <v>4810</v>
      </c>
      <c r="B651" s="20" t="s">
        <v>3289</v>
      </c>
      <c r="C651" t="s">
        <v>4819</v>
      </c>
      <c r="D651" t="s">
        <v>4819</v>
      </c>
      <c r="E651" s="26" t="s">
        <v>4807</v>
      </c>
      <c r="F651" t="s">
        <v>4808</v>
      </c>
      <c r="G651">
        <v>6</v>
      </c>
      <c r="R651" s="18"/>
      <c r="S651" t="str">
        <f t="shared" si="40"/>
        <v>P_ID_6</v>
      </c>
      <c r="T651">
        <v>3</v>
      </c>
      <c r="U651" s="18" t="b">
        <v>1</v>
      </c>
      <c r="W651" t="str">
        <f t="shared" si="39"/>
        <v>tak</v>
      </c>
      <c r="X651" t="s">
        <v>4820</v>
      </c>
    </row>
    <row r="652" spans="1:24" x14ac:dyDescent="0.3">
      <c r="A652" t="s">
        <v>4810</v>
      </c>
      <c r="B652" s="20" t="s">
        <v>3289</v>
      </c>
      <c r="C652" t="s">
        <v>4821</v>
      </c>
      <c r="D652" t="s">
        <v>4821</v>
      </c>
      <c r="E652" s="26" t="s">
        <v>4807</v>
      </c>
      <c r="F652" t="s">
        <v>4808</v>
      </c>
      <c r="G652">
        <v>7</v>
      </c>
      <c r="R652" s="18"/>
      <c r="S652" t="str">
        <f t="shared" si="40"/>
        <v>P_ID_7</v>
      </c>
      <c r="T652">
        <v>3</v>
      </c>
      <c r="U652" s="18" t="b">
        <v>1</v>
      </c>
      <c r="W652" t="str">
        <f t="shared" si="39"/>
        <v>tak</v>
      </c>
      <c r="X652" t="s">
        <v>4822</v>
      </c>
    </row>
    <row r="653" spans="1:24" x14ac:dyDescent="0.3">
      <c r="A653" t="s">
        <v>4810</v>
      </c>
      <c r="B653" s="20" t="s">
        <v>3289</v>
      </c>
      <c r="C653" t="s">
        <v>4823</v>
      </c>
      <c r="D653" t="s">
        <v>4823</v>
      </c>
      <c r="E653" s="26" t="s">
        <v>4807</v>
      </c>
      <c r="F653" t="s">
        <v>4808</v>
      </c>
      <c r="G653">
        <v>8</v>
      </c>
      <c r="R653" s="18"/>
      <c r="S653" t="str">
        <f t="shared" si="40"/>
        <v>P_ID_8</v>
      </c>
      <c r="T653">
        <v>3</v>
      </c>
      <c r="U653" s="18" t="b">
        <v>1</v>
      </c>
      <c r="W653" t="str">
        <f t="shared" si="39"/>
        <v>tak</v>
      </c>
      <c r="X653" t="s">
        <v>4824</v>
      </c>
    </row>
    <row r="654" spans="1:24" x14ac:dyDescent="0.3">
      <c r="A654" t="s">
        <v>4810</v>
      </c>
      <c r="B654" s="20" t="s">
        <v>3289</v>
      </c>
      <c r="C654" t="s">
        <v>4825</v>
      </c>
      <c r="D654" t="s">
        <v>4825</v>
      </c>
      <c r="E654" s="26" t="s">
        <v>4807</v>
      </c>
      <c r="F654" t="s">
        <v>4808</v>
      </c>
      <c r="G654">
        <v>9</v>
      </c>
      <c r="R654" s="18"/>
      <c r="S654" t="str">
        <f t="shared" si="40"/>
        <v>P_ID_9</v>
      </c>
      <c r="T654">
        <v>3</v>
      </c>
      <c r="U654" s="18" t="b">
        <v>1</v>
      </c>
      <c r="W654" t="str">
        <f t="shared" si="39"/>
        <v>tak</v>
      </c>
      <c r="X654" t="s">
        <v>4826</v>
      </c>
    </row>
    <row r="655" spans="1:24" x14ac:dyDescent="0.3">
      <c r="A655" t="s">
        <v>4805</v>
      </c>
      <c r="B655" s="20" t="s">
        <v>3289</v>
      </c>
      <c r="C655" t="s">
        <v>4827</v>
      </c>
      <c r="D655" t="s">
        <v>4827</v>
      </c>
      <c r="E655" s="26" t="s">
        <v>4807</v>
      </c>
      <c r="F655" t="s">
        <v>4808</v>
      </c>
      <c r="G655">
        <v>10</v>
      </c>
      <c r="R655" s="18"/>
      <c r="S655" t="str">
        <f t="shared" si="40"/>
        <v>P_ID_10</v>
      </c>
      <c r="T655">
        <v>3</v>
      </c>
      <c r="U655" s="18" t="b">
        <v>1</v>
      </c>
      <c r="W655" t="str">
        <f t="shared" si="39"/>
        <v>tak</v>
      </c>
      <c r="X655" t="s">
        <v>4828</v>
      </c>
    </row>
    <row r="656" spans="1:24" x14ac:dyDescent="0.3">
      <c r="A656" t="s">
        <v>4805</v>
      </c>
      <c r="B656" s="20" t="s">
        <v>3289</v>
      </c>
      <c r="C656" t="s">
        <v>4829</v>
      </c>
      <c r="D656" t="s">
        <v>4829</v>
      </c>
      <c r="E656" s="26" t="s">
        <v>4807</v>
      </c>
      <c r="F656" t="s">
        <v>4808</v>
      </c>
      <c r="G656">
        <v>11</v>
      </c>
      <c r="R656" s="18"/>
      <c r="S656" t="str">
        <f t="shared" si="40"/>
        <v>P_ID_11</v>
      </c>
      <c r="T656">
        <v>3</v>
      </c>
      <c r="U656" s="18" t="b">
        <v>1</v>
      </c>
      <c r="W656" t="str">
        <f t="shared" si="39"/>
        <v>tak</v>
      </c>
      <c r="X656" t="s">
        <v>4830</v>
      </c>
    </row>
    <row r="657" spans="1:24" x14ac:dyDescent="0.3">
      <c r="A657" t="s">
        <v>3241</v>
      </c>
      <c r="B657" s="20" t="s">
        <v>3344</v>
      </c>
      <c r="C657" t="s">
        <v>4803</v>
      </c>
      <c r="D657" t="s">
        <v>4803</v>
      </c>
      <c r="E657" t="s">
        <v>4803</v>
      </c>
      <c r="R657" s="18"/>
      <c r="S657" t="str">
        <f t="shared" si="40"/>
        <v>InformacjaDodatkowaDotyczacaPodatkuDochodowego</v>
      </c>
      <c r="T657">
        <v>1</v>
      </c>
      <c r="U657" s="18" t="b">
        <v>0</v>
      </c>
      <c r="W657" t="str">
        <f t="shared" si="39"/>
        <v>tak</v>
      </c>
      <c r="X657" t="s">
        <v>4804</v>
      </c>
    </row>
    <row r="658" spans="1:24" x14ac:dyDescent="0.3">
      <c r="A658" t="s">
        <v>3241</v>
      </c>
      <c r="B658" s="20" t="s">
        <v>3344</v>
      </c>
      <c r="C658" t="s">
        <v>4750</v>
      </c>
      <c r="D658" t="s">
        <v>4751</v>
      </c>
      <c r="E658" t="s">
        <v>4751</v>
      </c>
      <c r="R658" s="18"/>
      <c r="S658" t="str">
        <f t="shared" si="40"/>
        <v>DodatkoweInformacjeIObjasnieniaJednstkaInna</v>
      </c>
      <c r="T658">
        <v>1</v>
      </c>
      <c r="U658" s="18" t="b">
        <v>0</v>
      </c>
      <c r="W658" t="s">
        <v>3224</v>
      </c>
      <c r="X658" t="s">
        <v>4752</v>
      </c>
    </row>
  </sheetData>
  <autoFilter ref="A2:W658" xr:uid="{00000000-0009-0000-0000-00000400000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E3202"/>
  <sheetViews>
    <sheetView topLeftCell="A2972" workbookViewId="0">
      <selection activeCell="E2981" sqref="E2981"/>
    </sheetView>
  </sheetViews>
  <sheetFormatPr defaultRowHeight="15.05" x14ac:dyDescent="0.3"/>
  <cols>
    <col min="1" max="1" width="25" bestFit="1" customWidth="1"/>
    <col min="2" max="2" width="18.6640625" bestFit="1" customWidth="1"/>
    <col min="3" max="3" width="22.33203125" style="22" bestFit="1" customWidth="1"/>
    <col min="4" max="4" width="43.6640625" bestFit="1" customWidth="1"/>
    <col min="5" max="5" width="19.88671875" customWidth="1"/>
  </cols>
  <sheetData>
    <row r="1" spans="1:5" x14ac:dyDescent="0.3">
      <c r="A1" t="s">
        <v>4831</v>
      </c>
      <c r="B1" t="s">
        <v>4832</v>
      </c>
      <c r="C1" s="22" t="s">
        <v>4833</v>
      </c>
      <c r="D1" t="s">
        <v>4834</v>
      </c>
      <c r="E1" t="s">
        <v>4835</v>
      </c>
    </row>
    <row r="2" spans="1:5" x14ac:dyDescent="0.3">
      <c r="A2" t="s">
        <v>4836</v>
      </c>
      <c r="B2" t="s">
        <v>3471</v>
      </c>
      <c r="C2" s="22" t="s">
        <v>4837</v>
      </c>
      <c r="D2" t="s">
        <v>4838</v>
      </c>
    </row>
    <row r="3" spans="1:5" x14ac:dyDescent="0.3">
      <c r="A3" t="s">
        <v>4836</v>
      </c>
      <c r="B3" t="s">
        <v>3788</v>
      </c>
      <c r="C3" s="22" t="s">
        <v>4839</v>
      </c>
      <c r="D3" t="s">
        <v>4838</v>
      </c>
    </row>
    <row r="4" spans="1:5" x14ac:dyDescent="0.3">
      <c r="A4" t="s">
        <v>4836</v>
      </c>
      <c r="B4" t="s">
        <v>4011</v>
      </c>
      <c r="C4" s="22" t="s">
        <v>4840</v>
      </c>
      <c r="D4">
        <f>rzis!F10+rzis!F11+rzis!F12+rzis!F13</f>
        <v>0</v>
      </c>
    </row>
    <row r="5" spans="1:5" x14ac:dyDescent="0.3">
      <c r="A5" t="s">
        <v>4836</v>
      </c>
      <c r="B5" t="s">
        <v>4011</v>
      </c>
      <c r="C5" s="22" t="s">
        <v>4841</v>
      </c>
      <c r="D5">
        <f>rzis!F15+rzis!F16+rzis!F17+rzis!F18+rzis!F20+rzis!F21+rzis!F23+rzis!F24</f>
        <v>0</v>
      </c>
    </row>
    <row r="6" spans="1:5" x14ac:dyDescent="0.3">
      <c r="A6" t="s">
        <v>4836</v>
      </c>
      <c r="B6" t="s">
        <v>4011</v>
      </c>
      <c r="C6" s="22" t="s">
        <v>4842</v>
      </c>
      <c r="D6">
        <f>rzis!F8-rzis!F14</f>
        <v>0</v>
      </c>
    </row>
    <row r="7" spans="1:5" x14ac:dyDescent="0.3">
      <c r="A7" t="s">
        <v>4836</v>
      </c>
      <c r="B7" t="s">
        <v>4011</v>
      </c>
      <c r="C7" s="22" t="s">
        <v>4843</v>
      </c>
      <c r="D7">
        <f>rzis!F27+rzis!F28+rzis!F29+rzis!F30</f>
        <v>0</v>
      </c>
    </row>
    <row r="8" spans="1:5" x14ac:dyDescent="0.3">
      <c r="A8" t="s">
        <v>4836</v>
      </c>
      <c r="B8" t="s">
        <v>4011</v>
      </c>
      <c r="C8" s="22" t="s">
        <v>4844</v>
      </c>
      <c r="D8">
        <f>rzis!F32+rzis!F33+rzis!F34</f>
        <v>0</v>
      </c>
    </row>
    <row r="9" spans="1:5" x14ac:dyDescent="0.3">
      <c r="A9" t="s">
        <v>4836</v>
      </c>
      <c r="B9" t="s">
        <v>4011</v>
      </c>
      <c r="C9" s="22" t="s">
        <v>4845</v>
      </c>
      <c r="D9">
        <f>rzis!F25+rzis!F26-rzis!F31</f>
        <v>0</v>
      </c>
    </row>
    <row r="10" spans="1:5" x14ac:dyDescent="0.3">
      <c r="A10" t="s">
        <v>4836</v>
      </c>
      <c r="B10" t="s">
        <v>4011</v>
      </c>
      <c r="C10" s="22" t="s">
        <v>4846</v>
      </c>
      <c r="D10">
        <f>rzis!F37+rzis!F42+rzis!F44+rzis!F46+rzis!F47</f>
        <v>0</v>
      </c>
    </row>
    <row r="11" spans="1:5" x14ac:dyDescent="0.3">
      <c r="A11" t="s">
        <v>4836</v>
      </c>
      <c r="B11" t="s">
        <v>4011</v>
      </c>
      <c r="C11" s="22" t="s">
        <v>4847</v>
      </c>
      <c r="D11">
        <f>rzis!F38+rzis!F40</f>
        <v>0</v>
      </c>
    </row>
    <row r="12" spans="1:5" x14ac:dyDescent="0.3">
      <c r="A12" t="s">
        <v>4836</v>
      </c>
      <c r="B12" t="s">
        <v>4011</v>
      </c>
      <c r="C12" s="22" t="s">
        <v>4848</v>
      </c>
      <c r="D12">
        <f>rzis!F49+rzis!F51+rzis!F53+rzis!F54</f>
        <v>0</v>
      </c>
    </row>
    <row r="13" spans="1:5" x14ac:dyDescent="0.3">
      <c r="A13" t="s">
        <v>4836</v>
      </c>
      <c r="B13" t="s">
        <v>4011</v>
      </c>
      <c r="C13" s="22" t="s">
        <v>4849</v>
      </c>
      <c r="D13">
        <f>ROUND(rzis!F35,2)+ROUND(rzis!F36,2)-ROUND(rzis!F48,2)</f>
        <v>0</v>
      </c>
    </row>
    <row r="14" spans="1:5" x14ac:dyDescent="0.3">
      <c r="A14" t="s">
        <v>4836</v>
      </c>
      <c r="B14" t="s">
        <v>4011</v>
      </c>
      <c r="C14" s="22" t="s">
        <v>4850</v>
      </c>
      <c r="D14">
        <f>ROUND(rzis!F55,2)-ROUND(rzis!F56,2)-ROUND(rzis!F57,2)</f>
        <v>0</v>
      </c>
    </row>
    <row r="15" spans="1:5" x14ac:dyDescent="0.3">
      <c r="A15" t="s">
        <v>4836</v>
      </c>
      <c r="B15" t="s">
        <v>4011</v>
      </c>
      <c r="C15" s="22" t="s">
        <v>4851</v>
      </c>
      <c r="D15">
        <f>rzis!H10+rzis!H11+rzis!H12+rzis!H13</f>
        <v>0</v>
      </c>
    </row>
    <row r="16" spans="1:5" x14ac:dyDescent="0.3">
      <c r="A16" t="s">
        <v>4836</v>
      </c>
      <c r="B16" t="s">
        <v>4011</v>
      </c>
      <c r="C16" s="22" t="s">
        <v>4852</v>
      </c>
      <c r="D16">
        <f>rzis!H15+rzis!H16+rzis!H17+rzis!H18+rzis!H20+rzis!H21+rzis!H23+rzis!H24</f>
        <v>0</v>
      </c>
    </row>
    <row r="17" spans="1:4" x14ac:dyDescent="0.3">
      <c r="A17" t="s">
        <v>4836</v>
      </c>
      <c r="B17" t="s">
        <v>4011</v>
      </c>
      <c r="C17" s="22" t="s">
        <v>4853</v>
      </c>
      <c r="D17">
        <f>rzis!H8-rzis!H14</f>
        <v>0</v>
      </c>
    </row>
    <row r="18" spans="1:4" x14ac:dyDescent="0.3">
      <c r="A18" t="s">
        <v>4836</v>
      </c>
      <c r="B18" t="s">
        <v>4011</v>
      </c>
      <c r="C18" s="22" t="s">
        <v>4854</v>
      </c>
      <c r="D18">
        <f>rzis!H27+rzis!H28+rzis!H29+rzis!H30</f>
        <v>0</v>
      </c>
    </row>
    <row r="19" spans="1:4" x14ac:dyDescent="0.3">
      <c r="A19" t="s">
        <v>4836</v>
      </c>
      <c r="B19" t="s">
        <v>4011</v>
      </c>
      <c r="C19" s="22" t="s">
        <v>4855</v>
      </c>
      <c r="D19">
        <f>rzis!H32+rzis!H33+rzis!H34</f>
        <v>0</v>
      </c>
    </row>
    <row r="20" spans="1:4" x14ac:dyDescent="0.3">
      <c r="A20" t="s">
        <v>4836</v>
      </c>
      <c r="B20" t="s">
        <v>4011</v>
      </c>
      <c r="C20" s="22" t="s">
        <v>4856</v>
      </c>
      <c r="D20">
        <f>rzis!H25+rzis!H26-rzis!H31</f>
        <v>0</v>
      </c>
    </row>
    <row r="21" spans="1:4" x14ac:dyDescent="0.3">
      <c r="A21" t="s">
        <v>4836</v>
      </c>
      <c r="B21" t="s">
        <v>4011</v>
      </c>
      <c r="C21" s="22" t="s">
        <v>4857</v>
      </c>
      <c r="D21">
        <f>rzis!H37+rzis!H42+rzis!H44+rzis!H46+rzis!H47</f>
        <v>0</v>
      </c>
    </row>
    <row r="22" spans="1:4" x14ac:dyDescent="0.3">
      <c r="A22" t="s">
        <v>4836</v>
      </c>
      <c r="B22" t="s">
        <v>4011</v>
      </c>
      <c r="C22" s="22" t="s">
        <v>4858</v>
      </c>
      <c r="D22">
        <f>rzis!H38+rzis!H40</f>
        <v>0</v>
      </c>
    </row>
    <row r="23" spans="1:4" x14ac:dyDescent="0.3">
      <c r="A23" t="s">
        <v>4836</v>
      </c>
      <c r="B23" t="s">
        <v>4011</v>
      </c>
      <c r="C23" s="22" t="s">
        <v>4856</v>
      </c>
      <c r="D23">
        <f>rzis!H49+rzis!H51+rzis!H53+rzis!H54</f>
        <v>0</v>
      </c>
    </row>
    <row r="24" spans="1:4" x14ac:dyDescent="0.3">
      <c r="A24" t="s">
        <v>4836</v>
      </c>
      <c r="B24" t="s">
        <v>4011</v>
      </c>
      <c r="C24" s="22" t="s">
        <v>4859</v>
      </c>
      <c r="D24">
        <f>ROUND(rzis!H35,2)+ROUND(rzis!H36,2)-ROUND(rzis!H48,2)</f>
        <v>0</v>
      </c>
    </row>
    <row r="25" spans="1:4" x14ac:dyDescent="0.3">
      <c r="A25" t="s">
        <v>4836</v>
      </c>
      <c r="B25" t="s">
        <v>4011</v>
      </c>
      <c r="C25" s="22" t="s">
        <v>4860</v>
      </c>
      <c r="D25">
        <f>ROUND(rzis!H55,2)-ROUND(rzis!H56,2)-ROUND(rzis!H57,2)</f>
        <v>0</v>
      </c>
    </row>
    <row r="26" spans="1:4" x14ac:dyDescent="0.3">
      <c r="A26" t="s">
        <v>4836</v>
      </c>
      <c r="B26" t="s">
        <v>4861</v>
      </c>
      <c r="C26" s="22" t="s">
        <v>4862</v>
      </c>
      <c r="D26">
        <f>ROUND(kapitał!H61,2)</f>
        <v>0</v>
      </c>
    </row>
    <row r="27" spans="1:4" x14ac:dyDescent="0.3">
      <c r="A27" t="s">
        <v>4836</v>
      </c>
      <c r="B27" t="s">
        <v>4861</v>
      </c>
      <c r="C27" s="22" t="s">
        <v>4863</v>
      </c>
      <c r="D27">
        <f>kapitał!F8+kapitał!F9+kapitał!F10</f>
        <v>0</v>
      </c>
    </row>
    <row r="28" spans="1:4" x14ac:dyDescent="0.3">
      <c r="A28" t="s">
        <v>4836</v>
      </c>
      <c r="B28" t="s">
        <v>4861</v>
      </c>
      <c r="C28" s="22" t="s">
        <v>4864</v>
      </c>
      <c r="D28">
        <f>kapitał!H18</f>
        <v>0</v>
      </c>
    </row>
    <row r="29" spans="1:4" x14ac:dyDescent="0.3">
      <c r="A29" t="s">
        <v>4836</v>
      </c>
      <c r="B29" t="s">
        <v>4861</v>
      </c>
      <c r="C29" s="22" t="s">
        <v>4865</v>
      </c>
      <c r="D29">
        <f>kapitał!F14+kapitał!F16</f>
        <v>0</v>
      </c>
    </row>
    <row r="30" spans="1:4" x14ac:dyDescent="0.3">
      <c r="A30" t="s">
        <v>4836</v>
      </c>
      <c r="B30" t="s">
        <v>4861</v>
      </c>
      <c r="C30" s="22" t="s">
        <v>4866</v>
      </c>
      <c r="D30">
        <f>kapitał!F15</f>
        <v>0</v>
      </c>
    </row>
    <row r="31" spans="1:4" x14ac:dyDescent="0.3">
      <c r="A31" t="s">
        <v>4836</v>
      </c>
      <c r="B31" t="s">
        <v>4861</v>
      </c>
      <c r="C31" s="22" t="s">
        <v>4867</v>
      </c>
      <c r="D31">
        <f>kapitał!F17</f>
        <v>0</v>
      </c>
    </row>
    <row r="32" spans="1:4" x14ac:dyDescent="0.3">
      <c r="A32" t="s">
        <v>4836</v>
      </c>
      <c r="B32" t="s">
        <v>4861</v>
      </c>
      <c r="C32" s="22" t="s">
        <v>4868</v>
      </c>
      <c r="D32">
        <f>kapitał!F12+kapitał!F13</f>
        <v>0</v>
      </c>
    </row>
    <row r="33" spans="1:4" x14ac:dyDescent="0.3">
      <c r="A33" t="s">
        <v>4836</v>
      </c>
      <c r="B33" t="s">
        <v>4861</v>
      </c>
      <c r="C33" s="22" t="s">
        <v>4869</v>
      </c>
      <c r="D33">
        <f>kapitał!H27</f>
        <v>0</v>
      </c>
    </row>
    <row r="34" spans="1:4" x14ac:dyDescent="0.3">
      <c r="A34" t="s">
        <v>4836</v>
      </c>
      <c r="B34" t="s">
        <v>4861</v>
      </c>
      <c r="C34" s="22" t="s">
        <v>4870</v>
      </c>
      <c r="D34">
        <f>kapitał!F21+kapitał!F25</f>
        <v>0</v>
      </c>
    </row>
    <row r="35" spans="1:4" x14ac:dyDescent="0.3">
      <c r="A35" t="s">
        <v>4836</v>
      </c>
      <c r="B35" t="s">
        <v>4861</v>
      </c>
      <c r="C35" s="22" t="s">
        <v>4871</v>
      </c>
      <c r="D35">
        <f>kapitał!F22+kapitał!F23+kapitał!F24</f>
        <v>0</v>
      </c>
    </row>
    <row r="36" spans="1:4" x14ac:dyDescent="0.3">
      <c r="A36" t="s">
        <v>4836</v>
      </c>
      <c r="B36" t="s">
        <v>4861</v>
      </c>
      <c r="C36" s="22" t="s">
        <v>4872</v>
      </c>
      <c r="D36">
        <f>kapitał!F26</f>
        <v>0</v>
      </c>
    </row>
    <row r="37" spans="1:4" x14ac:dyDescent="0.3">
      <c r="A37" t="s">
        <v>4836</v>
      </c>
      <c r="B37" t="s">
        <v>4861</v>
      </c>
      <c r="C37" s="22" t="s">
        <v>4873</v>
      </c>
      <c r="D37">
        <f>kapitał!F19+kapitał!F20</f>
        <v>0</v>
      </c>
    </row>
    <row r="38" spans="1:4" x14ac:dyDescent="0.3">
      <c r="A38" t="s">
        <v>4836</v>
      </c>
      <c r="B38" t="s">
        <v>4861</v>
      </c>
      <c r="C38" s="22" t="s">
        <v>4874</v>
      </c>
      <c r="D38">
        <f>kapitał!H33</f>
        <v>0</v>
      </c>
    </row>
    <row r="39" spans="1:4" x14ac:dyDescent="0.3">
      <c r="A39" t="s">
        <v>4836</v>
      </c>
      <c r="B39" t="s">
        <v>4861</v>
      </c>
      <c r="C39" s="22" t="s">
        <v>4875</v>
      </c>
      <c r="D39">
        <f>kapitał!F30+kapitał!F31</f>
        <v>0</v>
      </c>
    </row>
    <row r="40" spans="1:4" x14ac:dyDescent="0.3">
      <c r="A40" t="s">
        <v>4836</v>
      </c>
      <c r="B40" t="s">
        <v>4861</v>
      </c>
      <c r="C40" s="22" t="s">
        <v>4876</v>
      </c>
      <c r="D40">
        <f>kapitał!F32</f>
        <v>0</v>
      </c>
    </row>
    <row r="41" spans="1:4" x14ac:dyDescent="0.3">
      <c r="A41" t="s">
        <v>4836</v>
      </c>
      <c r="B41" t="s">
        <v>4861</v>
      </c>
      <c r="C41" s="22" t="s">
        <v>4877</v>
      </c>
      <c r="D41">
        <f>kapitał!F28+kapitał!F29</f>
        <v>0</v>
      </c>
    </row>
    <row r="42" spans="1:4" x14ac:dyDescent="0.3">
      <c r="A42" t="s">
        <v>4836</v>
      </c>
      <c r="B42" t="s">
        <v>4861</v>
      </c>
      <c r="C42" s="22" t="s">
        <v>4878</v>
      </c>
      <c r="D42">
        <f>kapitał!H38</f>
        <v>0</v>
      </c>
    </row>
    <row r="43" spans="1:4" x14ac:dyDescent="0.3">
      <c r="A43" t="s">
        <v>4836</v>
      </c>
      <c r="B43" t="s">
        <v>4861</v>
      </c>
      <c r="C43" s="22" t="s">
        <v>4879</v>
      </c>
      <c r="D43">
        <f>kapitał!F36+kapitał!F37</f>
        <v>0</v>
      </c>
    </row>
    <row r="44" spans="1:4" x14ac:dyDescent="0.3">
      <c r="A44" t="s">
        <v>4836</v>
      </c>
      <c r="B44" t="s">
        <v>4861</v>
      </c>
      <c r="C44" s="22" t="s">
        <v>4880</v>
      </c>
      <c r="D44">
        <f>kapitał!F34+kapitał!F35</f>
        <v>0</v>
      </c>
    </row>
    <row r="45" spans="1:4" x14ac:dyDescent="0.3">
      <c r="A45" t="s">
        <v>4836</v>
      </c>
      <c r="B45" t="s">
        <v>4861</v>
      </c>
      <c r="C45" s="22" t="s">
        <v>4881</v>
      </c>
      <c r="D45">
        <f>IF(kapitał!F40&lt;&gt;0,kapitał!F40,kapitał!F48)</f>
        <v>0</v>
      </c>
    </row>
    <row r="46" spans="1:4" x14ac:dyDescent="0.3">
      <c r="A46" t="s">
        <v>4836</v>
      </c>
      <c r="B46" t="s">
        <v>4861</v>
      </c>
      <c r="C46" s="22" t="s">
        <v>4882</v>
      </c>
      <c r="D46">
        <f>kapitał!H47</f>
        <v>0</v>
      </c>
    </row>
    <row r="47" spans="1:4" x14ac:dyDescent="0.3">
      <c r="A47" t="s">
        <v>4836</v>
      </c>
      <c r="B47" t="s">
        <v>4861</v>
      </c>
      <c r="C47" s="22" t="s">
        <v>4883</v>
      </c>
      <c r="D47">
        <f>kapitał!F40+kapitał!F41+kapitał!F42</f>
        <v>0</v>
      </c>
    </row>
    <row r="48" spans="1:4" x14ac:dyDescent="0.3">
      <c r="A48" t="s">
        <v>4836</v>
      </c>
      <c r="B48" t="s">
        <v>4861</v>
      </c>
      <c r="C48" s="22" t="s">
        <v>4884</v>
      </c>
      <c r="D48">
        <f>kapitał!F45</f>
        <v>0</v>
      </c>
    </row>
    <row r="49" spans="1:4" x14ac:dyDescent="0.3">
      <c r="A49" t="s">
        <v>4836</v>
      </c>
      <c r="B49" t="s">
        <v>4861</v>
      </c>
      <c r="C49" s="22" t="s">
        <v>4885</v>
      </c>
      <c r="D49">
        <f>kapitał!F43+kapitał!F44+kapitał!F46</f>
        <v>0</v>
      </c>
    </row>
    <row r="50" spans="1:4" x14ac:dyDescent="0.3">
      <c r="A50" t="s">
        <v>4836</v>
      </c>
      <c r="B50" t="s">
        <v>4861</v>
      </c>
      <c r="C50" s="22" t="s">
        <v>4886</v>
      </c>
      <c r="D50">
        <f>kapitał!H55</f>
        <v>0</v>
      </c>
    </row>
    <row r="51" spans="1:4" x14ac:dyDescent="0.3">
      <c r="A51" t="s">
        <v>4836</v>
      </c>
      <c r="B51" t="s">
        <v>4861</v>
      </c>
      <c r="C51" s="22" t="s">
        <v>4887</v>
      </c>
      <c r="D51">
        <f>kapitał!F48+kapitał!F49+kapitał!F50</f>
        <v>0</v>
      </c>
    </row>
    <row r="52" spans="1:4" x14ac:dyDescent="0.3">
      <c r="A52" t="s">
        <v>4836</v>
      </c>
      <c r="B52" t="s">
        <v>4861</v>
      </c>
      <c r="C52" s="22" t="s">
        <v>4888</v>
      </c>
      <c r="D52">
        <f>kapitał!F53</f>
        <v>0</v>
      </c>
    </row>
    <row r="53" spans="1:4" x14ac:dyDescent="0.3">
      <c r="A53" t="s">
        <v>4836</v>
      </c>
      <c r="B53" t="s">
        <v>4861</v>
      </c>
      <c r="C53" s="22" t="s">
        <v>4889</v>
      </c>
      <c r="D53">
        <f>kapitał!F51+kapitał!F52+kapitał!F54</f>
        <v>0</v>
      </c>
    </row>
    <row r="54" spans="1:4" x14ac:dyDescent="0.3">
      <c r="A54" t="s">
        <v>4836</v>
      </c>
      <c r="B54" t="s">
        <v>4861</v>
      </c>
      <c r="C54" s="22" t="s">
        <v>4890</v>
      </c>
      <c r="D54">
        <f>IF(kapitał!F47&lt;&gt;0,kapitał!F47,kapitał!F55)</f>
        <v>0</v>
      </c>
    </row>
    <row r="55" spans="1:4" x14ac:dyDescent="0.3">
      <c r="A55" t="s">
        <v>4836</v>
      </c>
      <c r="B55" t="s">
        <v>4861</v>
      </c>
      <c r="C55" s="22" t="s">
        <v>4891</v>
      </c>
      <c r="D55">
        <f>kapitał!F58+kapitał!F59+kapitał!F60</f>
        <v>0</v>
      </c>
    </row>
    <row r="56" spans="1:4" x14ac:dyDescent="0.3">
      <c r="A56" t="s">
        <v>4836</v>
      </c>
      <c r="B56" t="s">
        <v>4861</v>
      </c>
      <c r="C56" s="22" t="s">
        <v>4892</v>
      </c>
      <c r="D56">
        <f>IF(rzis!F58&gt;0,rzis!F58,0)</f>
        <v>0</v>
      </c>
    </row>
    <row r="57" spans="1:4" x14ac:dyDescent="0.3">
      <c r="A57" t="s">
        <v>4836</v>
      </c>
      <c r="B57" t="s">
        <v>4861</v>
      </c>
      <c r="C57" s="22" t="s">
        <v>4893</v>
      </c>
      <c r="D57">
        <f>IF(rzis!F58&lt;0,rzis!F58,0)</f>
        <v>0</v>
      </c>
    </row>
    <row r="58" spans="1:4" x14ac:dyDescent="0.3">
      <c r="A58" t="s">
        <v>4836</v>
      </c>
      <c r="B58" t="s">
        <v>4861</v>
      </c>
      <c r="C58" s="22" t="s">
        <v>4894</v>
      </c>
      <c r="D58">
        <f>ROUND(kapitał!F18,2)+ROUND(kapitał!F27,2)+ROUND(kapitał!F33,2)+ROUND(kapitał!F38,2)+ROUND(kapitał!F56,2)+ROUND(kapitał!F57,2)</f>
        <v>0</v>
      </c>
    </row>
    <row r="59" spans="1:4" x14ac:dyDescent="0.3">
      <c r="A59" t="s">
        <v>4836</v>
      </c>
      <c r="B59" t="s">
        <v>4861</v>
      </c>
      <c r="C59" s="22" t="s">
        <v>2370</v>
      </c>
      <c r="D59">
        <f>kapitał!H8+kapitał!H9+kapitał!H10</f>
        <v>0</v>
      </c>
    </row>
    <row r="60" spans="1:4" x14ac:dyDescent="0.3">
      <c r="A60" t="s">
        <v>4836</v>
      </c>
      <c r="B60" t="s">
        <v>4861</v>
      </c>
      <c r="C60" s="22" t="s">
        <v>2374</v>
      </c>
      <c r="D60">
        <f>kapitał!H14+kapitał!H16</f>
        <v>0</v>
      </c>
    </row>
    <row r="61" spans="1:4" x14ac:dyDescent="0.3">
      <c r="A61" t="s">
        <v>4836</v>
      </c>
      <c r="B61" t="s">
        <v>4861</v>
      </c>
      <c r="C61" s="22" t="s">
        <v>2376</v>
      </c>
      <c r="D61">
        <f>kapitał!H15</f>
        <v>0</v>
      </c>
    </row>
    <row r="62" spans="1:4" x14ac:dyDescent="0.3">
      <c r="A62" t="s">
        <v>4836</v>
      </c>
      <c r="B62" t="s">
        <v>4861</v>
      </c>
      <c r="C62" s="22" t="s">
        <v>2380</v>
      </c>
      <c r="D62">
        <f>kapitał!H17</f>
        <v>0</v>
      </c>
    </row>
    <row r="63" spans="1:4" x14ac:dyDescent="0.3">
      <c r="A63" t="s">
        <v>4836</v>
      </c>
      <c r="B63" t="s">
        <v>4861</v>
      </c>
      <c r="C63" s="22" t="s">
        <v>2384</v>
      </c>
      <c r="D63">
        <f>kapitał!H12+kapitał!H13</f>
        <v>0</v>
      </c>
    </row>
    <row r="64" spans="1:4" x14ac:dyDescent="0.3">
      <c r="A64" t="s">
        <v>4836</v>
      </c>
      <c r="B64" t="s">
        <v>4861</v>
      </c>
      <c r="C64" s="22" t="s">
        <v>2388</v>
      </c>
      <c r="D64">
        <f>kapitał!H21+kapitał!H25</f>
        <v>0</v>
      </c>
    </row>
    <row r="65" spans="1:4" x14ac:dyDescent="0.3">
      <c r="A65" t="s">
        <v>4836</v>
      </c>
      <c r="B65" t="s">
        <v>4861</v>
      </c>
      <c r="C65" s="22" t="s">
        <v>2390</v>
      </c>
      <c r="D65">
        <f>kapitał!H22+kapitał!H23+kapitał!H24</f>
        <v>0</v>
      </c>
    </row>
    <row r="66" spans="1:4" x14ac:dyDescent="0.3">
      <c r="A66" t="s">
        <v>4836</v>
      </c>
      <c r="B66" t="s">
        <v>4861</v>
      </c>
      <c r="C66" s="22" t="s">
        <v>2398</v>
      </c>
      <c r="D66">
        <f>kapitał!H26</f>
        <v>0</v>
      </c>
    </row>
    <row r="67" spans="1:4" x14ac:dyDescent="0.3">
      <c r="A67" t="s">
        <v>4836</v>
      </c>
      <c r="B67" t="s">
        <v>4861</v>
      </c>
      <c r="C67" s="22" t="s">
        <v>2402</v>
      </c>
      <c r="D67">
        <f>kapitał!H19+kapitał!H20</f>
        <v>0</v>
      </c>
    </row>
    <row r="68" spans="1:4" x14ac:dyDescent="0.3">
      <c r="A68" t="s">
        <v>4836</v>
      </c>
      <c r="B68" t="s">
        <v>4861</v>
      </c>
      <c r="C68" s="22" t="s">
        <v>2406</v>
      </c>
      <c r="D68">
        <f>kapitał!H30+kapitał!H31</f>
        <v>0</v>
      </c>
    </row>
    <row r="69" spans="1:4" x14ac:dyDescent="0.3">
      <c r="A69" t="s">
        <v>4836</v>
      </c>
      <c r="B69" t="s">
        <v>4861</v>
      </c>
      <c r="C69" s="22" t="s">
        <v>2410</v>
      </c>
      <c r="D69">
        <f>kapitał!H32</f>
        <v>0</v>
      </c>
    </row>
    <row r="70" spans="1:4" x14ac:dyDescent="0.3">
      <c r="A70" t="s">
        <v>4836</v>
      </c>
      <c r="B70" t="s">
        <v>4861</v>
      </c>
      <c r="C70" s="22" t="s">
        <v>2414</v>
      </c>
      <c r="D70">
        <f>kapitał!H28+kapitał!H29</f>
        <v>0</v>
      </c>
    </row>
    <row r="71" spans="1:4" x14ac:dyDescent="0.3">
      <c r="A71" t="s">
        <v>4836</v>
      </c>
      <c r="B71" t="s">
        <v>4861</v>
      </c>
      <c r="C71" s="22" t="s">
        <v>2418</v>
      </c>
      <c r="D71">
        <f>kapitał!H36+kapitał!H37</f>
        <v>0</v>
      </c>
    </row>
    <row r="72" spans="1:4" x14ac:dyDescent="0.3">
      <c r="A72" t="s">
        <v>4836</v>
      </c>
      <c r="B72" t="s">
        <v>4861</v>
      </c>
      <c r="C72" s="22" t="s">
        <v>2424</v>
      </c>
      <c r="D72">
        <f>kapitał!H34+kapitał!H35</f>
        <v>0</v>
      </c>
    </row>
    <row r="73" spans="1:4" x14ac:dyDescent="0.3">
      <c r="A73" t="s">
        <v>4836</v>
      </c>
      <c r="B73" t="s">
        <v>4861</v>
      </c>
      <c r="C73" s="22" t="s">
        <v>2426</v>
      </c>
      <c r="D73">
        <f>IF(kapitał!H40&lt;&gt;0,kapitał!H40,kapitał!H48)</f>
        <v>0</v>
      </c>
    </row>
    <row r="74" spans="1:4" x14ac:dyDescent="0.3">
      <c r="A74" t="s">
        <v>4836</v>
      </c>
      <c r="B74" t="s">
        <v>4861</v>
      </c>
      <c r="C74" s="22" t="s">
        <v>2434</v>
      </c>
      <c r="D74">
        <f>kapitał!H40+kapitał!H41+kapitał!H42</f>
        <v>0</v>
      </c>
    </row>
    <row r="75" spans="1:4" x14ac:dyDescent="0.3">
      <c r="A75" t="s">
        <v>4836</v>
      </c>
      <c r="B75" t="s">
        <v>4861</v>
      </c>
      <c r="C75" s="22" t="s">
        <v>2436</v>
      </c>
      <c r="D75">
        <f>kapitał!H45</f>
        <v>0</v>
      </c>
    </row>
    <row r="76" spans="1:4" x14ac:dyDescent="0.3">
      <c r="A76" t="s">
        <v>4836</v>
      </c>
      <c r="B76" t="s">
        <v>4861</v>
      </c>
      <c r="C76" s="22" t="s">
        <v>2442</v>
      </c>
      <c r="D76">
        <f>kapitał!H43+kapitał!H44+kapitał!H46</f>
        <v>0</v>
      </c>
    </row>
    <row r="77" spans="1:4" x14ac:dyDescent="0.3">
      <c r="A77" t="s">
        <v>4836</v>
      </c>
      <c r="B77" t="s">
        <v>4861</v>
      </c>
      <c r="C77" s="22" t="s">
        <v>2450</v>
      </c>
      <c r="D77">
        <f>kapitał!H48+kapitał!H49+kapitał!H50</f>
        <v>0</v>
      </c>
    </row>
    <row r="78" spans="1:4" x14ac:dyDescent="0.3">
      <c r="A78" t="s">
        <v>4836</v>
      </c>
      <c r="B78" t="s">
        <v>4861</v>
      </c>
      <c r="C78" s="22" t="s">
        <v>2452</v>
      </c>
      <c r="D78">
        <f>kapitał!H53</f>
        <v>0</v>
      </c>
    </row>
    <row r="79" spans="1:4" x14ac:dyDescent="0.3">
      <c r="A79" t="s">
        <v>4836</v>
      </c>
      <c r="B79" t="s">
        <v>4861</v>
      </c>
      <c r="C79" s="22" t="s">
        <v>2458</v>
      </c>
      <c r="D79">
        <f>kapitał!H51+kapitał!H52+kapitał!H54</f>
        <v>0</v>
      </c>
    </row>
    <row r="80" spans="1:4" x14ac:dyDescent="0.3">
      <c r="A80" t="s">
        <v>4836</v>
      </c>
      <c r="B80" t="s">
        <v>4861</v>
      </c>
      <c r="C80" s="22" t="s">
        <v>2460</v>
      </c>
      <c r="D80">
        <f>IF(kapitał!H47&lt;&gt;0,kapitał!H47,kapitał!H55)</f>
        <v>0</v>
      </c>
    </row>
    <row r="81" spans="1:4" x14ac:dyDescent="0.3">
      <c r="A81" t="s">
        <v>4836</v>
      </c>
      <c r="B81" t="s">
        <v>4861</v>
      </c>
      <c r="C81" s="22" t="s">
        <v>2462</v>
      </c>
      <c r="D81">
        <f>kapitał!H58+kapitał!H59+kapitał!H60</f>
        <v>0</v>
      </c>
    </row>
    <row r="82" spans="1:4" x14ac:dyDescent="0.3">
      <c r="A82" t="s">
        <v>4836</v>
      </c>
      <c r="B82" t="s">
        <v>4861</v>
      </c>
      <c r="C82" s="22" t="s">
        <v>2464</v>
      </c>
      <c r="D82">
        <f>IF(rzis!H58&gt;0,rzis!H58,0)</f>
        <v>0</v>
      </c>
    </row>
    <row r="83" spans="1:4" x14ac:dyDescent="0.3">
      <c r="A83" t="s">
        <v>4836</v>
      </c>
      <c r="B83" t="s">
        <v>4861</v>
      </c>
      <c r="C83" s="22" t="s">
        <v>2466</v>
      </c>
      <c r="D83">
        <f>IF(rzis!H58&lt;0,rzis!H58,0)</f>
        <v>0</v>
      </c>
    </row>
    <row r="84" spans="1:4" x14ac:dyDescent="0.3">
      <c r="A84" t="s">
        <v>4836</v>
      </c>
      <c r="B84" t="s">
        <v>4861</v>
      </c>
      <c r="C84" s="22" t="s">
        <v>2470</v>
      </c>
      <c r="D84">
        <f>ROUND(kapitał!H18,2)+ROUND(kapitał!H27,2)+ROUND(kapitał!H33,2)+ROUND(kapitał!H38,2)+ROUND(kapitał!H56,2)+ROUND(kapitał!H57,2)</f>
        <v>0</v>
      </c>
    </row>
    <row r="85" spans="1:4" x14ac:dyDescent="0.3">
      <c r="A85" t="s">
        <v>4836</v>
      </c>
      <c r="B85" t="s">
        <v>4549</v>
      </c>
      <c r="C85" s="22" t="s">
        <v>4895</v>
      </c>
      <c r="D85">
        <f>przepływy!F21</f>
        <v>0</v>
      </c>
    </row>
    <row r="86" spans="1:4" x14ac:dyDescent="0.3">
      <c r="A86" t="s">
        <v>4836</v>
      </c>
      <c r="B86" t="s">
        <v>4549</v>
      </c>
      <c r="C86" s="22" t="s">
        <v>4896</v>
      </c>
      <c r="D86">
        <f>rzis!F58</f>
        <v>0</v>
      </c>
    </row>
    <row r="87" spans="1:4" x14ac:dyDescent="0.3">
      <c r="A87" t="s">
        <v>4836</v>
      </c>
      <c r="B87" t="s">
        <v>4549</v>
      </c>
      <c r="C87" s="22" t="s">
        <v>4897</v>
      </c>
      <c r="D87">
        <f>przepływy!F11+przepływy!F12+przepływy!F13+przepływy!F14+przepływy!F15+przepływy!F16+przepływy!F17+przepływy!F18+przepływy!F19+przepływy!F20</f>
        <v>0</v>
      </c>
    </row>
    <row r="88" spans="1:4" x14ac:dyDescent="0.3">
      <c r="A88" t="s">
        <v>4836</v>
      </c>
      <c r="B88" t="s">
        <v>4549</v>
      </c>
      <c r="C88" s="22" t="s">
        <v>4898</v>
      </c>
      <c r="D88">
        <f>przepływy!F9+przepływy!F10</f>
        <v>0</v>
      </c>
    </row>
    <row r="89" spans="1:4" x14ac:dyDescent="0.3">
      <c r="A89" t="s">
        <v>4836</v>
      </c>
      <c r="B89" t="s">
        <v>4549</v>
      </c>
      <c r="C89" s="22" t="s">
        <v>4899</v>
      </c>
      <c r="D89">
        <f>przepływy!F44</f>
        <v>0</v>
      </c>
    </row>
    <row r="90" spans="1:4" x14ac:dyDescent="0.3">
      <c r="A90" t="s">
        <v>4836</v>
      </c>
      <c r="B90" t="s">
        <v>4549</v>
      </c>
      <c r="C90" s="22" t="s">
        <v>4900</v>
      </c>
      <c r="D90">
        <f>przepływy!F24+przepływy!F25+przepływy!F26+przepływy!F34</f>
        <v>0</v>
      </c>
    </row>
    <row r="91" spans="1:4" x14ac:dyDescent="0.3">
      <c r="A91" t="s">
        <v>4836</v>
      </c>
      <c r="B91" t="s">
        <v>4549</v>
      </c>
      <c r="C91" s="22" t="s">
        <v>4901</v>
      </c>
      <c r="D91">
        <f>przepływy!F27+przepływy!F28</f>
        <v>0</v>
      </c>
    </row>
    <row r="92" spans="1:4" x14ac:dyDescent="0.3">
      <c r="A92" t="s">
        <v>4836</v>
      </c>
      <c r="B92" t="s">
        <v>4549</v>
      </c>
      <c r="C92" s="22" t="s">
        <v>4902</v>
      </c>
      <c r="D92">
        <f>przepływy!F29+przepływy!F30+przepływy!F31+przepływy!F32+przepływy!F33</f>
        <v>0</v>
      </c>
    </row>
    <row r="93" spans="1:4" x14ac:dyDescent="0.3">
      <c r="A93" t="s">
        <v>4836</v>
      </c>
      <c r="B93" t="s">
        <v>4549</v>
      </c>
      <c r="C93" s="22" t="s">
        <v>4903</v>
      </c>
      <c r="D93">
        <f>przepływy!F36+przepływy!F37+przepływy!F38+przepływy!F43</f>
        <v>0</v>
      </c>
    </row>
    <row r="94" spans="1:4" x14ac:dyDescent="0.3">
      <c r="A94" t="s">
        <v>4836</v>
      </c>
      <c r="B94" t="s">
        <v>4549</v>
      </c>
      <c r="C94" s="22" t="s">
        <v>4904</v>
      </c>
      <c r="D94">
        <f>przepływy!F39+przepływy!F40</f>
        <v>0</v>
      </c>
    </row>
    <row r="95" spans="1:4" x14ac:dyDescent="0.3">
      <c r="A95" t="s">
        <v>4836</v>
      </c>
      <c r="B95" t="s">
        <v>4549</v>
      </c>
      <c r="C95" s="22" t="s">
        <v>4905</v>
      </c>
      <c r="D95">
        <f>przepływy!F41+przepływy!F42</f>
        <v>0</v>
      </c>
    </row>
    <row r="96" spans="1:4" x14ac:dyDescent="0.3">
      <c r="A96" t="s">
        <v>4836</v>
      </c>
      <c r="B96" t="s">
        <v>4549</v>
      </c>
      <c r="C96" s="22" t="s">
        <v>4906</v>
      </c>
      <c r="D96">
        <f>przepływy!F23-przepływy!F35</f>
        <v>0</v>
      </c>
    </row>
    <row r="97" spans="1:4" x14ac:dyDescent="0.3">
      <c r="A97" t="s">
        <v>4836</v>
      </c>
      <c r="B97" t="s">
        <v>4549</v>
      </c>
      <c r="C97" s="22" t="s">
        <v>4907</v>
      </c>
      <c r="D97">
        <f>przepływy!F61</f>
        <v>0</v>
      </c>
    </row>
    <row r="98" spans="1:4" x14ac:dyDescent="0.3">
      <c r="A98" t="s">
        <v>4836</v>
      </c>
      <c r="B98" t="s">
        <v>4549</v>
      </c>
      <c r="C98" s="22" t="s">
        <v>4908</v>
      </c>
      <c r="D98">
        <f>przepływy!F47+przepływy!F48+przepływy!F49+przepływy!F50</f>
        <v>0</v>
      </c>
    </row>
    <row r="99" spans="1:4" x14ac:dyDescent="0.3">
      <c r="A99" t="s">
        <v>4836</v>
      </c>
      <c r="B99" t="s">
        <v>4549</v>
      </c>
      <c r="C99" s="22" t="s">
        <v>4909</v>
      </c>
      <c r="D99">
        <f>przepływy!F52+przepływy!F53+przepływy!F54+przepływy!F55+przepływy!F56+przepływy!F57+przepływy!F58+przepływy!F59+przepływy!F60</f>
        <v>0</v>
      </c>
    </row>
    <row r="100" spans="1:4" x14ac:dyDescent="0.3">
      <c r="A100" t="s">
        <v>4836</v>
      </c>
      <c r="B100" t="s">
        <v>4549</v>
      </c>
      <c r="C100" s="22" t="s">
        <v>4910</v>
      </c>
      <c r="D100">
        <f>przepływy!F46-przepływy!F51</f>
        <v>0</v>
      </c>
    </row>
    <row r="101" spans="1:4" x14ac:dyDescent="0.3">
      <c r="A101" t="s">
        <v>4836</v>
      </c>
      <c r="B101" t="s">
        <v>4549</v>
      </c>
      <c r="C101" s="22" t="s">
        <v>4911</v>
      </c>
      <c r="D101">
        <f>przepływy!F21+przepływy!F44+przepływy!F61</f>
        <v>0</v>
      </c>
    </row>
    <row r="102" spans="1:4" x14ac:dyDescent="0.3">
      <c r="A102" t="s">
        <v>4836</v>
      </c>
      <c r="B102" t="s">
        <v>4549</v>
      </c>
      <c r="C102" s="22" t="s">
        <v>4912</v>
      </c>
      <c r="D102">
        <f>ROUND(_aktywa!H87,2)</f>
        <v>0</v>
      </c>
    </row>
    <row r="103" spans="1:4" x14ac:dyDescent="0.3">
      <c r="A103" t="s">
        <v>4836</v>
      </c>
      <c r="B103" t="s">
        <v>4549</v>
      </c>
      <c r="C103" s="22" t="s">
        <v>4913</v>
      </c>
      <c r="D103">
        <f>ROUND(przepływy!F63,2)+ROUND(przepływy!F65,2)</f>
        <v>0</v>
      </c>
    </row>
    <row r="104" spans="1:4" x14ac:dyDescent="0.3">
      <c r="A104" t="s">
        <v>4836</v>
      </c>
      <c r="B104" t="s">
        <v>4549</v>
      </c>
      <c r="C104" s="22" t="s">
        <v>2474</v>
      </c>
      <c r="D104">
        <f>przepływy!H21</f>
        <v>0</v>
      </c>
    </row>
    <row r="105" spans="1:4" x14ac:dyDescent="0.3">
      <c r="A105" t="s">
        <v>4836</v>
      </c>
      <c r="B105" t="s">
        <v>4549</v>
      </c>
      <c r="C105" s="22" t="s">
        <v>2476</v>
      </c>
      <c r="D105">
        <f>rzis!H58</f>
        <v>0</v>
      </c>
    </row>
    <row r="106" spans="1:4" x14ac:dyDescent="0.3">
      <c r="A106" t="s">
        <v>4836</v>
      </c>
      <c r="B106" t="s">
        <v>4549</v>
      </c>
      <c r="C106" s="22" t="s">
        <v>2478</v>
      </c>
      <c r="D106">
        <f>przepływy!H11+przepływy!H12+przepływy!H13+przepływy!H14+przepływy!H15+przepływy!H16+przepływy!H17+przepływy!H18+przepływy!H19+przepływy!H20</f>
        <v>0</v>
      </c>
    </row>
    <row r="107" spans="1:4" x14ac:dyDescent="0.3">
      <c r="A107" t="s">
        <v>4836</v>
      </c>
      <c r="B107" t="s">
        <v>4549</v>
      </c>
      <c r="C107" s="22" t="s">
        <v>2500</v>
      </c>
      <c r="D107">
        <f>przepływy!H9+przepływy!H10</f>
        <v>0</v>
      </c>
    </row>
    <row r="108" spans="1:4" x14ac:dyDescent="0.3">
      <c r="A108" t="s">
        <v>4836</v>
      </c>
      <c r="B108" t="s">
        <v>4549</v>
      </c>
      <c r="C108" s="22" t="s">
        <v>2502</v>
      </c>
      <c r="D108">
        <f>przepływy!H44</f>
        <v>0</v>
      </c>
    </row>
    <row r="109" spans="1:4" x14ac:dyDescent="0.3">
      <c r="A109" t="s">
        <v>4836</v>
      </c>
      <c r="B109" t="s">
        <v>4549</v>
      </c>
      <c r="C109" s="22" t="s">
        <v>2504</v>
      </c>
      <c r="D109">
        <f>przepływy!H24+przepływy!H25+przepływy!H26+przepływy!H34</f>
        <v>0</v>
      </c>
    </row>
    <row r="110" spans="1:4" x14ac:dyDescent="0.3">
      <c r="A110" t="s">
        <v>4836</v>
      </c>
      <c r="B110" t="s">
        <v>4549</v>
      </c>
      <c r="C110" s="22" t="s">
        <v>2510</v>
      </c>
      <c r="D110">
        <f>przepływy!H27+przepływy!H28</f>
        <v>0</v>
      </c>
    </row>
    <row r="111" spans="1:4" x14ac:dyDescent="0.3">
      <c r="A111" t="s">
        <v>4836</v>
      </c>
      <c r="B111" t="s">
        <v>4549</v>
      </c>
      <c r="C111" s="22" t="s">
        <v>2514</v>
      </c>
      <c r="D111">
        <f>przepływy!H29+przepływy!H30+przepływy!H31+przepływy!H32+przepływy!H33</f>
        <v>0</v>
      </c>
    </row>
    <row r="112" spans="1:4" x14ac:dyDescent="0.3">
      <c r="A112" t="s">
        <v>4836</v>
      </c>
      <c r="B112" t="s">
        <v>4549</v>
      </c>
      <c r="C112" s="22" t="s">
        <v>2528</v>
      </c>
      <c r="D112">
        <f>przepływy!H36+przepływy!H37+przepływy!H38+przepływy!H43</f>
        <v>0</v>
      </c>
    </row>
    <row r="113" spans="1:4" x14ac:dyDescent="0.3">
      <c r="A113" t="s">
        <v>4836</v>
      </c>
      <c r="B113" t="s">
        <v>4549</v>
      </c>
      <c r="C113" s="22" t="s">
        <v>2534</v>
      </c>
      <c r="D113">
        <f>przepływy!H39+przepływy!H40</f>
        <v>0</v>
      </c>
    </row>
    <row r="114" spans="1:4" x14ac:dyDescent="0.3">
      <c r="A114" t="s">
        <v>4836</v>
      </c>
      <c r="B114" t="s">
        <v>4549</v>
      </c>
      <c r="C114" s="22" t="s">
        <v>2538</v>
      </c>
      <c r="D114">
        <f>przepływy!H41+przepływy!H42</f>
        <v>0</v>
      </c>
    </row>
    <row r="115" spans="1:4" x14ac:dyDescent="0.3">
      <c r="A115" t="s">
        <v>4836</v>
      </c>
      <c r="B115" t="s">
        <v>4549</v>
      </c>
      <c r="C115" s="22" t="s">
        <v>2546</v>
      </c>
      <c r="D115">
        <f>przepływy!H23-przepływy!H35</f>
        <v>0</v>
      </c>
    </row>
    <row r="116" spans="1:4" x14ac:dyDescent="0.3">
      <c r="A116" t="s">
        <v>4836</v>
      </c>
      <c r="B116" t="s">
        <v>4549</v>
      </c>
      <c r="C116" s="22" t="s">
        <v>2548</v>
      </c>
      <c r="D116">
        <f>przepływy!H61</f>
        <v>0</v>
      </c>
    </row>
    <row r="117" spans="1:4" x14ac:dyDescent="0.3">
      <c r="A117" t="s">
        <v>4836</v>
      </c>
      <c r="B117" t="s">
        <v>4549</v>
      </c>
      <c r="C117" s="22" t="s">
        <v>2550</v>
      </c>
      <c r="D117">
        <f>przepływy!H47+przepływy!H48+przepływy!H49+przepływy!H50</f>
        <v>0</v>
      </c>
    </row>
    <row r="118" spans="1:4" x14ac:dyDescent="0.3">
      <c r="A118" t="s">
        <v>4836</v>
      </c>
      <c r="B118" t="s">
        <v>4549</v>
      </c>
      <c r="C118" s="22" t="s">
        <v>2560</v>
      </c>
      <c r="D118">
        <f>przepływy!H52+przepływy!H53+przepływy!H54+przepływy!H55+przepływy!H56+przepływy!H57+przepływy!H58+przepływy!H59+przepływy!H60</f>
        <v>0</v>
      </c>
    </row>
    <row r="119" spans="1:4" x14ac:dyDescent="0.3">
      <c r="A119" t="s">
        <v>4836</v>
      </c>
      <c r="B119" t="s">
        <v>4549</v>
      </c>
      <c r="C119" s="22" t="s">
        <v>2580</v>
      </c>
      <c r="D119">
        <f>przepływy!H46-przepływy!H51</f>
        <v>0</v>
      </c>
    </row>
    <row r="120" spans="1:4" x14ac:dyDescent="0.3">
      <c r="A120" t="s">
        <v>4836</v>
      </c>
      <c r="B120" t="s">
        <v>4549</v>
      </c>
      <c r="C120" s="22" t="s">
        <v>2582</v>
      </c>
      <c r="D120">
        <f>przepływy!H21+przepływy!H44+przepływy!H61</f>
        <v>0</v>
      </c>
    </row>
    <row r="121" spans="1:4" x14ac:dyDescent="0.3">
      <c r="A121" t="s">
        <v>4836</v>
      </c>
      <c r="B121" t="s">
        <v>4549</v>
      </c>
      <c r="C121" s="22" t="s">
        <v>2590</v>
      </c>
      <c r="D121">
        <f>ROUND(przepływy!H63,2)+ROUND(przepływy!H65,2)</f>
        <v>0</v>
      </c>
    </row>
    <row r="122" spans="1:4" x14ac:dyDescent="0.3">
      <c r="A122" t="s">
        <v>4836</v>
      </c>
      <c r="B122" t="s">
        <v>4914</v>
      </c>
      <c r="C122" s="22" t="s">
        <v>4915</v>
      </c>
      <c r="D122">
        <f>rzis!F55</f>
        <v>0</v>
      </c>
    </row>
    <row r="123" spans="1:4" x14ac:dyDescent="0.3">
      <c r="A123" t="s">
        <v>4836</v>
      </c>
      <c r="B123" t="s">
        <v>4914</v>
      </c>
      <c r="C123" s="22" t="s">
        <v>4916</v>
      </c>
      <c r="D123">
        <f>NotaPodatkowa!C11+NotaPodatkowa!D11</f>
        <v>0</v>
      </c>
    </row>
    <row r="124" spans="1:4" x14ac:dyDescent="0.3">
      <c r="A124" t="s">
        <v>4836</v>
      </c>
      <c r="B124" t="s">
        <v>4914</v>
      </c>
      <c r="C124" s="22" t="s">
        <v>4917</v>
      </c>
      <c r="D124">
        <f>NotaPodatkowa!C12+NotaPodatkowa!D12</f>
        <v>0</v>
      </c>
    </row>
    <row r="125" spans="1:4" x14ac:dyDescent="0.3">
      <c r="A125" t="s">
        <v>4836</v>
      </c>
      <c r="B125" t="s">
        <v>4914</v>
      </c>
      <c r="C125" s="22" t="s">
        <v>4918</v>
      </c>
      <c r="D125">
        <f>NotaPodatkowa!C13+NotaPodatkowa!D13</f>
        <v>0</v>
      </c>
    </row>
    <row r="126" spans="1:4" x14ac:dyDescent="0.3">
      <c r="A126" t="s">
        <v>4836</v>
      </c>
      <c r="B126" t="s">
        <v>4914</v>
      </c>
      <c r="C126" s="22" t="s">
        <v>4919</v>
      </c>
      <c r="D126">
        <f>NotaPodatkowa!C14+NotaPodatkowa!D14</f>
        <v>0</v>
      </c>
    </row>
    <row r="127" spans="1:4" x14ac:dyDescent="0.3">
      <c r="A127" t="s">
        <v>4836</v>
      </c>
      <c r="B127" t="s">
        <v>4914</v>
      </c>
      <c r="C127" s="22" t="s">
        <v>4920</v>
      </c>
      <c r="D127">
        <f>NotaPodatkowa!C15+NotaPodatkowa!D15</f>
        <v>0</v>
      </c>
    </row>
    <row r="128" spans="1:4" x14ac:dyDescent="0.3">
      <c r="A128" t="s">
        <v>4836</v>
      </c>
      <c r="B128" t="s">
        <v>4914</v>
      </c>
      <c r="C128" s="22" t="s">
        <v>4921</v>
      </c>
      <c r="D128">
        <f>NotaPodatkowa!C16+NotaPodatkowa!D16</f>
        <v>0</v>
      </c>
    </row>
    <row r="129" spans="1:4" x14ac:dyDescent="0.3">
      <c r="A129" t="s">
        <v>4836</v>
      </c>
      <c r="B129" t="s">
        <v>4914</v>
      </c>
      <c r="C129" s="22" t="s">
        <v>4922</v>
      </c>
      <c r="D129">
        <f>NotaPodatkowa!C17+NotaPodatkowa!D17</f>
        <v>0</v>
      </c>
    </row>
    <row r="130" spans="1:4" x14ac:dyDescent="0.3">
      <c r="A130" t="s">
        <v>4836</v>
      </c>
      <c r="B130" t="s">
        <v>4914</v>
      </c>
      <c r="C130" s="22" t="s">
        <v>4923</v>
      </c>
      <c r="D130">
        <f>NotaPodatkowa!C18+NotaPodatkowa!D18</f>
        <v>0</v>
      </c>
    </row>
    <row r="131" spans="1:4" x14ac:dyDescent="0.3">
      <c r="A131" t="s">
        <v>4836</v>
      </c>
      <c r="B131" t="s">
        <v>4914</v>
      </c>
      <c r="C131" s="22" t="s">
        <v>4924</v>
      </c>
      <c r="D131">
        <f>NotaPodatkowa!C26+NotaPodatkowa!D26</f>
        <v>0</v>
      </c>
    </row>
    <row r="132" spans="1:4" x14ac:dyDescent="0.3">
      <c r="A132" t="s">
        <v>4836</v>
      </c>
      <c r="B132" t="s">
        <v>4914</v>
      </c>
      <c r="C132" s="22" t="s">
        <v>4925</v>
      </c>
      <c r="D132">
        <f>NotaPodatkowa!C28+NotaPodatkowa!D28</f>
        <v>0</v>
      </c>
    </row>
    <row r="133" spans="1:4" x14ac:dyDescent="0.3">
      <c r="A133" t="s">
        <v>4836</v>
      </c>
      <c r="B133" t="s">
        <v>4914</v>
      </c>
      <c r="C133" s="22" t="s">
        <v>2594</v>
      </c>
      <c r="D133">
        <f>rzis!H55</f>
        <v>0</v>
      </c>
    </row>
    <row r="134" spans="1:4" x14ac:dyDescent="0.3">
      <c r="A134" t="s">
        <v>4836</v>
      </c>
      <c r="B134" t="s">
        <v>4914</v>
      </c>
      <c r="C134" s="22" t="s">
        <v>2596</v>
      </c>
      <c r="D134">
        <f>NotaPodatkowa!J11+NotaPodatkowa!K11</f>
        <v>0</v>
      </c>
    </row>
    <row r="135" spans="1:4" x14ac:dyDescent="0.3">
      <c r="A135" t="s">
        <v>4836</v>
      </c>
      <c r="B135" t="s">
        <v>4914</v>
      </c>
      <c r="C135" s="22" t="s">
        <v>2598</v>
      </c>
      <c r="D135">
        <f>NotaPodatkowa!J12+NotaPodatkowa!K12</f>
        <v>0</v>
      </c>
    </row>
    <row r="136" spans="1:4" x14ac:dyDescent="0.3">
      <c r="A136" t="s">
        <v>4836</v>
      </c>
      <c r="B136" t="s">
        <v>4914</v>
      </c>
      <c r="C136" s="22" t="s">
        <v>2600</v>
      </c>
      <c r="D136">
        <f>NotaPodatkowa!J13+NotaPodatkowa!K13</f>
        <v>0</v>
      </c>
    </row>
    <row r="137" spans="1:4" x14ac:dyDescent="0.3">
      <c r="A137" t="s">
        <v>4836</v>
      </c>
      <c r="B137" t="s">
        <v>4914</v>
      </c>
      <c r="C137" s="22" t="s">
        <v>2602</v>
      </c>
      <c r="D137">
        <f>NotaPodatkowa!J14+NotaPodatkowa!K14</f>
        <v>0</v>
      </c>
    </row>
    <row r="138" spans="1:4" x14ac:dyDescent="0.3">
      <c r="A138" t="s">
        <v>4836</v>
      </c>
      <c r="B138" t="s">
        <v>4914</v>
      </c>
      <c r="C138" s="22" t="s">
        <v>2604</v>
      </c>
      <c r="D138">
        <f>NotaPodatkowa!J15+NotaPodatkowa!K15</f>
        <v>0</v>
      </c>
    </row>
    <row r="139" spans="1:4" x14ac:dyDescent="0.3">
      <c r="A139" t="s">
        <v>4836</v>
      </c>
      <c r="B139" t="s">
        <v>4914</v>
      </c>
      <c r="C139" s="22" t="s">
        <v>2606</v>
      </c>
      <c r="D139">
        <f>NotaPodatkowa!J16+NotaPodatkowa!K16</f>
        <v>0</v>
      </c>
    </row>
    <row r="140" spans="1:4" x14ac:dyDescent="0.3">
      <c r="A140" t="s">
        <v>4836</v>
      </c>
      <c r="B140" t="s">
        <v>4914</v>
      </c>
      <c r="C140" s="22" t="s">
        <v>2608</v>
      </c>
      <c r="D140">
        <f>NotaPodatkowa!J17+NotaPodatkowa!K17</f>
        <v>0</v>
      </c>
    </row>
    <row r="141" spans="1:4" x14ac:dyDescent="0.3">
      <c r="A141" t="s">
        <v>4836</v>
      </c>
      <c r="B141" t="s">
        <v>4914</v>
      </c>
      <c r="C141" s="22" t="s">
        <v>2610</v>
      </c>
      <c r="D141">
        <f>NotaPodatkowa!J18+NotaPodatkowa!K18</f>
        <v>0</v>
      </c>
    </row>
    <row r="142" spans="1:4" x14ac:dyDescent="0.3">
      <c r="A142" t="s">
        <v>4836</v>
      </c>
      <c r="B142" t="s">
        <v>4914</v>
      </c>
      <c r="C142" s="22" t="s">
        <v>2612</v>
      </c>
      <c r="D142">
        <f>NotaPodatkowa!J26+NotaPodatkowa!K26</f>
        <v>0</v>
      </c>
    </row>
    <row r="143" spans="1:4" x14ac:dyDescent="0.3">
      <c r="A143" t="s">
        <v>4836</v>
      </c>
      <c r="B143" t="s">
        <v>4914</v>
      </c>
      <c r="C143" s="22" t="s">
        <v>2614</v>
      </c>
      <c r="D143">
        <f>NotaPodatkowa!J28+NotaPodatkowa!K28</f>
        <v>0</v>
      </c>
    </row>
    <row r="144" spans="1:4" x14ac:dyDescent="0.3">
      <c r="A144" t="s">
        <v>4836</v>
      </c>
      <c r="B144" t="s">
        <v>4011</v>
      </c>
      <c r="C144" s="22" t="s">
        <v>4926</v>
      </c>
      <c r="D144">
        <f>rzis!J10+rzis!J11+rzis!J12+rzis!J13</f>
        <v>0</v>
      </c>
    </row>
    <row r="145" spans="1:4" x14ac:dyDescent="0.3">
      <c r="A145" t="s">
        <v>4836</v>
      </c>
      <c r="B145" t="s">
        <v>4011</v>
      </c>
      <c r="C145" s="22" t="s">
        <v>4927</v>
      </c>
      <c r="D145">
        <f>rzis!J15+rzis!J16+rzis!J17+rzis!J18+rzis!J20+rzis!J21+rzis!J23+rzis!J24</f>
        <v>0</v>
      </c>
    </row>
    <row r="146" spans="1:4" x14ac:dyDescent="0.3">
      <c r="A146" t="s">
        <v>4836</v>
      </c>
      <c r="B146" t="s">
        <v>4011</v>
      </c>
      <c r="C146" s="22" t="s">
        <v>4928</v>
      </c>
      <c r="D146">
        <f>rzis!J8-rzis!J14</f>
        <v>0</v>
      </c>
    </row>
    <row r="147" spans="1:4" x14ac:dyDescent="0.3">
      <c r="A147" t="s">
        <v>4836</v>
      </c>
      <c r="B147" t="s">
        <v>4011</v>
      </c>
      <c r="C147" s="22" t="s">
        <v>4929</v>
      </c>
      <c r="D147">
        <f>rzis!J27+rzis!J28+rzis!J29+rzis!J30</f>
        <v>0</v>
      </c>
    </row>
    <row r="148" spans="1:4" x14ac:dyDescent="0.3">
      <c r="A148" t="s">
        <v>4836</v>
      </c>
      <c r="B148" t="s">
        <v>4011</v>
      </c>
      <c r="C148" s="22" t="s">
        <v>4930</v>
      </c>
      <c r="D148">
        <f>rzis!J32+rzis!J33+rzis!J34</f>
        <v>0</v>
      </c>
    </row>
    <row r="149" spans="1:4" x14ac:dyDescent="0.3">
      <c r="A149" t="s">
        <v>4836</v>
      </c>
      <c r="B149" t="s">
        <v>4011</v>
      </c>
      <c r="C149" s="22" t="s">
        <v>4931</v>
      </c>
      <c r="D149">
        <f>rzis!J25+rzis!J26-rzis!J31</f>
        <v>0</v>
      </c>
    </row>
    <row r="150" spans="1:4" x14ac:dyDescent="0.3">
      <c r="A150" t="s">
        <v>4836</v>
      </c>
      <c r="B150" t="s">
        <v>4011</v>
      </c>
      <c r="C150" s="22" t="s">
        <v>4932</v>
      </c>
      <c r="D150">
        <f>rzis!J37+rzis!J42+rzis!J44+rzis!J46+rzis!J47</f>
        <v>0</v>
      </c>
    </row>
    <row r="151" spans="1:4" x14ac:dyDescent="0.3">
      <c r="A151" t="s">
        <v>4836</v>
      </c>
      <c r="B151" t="s">
        <v>4011</v>
      </c>
      <c r="C151" s="22" t="s">
        <v>4933</v>
      </c>
      <c r="D151">
        <f>rzis!J38+rzis!J40</f>
        <v>0</v>
      </c>
    </row>
    <row r="152" spans="1:4" x14ac:dyDescent="0.3">
      <c r="A152" t="s">
        <v>4836</v>
      </c>
      <c r="B152" t="s">
        <v>4011</v>
      </c>
      <c r="C152" s="22" t="s">
        <v>4934</v>
      </c>
      <c r="D152">
        <f>rzis!J49+rzis!J51+rzis!J53+rzis!J54</f>
        <v>0</v>
      </c>
    </row>
    <row r="153" spans="1:4" x14ac:dyDescent="0.3">
      <c r="A153" t="s">
        <v>4836</v>
      </c>
      <c r="B153" t="s">
        <v>4011</v>
      </c>
      <c r="C153" s="22" t="s">
        <v>4935</v>
      </c>
      <c r="D153">
        <f>rzis!J35+rzis!J36-rzis!J48</f>
        <v>0</v>
      </c>
    </row>
    <row r="154" spans="1:4" x14ac:dyDescent="0.3">
      <c r="A154" t="s">
        <v>4836</v>
      </c>
      <c r="B154" t="s">
        <v>4011</v>
      </c>
      <c r="C154" s="22" t="s">
        <v>4936</v>
      </c>
      <c r="D154">
        <f>rzis!J55+rzis!J56+rzis!J57</f>
        <v>0</v>
      </c>
    </row>
    <row r="155" spans="1:4" x14ac:dyDescent="0.3">
      <c r="A155" t="s">
        <v>4836</v>
      </c>
      <c r="B155" t="s">
        <v>4861</v>
      </c>
      <c r="C155" s="22" t="s">
        <v>4937</v>
      </c>
      <c r="D155">
        <f>kapitał!J8+kapitał!J9+kapitał!J10</f>
        <v>0</v>
      </c>
    </row>
    <row r="156" spans="1:4" x14ac:dyDescent="0.3">
      <c r="A156" t="s">
        <v>4836</v>
      </c>
      <c r="B156" t="s">
        <v>4861</v>
      </c>
      <c r="C156" s="22" t="s">
        <v>4938</v>
      </c>
      <c r="D156">
        <f>kapitał!J14+kapitał!J16</f>
        <v>0</v>
      </c>
    </row>
    <row r="157" spans="1:4" x14ac:dyDescent="0.3">
      <c r="A157" t="s">
        <v>4836</v>
      </c>
      <c r="B157" t="s">
        <v>4861</v>
      </c>
      <c r="C157" s="22" t="s">
        <v>4939</v>
      </c>
      <c r="D157">
        <f>kapitał!J15</f>
        <v>0</v>
      </c>
    </row>
    <row r="158" spans="1:4" x14ac:dyDescent="0.3">
      <c r="A158" t="s">
        <v>4836</v>
      </c>
      <c r="B158" t="s">
        <v>4861</v>
      </c>
      <c r="C158" s="22" t="s">
        <v>4940</v>
      </c>
      <c r="D158">
        <f>kapitał!J17</f>
        <v>0</v>
      </c>
    </row>
    <row r="159" spans="1:4" x14ac:dyDescent="0.3">
      <c r="A159" t="s">
        <v>4836</v>
      </c>
      <c r="B159" t="s">
        <v>4861</v>
      </c>
      <c r="C159" s="22" t="s">
        <v>4941</v>
      </c>
      <c r="D159">
        <f>kapitał!J12+kapitał!J13</f>
        <v>0</v>
      </c>
    </row>
    <row r="160" spans="1:4" x14ac:dyDescent="0.3">
      <c r="A160" t="s">
        <v>4836</v>
      </c>
      <c r="B160" t="s">
        <v>4861</v>
      </c>
      <c r="C160" s="22" t="s">
        <v>4942</v>
      </c>
      <c r="D160">
        <f>kapitał!J21+kapitał!J25</f>
        <v>0</v>
      </c>
    </row>
    <row r="161" spans="1:4" x14ac:dyDescent="0.3">
      <c r="A161" t="s">
        <v>4836</v>
      </c>
      <c r="B161" t="s">
        <v>4861</v>
      </c>
      <c r="C161" s="22" t="s">
        <v>4943</v>
      </c>
      <c r="D161">
        <f>kapitał!J22+kapitał!J23+kapitał!J24</f>
        <v>0</v>
      </c>
    </row>
    <row r="162" spans="1:4" x14ac:dyDescent="0.3">
      <c r="A162" t="s">
        <v>4836</v>
      </c>
      <c r="B162" t="s">
        <v>4861</v>
      </c>
      <c r="C162" s="22" t="s">
        <v>4944</v>
      </c>
      <c r="D162">
        <f>kapitał!J26</f>
        <v>0</v>
      </c>
    </row>
    <row r="163" spans="1:4" x14ac:dyDescent="0.3">
      <c r="A163" t="s">
        <v>4836</v>
      </c>
      <c r="B163" t="s">
        <v>4861</v>
      </c>
      <c r="C163" s="22" t="s">
        <v>4945</v>
      </c>
      <c r="D163">
        <f>kapitał!J19+kapitał!J20</f>
        <v>0</v>
      </c>
    </row>
    <row r="164" spans="1:4" x14ac:dyDescent="0.3">
      <c r="A164" t="s">
        <v>4836</v>
      </c>
      <c r="B164" t="s">
        <v>4861</v>
      </c>
      <c r="C164" s="22" t="s">
        <v>4946</v>
      </c>
      <c r="D164">
        <f>kapitał!J30+kapitał!J31</f>
        <v>0</v>
      </c>
    </row>
    <row r="165" spans="1:4" x14ac:dyDescent="0.3">
      <c r="A165" t="s">
        <v>4836</v>
      </c>
      <c r="B165" t="s">
        <v>4861</v>
      </c>
      <c r="C165" s="22" t="s">
        <v>4947</v>
      </c>
      <c r="D165">
        <f>kapitał!J32</f>
        <v>0</v>
      </c>
    </row>
    <row r="166" spans="1:4" x14ac:dyDescent="0.3">
      <c r="A166" t="s">
        <v>4836</v>
      </c>
      <c r="B166" t="s">
        <v>4861</v>
      </c>
      <c r="C166" s="22" t="s">
        <v>4948</v>
      </c>
      <c r="D166">
        <f>kapitał!J28+kapitał!J29</f>
        <v>0</v>
      </c>
    </row>
    <row r="167" spans="1:4" x14ac:dyDescent="0.3">
      <c r="A167" t="s">
        <v>4836</v>
      </c>
      <c r="B167" t="s">
        <v>4861</v>
      </c>
      <c r="C167" s="22" t="s">
        <v>4949</v>
      </c>
      <c r="D167">
        <f>kapitał!J36+kapitał!J37</f>
        <v>0</v>
      </c>
    </row>
    <row r="168" spans="1:4" x14ac:dyDescent="0.3">
      <c r="A168" t="s">
        <v>4836</v>
      </c>
      <c r="B168" t="s">
        <v>4861</v>
      </c>
      <c r="C168" s="22" t="s">
        <v>4950</v>
      </c>
      <c r="D168">
        <f>kapitał!J34+kapitał!J35</f>
        <v>0</v>
      </c>
    </row>
    <row r="169" spans="1:4" x14ac:dyDescent="0.3">
      <c r="A169" t="s">
        <v>4836</v>
      </c>
      <c r="B169" t="s">
        <v>4861</v>
      </c>
      <c r="C169" s="22" t="s">
        <v>4951</v>
      </c>
      <c r="D169">
        <f>IF(kapitał!J40&lt;&gt;0,kapitał!J40,kapitał!J48)</f>
        <v>0</v>
      </c>
    </row>
    <row r="170" spans="1:4" x14ac:dyDescent="0.3">
      <c r="A170" t="s">
        <v>4836</v>
      </c>
      <c r="B170" t="s">
        <v>4861</v>
      </c>
      <c r="C170" s="22" t="s">
        <v>4952</v>
      </c>
      <c r="D170">
        <f>kapitał!J40+kapitał!J41+kapitał!J42</f>
        <v>0</v>
      </c>
    </row>
    <row r="171" spans="1:4" x14ac:dyDescent="0.3">
      <c r="A171" t="s">
        <v>4836</v>
      </c>
      <c r="B171" t="s">
        <v>4861</v>
      </c>
      <c r="C171" s="22" t="s">
        <v>4953</v>
      </c>
      <c r="D171">
        <f>kapitał!J45</f>
        <v>0</v>
      </c>
    </row>
    <row r="172" spans="1:4" x14ac:dyDescent="0.3">
      <c r="A172" t="s">
        <v>4836</v>
      </c>
      <c r="B172" t="s">
        <v>4861</v>
      </c>
      <c r="C172" s="22" t="s">
        <v>4954</v>
      </c>
      <c r="D172">
        <f>kapitał!J43+kapitał!J44+kapitał!J46</f>
        <v>0</v>
      </c>
    </row>
    <row r="173" spans="1:4" x14ac:dyDescent="0.3">
      <c r="A173" t="s">
        <v>4836</v>
      </c>
      <c r="B173" t="s">
        <v>4861</v>
      </c>
      <c r="C173" s="22" t="s">
        <v>4955</v>
      </c>
      <c r="D173">
        <f>kapitał!J48+kapitał!J49+kapitał!J50</f>
        <v>0</v>
      </c>
    </row>
    <row r="174" spans="1:4" x14ac:dyDescent="0.3">
      <c r="A174" t="s">
        <v>4836</v>
      </c>
      <c r="B174" t="s">
        <v>4861</v>
      </c>
      <c r="C174" s="22" t="s">
        <v>4956</v>
      </c>
      <c r="D174">
        <f>kapitał!J53</f>
        <v>0</v>
      </c>
    </row>
    <row r="175" spans="1:4" x14ac:dyDescent="0.3">
      <c r="A175" t="s">
        <v>4836</v>
      </c>
      <c r="B175" t="s">
        <v>4861</v>
      </c>
      <c r="C175" s="22" t="s">
        <v>4957</v>
      </c>
      <c r="D175">
        <f>kapitał!J51+kapitał!J52+kapitał!J54</f>
        <v>0</v>
      </c>
    </row>
    <row r="176" spans="1:4" x14ac:dyDescent="0.3">
      <c r="A176" t="s">
        <v>4836</v>
      </c>
      <c r="B176" t="s">
        <v>4861</v>
      </c>
      <c r="C176" s="22" t="s">
        <v>4958</v>
      </c>
      <c r="D176">
        <f>IF(kapitał!J47&lt;&gt;0,kapitał!J47,kapitał!J55)</f>
        <v>0</v>
      </c>
    </row>
    <row r="177" spans="1:4" x14ac:dyDescent="0.3">
      <c r="A177" t="s">
        <v>4836</v>
      </c>
      <c r="B177" t="s">
        <v>4861</v>
      </c>
      <c r="C177" s="22" t="s">
        <v>4959</v>
      </c>
      <c r="D177">
        <f>kapitał!J58+kapitał!J59+kapitał!J60</f>
        <v>0</v>
      </c>
    </row>
    <row r="178" spans="1:4" x14ac:dyDescent="0.3">
      <c r="A178" t="s">
        <v>4836</v>
      </c>
      <c r="B178" t="s">
        <v>4861</v>
      </c>
      <c r="C178" s="22" t="s">
        <v>4960</v>
      </c>
      <c r="D178">
        <f>IF(rzis!J58&gt;0,rzis!J58,0)</f>
        <v>0</v>
      </c>
    </row>
    <row r="179" spans="1:4" x14ac:dyDescent="0.3">
      <c r="A179" t="s">
        <v>4836</v>
      </c>
      <c r="B179" t="s">
        <v>4861</v>
      </c>
      <c r="C179" s="22" t="s">
        <v>4961</v>
      </c>
      <c r="D179">
        <f>IF(rzis!J58&lt;0,rzis!J58,0)</f>
        <v>0</v>
      </c>
    </row>
    <row r="180" spans="1:4" x14ac:dyDescent="0.3">
      <c r="A180" t="s">
        <v>4836</v>
      </c>
      <c r="B180" t="s">
        <v>4861</v>
      </c>
      <c r="C180" s="22" t="s">
        <v>4962</v>
      </c>
      <c r="D180">
        <f>kapitał!J18+kapitał!J27+kapitał!J33+kapitał!J38+kapitał!J56+kapitał!J57</f>
        <v>0</v>
      </c>
    </row>
    <row r="181" spans="1:4" x14ac:dyDescent="0.3">
      <c r="A181" t="s">
        <v>4836</v>
      </c>
      <c r="B181" t="s">
        <v>4549</v>
      </c>
      <c r="C181" s="22" t="s">
        <v>4963</v>
      </c>
      <c r="D181">
        <f>przepływy!J21</f>
        <v>0</v>
      </c>
    </row>
    <row r="182" spans="1:4" x14ac:dyDescent="0.3">
      <c r="A182" t="s">
        <v>4836</v>
      </c>
      <c r="B182" t="s">
        <v>4549</v>
      </c>
      <c r="C182" s="22" t="s">
        <v>4964</v>
      </c>
      <c r="D182">
        <f>rzis!J58</f>
        <v>0</v>
      </c>
    </row>
    <row r="183" spans="1:4" x14ac:dyDescent="0.3">
      <c r="A183" t="s">
        <v>4836</v>
      </c>
      <c r="B183" t="s">
        <v>4549</v>
      </c>
      <c r="C183" s="22" t="s">
        <v>4965</v>
      </c>
      <c r="D183">
        <f>przepływy!J11+przepływy!J12+przepływy!J13+przepływy!J14+przepływy!J15+przepływy!J16+przepływy!J17+przepływy!J17+przepływy!J19+przepływy!J20</f>
        <v>0</v>
      </c>
    </row>
    <row r="184" spans="1:4" x14ac:dyDescent="0.3">
      <c r="A184" t="s">
        <v>4836</v>
      </c>
      <c r="B184" t="s">
        <v>4549</v>
      </c>
      <c r="C184" s="22" t="s">
        <v>4966</v>
      </c>
      <c r="D184">
        <f>przepływy!J9+przepływy!J10</f>
        <v>0</v>
      </c>
    </row>
    <row r="185" spans="1:4" x14ac:dyDescent="0.3">
      <c r="A185" t="s">
        <v>4836</v>
      </c>
      <c r="B185" t="s">
        <v>4549</v>
      </c>
      <c r="C185" s="22" t="s">
        <v>4967</v>
      </c>
      <c r="D185">
        <f>przepływy!J44</f>
        <v>0</v>
      </c>
    </row>
    <row r="186" spans="1:4" x14ac:dyDescent="0.3">
      <c r="A186" t="s">
        <v>4836</v>
      </c>
      <c r="B186" t="s">
        <v>4549</v>
      </c>
      <c r="C186" s="22" t="s">
        <v>4968</v>
      </c>
      <c r="D186">
        <f>przepływy!J24+przepływy!J25+przepływy!J26+przepływy!J34</f>
        <v>0</v>
      </c>
    </row>
    <row r="187" spans="1:4" x14ac:dyDescent="0.3">
      <c r="A187" t="s">
        <v>4836</v>
      </c>
      <c r="B187" t="s">
        <v>4549</v>
      </c>
      <c r="C187" s="22" t="s">
        <v>4969</v>
      </c>
      <c r="D187">
        <f>przepływy!J27+przepływy!J28</f>
        <v>0</v>
      </c>
    </row>
    <row r="188" spans="1:4" x14ac:dyDescent="0.3">
      <c r="A188" t="s">
        <v>4836</v>
      </c>
      <c r="B188" t="s">
        <v>4549</v>
      </c>
      <c r="C188" s="22" t="s">
        <v>4970</v>
      </c>
      <c r="D188">
        <f>przepływy!J29+przepływy!J30+przepływy!J31+przepływy!J32+przepływy!J33</f>
        <v>0</v>
      </c>
    </row>
    <row r="189" spans="1:4" x14ac:dyDescent="0.3">
      <c r="A189" t="s">
        <v>4836</v>
      </c>
      <c r="B189" t="s">
        <v>4549</v>
      </c>
      <c r="C189" s="22" t="s">
        <v>4971</v>
      </c>
      <c r="D189">
        <f>przepływy!J36+przepływy!J37+przepływy!J38+przepływy!J43</f>
        <v>0</v>
      </c>
    </row>
    <row r="190" spans="1:4" x14ac:dyDescent="0.3">
      <c r="A190" t="s">
        <v>4836</v>
      </c>
      <c r="B190" t="s">
        <v>4549</v>
      </c>
      <c r="C190" s="22" t="s">
        <v>4972</v>
      </c>
      <c r="D190">
        <f>przepływy!J39+przepływy!J40</f>
        <v>0</v>
      </c>
    </row>
    <row r="191" spans="1:4" x14ac:dyDescent="0.3">
      <c r="A191" t="s">
        <v>4836</v>
      </c>
      <c r="B191" t="s">
        <v>4549</v>
      </c>
      <c r="C191" s="22" t="s">
        <v>4973</v>
      </c>
      <c r="D191">
        <f>przepływy!J41+przepływy!J42</f>
        <v>0</v>
      </c>
    </row>
    <row r="192" spans="1:4" x14ac:dyDescent="0.3">
      <c r="A192" t="s">
        <v>4836</v>
      </c>
      <c r="B192" t="s">
        <v>4549</v>
      </c>
      <c r="C192" s="22" t="s">
        <v>4974</v>
      </c>
      <c r="D192">
        <f>przepływy!J23-przepływy!J35</f>
        <v>0</v>
      </c>
    </row>
    <row r="193" spans="1:4" x14ac:dyDescent="0.3">
      <c r="A193" t="s">
        <v>4836</v>
      </c>
      <c r="B193" t="s">
        <v>4549</v>
      </c>
      <c r="C193" s="22" t="s">
        <v>4975</v>
      </c>
      <c r="D193">
        <f>przepływy!J61</f>
        <v>0</v>
      </c>
    </row>
    <row r="194" spans="1:4" x14ac:dyDescent="0.3">
      <c r="A194" t="s">
        <v>4836</v>
      </c>
      <c r="B194" t="s">
        <v>4549</v>
      </c>
      <c r="C194" s="22" t="s">
        <v>4976</v>
      </c>
      <c r="D194">
        <f>przepływy!J47+przepływy!J48+przepływy!J49+przepływy!J50</f>
        <v>0</v>
      </c>
    </row>
    <row r="195" spans="1:4" x14ac:dyDescent="0.3">
      <c r="A195" t="s">
        <v>4836</v>
      </c>
      <c r="B195" t="s">
        <v>4549</v>
      </c>
      <c r="C195" s="22" t="s">
        <v>4977</v>
      </c>
      <c r="D195">
        <f>przepływy!J52+przepływy!J53+przepływy!J54+przepływy!J55+przepływy!J56+przepływy!J57+przepływy!J58+przepływy!J59+przepływy!J60</f>
        <v>0</v>
      </c>
    </row>
    <row r="196" spans="1:4" x14ac:dyDescent="0.3">
      <c r="A196" t="s">
        <v>4836</v>
      </c>
      <c r="B196" t="s">
        <v>4549</v>
      </c>
      <c r="C196" s="22" t="s">
        <v>4978</v>
      </c>
      <c r="D196">
        <f>przepływy!J46-przepływy!J51</f>
        <v>0</v>
      </c>
    </row>
    <row r="197" spans="1:4" x14ac:dyDescent="0.3">
      <c r="A197" t="s">
        <v>4836</v>
      </c>
      <c r="B197" t="s">
        <v>4549</v>
      </c>
      <c r="C197" s="22" t="s">
        <v>4979</v>
      </c>
      <c r="D197">
        <f>przepływy!J21+przepływy!J44+przepływy!J61</f>
        <v>0</v>
      </c>
    </row>
    <row r="198" spans="1:4" x14ac:dyDescent="0.3">
      <c r="A198" t="s">
        <v>4836</v>
      </c>
      <c r="B198" t="s">
        <v>4549</v>
      </c>
      <c r="C198" s="22" t="s">
        <v>4980</v>
      </c>
      <c r="D198">
        <f>przepływy!J63+przepływy!J65</f>
        <v>0</v>
      </c>
    </row>
    <row r="199" spans="1:4" x14ac:dyDescent="0.3">
      <c r="A199" t="s">
        <v>4981</v>
      </c>
      <c r="B199" t="s">
        <v>3471</v>
      </c>
      <c r="C199" s="22" t="s">
        <v>4982</v>
      </c>
      <c r="D199">
        <f>Noty!D57</f>
        <v>0</v>
      </c>
    </row>
    <row r="200" spans="1:4" x14ac:dyDescent="0.3">
      <c r="A200" t="s">
        <v>4981</v>
      </c>
      <c r="B200" t="s">
        <v>3471</v>
      </c>
      <c r="C200" s="22" t="s">
        <v>4983</v>
      </c>
      <c r="D200">
        <f>Noty!F57</f>
        <v>0</v>
      </c>
    </row>
    <row r="201" spans="1:4" x14ac:dyDescent="0.3">
      <c r="A201" t="s">
        <v>4981</v>
      </c>
      <c r="B201" t="s">
        <v>3471</v>
      </c>
      <c r="C201" s="22" t="s">
        <v>4984</v>
      </c>
      <c r="D201">
        <f>Noty!G57</f>
        <v>0</v>
      </c>
    </row>
    <row r="202" spans="1:4" x14ac:dyDescent="0.3">
      <c r="A202" t="s">
        <v>4981</v>
      </c>
      <c r="B202" t="s">
        <v>3471</v>
      </c>
      <c r="C202" s="22" t="s">
        <v>4985</v>
      </c>
      <c r="D202">
        <f>Noty!H57</f>
        <v>0</v>
      </c>
    </row>
    <row r="203" spans="1:4" x14ac:dyDescent="0.3">
      <c r="A203" t="s">
        <v>4981</v>
      </c>
      <c r="B203" t="s">
        <v>3471</v>
      </c>
      <c r="C203" s="22" t="s">
        <v>1975</v>
      </c>
      <c r="D203">
        <f>Noty!D56</f>
        <v>0</v>
      </c>
    </row>
    <row r="204" spans="1:4" x14ac:dyDescent="0.3">
      <c r="A204" t="s">
        <v>4981</v>
      </c>
      <c r="B204" t="s">
        <v>3471</v>
      </c>
      <c r="C204" s="22" t="s">
        <v>1977</v>
      </c>
      <c r="D204">
        <f>Noty!F56</f>
        <v>0</v>
      </c>
    </row>
    <row r="205" spans="1:4" x14ac:dyDescent="0.3">
      <c r="A205" t="s">
        <v>4981</v>
      </c>
      <c r="B205" t="s">
        <v>3471</v>
      </c>
      <c r="C205" s="22" t="s">
        <v>1979</v>
      </c>
      <c r="D205">
        <f>Noty!G56</f>
        <v>0</v>
      </c>
    </row>
    <row r="206" spans="1:4" x14ac:dyDescent="0.3">
      <c r="A206" t="s">
        <v>4981</v>
      </c>
      <c r="B206" t="s">
        <v>3471</v>
      </c>
      <c r="C206" s="22" t="s">
        <v>1981</v>
      </c>
      <c r="D206">
        <f>Noty!H56</f>
        <v>0</v>
      </c>
    </row>
    <row r="207" spans="1:4" x14ac:dyDescent="0.3">
      <c r="A207" t="s">
        <v>4981</v>
      </c>
      <c r="B207" t="s">
        <v>3471</v>
      </c>
      <c r="C207" s="22" t="s">
        <v>4986</v>
      </c>
      <c r="D207">
        <f>Noty!D129</f>
        <v>0</v>
      </c>
    </row>
    <row r="208" spans="1:4" x14ac:dyDescent="0.3">
      <c r="A208" t="s">
        <v>4981</v>
      </c>
      <c r="B208" t="s">
        <v>3471</v>
      </c>
      <c r="C208" s="22" t="s">
        <v>4987</v>
      </c>
      <c r="D208">
        <f>Noty!E129</f>
        <v>0</v>
      </c>
    </row>
    <row r="209" spans="1:4" x14ac:dyDescent="0.3">
      <c r="A209" t="s">
        <v>4981</v>
      </c>
      <c r="B209" t="s">
        <v>3471</v>
      </c>
      <c r="C209" s="22" t="s">
        <v>4988</v>
      </c>
      <c r="D209">
        <f>Noty!F129</f>
        <v>0</v>
      </c>
    </row>
    <row r="210" spans="1:4" x14ac:dyDescent="0.3">
      <c r="A210" t="s">
        <v>4981</v>
      </c>
      <c r="B210" t="s">
        <v>3471</v>
      </c>
      <c r="C210" s="22" t="s">
        <v>4989</v>
      </c>
      <c r="D210">
        <f>Noty!G129</f>
        <v>0</v>
      </c>
    </row>
    <row r="211" spans="1:4" x14ac:dyDescent="0.3">
      <c r="A211" t="s">
        <v>4981</v>
      </c>
      <c r="B211" t="s">
        <v>3471</v>
      </c>
      <c r="C211" s="22" t="s">
        <v>4990</v>
      </c>
      <c r="D211">
        <f>Noty!H129</f>
        <v>0</v>
      </c>
    </row>
    <row r="212" spans="1:4" x14ac:dyDescent="0.3">
      <c r="A212" t="s">
        <v>4981</v>
      </c>
      <c r="B212" t="s">
        <v>3471</v>
      </c>
      <c r="C212" s="22" t="s">
        <v>4991</v>
      </c>
      <c r="D212">
        <f>Noty!I193</f>
        <v>0</v>
      </c>
    </row>
    <row r="213" spans="1:4" x14ac:dyDescent="0.3">
      <c r="A213" t="s">
        <v>4981</v>
      </c>
      <c r="B213" t="s">
        <v>3471</v>
      </c>
      <c r="C213" s="22" t="s">
        <v>1987</v>
      </c>
      <c r="D213">
        <f>Noty!D128</f>
        <v>0</v>
      </c>
    </row>
    <row r="214" spans="1:4" x14ac:dyDescent="0.3">
      <c r="A214" t="s">
        <v>4981</v>
      </c>
      <c r="B214" t="s">
        <v>3471</v>
      </c>
      <c r="C214" s="22" t="s">
        <v>1989</v>
      </c>
      <c r="D214">
        <f>Noty!E128</f>
        <v>0</v>
      </c>
    </row>
    <row r="215" spans="1:4" x14ac:dyDescent="0.3">
      <c r="A215" t="s">
        <v>4981</v>
      </c>
      <c r="B215" t="s">
        <v>3471</v>
      </c>
      <c r="C215" s="22" t="s">
        <v>1991</v>
      </c>
      <c r="D215">
        <f>Noty!F128</f>
        <v>0</v>
      </c>
    </row>
    <row r="216" spans="1:4" x14ac:dyDescent="0.3">
      <c r="A216" t="s">
        <v>4981</v>
      </c>
      <c r="B216" t="s">
        <v>3471</v>
      </c>
      <c r="C216" s="22" t="s">
        <v>1993</v>
      </c>
      <c r="D216">
        <f>Noty!G128</f>
        <v>0</v>
      </c>
    </row>
    <row r="217" spans="1:4" x14ac:dyDescent="0.3">
      <c r="A217" t="s">
        <v>4981</v>
      </c>
      <c r="B217" t="s">
        <v>3471</v>
      </c>
      <c r="C217" s="22" t="s">
        <v>1995</v>
      </c>
      <c r="D217">
        <f>Noty!H128</f>
        <v>0</v>
      </c>
    </row>
    <row r="218" spans="1:4" x14ac:dyDescent="0.3">
      <c r="A218" t="s">
        <v>4981</v>
      </c>
      <c r="B218" t="s">
        <v>3471</v>
      </c>
      <c r="C218" s="22" t="s">
        <v>1997</v>
      </c>
      <c r="D218">
        <f>Noty!I192</f>
        <v>0</v>
      </c>
    </row>
    <row r="219" spans="1:4" x14ac:dyDescent="0.3">
      <c r="A219" t="s">
        <v>4981</v>
      </c>
      <c r="B219" t="s">
        <v>3471</v>
      </c>
      <c r="C219" s="22" t="s">
        <v>4992</v>
      </c>
      <c r="D219">
        <f>Noty!I200</f>
        <v>0</v>
      </c>
    </row>
    <row r="220" spans="1:4" x14ac:dyDescent="0.3">
      <c r="A220" t="s">
        <v>4981</v>
      </c>
      <c r="B220" t="s">
        <v>3471</v>
      </c>
      <c r="C220" s="22" t="s">
        <v>4993</v>
      </c>
      <c r="D220">
        <f>Noty!I201</f>
        <v>0</v>
      </c>
    </row>
    <row r="221" spans="1:4" x14ac:dyDescent="0.3">
      <c r="A221" t="s">
        <v>4981</v>
      </c>
      <c r="B221" t="s">
        <v>3471</v>
      </c>
      <c r="C221" s="22" t="s">
        <v>4994</v>
      </c>
      <c r="D221">
        <f>Noty!I202</f>
        <v>0</v>
      </c>
    </row>
    <row r="222" spans="1:4" x14ac:dyDescent="0.3">
      <c r="A222" t="s">
        <v>4981</v>
      </c>
      <c r="B222" t="s">
        <v>3471</v>
      </c>
      <c r="C222" s="22" t="s">
        <v>4995</v>
      </c>
      <c r="D222">
        <f>IF(Noty!K236&lt;&gt;"n/a",Noty!E252,Noty!E294)</f>
        <v>0</v>
      </c>
    </row>
    <row r="223" spans="1:4" x14ac:dyDescent="0.3">
      <c r="A223" t="s">
        <v>4981</v>
      </c>
      <c r="B223" t="s">
        <v>3471</v>
      </c>
      <c r="C223" s="22" t="s">
        <v>4996</v>
      </c>
      <c r="D223">
        <f>IF(Noty!K236&lt;&gt;"n/a",Noty!F252,Noty!F294)</f>
        <v>0</v>
      </c>
    </row>
    <row r="224" spans="1:4" x14ac:dyDescent="0.3">
      <c r="A224" t="s">
        <v>4981</v>
      </c>
      <c r="B224" t="s">
        <v>3471</v>
      </c>
      <c r="C224" s="22" t="s">
        <v>4997</v>
      </c>
      <c r="D224">
        <f>IF(Noty!K236&lt;&gt;"n/a",Noty!H252,Noty!H294)</f>
        <v>0</v>
      </c>
    </row>
    <row r="225" spans="1:4" x14ac:dyDescent="0.3">
      <c r="A225" t="s">
        <v>4981</v>
      </c>
      <c r="B225" t="s">
        <v>3471</v>
      </c>
      <c r="C225" s="22" t="s">
        <v>2011</v>
      </c>
      <c r="D225">
        <f>IF(Noty!K236&lt;&gt;"n/a",Noty!E239,Noty!E293)</f>
        <v>0</v>
      </c>
    </row>
    <row r="226" spans="1:4" x14ac:dyDescent="0.3">
      <c r="A226" t="s">
        <v>4981</v>
      </c>
      <c r="B226" t="s">
        <v>3471</v>
      </c>
      <c r="C226" s="22" t="s">
        <v>2013</v>
      </c>
      <c r="D226">
        <f>IF(Noty!K236&lt;&gt;"n/a",Noty!F239,Noty!F293)</f>
        <v>0</v>
      </c>
    </row>
    <row r="227" spans="1:4" x14ac:dyDescent="0.3">
      <c r="A227" t="s">
        <v>4981</v>
      </c>
      <c r="B227" t="s">
        <v>3471</v>
      </c>
      <c r="C227" s="22" t="s">
        <v>2047</v>
      </c>
      <c r="D227">
        <f>IF(Noty!K236&lt;&gt;"n/a",Noty!H239,Noty!H293)</f>
        <v>0</v>
      </c>
    </row>
    <row r="228" spans="1:4" x14ac:dyDescent="0.3">
      <c r="A228" t="s">
        <v>4981</v>
      </c>
      <c r="B228" t="s">
        <v>3471</v>
      </c>
      <c r="C228" s="22" t="s">
        <v>4998</v>
      </c>
      <c r="D228">
        <f>Noty!H1233</f>
        <v>0</v>
      </c>
    </row>
    <row r="229" spans="1:4" x14ac:dyDescent="0.3">
      <c r="A229" t="s">
        <v>4981</v>
      </c>
      <c r="B229" t="s">
        <v>3471</v>
      </c>
      <c r="C229" s="22" t="s">
        <v>4999</v>
      </c>
      <c r="D229">
        <f>Noty!H405</f>
        <v>0</v>
      </c>
    </row>
    <row r="230" spans="1:4" x14ac:dyDescent="0.3">
      <c r="A230" t="s">
        <v>4981</v>
      </c>
      <c r="B230" t="s">
        <v>3471</v>
      </c>
      <c r="C230" s="22" t="s">
        <v>2051</v>
      </c>
      <c r="D230">
        <f>Noty!I1233</f>
        <v>0</v>
      </c>
    </row>
    <row r="231" spans="1:4" x14ac:dyDescent="0.3">
      <c r="A231" t="s">
        <v>4981</v>
      </c>
      <c r="B231" t="s">
        <v>3471</v>
      </c>
      <c r="C231" s="22" t="s">
        <v>2053</v>
      </c>
      <c r="D231">
        <f>Noty!I405</f>
        <v>0</v>
      </c>
    </row>
    <row r="232" spans="1:4" x14ac:dyDescent="0.3">
      <c r="A232" t="s">
        <v>4981</v>
      </c>
      <c r="B232" t="s">
        <v>3471</v>
      </c>
      <c r="C232" s="22" t="s">
        <v>5000</v>
      </c>
      <c r="D232">
        <f>Noty!E432</f>
        <v>0</v>
      </c>
    </row>
    <row r="233" spans="1:4" x14ac:dyDescent="0.3">
      <c r="A233" t="s">
        <v>4981</v>
      </c>
      <c r="B233" t="s">
        <v>3471</v>
      </c>
      <c r="C233" s="22" t="s">
        <v>5001</v>
      </c>
      <c r="D233">
        <f>Noty!H432</f>
        <v>0</v>
      </c>
    </row>
    <row r="234" spans="1:4" x14ac:dyDescent="0.3">
      <c r="A234" t="s">
        <v>4981</v>
      </c>
      <c r="B234" t="s">
        <v>3471</v>
      </c>
      <c r="C234" s="22" t="s">
        <v>5002</v>
      </c>
      <c r="D234">
        <f>Noty!F432</f>
        <v>0</v>
      </c>
    </row>
    <row r="235" spans="1:4" x14ac:dyDescent="0.3">
      <c r="A235" t="s">
        <v>4981</v>
      </c>
      <c r="B235" t="s">
        <v>3471</v>
      </c>
      <c r="C235" s="22" t="s">
        <v>5003</v>
      </c>
      <c r="D235">
        <f>Noty!G432</f>
        <v>0</v>
      </c>
    </row>
    <row r="236" spans="1:4" x14ac:dyDescent="0.3">
      <c r="A236" t="s">
        <v>4981</v>
      </c>
      <c r="B236" t="s">
        <v>3471</v>
      </c>
      <c r="C236" s="22" t="s">
        <v>5004</v>
      </c>
      <c r="D236">
        <f>Noty!I471</f>
        <v>0</v>
      </c>
    </row>
    <row r="237" spans="1:4" x14ac:dyDescent="0.3">
      <c r="A237" t="s">
        <v>4981</v>
      </c>
      <c r="B237" t="s">
        <v>3471</v>
      </c>
      <c r="C237" s="22" t="s">
        <v>5005</v>
      </c>
      <c r="D237">
        <f>Noty!I472</f>
        <v>0</v>
      </c>
    </row>
    <row r="238" spans="1:4" x14ac:dyDescent="0.3">
      <c r="A238" t="s">
        <v>4981</v>
      </c>
      <c r="B238" t="s">
        <v>3471</v>
      </c>
      <c r="C238" s="22" t="s">
        <v>5006</v>
      </c>
      <c r="D238">
        <f>Noty!I473</f>
        <v>0</v>
      </c>
    </row>
    <row r="239" spans="1:4" x14ac:dyDescent="0.3">
      <c r="A239" t="s">
        <v>4981</v>
      </c>
      <c r="B239" t="s">
        <v>3471</v>
      </c>
      <c r="C239" s="22" t="s">
        <v>5007</v>
      </c>
      <c r="D239">
        <f>Noty!I476</f>
        <v>0</v>
      </c>
    </row>
    <row r="240" spans="1:4" x14ac:dyDescent="0.3">
      <c r="A240" t="s">
        <v>4981</v>
      </c>
      <c r="B240" t="s">
        <v>3471</v>
      </c>
      <c r="C240" s="22" t="s">
        <v>5008</v>
      </c>
      <c r="D240">
        <f>Noty!I477</f>
        <v>0</v>
      </c>
    </row>
    <row r="241" spans="1:4" x14ac:dyDescent="0.3">
      <c r="A241" t="s">
        <v>4981</v>
      </c>
      <c r="B241" t="s">
        <v>3471</v>
      </c>
      <c r="C241" s="22" t="s">
        <v>5009</v>
      </c>
      <c r="D241">
        <f>Noty!I478</f>
        <v>0</v>
      </c>
    </row>
    <row r="242" spans="1:4" x14ac:dyDescent="0.3">
      <c r="A242" t="s">
        <v>4981</v>
      </c>
      <c r="B242" t="s">
        <v>3471</v>
      </c>
      <c r="C242" s="22" t="s">
        <v>5010</v>
      </c>
      <c r="D242">
        <f>Noty!I481</f>
        <v>0</v>
      </c>
    </row>
    <row r="243" spans="1:4" x14ac:dyDescent="0.3">
      <c r="A243" t="s">
        <v>4981</v>
      </c>
      <c r="B243" t="s">
        <v>3471</v>
      </c>
      <c r="C243" s="22" t="s">
        <v>5011</v>
      </c>
      <c r="D243">
        <f>Noty!I482</f>
        <v>0</v>
      </c>
    </row>
    <row r="244" spans="1:4" x14ac:dyDescent="0.3">
      <c r="A244" t="s">
        <v>4981</v>
      </c>
      <c r="B244" t="s">
        <v>3471</v>
      </c>
      <c r="C244" s="22" t="s">
        <v>5012</v>
      </c>
      <c r="D244">
        <f>Noty!I483</f>
        <v>0</v>
      </c>
    </row>
    <row r="245" spans="1:4" x14ac:dyDescent="0.3">
      <c r="A245" t="s">
        <v>4981</v>
      </c>
      <c r="B245" t="s">
        <v>3471</v>
      </c>
      <c r="C245" s="22" t="s">
        <v>5013</v>
      </c>
      <c r="D245">
        <f>Noty!I484</f>
        <v>0</v>
      </c>
    </row>
    <row r="246" spans="1:4" x14ac:dyDescent="0.3">
      <c r="A246" t="s">
        <v>4981</v>
      </c>
      <c r="B246" t="s">
        <v>3471</v>
      </c>
      <c r="C246" s="22" t="s">
        <v>5014</v>
      </c>
      <c r="D246">
        <f>Noty!I485</f>
        <v>0</v>
      </c>
    </row>
    <row r="247" spans="1:4" x14ac:dyDescent="0.3">
      <c r="A247" t="s">
        <v>4981</v>
      </c>
      <c r="B247" t="s">
        <v>3471</v>
      </c>
      <c r="C247" s="22" t="s">
        <v>2075</v>
      </c>
      <c r="D247">
        <f>Noty!I492</f>
        <v>0</v>
      </c>
    </row>
    <row r="248" spans="1:4" x14ac:dyDescent="0.3">
      <c r="A248" t="s">
        <v>4981</v>
      </c>
      <c r="B248" t="s">
        <v>3471</v>
      </c>
      <c r="C248" s="22" t="s">
        <v>2077</v>
      </c>
      <c r="D248">
        <f>Noty!I493</f>
        <v>0</v>
      </c>
    </row>
    <row r="249" spans="1:4" x14ac:dyDescent="0.3">
      <c r="A249" t="s">
        <v>4981</v>
      </c>
      <c r="B249" t="s">
        <v>3471</v>
      </c>
      <c r="C249" s="22" t="s">
        <v>2079</v>
      </c>
      <c r="D249">
        <f>Noty!I494</f>
        <v>0</v>
      </c>
    </row>
    <row r="250" spans="1:4" x14ac:dyDescent="0.3">
      <c r="A250" t="s">
        <v>4981</v>
      </c>
      <c r="B250" t="s">
        <v>3471</v>
      </c>
      <c r="C250" s="22" t="s">
        <v>2085</v>
      </c>
      <c r="D250">
        <f>Noty!I497</f>
        <v>0</v>
      </c>
    </row>
    <row r="251" spans="1:4" x14ac:dyDescent="0.3">
      <c r="A251" t="s">
        <v>4981</v>
      </c>
      <c r="B251" t="s">
        <v>3471</v>
      </c>
      <c r="C251" s="22" t="s">
        <v>2087</v>
      </c>
      <c r="D251">
        <f>Noty!I498</f>
        <v>0</v>
      </c>
    </row>
    <row r="252" spans="1:4" x14ac:dyDescent="0.3">
      <c r="A252" t="s">
        <v>4981</v>
      </c>
      <c r="B252" t="s">
        <v>3471</v>
      </c>
      <c r="C252" s="22" t="s">
        <v>2089</v>
      </c>
      <c r="D252">
        <f>Noty!I499</f>
        <v>0</v>
      </c>
    </row>
    <row r="253" spans="1:4" x14ac:dyDescent="0.3">
      <c r="A253" t="s">
        <v>4981</v>
      </c>
      <c r="B253" t="s">
        <v>3471</v>
      </c>
      <c r="C253" s="22" t="s">
        <v>2095</v>
      </c>
      <c r="D253">
        <f>Noty!I502</f>
        <v>0</v>
      </c>
    </row>
    <row r="254" spans="1:4" x14ac:dyDescent="0.3">
      <c r="A254" t="s">
        <v>4981</v>
      </c>
      <c r="B254" t="s">
        <v>3471</v>
      </c>
      <c r="C254" s="22" t="s">
        <v>2097</v>
      </c>
      <c r="D254">
        <f>Noty!I503</f>
        <v>0</v>
      </c>
    </row>
    <row r="255" spans="1:4" x14ac:dyDescent="0.3">
      <c r="A255" t="s">
        <v>4981</v>
      </c>
      <c r="B255" t="s">
        <v>3471</v>
      </c>
      <c r="C255" s="22" t="s">
        <v>2099</v>
      </c>
      <c r="D255">
        <f>Noty!I504</f>
        <v>0</v>
      </c>
    </row>
    <row r="256" spans="1:4" x14ac:dyDescent="0.3">
      <c r="A256" t="s">
        <v>4981</v>
      </c>
      <c r="B256" t="s">
        <v>3471</v>
      </c>
      <c r="C256" s="22" t="s">
        <v>2101</v>
      </c>
      <c r="D256">
        <f>Noty!I505</f>
        <v>0</v>
      </c>
    </row>
    <row r="257" spans="1:4" x14ac:dyDescent="0.3">
      <c r="A257" t="s">
        <v>4981</v>
      </c>
      <c r="B257" t="s">
        <v>3471</v>
      </c>
      <c r="C257" s="22" t="s">
        <v>2103</v>
      </c>
      <c r="D257">
        <f>Noty!I506</f>
        <v>0</v>
      </c>
    </row>
    <row r="258" spans="1:4" x14ac:dyDescent="0.3">
      <c r="A258" t="s">
        <v>4981</v>
      </c>
      <c r="B258" t="s">
        <v>3471</v>
      </c>
      <c r="C258" s="22" t="s">
        <v>5015</v>
      </c>
      <c r="D258">
        <f>Noty!H418</f>
        <v>0</v>
      </c>
    </row>
    <row r="259" spans="1:4" x14ac:dyDescent="0.3">
      <c r="A259" t="s">
        <v>4981</v>
      </c>
      <c r="B259" t="s">
        <v>3471</v>
      </c>
      <c r="C259" s="22" t="s">
        <v>2137</v>
      </c>
      <c r="D259">
        <f>Noty!I418</f>
        <v>0</v>
      </c>
    </row>
    <row r="260" spans="1:4" x14ac:dyDescent="0.3">
      <c r="A260" t="s">
        <v>4981</v>
      </c>
      <c r="B260" t="s">
        <v>3788</v>
      </c>
      <c r="C260" s="22" t="s">
        <v>5016</v>
      </c>
      <c r="D260">
        <f>Noty!G578</f>
        <v>0</v>
      </c>
    </row>
    <row r="261" spans="1:4" x14ac:dyDescent="0.3">
      <c r="A261" t="s">
        <v>4981</v>
      </c>
      <c r="B261" t="s">
        <v>3788</v>
      </c>
      <c r="C261" s="22" t="s">
        <v>5017</v>
      </c>
      <c r="D261">
        <f>Noty!H1250</f>
        <v>0</v>
      </c>
    </row>
    <row r="262" spans="1:4" x14ac:dyDescent="0.3">
      <c r="A262" t="s">
        <v>4981</v>
      </c>
      <c r="B262" t="s">
        <v>3788</v>
      </c>
      <c r="C262" s="22" t="s">
        <v>5018</v>
      </c>
      <c r="D262">
        <f>Noty!G627</f>
        <v>0</v>
      </c>
    </row>
    <row r="263" spans="1:4" x14ac:dyDescent="0.3">
      <c r="A263" t="s">
        <v>4981</v>
      </c>
      <c r="B263" t="s">
        <v>3788</v>
      </c>
      <c r="C263" s="22" t="s">
        <v>5019</v>
      </c>
      <c r="D263">
        <f>Noty!H627</f>
        <v>0</v>
      </c>
    </row>
    <row r="264" spans="1:4" x14ac:dyDescent="0.3">
      <c r="A264" t="s">
        <v>4981</v>
      </c>
      <c r="B264" t="s">
        <v>3788</v>
      </c>
      <c r="C264" s="22" t="s">
        <v>5020</v>
      </c>
      <c r="D264">
        <f>Noty!I637</f>
        <v>0</v>
      </c>
    </row>
    <row r="265" spans="1:4" x14ac:dyDescent="0.3">
      <c r="A265" t="s">
        <v>4981</v>
      </c>
      <c r="B265" t="s">
        <v>3788</v>
      </c>
      <c r="C265" s="22" t="s">
        <v>5021</v>
      </c>
      <c r="D265">
        <f>Noty!I647</f>
        <v>0</v>
      </c>
    </row>
    <row r="266" spans="1:4" x14ac:dyDescent="0.3">
      <c r="A266" t="s">
        <v>4981</v>
      </c>
      <c r="B266" t="s">
        <v>3788</v>
      </c>
      <c r="C266" s="22" t="s">
        <v>2173</v>
      </c>
      <c r="D266">
        <f>Noty!I1250</f>
        <v>0</v>
      </c>
    </row>
    <row r="267" spans="1:4" x14ac:dyDescent="0.3">
      <c r="A267" t="s">
        <v>4981</v>
      </c>
      <c r="B267" t="s">
        <v>3788</v>
      </c>
      <c r="C267" s="22" t="s">
        <v>2177</v>
      </c>
      <c r="D267">
        <f>Noty!G623</f>
        <v>0</v>
      </c>
    </row>
    <row r="268" spans="1:4" x14ac:dyDescent="0.3">
      <c r="A268" t="s">
        <v>4981</v>
      </c>
      <c r="B268" t="s">
        <v>3788</v>
      </c>
      <c r="C268" s="22" t="s">
        <v>2179</v>
      </c>
      <c r="D268">
        <f>Noty!H623</f>
        <v>0</v>
      </c>
    </row>
    <row r="269" spans="1:4" x14ac:dyDescent="0.3">
      <c r="A269" t="s">
        <v>4981</v>
      </c>
      <c r="B269" t="s">
        <v>3788</v>
      </c>
      <c r="C269" s="22" t="s">
        <v>2183</v>
      </c>
      <c r="D269">
        <f>Noty!I633</f>
        <v>0</v>
      </c>
    </row>
    <row r="270" spans="1:4" x14ac:dyDescent="0.3">
      <c r="A270" t="s">
        <v>4981</v>
      </c>
      <c r="B270" t="s">
        <v>3788</v>
      </c>
      <c r="C270" s="22" t="s">
        <v>2185</v>
      </c>
      <c r="D270">
        <f>Noty!I643</f>
        <v>0</v>
      </c>
    </row>
    <row r="271" spans="1:4" x14ac:dyDescent="0.3">
      <c r="A271" t="s">
        <v>4981</v>
      </c>
      <c r="B271" t="s">
        <v>3788</v>
      </c>
      <c r="C271" s="22" t="s">
        <v>5022</v>
      </c>
      <c r="D271">
        <f>Noty!D662</f>
        <v>0</v>
      </c>
    </row>
    <row r="272" spans="1:4" x14ac:dyDescent="0.3">
      <c r="A272" t="s">
        <v>4981</v>
      </c>
      <c r="B272" t="s">
        <v>3788</v>
      </c>
      <c r="C272" s="22" t="s">
        <v>5023</v>
      </c>
      <c r="D272">
        <f>Noty!F662</f>
        <v>0</v>
      </c>
    </row>
    <row r="273" spans="1:4" x14ac:dyDescent="0.3">
      <c r="A273" t="s">
        <v>4981</v>
      </c>
      <c r="B273" t="s">
        <v>3788</v>
      </c>
      <c r="C273" s="22" t="s">
        <v>5024</v>
      </c>
      <c r="D273">
        <f>Noty!E701</f>
        <v>0</v>
      </c>
    </row>
    <row r="274" spans="1:4" x14ac:dyDescent="0.3">
      <c r="A274" t="s">
        <v>4981</v>
      </c>
      <c r="B274" t="s">
        <v>3788</v>
      </c>
      <c r="C274" s="22" t="s">
        <v>5025</v>
      </c>
      <c r="D274">
        <f>Noty!F701</f>
        <v>0</v>
      </c>
    </row>
    <row r="275" spans="1:4" x14ac:dyDescent="0.3">
      <c r="A275" t="s">
        <v>4981</v>
      </c>
      <c r="B275" t="s">
        <v>3788</v>
      </c>
      <c r="C275" s="22" t="s">
        <v>5026</v>
      </c>
      <c r="D275">
        <f>Noty!G701</f>
        <v>0</v>
      </c>
    </row>
    <row r="276" spans="1:4" x14ac:dyDescent="0.3">
      <c r="A276" t="s">
        <v>4981</v>
      </c>
      <c r="B276" t="s">
        <v>3788</v>
      </c>
      <c r="C276" s="22" t="s">
        <v>5027</v>
      </c>
      <c r="D276">
        <f>Noty!H701</f>
        <v>0</v>
      </c>
    </row>
    <row r="277" spans="1:4" x14ac:dyDescent="0.3">
      <c r="A277" t="s">
        <v>4981</v>
      </c>
      <c r="B277" t="s">
        <v>3788</v>
      </c>
      <c r="C277" s="22" t="s">
        <v>5028</v>
      </c>
      <c r="D277">
        <f>Noty!I701</f>
        <v>0</v>
      </c>
    </row>
    <row r="278" spans="1:4" x14ac:dyDescent="0.3">
      <c r="A278" t="s">
        <v>4981</v>
      </c>
      <c r="B278" t="s">
        <v>3788</v>
      </c>
      <c r="C278" s="22" t="s">
        <v>5029</v>
      </c>
      <c r="D278">
        <f>Noty!E677+Noty!F677+Noty!G677+Noty!H677+Noty!I677</f>
        <v>0</v>
      </c>
    </row>
    <row r="279" spans="1:4" x14ac:dyDescent="0.3">
      <c r="A279" t="s">
        <v>4981</v>
      </c>
      <c r="B279" t="s">
        <v>3788</v>
      </c>
      <c r="C279" s="22" t="s">
        <v>5030</v>
      </c>
      <c r="D279">
        <f>Noty!E690+Noty!F690+Noty!G690+Noty!H690+Noty!I690</f>
        <v>0</v>
      </c>
    </row>
    <row r="280" spans="1:4" x14ac:dyDescent="0.3">
      <c r="A280" t="s">
        <v>4981</v>
      </c>
      <c r="B280" t="s">
        <v>3788</v>
      </c>
      <c r="C280" s="22" t="s">
        <v>5031</v>
      </c>
      <c r="D280">
        <f>Noty!E703</f>
        <v>0</v>
      </c>
    </row>
    <row r="281" spans="1:4" x14ac:dyDescent="0.3">
      <c r="A281" t="s">
        <v>4981</v>
      </c>
      <c r="B281" t="s">
        <v>3788</v>
      </c>
      <c r="C281" s="22" t="s">
        <v>5032</v>
      </c>
      <c r="D281">
        <f>Noty!F703</f>
        <v>0</v>
      </c>
    </row>
    <row r="282" spans="1:4" x14ac:dyDescent="0.3">
      <c r="A282" t="s">
        <v>4981</v>
      </c>
      <c r="B282" t="s">
        <v>3788</v>
      </c>
      <c r="C282" s="22" t="s">
        <v>5033</v>
      </c>
      <c r="D282">
        <f>Noty!G703</f>
        <v>0</v>
      </c>
    </row>
    <row r="283" spans="1:4" x14ac:dyDescent="0.3">
      <c r="A283" t="s">
        <v>4981</v>
      </c>
      <c r="B283" t="s">
        <v>3788</v>
      </c>
      <c r="C283" s="22" t="s">
        <v>5034</v>
      </c>
      <c r="D283">
        <f>Noty!H703</f>
        <v>0</v>
      </c>
    </row>
    <row r="284" spans="1:4" x14ac:dyDescent="0.3">
      <c r="A284" t="s">
        <v>4981</v>
      </c>
      <c r="B284" t="s">
        <v>3788</v>
      </c>
      <c r="C284" s="22" t="s">
        <v>5035</v>
      </c>
      <c r="D284">
        <f>Noty!I703</f>
        <v>0</v>
      </c>
    </row>
    <row r="285" spans="1:4" x14ac:dyDescent="0.3">
      <c r="A285" t="s">
        <v>4981</v>
      </c>
      <c r="B285" t="s">
        <v>3788</v>
      </c>
      <c r="C285" s="22" t="s">
        <v>5036</v>
      </c>
      <c r="D285">
        <f>Noty!H778</f>
        <v>0</v>
      </c>
    </row>
    <row r="286" spans="1:4" x14ac:dyDescent="0.3">
      <c r="A286" t="s">
        <v>4981</v>
      </c>
      <c r="B286" t="s">
        <v>3788</v>
      </c>
      <c r="C286" s="22" t="s">
        <v>5037</v>
      </c>
      <c r="D286">
        <f>Noty!H788</f>
        <v>0</v>
      </c>
    </row>
    <row r="287" spans="1:4" x14ac:dyDescent="0.3">
      <c r="A287" t="s">
        <v>4981</v>
      </c>
      <c r="B287" t="s">
        <v>3788</v>
      </c>
      <c r="C287" s="22" t="s">
        <v>2259</v>
      </c>
      <c r="D287">
        <f>Noty!I778</f>
        <v>0</v>
      </c>
    </row>
    <row r="288" spans="1:4" x14ac:dyDescent="0.3">
      <c r="A288" t="s">
        <v>4981</v>
      </c>
      <c r="B288" t="s">
        <v>3788</v>
      </c>
      <c r="C288" s="22" t="s">
        <v>2261</v>
      </c>
      <c r="D288">
        <f>Noty!I788</f>
        <v>0</v>
      </c>
    </row>
    <row r="289" spans="1:4" x14ac:dyDescent="0.3">
      <c r="A289" t="s">
        <v>4981</v>
      </c>
      <c r="B289" t="s">
        <v>4011</v>
      </c>
      <c r="C289" s="22" t="s">
        <v>5038</v>
      </c>
      <c r="D289">
        <f>Noty!H923</f>
        <v>0</v>
      </c>
    </row>
    <row r="290" spans="1:4" x14ac:dyDescent="0.3">
      <c r="A290" t="s">
        <v>4981</v>
      </c>
      <c r="B290" t="s">
        <v>4011</v>
      </c>
      <c r="C290" s="22" t="s">
        <v>5039</v>
      </c>
      <c r="D290">
        <f>Noty!H927</f>
        <v>0</v>
      </c>
    </row>
    <row r="291" spans="1:4" x14ac:dyDescent="0.3">
      <c r="A291" t="s">
        <v>4981</v>
      </c>
      <c r="B291" t="s">
        <v>4011</v>
      </c>
      <c r="C291" s="22" t="s">
        <v>5040</v>
      </c>
      <c r="D291">
        <f>Noty!I923</f>
        <v>0</v>
      </c>
    </row>
    <row r="292" spans="1:4" x14ac:dyDescent="0.3">
      <c r="A292" t="s">
        <v>4981</v>
      </c>
      <c r="B292" t="s">
        <v>4011</v>
      </c>
      <c r="C292" s="22" t="s">
        <v>5041</v>
      </c>
      <c r="D292">
        <f>Noty!I927</f>
        <v>0</v>
      </c>
    </row>
    <row r="293" spans="1:4" x14ac:dyDescent="0.3">
      <c r="A293" t="s">
        <v>4981</v>
      </c>
      <c r="B293" t="s">
        <v>4011</v>
      </c>
      <c r="C293" s="22" t="s">
        <v>5042</v>
      </c>
      <c r="D293">
        <f>Noty!H970</f>
        <v>0</v>
      </c>
    </row>
    <row r="294" spans="1:4" x14ac:dyDescent="0.3">
      <c r="A294" t="s">
        <v>4981</v>
      </c>
      <c r="B294" t="s">
        <v>4011</v>
      </c>
      <c r="C294" s="22" t="s">
        <v>5043</v>
      </c>
      <c r="D294">
        <f>Noty!H981</f>
        <v>0</v>
      </c>
    </row>
    <row r="295" spans="1:4" x14ac:dyDescent="0.3">
      <c r="A295" t="s">
        <v>4981</v>
      </c>
      <c r="B295" t="s">
        <v>4011</v>
      </c>
      <c r="C295" s="22" t="s">
        <v>5044</v>
      </c>
      <c r="D295">
        <f>Noty!H979</f>
        <v>0</v>
      </c>
    </row>
    <row r="296" spans="1:4" x14ac:dyDescent="0.3">
      <c r="A296" t="s">
        <v>4981</v>
      </c>
      <c r="B296" t="s">
        <v>4011</v>
      </c>
      <c r="C296" s="22" t="s">
        <v>5045</v>
      </c>
      <c r="D296">
        <f>Noty!H986</f>
        <v>0</v>
      </c>
    </row>
    <row r="297" spans="1:4" x14ac:dyDescent="0.3">
      <c r="A297" t="s">
        <v>4981</v>
      </c>
      <c r="B297" t="s">
        <v>4011</v>
      </c>
      <c r="C297" s="22" t="s">
        <v>5046</v>
      </c>
      <c r="D297">
        <f>Noty!H998</f>
        <v>0</v>
      </c>
    </row>
    <row r="298" spans="1:4" x14ac:dyDescent="0.3">
      <c r="A298" t="s">
        <v>4981</v>
      </c>
      <c r="B298" t="s">
        <v>4011</v>
      </c>
      <c r="C298" s="22" t="s">
        <v>5047</v>
      </c>
      <c r="D298">
        <f>Noty!H1007</f>
        <v>0</v>
      </c>
    </row>
    <row r="299" spans="1:4" x14ac:dyDescent="0.3">
      <c r="A299" t="s">
        <v>4981</v>
      </c>
      <c r="B299" t="s">
        <v>4011</v>
      </c>
      <c r="C299" s="22" t="s">
        <v>5048</v>
      </c>
      <c r="D299">
        <f>Noty!H1012</f>
        <v>0</v>
      </c>
    </row>
    <row r="300" spans="1:4" x14ac:dyDescent="0.3">
      <c r="A300" t="s">
        <v>4981</v>
      </c>
      <c r="B300" t="s">
        <v>4011</v>
      </c>
      <c r="C300" s="22" t="s">
        <v>5049</v>
      </c>
      <c r="D300">
        <f>Noty!I970</f>
        <v>0</v>
      </c>
    </row>
    <row r="301" spans="1:4" x14ac:dyDescent="0.3">
      <c r="A301" t="s">
        <v>4981</v>
      </c>
      <c r="B301" t="s">
        <v>4011</v>
      </c>
      <c r="C301" s="22" t="s">
        <v>5050</v>
      </c>
      <c r="D301">
        <f>Noty!I981</f>
        <v>0</v>
      </c>
    </row>
    <row r="302" spans="1:4" x14ac:dyDescent="0.3">
      <c r="A302" t="s">
        <v>4981</v>
      </c>
      <c r="B302" t="s">
        <v>4011</v>
      </c>
      <c r="C302" s="22" t="s">
        <v>5051</v>
      </c>
      <c r="D302">
        <f>Noty!I979</f>
        <v>0</v>
      </c>
    </row>
    <row r="303" spans="1:4" x14ac:dyDescent="0.3">
      <c r="A303" t="s">
        <v>4981</v>
      </c>
      <c r="B303" t="s">
        <v>4011</v>
      </c>
      <c r="C303" s="22" t="s">
        <v>5052</v>
      </c>
      <c r="D303">
        <f>Noty!I986</f>
        <v>0</v>
      </c>
    </row>
    <row r="304" spans="1:4" x14ac:dyDescent="0.3">
      <c r="A304" t="s">
        <v>4981</v>
      </c>
      <c r="B304" t="s">
        <v>4011</v>
      </c>
      <c r="C304" s="22" t="s">
        <v>5053</v>
      </c>
      <c r="D304">
        <f>Noty!I998</f>
        <v>0</v>
      </c>
    </row>
    <row r="305" spans="1:4" x14ac:dyDescent="0.3">
      <c r="A305" t="s">
        <v>4981</v>
      </c>
      <c r="B305" t="s">
        <v>4011</v>
      </c>
      <c r="C305" s="22" t="s">
        <v>5054</v>
      </c>
      <c r="D305">
        <f>Noty!I1007</f>
        <v>0</v>
      </c>
    </row>
    <row r="306" spans="1:4" x14ac:dyDescent="0.3">
      <c r="A306" t="s">
        <v>4981</v>
      </c>
      <c r="B306" t="s">
        <v>4011</v>
      </c>
      <c r="C306" s="22" t="s">
        <v>5055</v>
      </c>
      <c r="D306">
        <f>Noty!I1012</f>
        <v>0</v>
      </c>
    </row>
    <row r="307" spans="1:4" x14ac:dyDescent="0.3">
      <c r="A307" t="s">
        <v>4981</v>
      </c>
      <c r="B307" t="s">
        <v>4011</v>
      </c>
      <c r="C307" s="22" t="s">
        <v>5056</v>
      </c>
      <c r="D307">
        <f>Noty!H1065</f>
        <v>0</v>
      </c>
    </row>
    <row r="308" spans="1:4" x14ac:dyDescent="0.3">
      <c r="A308" t="s">
        <v>4981</v>
      </c>
      <c r="B308" t="s">
        <v>4011</v>
      </c>
      <c r="C308" s="22" t="s">
        <v>5057</v>
      </c>
      <c r="D308">
        <f>Noty!H1085</f>
        <v>0</v>
      </c>
    </row>
    <row r="309" spans="1:4" x14ac:dyDescent="0.3">
      <c r="A309" t="s">
        <v>4981</v>
      </c>
      <c r="B309" t="s">
        <v>4011</v>
      </c>
      <c r="C309" s="22" t="s">
        <v>5058</v>
      </c>
      <c r="D309">
        <f>Noty!I1065</f>
        <v>0</v>
      </c>
    </row>
    <row r="310" spans="1:4" x14ac:dyDescent="0.3">
      <c r="A310" t="s">
        <v>4981</v>
      </c>
      <c r="B310" t="s">
        <v>4011</v>
      </c>
      <c r="C310" s="22" t="s">
        <v>5059</v>
      </c>
      <c r="D310">
        <f>Noty!I1085</f>
        <v>0</v>
      </c>
    </row>
    <row r="311" spans="1:4" x14ac:dyDescent="0.3">
      <c r="A311" t="s">
        <v>4981</v>
      </c>
      <c r="B311" t="s">
        <v>4011</v>
      </c>
      <c r="C311" s="22" t="s">
        <v>5060</v>
      </c>
      <c r="D311">
        <f>Noty!H1129</f>
        <v>0</v>
      </c>
    </row>
    <row r="312" spans="1:4" x14ac:dyDescent="0.3">
      <c r="A312" t="s">
        <v>4981</v>
      </c>
      <c r="B312" t="s">
        <v>4011</v>
      </c>
      <c r="C312" s="22" t="s">
        <v>5061</v>
      </c>
      <c r="D312">
        <f>Noty!H1148</f>
        <v>0</v>
      </c>
    </row>
    <row r="313" spans="1:4" x14ac:dyDescent="0.3">
      <c r="A313" t="s">
        <v>4981</v>
      </c>
      <c r="B313" t="s">
        <v>4011</v>
      </c>
      <c r="C313" s="22" t="s">
        <v>5062</v>
      </c>
      <c r="D313">
        <f>Noty!I1129</f>
        <v>0</v>
      </c>
    </row>
    <row r="314" spans="1:4" x14ac:dyDescent="0.3">
      <c r="A314" t="s">
        <v>4981</v>
      </c>
      <c r="B314" t="s">
        <v>4011</v>
      </c>
      <c r="C314" s="22" t="s">
        <v>5063</v>
      </c>
      <c r="D314">
        <f>Noty!I1148</f>
        <v>0</v>
      </c>
    </row>
    <row r="315" spans="1:4" x14ac:dyDescent="0.3">
      <c r="A315" t="s">
        <v>4981</v>
      </c>
      <c r="B315" t="s">
        <v>4011</v>
      </c>
      <c r="C315" s="22" t="s">
        <v>5064</v>
      </c>
      <c r="D315">
        <f>Noty!H1167</f>
        <v>0</v>
      </c>
    </row>
    <row r="316" spans="1:4" x14ac:dyDescent="0.3">
      <c r="A316" t="s">
        <v>4981</v>
      </c>
      <c r="B316" t="s">
        <v>4011</v>
      </c>
      <c r="C316" s="22" t="s">
        <v>5065</v>
      </c>
      <c r="D316">
        <f>Noty!I1167</f>
        <v>0</v>
      </c>
    </row>
    <row r="317" spans="1:4" x14ac:dyDescent="0.3">
      <c r="A317" t="s">
        <v>4981</v>
      </c>
      <c r="B317" t="s">
        <v>3471</v>
      </c>
      <c r="C317" s="22" t="s">
        <v>5066</v>
      </c>
      <c r="D317">
        <f>Noty!H560</f>
        <v>0</v>
      </c>
    </row>
    <row r="318" spans="1:4" x14ac:dyDescent="0.3">
      <c r="A318" t="s">
        <v>4981</v>
      </c>
      <c r="B318" t="s">
        <v>3471</v>
      </c>
      <c r="C318" s="22" t="s">
        <v>2131</v>
      </c>
      <c r="D318">
        <f>Noty!I560</f>
        <v>0</v>
      </c>
    </row>
    <row r="319" spans="1:4" x14ac:dyDescent="0.3">
      <c r="A319" t="s">
        <v>5067</v>
      </c>
      <c r="B319" t="s">
        <v>5068</v>
      </c>
      <c r="C319" s="22" t="s">
        <v>5069</v>
      </c>
      <c r="D319" t="s">
        <v>5070</v>
      </c>
    </row>
    <row r="320" spans="1:4" x14ac:dyDescent="0.3">
      <c r="A320" t="s">
        <v>5067</v>
      </c>
      <c r="B320" t="s">
        <v>5068</v>
      </c>
      <c r="C320" s="22" t="s">
        <v>5071</v>
      </c>
      <c r="D320" t="s">
        <v>5070</v>
      </c>
    </row>
    <row r="321" spans="1:4" x14ac:dyDescent="0.3">
      <c r="A321" t="s">
        <v>5067</v>
      </c>
      <c r="B321" t="s">
        <v>5068</v>
      </c>
      <c r="C321" s="22" t="s">
        <v>5072</v>
      </c>
      <c r="D321" t="s">
        <v>5070</v>
      </c>
    </row>
    <row r="322" spans="1:4" x14ac:dyDescent="0.3">
      <c r="A322" t="s">
        <v>5067</v>
      </c>
      <c r="B322" t="s">
        <v>5068</v>
      </c>
      <c r="C322" s="22" t="s">
        <v>5073</v>
      </c>
      <c r="D322" t="s">
        <v>5070</v>
      </c>
    </row>
    <row r="323" spans="1:4" x14ac:dyDescent="0.3">
      <c r="A323" t="s">
        <v>5067</v>
      </c>
      <c r="B323" t="s">
        <v>5068</v>
      </c>
      <c r="C323" s="22" t="s">
        <v>5074</v>
      </c>
      <c r="D323" t="s">
        <v>5070</v>
      </c>
    </row>
    <row r="324" spans="1:4" x14ac:dyDescent="0.3">
      <c r="A324" t="s">
        <v>5067</v>
      </c>
      <c r="B324" t="s">
        <v>5068</v>
      </c>
      <c r="C324" s="22" t="s">
        <v>5075</v>
      </c>
      <c r="D324" t="str">
        <f>IF(ZestKapital= 1,"odkryj","ukryj")</f>
        <v>odkryj</v>
      </c>
    </row>
    <row r="325" spans="1:4" x14ac:dyDescent="0.3">
      <c r="A325" t="s">
        <v>5067</v>
      </c>
      <c r="B325" t="s">
        <v>5068</v>
      </c>
      <c r="C325" s="22" t="s">
        <v>5076</v>
      </c>
      <c r="D325" t="str">
        <f>IF(Przeplyw= 1,"odkryj","ukryj")</f>
        <v>odkryj</v>
      </c>
    </row>
    <row r="326" spans="1:4" x14ac:dyDescent="0.3">
      <c r="A326" t="s">
        <v>5067</v>
      </c>
      <c r="B326" t="s">
        <v>5068</v>
      </c>
      <c r="C326" s="22" t="s">
        <v>5077</v>
      </c>
      <c r="D326" t="s">
        <v>5070</v>
      </c>
    </row>
    <row r="327" spans="1:4" x14ac:dyDescent="0.3">
      <c r="A327" t="s">
        <v>5067</v>
      </c>
      <c r="B327" t="s">
        <v>5078</v>
      </c>
      <c r="C327" s="22" t="s">
        <v>5079</v>
      </c>
      <c r="D327" t="s">
        <v>5070</v>
      </c>
    </row>
    <row r="328" spans="1:4" x14ac:dyDescent="0.3">
      <c r="A328" t="s">
        <v>5067</v>
      </c>
      <c r="B328" t="s">
        <v>5078</v>
      </c>
      <c r="C328" s="22" t="s">
        <v>5080</v>
      </c>
      <c r="D328" t="s">
        <v>5070</v>
      </c>
    </row>
    <row r="329" spans="1:4" x14ac:dyDescent="0.3">
      <c r="A329" t="s">
        <v>5067</v>
      </c>
      <c r="B329" t="s">
        <v>5078</v>
      </c>
      <c r="C329" s="22" t="s">
        <v>5081</v>
      </c>
      <c r="D329" t="s">
        <v>5070</v>
      </c>
    </row>
    <row r="330" spans="1:4" x14ac:dyDescent="0.3">
      <c r="A330" t="s">
        <v>5067</v>
      </c>
      <c r="B330" t="s">
        <v>5078</v>
      </c>
      <c r="C330" s="22" t="s">
        <v>5069</v>
      </c>
      <c r="D330" t="s">
        <v>5070</v>
      </c>
    </row>
    <row r="331" spans="1:4" x14ac:dyDescent="0.3">
      <c r="A331" t="s">
        <v>5067</v>
      </c>
      <c r="B331" t="s">
        <v>5078</v>
      </c>
      <c r="C331" s="22" t="s">
        <v>5071</v>
      </c>
      <c r="D331" t="s">
        <v>5070</v>
      </c>
    </row>
    <row r="332" spans="1:4" x14ac:dyDescent="0.3">
      <c r="A332" t="s">
        <v>5067</v>
      </c>
      <c r="B332" t="s">
        <v>5078</v>
      </c>
      <c r="C332" s="22" t="s">
        <v>5072</v>
      </c>
      <c r="D332" t="s">
        <v>5070</v>
      </c>
    </row>
    <row r="333" spans="1:4" x14ac:dyDescent="0.3">
      <c r="A333" t="s">
        <v>5067</v>
      </c>
      <c r="B333" t="s">
        <v>5078</v>
      </c>
      <c r="C333" s="22" t="s">
        <v>5073</v>
      </c>
      <c r="D333" t="s">
        <v>5070</v>
      </c>
    </row>
    <row r="334" spans="1:4" x14ac:dyDescent="0.3">
      <c r="A334" t="s">
        <v>5067</v>
      </c>
      <c r="B334" t="s">
        <v>5078</v>
      </c>
      <c r="C334" s="22" t="s">
        <v>5074</v>
      </c>
      <c r="D334" t="s">
        <v>5070</v>
      </c>
    </row>
    <row r="335" spans="1:4" x14ac:dyDescent="0.3">
      <c r="A335" t="s">
        <v>5067</v>
      </c>
      <c r="B335" t="s">
        <v>5078</v>
      </c>
      <c r="C335" s="22" t="s">
        <v>5075</v>
      </c>
      <c r="D335" t="s">
        <v>5070</v>
      </c>
    </row>
    <row r="336" spans="1:4" x14ac:dyDescent="0.3">
      <c r="A336" t="s">
        <v>5067</v>
      </c>
      <c r="B336" t="s">
        <v>5078</v>
      </c>
      <c r="C336" s="22" t="s">
        <v>5076</v>
      </c>
      <c r="D336" t="s">
        <v>5070</v>
      </c>
    </row>
    <row r="337" spans="1:4" x14ac:dyDescent="0.3">
      <c r="A337" t="s">
        <v>5067</v>
      </c>
      <c r="B337" t="s">
        <v>5078</v>
      </c>
      <c r="C337" s="22" t="s">
        <v>5077</v>
      </c>
      <c r="D337" t="str">
        <f>oświadczenie!K14</f>
        <v>odkryj</v>
      </c>
    </row>
    <row r="338" spans="1:4" x14ac:dyDescent="0.3">
      <c r="A338" t="s">
        <v>5067</v>
      </c>
      <c r="B338" t="s">
        <v>5078</v>
      </c>
      <c r="C338" s="22" t="s">
        <v>5082</v>
      </c>
      <c r="D338" t="str">
        <f>IF(ZestKapital=1,"odkryj","ukryj")</f>
        <v>odkryj</v>
      </c>
    </row>
    <row r="339" spans="1:4" x14ac:dyDescent="0.3">
      <c r="A339" t="s">
        <v>5067</v>
      </c>
      <c r="B339" t="s">
        <v>5078</v>
      </c>
      <c r="C339" s="22" t="s">
        <v>5083</v>
      </c>
      <c r="D339" t="str">
        <f>oświadczenie!K14</f>
        <v>odkryj</v>
      </c>
    </row>
    <row r="340" spans="1:4" x14ac:dyDescent="0.3">
      <c r="A340" t="s">
        <v>5067</v>
      </c>
      <c r="B340" t="s">
        <v>5078</v>
      </c>
      <c r="C340" s="22" t="s">
        <v>5084</v>
      </c>
      <c r="D340" t="str">
        <f>IF(Przeplyw=1,"odkryj","ukryj")</f>
        <v>odkryj</v>
      </c>
    </row>
    <row r="341" spans="1:4" x14ac:dyDescent="0.3">
      <c r="A341" t="s">
        <v>5067</v>
      </c>
      <c r="B341" t="s">
        <v>5078</v>
      </c>
      <c r="C341" s="22" t="s">
        <v>5085</v>
      </c>
      <c r="D341" t="s">
        <v>5070</v>
      </c>
    </row>
    <row r="342" spans="1:4" x14ac:dyDescent="0.3">
      <c r="A342" t="s">
        <v>5067</v>
      </c>
      <c r="B342" t="s">
        <v>5078</v>
      </c>
      <c r="C342" s="22" t="s">
        <v>5086</v>
      </c>
      <c r="D342" t="s">
        <v>5070</v>
      </c>
    </row>
    <row r="343" spans="1:4" x14ac:dyDescent="0.3">
      <c r="A343" t="s">
        <v>5067</v>
      </c>
      <c r="B343" t="s">
        <v>5078</v>
      </c>
      <c r="C343" s="22" t="s">
        <v>5087</v>
      </c>
      <c r="D343" t="s">
        <v>5070</v>
      </c>
    </row>
    <row r="344" spans="1:4" x14ac:dyDescent="0.3">
      <c r="A344" t="s">
        <v>5067</v>
      </c>
      <c r="B344" t="s">
        <v>5078</v>
      </c>
      <c r="C344" s="22" t="s">
        <v>5088</v>
      </c>
      <c r="D344" t="s">
        <v>5070</v>
      </c>
    </row>
    <row r="345" spans="1:4" x14ac:dyDescent="0.3">
      <c r="A345" t="s">
        <v>5067</v>
      </c>
      <c r="B345" t="s">
        <v>5078</v>
      </c>
      <c r="C345" s="22" t="s">
        <v>5089</v>
      </c>
      <c r="D345" t="str">
        <f>oświadczenie!K22</f>
        <v>odkryj</v>
      </c>
    </row>
    <row r="346" spans="1:4" x14ac:dyDescent="0.3">
      <c r="A346" t="s">
        <v>5067</v>
      </c>
      <c r="B346" t="s">
        <v>5078</v>
      </c>
      <c r="C346" s="22" t="s">
        <v>5090</v>
      </c>
      <c r="D346" t="str">
        <f>IF(oświadczenie!A22="","ukryj","odkryj")</f>
        <v>odkryj</v>
      </c>
    </row>
    <row r="347" spans="1:4" x14ac:dyDescent="0.3">
      <c r="A347" t="s">
        <v>5067</v>
      </c>
      <c r="B347" t="s">
        <v>5078</v>
      </c>
      <c r="C347" s="22" t="s">
        <v>5091</v>
      </c>
      <c r="D347" t="str">
        <f>oświadczenie!K22</f>
        <v>odkryj</v>
      </c>
    </row>
    <row r="348" spans="1:4" x14ac:dyDescent="0.3">
      <c r="A348" t="s">
        <v>5067</v>
      </c>
      <c r="B348" t="s">
        <v>5078</v>
      </c>
      <c r="C348" s="22" t="s">
        <v>5092</v>
      </c>
      <c r="D348" t="str">
        <f>oświadczenie!K23</f>
        <v>odkryj</v>
      </c>
    </row>
    <row r="349" spans="1:4" x14ac:dyDescent="0.3">
      <c r="A349" t="s">
        <v>5067</v>
      </c>
      <c r="B349" t="s">
        <v>5078</v>
      </c>
      <c r="C349" s="22" t="s">
        <v>5093</v>
      </c>
      <c r="D349" t="str">
        <f>oświadczenie!K24</f>
        <v>odkryj</v>
      </c>
    </row>
    <row r="350" spans="1:4" x14ac:dyDescent="0.3">
      <c r="A350" t="s">
        <v>5067</v>
      </c>
      <c r="B350" t="s">
        <v>5078</v>
      </c>
      <c r="C350" s="22" t="s">
        <v>5094</v>
      </c>
      <c r="D350" t="str">
        <f>oświadczenie!K27</f>
        <v>odkryj</v>
      </c>
    </row>
    <row r="351" spans="1:4" x14ac:dyDescent="0.3">
      <c r="A351" t="s">
        <v>5067</v>
      </c>
      <c r="B351" t="s">
        <v>5078</v>
      </c>
      <c r="C351" s="22" t="s">
        <v>5095</v>
      </c>
      <c r="D351" t="str">
        <f>IF(oświadczenie!A27="","ukryj","odkryj")</f>
        <v>odkryj</v>
      </c>
    </row>
    <row r="352" spans="1:4" x14ac:dyDescent="0.3">
      <c r="A352" t="s">
        <v>5067</v>
      </c>
      <c r="B352" t="s">
        <v>5078</v>
      </c>
      <c r="C352" s="22" t="s">
        <v>5096</v>
      </c>
      <c r="D352" t="str">
        <f>oświadczenie!K27</f>
        <v>odkryj</v>
      </c>
    </row>
    <row r="353" spans="1:4" x14ac:dyDescent="0.3">
      <c r="A353" t="s">
        <v>5067</v>
      </c>
      <c r="B353" t="s">
        <v>5078</v>
      </c>
      <c r="C353" s="22" t="s">
        <v>5097</v>
      </c>
      <c r="D353" t="str">
        <f>oświadczenie!K28</f>
        <v>odkryj</v>
      </c>
    </row>
    <row r="354" spans="1:4" x14ac:dyDescent="0.3">
      <c r="A354" t="s">
        <v>5067</v>
      </c>
      <c r="B354" t="s">
        <v>5078</v>
      </c>
      <c r="C354" s="22" t="s">
        <v>5098</v>
      </c>
      <c r="D354" t="str">
        <f>oświadczenie!K29</f>
        <v>odkryj</v>
      </c>
    </row>
    <row r="355" spans="1:4" x14ac:dyDescent="0.3">
      <c r="A355" t="s">
        <v>5067</v>
      </c>
      <c r="B355" t="s">
        <v>5078</v>
      </c>
      <c r="C355" s="22" t="s">
        <v>5099</v>
      </c>
      <c r="D355" t="str">
        <f>oświadczenie!K32</f>
        <v>odkryj</v>
      </c>
    </row>
    <row r="356" spans="1:4" x14ac:dyDescent="0.3">
      <c r="A356" t="s">
        <v>5067</v>
      </c>
      <c r="B356" t="s">
        <v>5078</v>
      </c>
      <c r="C356" s="22" t="s">
        <v>5100</v>
      </c>
      <c r="D356" t="str">
        <f>IF(oświadczenie!A32="","ukryj","odkryj")</f>
        <v>odkryj</v>
      </c>
    </row>
    <row r="357" spans="1:4" x14ac:dyDescent="0.3">
      <c r="A357" t="s">
        <v>5067</v>
      </c>
      <c r="B357" t="s">
        <v>5078</v>
      </c>
      <c r="C357" s="22" t="s">
        <v>5101</v>
      </c>
      <c r="D357" t="str">
        <f>oświadczenie!K32</f>
        <v>odkryj</v>
      </c>
    </row>
    <row r="358" spans="1:4" x14ac:dyDescent="0.3">
      <c r="A358" t="s">
        <v>5067</v>
      </c>
      <c r="B358" t="s">
        <v>5078</v>
      </c>
      <c r="C358" s="22" t="s">
        <v>5102</v>
      </c>
      <c r="D358" t="str">
        <f>oświadczenie!K33</f>
        <v>odkryj</v>
      </c>
    </row>
    <row r="359" spans="1:4" x14ac:dyDescent="0.3">
      <c r="A359" t="s">
        <v>5067</v>
      </c>
      <c r="B359" t="s">
        <v>5078</v>
      </c>
      <c r="C359" s="22" t="s">
        <v>5103</v>
      </c>
      <c r="D359" t="str">
        <f>oświadczenie!K34</f>
        <v>odkryj</v>
      </c>
    </row>
    <row r="360" spans="1:4" x14ac:dyDescent="0.3">
      <c r="A360" t="s">
        <v>5067</v>
      </c>
      <c r="B360" t="s">
        <v>5078</v>
      </c>
      <c r="C360" s="22" t="s">
        <v>5104</v>
      </c>
      <c r="D360" t="str">
        <f>oświadczenie!K37</f>
        <v>ukryj</v>
      </c>
    </row>
    <row r="361" spans="1:4" x14ac:dyDescent="0.3">
      <c r="A361" t="s">
        <v>5067</v>
      </c>
      <c r="B361" t="s">
        <v>5078</v>
      </c>
      <c r="C361" s="22" t="s">
        <v>5105</v>
      </c>
      <c r="D361" t="str">
        <f>IF(oświadczenie!A37="","ukryj","odkryj")</f>
        <v>ukryj</v>
      </c>
    </row>
    <row r="362" spans="1:4" x14ac:dyDescent="0.3">
      <c r="A362" t="s">
        <v>5067</v>
      </c>
      <c r="B362" t="s">
        <v>5078</v>
      </c>
      <c r="C362" s="22" t="s">
        <v>5106</v>
      </c>
      <c r="D362" t="str">
        <f>oświadczenie!K37</f>
        <v>ukryj</v>
      </c>
    </row>
    <row r="363" spans="1:4" x14ac:dyDescent="0.3">
      <c r="A363" t="s">
        <v>5067</v>
      </c>
      <c r="B363" t="s">
        <v>5078</v>
      </c>
      <c r="C363" s="22" t="s">
        <v>5107</v>
      </c>
      <c r="D363" t="str">
        <f>oświadczenie!K38</f>
        <v>ukryj</v>
      </c>
    </row>
    <row r="364" spans="1:4" x14ac:dyDescent="0.3">
      <c r="A364" t="s">
        <v>5067</v>
      </c>
      <c r="B364" t="s">
        <v>5078</v>
      </c>
      <c r="C364" s="22" t="s">
        <v>5108</v>
      </c>
      <c r="D364" t="str">
        <f>oświadczenie!K39</f>
        <v>ukryj</v>
      </c>
    </row>
    <row r="365" spans="1:4" x14ac:dyDescent="0.3">
      <c r="A365" t="s">
        <v>5067</v>
      </c>
      <c r="B365" t="s">
        <v>5078</v>
      </c>
      <c r="C365" s="22" t="s">
        <v>5109</v>
      </c>
      <c r="D365" t="str">
        <f>oświadczenie!K42</f>
        <v>ukryj</v>
      </c>
    </row>
    <row r="366" spans="1:4" x14ac:dyDescent="0.3">
      <c r="A366" t="s">
        <v>5067</v>
      </c>
      <c r="B366" t="s">
        <v>5078</v>
      </c>
      <c r="C366" s="22" t="s">
        <v>5110</v>
      </c>
      <c r="D366" t="str">
        <f>IF(oświadczenie!A42="","ukryj","odkryj")</f>
        <v>ukryj</v>
      </c>
    </row>
    <row r="367" spans="1:4" x14ac:dyDescent="0.3">
      <c r="A367" t="s">
        <v>5067</v>
      </c>
      <c r="B367" t="s">
        <v>5078</v>
      </c>
      <c r="C367" s="22" t="s">
        <v>5111</v>
      </c>
      <c r="D367" t="str">
        <f>oświadczenie!K42</f>
        <v>ukryj</v>
      </c>
    </row>
    <row r="368" spans="1:4" x14ac:dyDescent="0.3">
      <c r="A368" t="s">
        <v>5067</v>
      </c>
      <c r="B368" t="s">
        <v>5078</v>
      </c>
      <c r="C368" s="22" t="s">
        <v>5112</v>
      </c>
      <c r="D368" t="str">
        <f>oświadczenie!K43</f>
        <v>ukryj</v>
      </c>
    </row>
    <row r="369" spans="1:4" x14ac:dyDescent="0.3">
      <c r="A369" t="s">
        <v>5067</v>
      </c>
      <c r="B369" t="s">
        <v>5078</v>
      </c>
      <c r="C369" s="22" t="s">
        <v>5113</v>
      </c>
      <c r="D369" t="str">
        <f>oświadczenie!K44</f>
        <v>ukryj</v>
      </c>
    </row>
    <row r="370" spans="1:4" x14ac:dyDescent="0.3">
      <c r="A370" t="s">
        <v>5067</v>
      </c>
      <c r="B370" t="s">
        <v>5078</v>
      </c>
      <c r="C370" s="22" t="s">
        <v>5114</v>
      </c>
      <c r="D370" t="str">
        <f>oświadczenie!K47</f>
        <v>ukryj</v>
      </c>
    </row>
    <row r="371" spans="1:4" x14ac:dyDescent="0.3">
      <c r="A371" t="s">
        <v>5067</v>
      </c>
      <c r="B371" t="s">
        <v>5078</v>
      </c>
      <c r="C371" s="22" t="s">
        <v>5115</v>
      </c>
      <c r="D371" t="str">
        <f>IF(oświadczenie!A47="","ukryj","odkryj")</f>
        <v>ukryj</v>
      </c>
    </row>
    <row r="372" spans="1:4" x14ac:dyDescent="0.3">
      <c r="A372" t="s">
        <v>5067</v>
      </c>
      <c r="B372" t="s">
        <v>5078</v>
      </c>
      <c r="C372" s="22" t="s">
        <v>5116</v>
      </c>
      <c r="D372" t="str">
        <f>oświadczenie!K47</f>
        <v>ukryj</v>
      </c>
    </row>
    <row r="373" spans="1:4" x14ac:dyDescent="0.3">
      <c r="A373" t="s">
        <v>5067</v>
      </c>
      <c r="B373" t="s">
        <v>5078</v>
      </c>
      <c r="C373" s="22" t="s">
        <v>5117</v>
      </c>
      <c r="D373" t="str">
        <f>oświadczenie!K48</f>
        <v>ukryj</v>
      </c>
    </row>
    <row r="374" spans="1:4" x14ac:dyDescent="0.3">
      <c r="A374" t="s">
        <v>5067</v>
      </c>
      <c r="B374" t="s">
        <v>5078</v>
      </c>
      <c r="C374" s="22" t="s">
        <v>5118</v>
      </c>
      <c r="D374" t="str">
        <f>oświadczenie!K49</f>
        <v>ukryj</v>
      </c>
    </row>
    <row r="375" spans="1:4" x14ac:dyDescent="0.3">
      <c r="A375" t="s">
        <v>5067</v>
      </c>
      <c r="B375" t="s">
        <v>5078</v>
      </c>
      <c r="C375" s="22" t="s">
        <v>5119</v>
      </c>
      <c r="D375" t="s">
        <v>5070</v>
      </c>
    </row>
    <row r="376" spans="1:4" x14ac:dyDescent="0.3">
      <c r="A376" t="s">
        <v>5067</v>
      </c>
      <c r="B376" t="s">
        <v>5078</v>
      </c>
      <c r="C376" s="22" t="s">
        <v>5120</v>
      </c>
      <c r="D376" t="s">
        <v>5070</v>
      </c>
    </row>
    <row r="377" spans="1:4" x14ac:dyDescent="0.3">
      <c r="A377" t="s">
        <v>5067</v>
      </c>
      <c r="B377" t="s">
        <v>5078</v>
      </c>
      <c r="C377" s="22" t="s">
        <v>5121</v>
      </c>
      <c r="D377" t="s">
        <v>5070</v>
      </c>
    </row>
    <row r="378" spans="1:4" x14ac:dyDescent="0.3">
      <c r="A378" t="s">
        <v>5067</v>
      </c>
      <c r="B378" t="s">
        <v>5078</v>
      </c>
      <c r="C378" s="22" t="s">
        <v>5122</v>
      </c>
      <c r="D378" t="s">
        <v>5070</v>
      </c>
    </row>
    <row r="379" spans="1:4" x14ac:dyDescent="0.3">
      <c r="A379" t="s">
        <v>5067</v>
      </c>
      <c r="B379" t="s">
        <v>5123</v>
      </c>
      <c r="C379" s="22" t="s">
        <v>5124</v>
      </c>
      <c r="D379" t="s">
        <v>5070</v>
      </c>
    </row>
    <row r="380" spans="1:4" x14ac:dyDescent="0.3">
      <c r="A380" t="s">
        <v>5067</v>
      </c>
      <c r="B380" t="s">
        <v>5123</v>
      </c>
      <c r="C380" s="22" t="s">
        <v>5079</v>
      </c>
      <c r="D380" t="s">
        <v>5070</v>
      </c>
    </row>
    <row r="381" spans="1:4" x14ac:dyDescent="0.3">
      <c r="A381" t="s">
        <v>5067</v>
      </c>
      <c r="B381" t="s">
        <v>5123</v>
      </c>
      <c r="C381" s="22" t="s">
        <v>5080</v>
      </c>
      <c r="D381" t="s">
        <v>5070</v>
      </c>
    </row>
    <row r="382" spans="1:4" x14ac:dyDescent="0.3">
      <c r="A382" t="s">
        <v>5067</v>
      </c>
      <c r="B382" t="s">
        <v>5123</v>
      </c>
      <c r="C382" s="22" t="s">
        <v>5081</v>
      </c>
      <c r="D382" t="s">
        <v>5070</v>
      </c>
    </row>
    <row r="383" spans="1:4" x14ac:dyDescent="0.3">
      <c r="A383" t="s">
        <v>5067</v>
      </c>
      <c r="B383" t="s">
        <v>5123</v>
      </c>
      <c r="C383" s="22" t="s">
        <v>5069</v>
      </c>
      <c r="D383" t="s">
        <v>5070</v>
      </c>
    </row>
    <row r="384" spans="1:4" x14ac:dyDescent="0.3">
      <c r="A384" t="s">
        <v>5067</v>
      </c>
      <c r="B384" t="s">
        <v>5123</v>
      </c>
      <c r="C384" s="22" t="s">
        <v>5071</v>
      </c>
      <c r="D384" t="s">
        <v>5070</v>
      </c>
    </row>
    <row r="385" spans="1:4" x14ac:dyDescent="0.3">
      <c r="A385" t="s">
        <v>5067</v>
      </c>
      <c r="B385" t="s">
        <v>5123</v>
      </c>
      <c r="C385" s="22" t="s">
        <v>5072</v>
      </c>
      <c r="D385" t="s">
        <v>5070</v>
      </c>
    </row>
    <row r="386" spans="1:4" x14ac:dyDescent="0.3">
      <c r="A386" t="s">
        <v>5067</v>
      </c>
      <c r="B386" t="s">
        <v>5123</v>
      </c>
      <c r="C386" s="22" t="s">
        <v>5073</v>
      </c>
      <c r="D386" t="s">
        <v>5070</v>
      </c>
    </row>
    <row r="387" spans="1:4" x14ac:dyDescent="0.3">
      <c r="A387" t="s">
        <v>5067</v>
      </c>
      <c r="B387" t="s">
        <v>5123</v>
      </c>
      <c r="C387" s="22" t="s">
        <v>5074</v>
      </c>
      <c r="D387" t="s">
        <v>5070</v>
      </c>
    </row>
    <row r="388" spans="1:4" x14ac:dyDescent="0.3">
      <c r="A388" t="s">
        <v>5067</v>
      </c>
      <c r="B388" t="s">
        <v>5123</v>
      </c>
      <c r="C388" s="22" t="s">
        <v>5075</v>
      </c>
      <c r="D388" t="s">
        <v>5070</v>
      </c>
    </row>
    <row r="389" spans="1:4" x14ac:dyDescent="0.3">
      <c r="A389" t="s">
        <v>5067</v>
      </c>
      <c r="B389" t="s">
        <v>5123</v>
      </c>
      <c r="C389" s="22" t="s">
        <v>5076</v>
      </c>
      <c r="D389" t="s">
        <v>5070</v>
      </c>
    </row>
    <row r="390" spans="1:4" x14ac:dyDescent="0.3">
      <c r="A390" t="s">
        <v>5067</v>
      </c>
      <c r="B390" t="s">
        <v>5123</v>
      </c>
      <c r="C390" s="22" t="s">
        <v>5077</v>
      </c>
      <c r="D390" t="str">
        <f>IF(wstęp!G13="","ukryj","odkryj")</f>
        <v>odkryj</v>
      </c>
    </row>
    <row r="391" spans="1:4" x14ac:dyDescent="0.3">
      <c r="A391" t="s">
        <v>5067</v>
      </c>
      <c r="B391" t="s">
        <v>5123</v>
      </c>
      <c r="C391" s="22" t="s">
        <v>5082</v>
      </c>
      <c r="D391" t="str">
        <f>IF(wstęp!G14="","ukryj","odkryj")</f>
        <v>odkryj</v>
      </c>
    </row>
    <row r="392" spans="1:4" x14ac:dyDescent="0.3">
      <c r="A392" t="s">
        <v>5067</v>
      </c>
      <c r="B392" t="s">
        <v>5123</v>
      </c>
      <c r="C392" s="22" t="s">
        <v>5083</v>
      </c>
      <c r="D392" t="str">
        <f>IF(wstęp!G15="","ukryj","odkryj")</f>
        <v>ukryj</v>
      </c>
    </row>
    <row r="393" spans="1:4" x14ac:dyDescent="0.3">
      <c r="A393" t="s">
        <v>5067</v>
      </c>
      <c r="B393" t="s">
        <v>5123</v>
      </c>
      <c r="C393" s="22" t="s">
        <v>5084</v>
      </c>
      <c r="D393" t="str">
        <f>IF(wstęp!G16="","ukryj","odkryj")</f>
        <v>odkryj</v>
      </c>
    </row>
    <row r="394" spans="1:4" x14ac:dyDescent="0.3">
      <c r="A394" t="s">
        <v>5067</v>
      </c>
      <c r="B394" t="s">
        <v>5123</v>
      </c>
      <c r="C394" s="22" t="s">
        <v>5085</v>
      </c>
      <c r="D394" t="str">
        <f>IF(wstęp!G17="","ukryj","odkryj")</f>
        <v>odkryj</v>
      </c>
    </row>
    <row r="395" spans="1:4" x14ac:dyDescent="0.3">
      <c r="A395" t="s">
        <v>5067</v>
      </c>
      <c r="B395" t="s">
        <v>5123</v>
      </c>
      <c r="C395" s="22" t="s">
        <v>5086</v>
      </c>
      <c r="D395" t="str">
        <f>IF(wstęp!G18="","ukryj","odkryj")</f>
        <v>odkryj</v>
      </c>
    </row>
    <row r="396" spans="1:4" x14ac:dyDescent="0.3">
      <c r="A396" t="s">
        <v>5067</v>
      </c>
      <c r="B396" t="s">
        <v>5123</v>
      </c>
      <c r="C396" s="22" t="s">
        <v>5087</v>
      </c>
      <c r="D396" t="str">
        <f>IF(wstęp!G19="","ukryj","odkryj")</f>
        <v>odkryj</v>
      </c>
    </row>
    <row r="397" spans="1:4" x14ac:dyDescent="0.3">
      <c r="A397" t="s">
        <v>5067</v>
      </c>
      <c r="B397" t="s">
        <v>5123</v>
      </c>
      <c r="C397" s="22" t="s">
        <v>5088</v>
      </c>
      <c r="D397" t="str">
        <f>IF(wstęp!G20="","ukryj","odkryj")</f>
        <v>odkryj</v>
      </c>
    </row>
    <row r="398" spans="1:4" x14ac:dyDescent="0.3">
      <c r="A398" t="s">
        <v>5067</v>
      </c>
      <c r="B398" t="s">
        <v>5123</v>
      </c>
      <c r="C398" s="22" t="s">
        <v>5089</v>
      </c>
      <c r="D398" t="str">
        <f>IF(wstęp!G21="","ukryj","odkryj")</f>
        <v>odkryj</v>
      </c>
    </row>
    <row r="399" spans="1:4" x14ac:dyDescent="0.3">
      <c r="A399" t="s">
        <v>5067</v>
      </c>
      <c r="B399" t="s">
        <v>5123</v>
      </c>
      <c r="C399" s="22" t="s">
        <v>5090</v>
      </c>
      <c r="D399" t="str">
        <f>IF(wstęp!G22="","ukryj","odkryj")</f>
        <v>odkryj</v>
      </c>
    </row>
    <row r="400" spans="1:4" x14ac:dyDescent="0.3">
      <c r="A400" t="s">
        <v>5067</v>
      </c>
      <c r="B400" t="s">
        <v>5123</v>
      </c>
      <c r="C400" s="22" t="s">
        <v>5091</v>
      </c>
      <c r="D400" t="str">
        <f>IF(wstęp!G23="","ukryj","odkryj")</f>
        <v>odkryj</v>
      </c>
    </row>
    <row r="401" spans="1:4" x14ac:dyDescent="0.3">
      <c r="A401" t="s">
        <v>5067</v>
      </c>
      <c r="B401" t="s">
        <v>5123</v>
      </c>
      <c r="C401" s="22" t="s">
        <v>5092</v>
      </c>
      <c r="D401" t="str">
        <f>IF(wstęp!G24="","ukryj","odkryj")</f>
        <v>ukryj</v>
      </c>
    </row>
    <row r="402" spans="1:4" x14ac:dyDescent="0.3">
      <c r="A402" t="s">
        <v>5067</v>
      </c>
      <c r="B402" t="s">
        <v>5123</v>
      </c>
      <c r="C402" s="22" t="s">
        <v>5093</v>
      </c>
      <c r="D402" t="s">
        <v>5070</v>
      </c>
    </row>
    <row r="403" spans="1:4" x14ac:dyDescent="0.3">
      <c r="A403" t="s">
        <v>5067</v>
      </c>
      <c r="B403" t="s">
        <v>5123</v>
      </c>
      <c r="C403" s="22" t="s">
        <v>5094</v>
      </c>
      <c r="D403" t="s">
        <v>5070</v>
      </c>
    </row>
    <row r="404" spans="1:4" x14ac:dyDescent="0.3">
      <c r="A404" t="s">
        <v>5067</v>
      </c>
      <c r="B404" t="s">
        <v>5123</v>
      </c>
      <c r="C404" s="22" t="s">
        <v>5095</v>
      </c>
      <c r="D404" t="s">
        <v>5070</v>
      </c>
    </row>
    <row r="405" spans="1:4" x14ac:dyDescent="0.3">
      <c r="A405" t="s">
        <v>5067</v>
      </c>
      <c r="B405" t="s">
        <v>5123</v>
      </c>
      <c r="C405" s="22" t="s">
        <v>5096</v>
      </c>
      <c r="D405" t="s">
        <v>5070</v>
      </c>
    </row>
    <row r="406" spans="1:4" x14ac:dyDescent="0.3">
      <c r="A406" t="s">
        <v>5067</v>
      </c>
      <c r="B406" t="s">
        <v>5123</v>
      </c>
      <c r="C406" s="22" t="s">
        <v>5097</v>
      </c>
      <c r="D406" t="s">
        <v>5125</v>
      </c>
    </row>
    <row r="407" spans="1:4" x14ac:dyDescent="0.3">
      <c r="A407" t="s">
        <v>5067</v>
      </c>
      <c r="B407" t="s">
        <v>5123</v>
      </c>
      <c r="C407" s="22" t="s">
        <v>5098</v>
      </c>
      <c r="D407" t="s">
        <v>5070</v>
      </c>
    </row>
    <row r="408" spans="1:4" x14ac:dyDescent="0.3">
      <c r="A408" t="s">
        <v>5067</v>
      </c>
      <c r="B408" t="s">
        <v>5123</v>
      </c>
      <c r="C408" s="22" t="s">
        <v>5099</v>
      </c>
      <c r="D408" t="s">
        <v>5070</v>
      </c>
    </row>
    <row r="409" spans="1:4" x14ac:dyDescent="0.3">
      <c r="A409" t="s">
        <v>5067</v>
      </c>
      <c r="B409" t="s">
        <v>5123</v>
      </c>
      <c r="C409" s="22" t="s">
        <v>5100</v>
      </c>
      <c r="D409" t="s">
        <v>5070</v>
      </c>
    </row>
    <row r="410" spans="1:4" x14ac:dyDescent="0.3">
      <c r="A410" t="s">
        <v>5067</v>
      </c>
      <c r="B410" t="s">
        <v>5123</v>
      </c>
      <c r="C410" s="22" t="s">
        <v>5101</v>
      </c>
      <c r="D410" t="s">
        <v>5070</v>
      </c>
    </row>
    <row r="411" spans="1:4" x14ac:dyDescent="0.3">
      <c r="A411" t="s">
        <v>5067</v>
      </c>
      <c r="B411" t="s">
        <v>5123</v>
      </c>
      <c r="C411" s="22" t="s">
        <v>5102</v>
      </c>
      <c r="D411" t="s">
        <v>5070</v>
      </c>
    </row>
    <row r="412" spans="1:4" x14ac:dyDescent="0.3">
      <c r="A412" t="s">
        <v>5067</v>
      </c>
      <c r="B412" t="s">
        <v>5123</v>
      </c>
      <c r="C412" s="22" t="s">
        <v>5103</v>
      </c>
      <c r="D412" t="str">
        <f>IF(wstęp!E35="","ukryj","odkryj")</f>
        <v>ukryj</v>
      </c>
    </row>
    <row r="413" spans="1:4" x14ac:dyDescent="0.3">
      <c r="A413" t="s">
        <v>5067</v>
      </c>
      <c r="B413" t="s">
        <v>5123</v>
      </c>
      <c r="C413" s="22" t="s">
        <v>5104</v>
      </c>
      <c r="D413" t="str">
        <f>IF(wstęp!E36="","ukryj","odkryj")</f>
        <v>ukryj</v>
      </c>
    </row>
    <row r="414" spans="1:4" x14ac:dyDescent="0.3">
      <c r="A414" t="s">
        <v>5067</v>
      </c>
      <c r="B414" t="s">
        <v>5123</v>
      </c>
      <c r="C414" s="22" t="s">
        <v>5105</v>
      </c>
      <c r="D414" t="str">
        <f>IF(wstęp!E37="","ukryj","odkryj")</f>
        <v>ukryj</v>
      </c>
    </row>
    <row r="415" spans="1:4" x14ac:dyDescent="0.3">
      <c r="A415" t="s">
        <v>5067</v>
      </c>
      <c r="B415" t="s">
        <v>5123</v>
      </c>
      <c r="C415" s="22" t="s">
        <v>5106</v>
      </c>
      <c r="D415" t="str">
        <f>IF(wstęp!E38="","ukryj","odkryj")</f>
        <v>ukryj</v>
      </c>
    </row>
    <row r="416" spans="1:4" x14ac:dyDescent="0.3">
      <c r="A416" t="s">
        <v>5067</v>
      </c>
      <c r="B416" t="s">
        <v>5123</v>
      </c>
      <c r="C416" s="22" t="s">
        <v>5107</v>
      </c>
      <c r="D416" t="str">
        <f>IF(wstęp!E39="","ukryj","odkryj")</f>
        <v>ukryj</v>
      </c>
    </row>
    <row r="417" spans="1:4" x14ac:dyDescent="0.3">
      <c r="A417" t="s">
        <v>5067</v>
      </c>
      <c r="B417" t="s">
        <v>5123</v>
      </c>
      <c r="C417" s="22" t="s">
        <v>5108</v>
      </c>
      <c r="D417" t="str">
        <f>IF(wstęp!E40="","ukryj","odkryj")</f>
        <v>ukryj</v>
      </c>
    </row>
    <row r="418" spans="1:4" x14ac:dyDescent="0.3">
      <c r="A418" t="s">
        <v>5067</v>
      </c>
      <c r="B418" t="s">
        <v>5123</v>
      </c>
      <c r="C418" s="22" t="s">
        <v>5109</v>
      </c>
      <c r="D418" t="str">
        <f>IF(wstęp!E41="","ukryj","odkryj")</f>
        <v>ukryj</v>
      </c>
    </row>
    <row r="419" spans="1:4" x14ac:dyDescent="0.3">
      <c r="A419" t="s">
        <v>5067</v>
      </c>
      <c r="B419" t="s">
        <v>5123</v>
      </c>
      <c r="C419" s="22" t="s">
        <v>5110</v>
      </c>
      <c r="D419" t="str">
        <f>IF(wstęp!E42="","ukryj","odkryj")</f>
        <v>ukryj</v>
      </c>
    </row>
    <row r="420" spans="1:4" x14ac:dyDescent="0.3">
      <c r="A420" t="s">
        <v>5067</v>
      </c>
      <c r="B420" t="s">
        <v>5123</v>
      </c>
      <c r="C420" s="22" t="s">
        <v>5111</v>
      </c>
      <c r="D420" t="str">
        <f>IF(wstęp!E43="","ukryj","odkryj")</f>
        <v>ukryj</v>
      </c>
    </row>
    <row r="421" spans="1:4" x14ac:dyDescent="0.3">
      <c r="A421" t="s">
        <v>5067</v>
      </c>
      <c r="B421" t="s">
        <v>5123</v>
      </c>
      <c r="C421" s="22" t="s">
        <v>5112</v>
      </c>
      <c r="D421" t="str">
        <f>IF(wstęp!E44="","ukryj","odkryj")</f>
        <v>ukryj</v>
      </c>
    </row>
    <row r="422" spans="1:4" x14ac:dyDescent="0.3">
      <c r="A422" t="s">
        <v>5067</v>
      </c>
      <c r="B422" t="s">
        <v>5123</v>
      </c>
      <c r="C422" s="22" t="s">
        <v>5113</v>
      </c>
      <c r="D422" t="s">
        <v>5070</v>
      </c>
    </row>
    <row r="423" spans="1:4" x14ac:dyDescent="0.3">
      <c r="A423" t="s">
        <v>5067</v>
      </c>
      <c r="B423" t="s">
        <v>5123</v>
      </c>
      <c r="C423" s="22" t="s">
        <v>5114</v>
      </c>
      <c r="D423" t="s">
        <v>5070</v>
      </c>
    </row>
    <row r="424" spans="1:4" x14ac:dyDescent="0.3">
      <c r="A424" t="s">
        <v>5067</v>
      </c>
      <c r="B424" t="s">
        <v>5123</v>
      </c>
      <c r="C424" s="22" t="s">
        <v>5115</v>
      </c>
      <c r="D424" t="s">
        <v>5125</v>
      </c>
    </row>
    <row r="425" spans="1:4" x14ac:dyDescent="0.3">
      <c r="A425" t="s">
        <v>5067</v>
      </c>
      <c r="B425" t="s">
        <v>5123</v>
      </c>
      <c r="C425" s="22" t="s">
        <v>5116</v>
      </c>
      <c r="D425" t="s">
        <v>5070</v>
      </c>
    </row>
    <row r="426" spans="1:4" x14ac:dyDescent="0.3">
      <c r="A426" t="s">
        <v>5067</v>
      </c>
      <c r="B426" t="s">
        <v>5123</v>
      </c>
      <c r="C426" s="22" t="s">
        <v>5117</v>
      </c>
      <c r="D426" t="s">
        <v>5070</v>
      </c>
    </row>
    <row r="427" spans="1:4" x14ac:dyDescent="0.3">
      <c r="A427" t="s">
        <v>5067</v>
      </c>
      <c r="B427" t="s">
        <v>5123</v>
      </c>
      <c r="C427" s="22" t="s">
        <v>5118</v>
      </c>
      <c r="D427" t="s">
        <v>5070</v>
      </c>
    </row>
    <row r="428" spans="1:4" x14ac:dyDescent="0.3">
      <c r="A428" t="s">
        <v>5067</v>
      </c>
      <c r="B428" t="s">
        <v>5123</v>
      </c>
      <c r="C428" s="22" t="s">
        <v>5119</v>
      </c>
      <c r="D428" t="s">
        <v>5070</v>
      </c>
    </row>
    <row r="429" spans="1:4" x14ac:dyDescent="0.3">
      <c r="A429" t="s">
        <v>5067</v>
      </c>
      <c r="B429" t="s">
        <v>5123</v>
      </c>
      <c r="C429" s="22" t="s">
        <v>5120</v>
      </c>
      <c r="D429" t="s">
        <v>5070</v>
      </c>
    </row>
    <row r="430" spans="1:4" x14ac:dyDescent="0.3">
      <c r="A430" t="s">
        <v>5067</v>
      </c>
      <c r="B430" t="s">
        <v>5123</v>
      </c>
      <c r="C430" s="22" t="s">
        <v>5121</v>
      </c>
      <c r="D430" t="s">
        <v>5070</v>
      </c>
    </row>
    <row r="431" spans="1:4" x14ac:dyDescent="0.3">
      <c r="A431" t="s">
        <v>5067</v>
      </c>
      <c r="B431" t="s">
        <v>5123</v>
      </c>
      <c r="C431" s="22" t="s">
        <v>5122</v>
      </c>
      <c r="D431" t="e">
        <f>IF(wstęp!#REF!="","ukryj","odkryj")</f>
        <v>#REF!</v>
      </c>
    </row>
    <row r="432" spans="1:4" x14ac:dyDescent="0.3">
      <c r="A432" t="s">
        <v>5067</v>
      </c>
      <c r="B432" t="s">
        <v>5123</v>
      </c>
      <c r="C432" s="22" t="s">
        <v>5126</v>
      </c>
      <c r="D432" t="e">
        <f>IF(wstęp!#REF!="","ukryj","odkryj")</f>
        <v>#REF!</v>
      </c>
    </row>
    <row r="433" spans="1:4" x14ac:dyDescent="0.3">
      <c r="A433" t="s">
        <v>5067</v>
      </c>
      <c r="B433" t="s">
        <v>5123</v>
      </c>
      <c r="C433" s="22" t="s">
        <v>5127</v>
      </c>
      <c r="D433" t="e">
        <f>IF(wstęp!#REF!="","ukryj","odkryj")</f>
        <v>#REF!</v>
      </c>
    </row>
    <row r="434" spans="1:4" x14ac:dyDescent="0.3">
      <c r="A434" t="s">
        <v>5067</v>
      </c>
      <c r="B434" t="s">
        <v>5123</v>
      </c>
      <c r="C434" s="22" t="s">
        <v>5128</v>
      </c>
      <c r="D434" t="e">
        <f>IF(wstęp!#REF!="","ukryj","odkryj")</f>
        <v>#REF!</v>
      </c>
    </row>
    <row r="435" spans="1:4" x14ac:dyDescent="0.3">
      <c r="A435" t="s">
        <v>5067</v>
      </c>
      <c r="B435" t="s">
        <v>5123</v>
      </c>
      <c r="C435" s="22" t="s">
        <v>5129</v>
      </c>
      <c r="D435" t="e">
        <f>IF(wstęp!#REF!="","ukryj","odkryj")</f>
        <v>#REF!</v>
      </c>
    </row>
    <row r="436" spans="1:4" x14ac:dyDescent="0.3">
      <c r="A436" t="s">
        <v>5067</v>
      </c>
      <c r="B436" t="s">
        <v>5123</v>
      </c>
      <c r="C436" s="22" t="s">
        <v>5130</v>
      </c>
      <c r="D436" t="e">
        <f>IF(wstęp!#REF!="","ukryj","odkryj")</f>
        <v>#REF!</v>
      </c>
    </row>
    <row r="437" spans="1:4" x14ac:dyDescent="0.3">
      <c r="A437" t="s">
        <v>5067</v>
      </c>
      <c r="B437" t="s">
        <v>5123</v>
      </c>
      <c r="C437" s="22" t="s">
        <v>5131</v>
      </c>
      <c r="D437" t="s">
        <v>5070</v>
      </c>
    </row>
    <row r="438" spans="1:4" x14ac:dyDescent="0.3">
      <c r="A438" t="s">
        <v>5067</v>
      </c>
      <c r="B438" t="s">
        <v>5123</v>
      </c>
      <c r="C438" s="22" t="s">
        <v>5132</v>
      </c>
      <c r="D438" t="s">
        <v>5070</v>
      </c>
    </row>
    <row r="439" spans="1:4" x14ac:dyDescent="0.3">
      <c r="A439" t="s">
        <v>5067</v>
      </c>
      <c r="B439" t="s">
        <v>5123</v>
      </c>
      <c r="C439" s="22" t="s">
        <v>5133</v>
      </c>
      <c r="D439" t="e">
        <f>IF(wstęp!#REF!="","ukryj","odkryj")</f>
        <v>#REF!</v>
      </c>
    </row>
    <row r="440" spans="1:4" x14ac:dyDescent="0.3">
      <c r="A440" t="s">
        <v>5067</v>
      </c>
      <c r="B440" t="s">
        <v>5123</v>
      </c>
      <c r="C440" s="22" t="s">
        <v>5134</v>
      </c>
      <c r="D440" t="e">
        <f>IF(wstęp!#REF!="","ukryj","odkryj")</f>
        <v>#REF!</v>
      </c>
    </row>
    <row r="441" spans="1:4" x14ac:dyDescent="0.3">
      <c r="A441" t="s">
        <v>5067</v>
      </c>
      <c r="B441" t="s">
        <v>5123</v>
      </c>
      <c r="C441" s="22" t="s">
        <v>5135</v>
      </c>
      <c r="D441" t="e">
        <f>IF(wstęp!#REF!="","ukryj","odkryj")</f>
        <v>#REF!</v>
      </c>
    </row>
    <row r="442" spans="1:4" x14ac:dyDescent="0.3">
      <c r="A442" t="s">
        <v>5067</v>
      </c>
      <c r="B442" t="s">
        <v>5123</v>
      </c>
      <c r="C442" s="22" t="s">
        <v>5136</v>
      </c>
      <c r="D442" t="e">
        <f>IF(wstęp!#REF!="","ukryj","odkryj")</f>
        <v>#REF!</v>
      </c>
    </row>
    <row r="443" spans="1:4" x14ac:dyDescent="0.3">
      <c r="A443" t="s">
        <v>5067</v>
      </c>
      <c r="B443" t="s">
        <v>5123</v>
      </c>
      <c r="C443" s="22" t="s">
        <v>5137</v>
      </c>
      <c r="D443" t="e">
        <f>IF(wstęp!#REF!="","ukryj","odkryj")</f>
        <v>#REF!</v>
      </c>
    </row>
    <row r="444" spans="1:4" x14ac:dyDescent="0.3">
      <c r="A444" t="s">
        <v>5067</v>
      </c>
      <c r="B444" t="s">
        <v>5123</v>
      </c>
      <c r="C444" s="22" t="s">
        <v>5138</v>
      </c>
      <c r="D444" t="e">
        <f>IF(wstęp!#REF!="","ukryj","odkryj")</f>
        <v>#REF!</v>
      </c>
    </row>
    <row r="445" spans="1:4" x14ac:dyDescent="0.3">
      <c r="A445" t="s">
        <v>5067</v>
      </c>
      <c r="B445" t="s">
        <v>5123</v>
      </c>
      <c r="C445" s="22" t="s">
        <v>5139</v>
      </c>
      <c r="D445" t="e">
        <f>IF(wstęp!#REF!="odkryj","ukryj","odkryj")</f>
        <v>#REF!</v>
      </c>
    </row>
    <row r="446" spans="1:4" x14ac:dyDescent="0.3">
      <c r="A446" t="s">
        <v>5067</v>
      </c>
      <c r="B446" t="s">
        <v>5123</v>
      </c>
      <c r="C446" s="22" t="s">
        <v>5140</v>
      </c>
      <c r="D446" t="s">
        <v>5070</v>
      </c>
    </row>
    <row r="447" spans="1:4" x14ac:dyDescent="0.3">
      <c r="A447" t="s">
        <v>5067</v>
      </c>
      <c r="B447" t="s">
        <v>5123</v>
      </c>
      <c r="C447" s="22" t="s">
        <v>5141</v>
      </c>
      <c r="D447" t="s">
        <v>5070</v>
      </c>
    </row>
    <row r="448" spans="1:4" x14ac:dyDescent="0.3">
      <c r="A448" t="s">
        <v>5067</v>
      </c>
      <c r="B448" t="s">
        <v>5123</v>
      </c>
      <c r="C448" s="22" t="s">
        <v>5142</v>
      </c>
      <c r="D448" t="s">
        <v>5070</v>
      </c>
    </row>
    <row r="449" spans="1:4" x14ac:dyDescent="0.3">
      <c r="A449" t="s">
        <v>5067</v>
      </c>
      <c r="B449" t="s">
        <v>5123</v>
      </c>
      <c r="C449" s="22" t="s">
        <v>5143</v>
      </c>
      <c r="D449" t="s">
        <v>5070</v>
      </c>
    </row>
    <row r="450" spans="1:4" x14ac:dyDescent="0.3">
      <c r="A450" t="s">
        <v>5067</v>
      </c>
      <c r="B450" t="s">
        <v>5123</v>
      </c>
      <c r="C450" s="22" t="s">
        <v>5144</v>
      </c>
      <c r="D450" t="s">
        <v>5070</v>
      </c>
    </row>
    <row r="451" spans="1:4" x14ac:dyDescent="0.3">
      <c r="A451" t="s">
        <v>5067</v>
      </c>
      <c r="B451" t="s">
        <v>5123</v>
      </c>
      <c r="C451" s="22" t="s">
        <v>5145</v>
      </c>
      <c r="D451" t="s">
        <v>5070</v>
      </c>
    </row>
    <row r="452" spans="1:4" x14ac:dyDescent="0.3">
      <c r="A452" t="s">
        <v>5067</v>
      </c>
      <c r="B452" t="s">
        <v>5123</v>
      </c>
      <c r="C452" s="22" t="s">
        <v>5146</v>
      </c>
      <c r="D452" t="s">
        <v>5070</v>
      </c>
    </row>
    <row r="453" spans="1:4" x14ac:dyDescent="0.3">
      <c r="A453" t="s">
        <v>5067</v>
      </c>
      <c r="B453" t="s">
        <v>5123</v>
      </c>
      <c r="C453" s="22" t="s">
        <v>5147</v>
      </c>
      <c r="D453" t="s">
        <v>5125</v>
      </c>
    </row>
    <row r="454" spans="1:4" x14ac:dyDescent="0.3">
      <c r="A454" t="s">
        <v>5067</v>
      </c>
      <c r="B454" t="s">
        <v>5123</v>
      </c>
      <c r="C454" s="22" t="s">
        <v>5148</v>
      </c>
      <c r="D454" t="str">
        <f>IF(AND(ZalozenieKontynuacji="tak",ZagrozenieKontynuacji="tak"),"odkryj","ukryj")</f>
        <v>odkryj</v>
      </c>
    </row>
    <row r="455" spans="1:4" x14ac:dyDescent="0.3">
      <c r="A455" t="s">
        <v>5067</v>
      </c>
      <c r="B455" t="s">
        <v>5123</v>
      </c>
      <c r="C455" s="22" t="s">
        <v>5149</v>
      </c>
      <c r="D455" t="str">
        <f>wstęp!K55</f>
        <v>odkryj</v>
      </c>
    </row>
    <row r="456" spans="1:4" x14ac:dyDescent="0.3">
      <c r="A456" t="s">
        <v>5067</v>
      </c>
      <c r="B456" t="s">
        <v>5123</v>
      </c>
      <c r="C456" s="22" t="s">
        <v>5150</v>
      </c>
      <c r="D456" t="str">
        <f>wstęp!K56</f>
        <v>odkryj</v>
      </c>
    </row>
    <row r="457" spans="1:4" x14ac:dyDescent="0.3">
      <c r="A457" t="s">
        <v>5067</v>
      </c>
      <c r="B457" t="s">
        <v>5123</v>
      </c>
      <c r="C457" s="22" t="s">
        <v>5151</v>
      </c>
      <c r="D457" t="str">
        <f>wstęp!K57</f>
        <v>odkryj</v>
      </c>
    </row>
    <row r="458" spans="1:4" x14ac:dyDescent="0.3">
      <c r="A458" t="s">
        <v>5067</v>
      </c>
      <c r="B458" t="s">
        <v>5123</v>
      </c>
      <c r="C458" s="22" t="s">
        <v>5152</v>
      </c>
      <c r="D458" t="s">
        <v>5125</v>
      </c>
    </row>
    <row r="459" spans="1:4" x14ac:dyDescent="0.3">
      <c r="A459" t="s">
        <v>5067</v>
      </c>
      <c r="B459" t="s">
        <v>5123</v>
      </c>
      <c r="C459" s="22" t="s">
        <v>5153</v>
      </c>
      <c r="D459" t="str">
        <f>wstęp!K59</f>
        <v>ukryj</v>
      </c>
    </row>
    <row r="460" spans="1:4" x14ac:dyDescent="0.3">
      <c r="A460" t="s">
        <v>5067</v>
      </c>
      <c r="B460" t="s">
        <v>5123</v>
      </c>
      <c r="C460" s="22" t="s">
        <v>5154</v>
      </c>
      <c r="D460" t="str">
        <f>IF(AND(ZalozenieKontynuacji="tak",ZagrozenieKontynuacji="nie"),"odkryj","ukryj")</f>
        <v>ukryj</v>
      </c>
    </row>
    <row r="461" spans="1:4" x14ac:dyDescent="0.3">
      <c r="A461" t="s">
        <v>5067</v>
      </c>
      <c r="B461" t="s">
        <v>5123</v>
      </c>
      <c r="C461" s="22" t="s">
        <v>5155</v>
      </c>
      <c r="D461" t="str">
        <f>IF(AND(ZalozenieKontynuacji="tak",ZagrozenieKontynuacji="nie"),"odkryj","ukryj")</f>
        <v>ukryj</v>
      </c>
    </row>
    <row r="462" spans="1:4" x14ac:dyDescent="0.3">
      <c r="A462" t="s">
        <v>5067</v>
      </c>
      <c r="B462" t="s">
        <v>5123</v>
      </c>
      <c r="C462" s="22" t="s">
        <v>5156</v>
      </c>
      <c r="D462" t="str">
        <f>IF(AND(ZalozenieKontynuacji="tak",ZagrozenieKontynuacji="nie"),"odkryj","ukryj")</f>
        <v>ukryj</v>
      </c>
    </row>
    <row r="463" spans="1:4" x14ac:dyDescent="0.3">
      <c r="A463" t="s">
        <v>5067</v>
      </c>
      <c r="B463" t="s">
        <v>5123</v>
      </c>
      <c r="C463" s="22" t="s">
        <v>5157</v>
      </c>
      <c r="D463" t="str">
        <f>wstęp!K61</f>
        <v>ukryj</v>
      </c>
    </row>
    <row r="464" spans="1:4" x14ac:dyDescent="0.3">
      <c r="A464" t="s">
        <v>5067</v>
      </c>
      <c r="B464" t="s">
        <v>5123</v>
      </c>
      <c r="C464" s="22" t="s">
        <v>5158</v>
      </c>
      <c r="D464" t="s">
        <v>5125</v>
      </c>
    </row>
    <row r="465" spans="1:4" x14ac:dyDescent="0.3">
      <c r="A465" t="s">
        <v>5067</v>
      </c>
      <c r="B465" t="s">
        <v>5123</v>
      </c>
      <c r="C465" s="22" t="s">
        <v>5159</v>
      </c>
      <c r="D465" t="str">
        <f>wstęp!K64</f>
        <v>ukryj</v>
      </c>
    </row>
    <row r="466" spans="1:4" x14ac:dyDescent="0.3">
      <c r="A466" t="s">
        <v>5067</v>
      </c>
      <c r="B466" t="s">
        <v>5123</v>
      </c>
      <c r="C466" s="22" t="s">
        <v>5160</v>
      </c>
      <c r="D466" t="str">
        <f>IF(AND(ZalozenieKontynuacji="nie"),"odkryj","ukryj")</f>
        <v>ukryj</v>
      </c>
    </row>
    <row r="467" spans="1:4" x14ac:dyDescent="0.3">
      <c r="A467" t="s">
        <v>5067</v>
      </c>
      <c r="B467" t="s">
        <v>5123</v>
      </c>
      <c r="C467" s="22" t="s">
        <v>5161</v>
      </c>
      <c r="D467" t="str">
        <f>IF(AND(ZalozenieKontynuacji="nie",ZagrozenieKontynuacji="nie"),"odkryj","ukryj")</f>
        <v>ukryj</v>
      </c>
    </row>
    <row r="468" spans="1:4" x14ac:dyDescent="0.3">
      <c r="A468" t="s">
        <v>5067</v>
      </c>
      <c r="B468" t="s">
        <v>5123</v>
      </c>
      <c r="C468" s="22" t="s">
        <v>5162</v>
      </c>
      <c r="D468" t="str">
        <f>IF(AND(ZalozenieKontynuacji="nie",ZagrozenieKontynuacji="nie"),"odkryj","ukryj")</f>
        <v>ukryj</v>
      </c>
    </row>
    <row r="469" spans="1:4" x14ac:dyDescent="0.3">
      <c r="A469" t="s">
        <v>5067</v>
      </c>
      <c r="B469" t="s">
        <v>5123</v>
      </c>
      <c r="C469" s="22" t="s">
        <v>5163</v>
      </c>
      <c r="D469" t="str">
        <f>IF(DaneLaczne="nie","ukryj","odkryj")</f>
        <v>ukryj</v>
      </c>
    </row>
    <row r="470" spans="1:4" x14ac:dyDescent="0.3">
      <c r="A470" t="s">
        <v>5067</v>
      </c>
      <c r="B470" t="s">
        <v>5123</v>
      </c>
      <c r="C470" s="22" t="s">
        <v>5164</v>
      </c>
      <c r="D470" t="str">
        <f>wstęp!K70</f>
        <v>ukryj</v>
      </c>
    </row>
    <row r="471" spans="1:4" x14ac:dyDescent="0.3">
      <c r="A471" t="s">
        <v>5067</v>
      </c>
      <c r="B471" t="s">
        <v>5123</v>
      </c>
      <c r="C471" s="22" t="s">
        <v>5165</v>
      </c>
      <c r="D471" t="str">
        <f>wstęp!K71</f>
        <v>ukryj</v>
      </c>
    </row>
    <row r="472" spans="1:4" x14ac:dyDescent="0.3">
      <c r="A472" t="s">
        <v>5067</v>
      </c>
      <c r="B472" t="s">
        <v>5123</v>
      </c>
      <c r="C472" s="22" t="s">
        <v>5166</v>
      </c>
      <c r="D472" t="str">
        <f>IF(wstęp!E73="","ukryj","odkryj")</f>
        <v>ukryj</v>
      </c>
    </row>
    <row r="473" spans="1:4" x14ac:dyDescent="0.3">
      <c r="A473" t="s">
        <v>5067</v>
      </c>
      <c r="B473" t="s">
        <v>5123</v>
      </c>
      <c r="C473" s="22" t="s">
        <v>5167</v>
      </c>
      <c r="D473" t="str">
        <f>IF(wstęp!E74="","ukryj","odkryj")</f>
        <v>ukryj</v>
      </c>
    </row>
    <row r="474" spans="1:4" x14ac:dyDescent="0.3">
      <c r="A474" t="s">
        <v>5067</v>
      </c>
      <c r="B474" t="s">
        <v>5123</v>
      </c>
      <c r="C474" s="22" t="s">
        <v>5168</v>
      </c>
      <c r="D474" t="str">
        <f>wstęp!K74</f>
        <v>ukryj</v>
      </c>
    </row>
    <row r="475" spans="1:4" x14ac:dyDescent="0.3">
      <c r="A475" t="s">
        <v>5067</v>
      </c>
      <c r="B475" t="s">
        <v>5123</v>
      </c>
      <c r="C475" s="22" t="s">
        <v>5169</v>
      </c>
      <c r="D475" t="s">
        <v>5070</v>
      </c>
    </row>
    <row r="476" spans="1:4" x14ac:dyDescent="0.3">
      <c r="A476" t="s">
        <v>5067</v>
      </c>
      <c r="B476" t="s">
        <v>5123</v>
      </c>
      <c r="C476" s="22" t="s">
        <v>5170</v>
      </c>
      <c r="D476" t="str">
        <f>wstęp!K76</f>
        <v>odkryj</v>
      </c>
    </row>
    <row r="477" spans="1:4" x14ac:dyDescent="0.3">
      <c r="A477" t="s">
        <v>5067</v>
      </c>
      <c r="B477" t="s">
        <v>5123</v>
      </c>
      <c r="C477" s="22" t="s">
        <v>5171</v>
      </c>
      <c r="D477" t="str">
        <f>IF(Polaczenie="tak","odkryj","ukryj")</f>
        <v>ukryj</v>
      </c>
    </row>
    <row r="478" spans="1:4" x14ac:dyDescent="0.3">
      <c r="A478" t="s">
        <v>5067</v>
      </c>
      <c r="B478" t="s">
        <v>5123</v>
      </c>
      <c r="C478" s="22" t="s">
        <v>5172</v>
      </c>
      <c r="D478" t="str">
        <f>wstęp!K78</f>
        <v>ukryj</v>
      </c>
    </row>
    <row r="479" spans="1:4" x14ac:dyDescent="0.3">
      <c r="A479" t="s">
        <v>5067</v>
      </c>
      <c r="B479" t="s">
        <v>5123</v>
      </c>
      <c r="C479" s="22" t="s">
        <v>5173</v>
      </c>
      <c r="D479" t="str">
        <f>IF(Polaczenie="tak","odkryj","ukryj")</f>
        <v>ukryj</v>
      </c>
    </row>
    <row r="480" spans="1:4" x14ac:dyDescent="0.3">
      <c r="A480" t="s">
        <v>5067</v>
      </c>
      <c r="B480" t="s">
        <v>5123</v>
      </c>
      <c r="C480" s="22" t="s">
        <v>5174</v>
      </c>
      <c r="D480" t="s">
        <v>5125</v>
      </c>
    </row>
    <row r="481" spans="1:4" x14ac:dyDescent="0.3">
      <c r="A481" t="s">
        <v>5067</v>
      </c>
      <c r="B481" t="s">
        <v>5123</v>
      </c>
      <c r="C481" s="22" t="s">
        <v>5175</v>
      </c>
      <c r="D481" t="str">
        <f>IF(Polaczenie="nie","odkryj","ukryj")</f>
        <v>odkryj</v>
      </c>
    </row>
    <row r="482" spans="1:4" x14ac:dyDescent="0.3">
      <c r="A482" t="s">
        <v>5067</v>
      </c>
      <c r="B482" t="s">
        <v>5123</v>
      </c>
      <c r="C482" s="22" t="s">
        <v>5176</v>
      </c>
      <c r="D482" t="str">
        <f>wstęp!K82</f>
        <v>odkryj</v>
      </c>
    </row>
    <row r="483" spans="1:4" x14ac:dyDescent="0.3">
      <c r="A483" t="s">
        <v>5067</v>
      </c>
      <c r="B483" t="s">
        <v>5123</v>
      </c>
      <c r="C483" s="22" t="s">
        <v>5177</v>
      </c>
      <c r="D483" t="s">
        <v>5070</v>
      </c>
    </row>
    <row r="484" spans="1:4" x14ac:dyDescent="0.3">
      <c r="A484" t="s">
        <v>5067</v>
      </c>
      <c r="B484" t="s">
        <v>5123</v>
      </c>
      <c r="C484" s="22" t="s">
        <v>5178</v>
      </c>
      <c r="D484" t="s">
        <v>5070</v>
      </c>
    </row>
    <row r="485" spans="1:4" x14ac:dyDescent="0.3">
      <c r="A485" t="s">
        <v>5067</v>
      </c>
      <c r="B485" t="s">
        <v>5123</v>
      </c>
      <c r="C485" s="22" t="s">
        <v>5179</v>
      </c>
      <c r="D485" t="s">
        <v>5070</v>
      </c>
    </row>
    <row r="486" spans="1:4" x14ac:dyDescent="0.3">
      <c r="A486" t="s">
        <v>5067</v>
      </c>
      <c r="B486" t="s">
        <v>5123</v>
      </c>
      <c r="C486" s="22" t="s">
        <v>5180</v>
      </c>
      <c r="D486" t="s">
        <v>5070</v>
      </c>
    </row>
    <row r="487" spans="1:4" x14ac:dyDescent="0.3">
      <c r="A487" t="s">
        <v>5067</v>
      </c>
      <c r="B487" t="s">
        <v>5123</v>
      </c>
      <c r="C487" s="22" t="s">
        <v>5181</v>
      </c>
      <c r="D487" t="s">
        <v>5070</v>
      </c>
    </row>
    <row r="488" spans="1:4" x14ac:dyDescent="0.3">
      <c r="A488" t="s">
        <v>5067</v>
      </c>
      <c r="B488" t="s">
        <v>5123</v>
      </c>
      <c r="C488" s="22" t="s">
        <v>5182</v>
      </c>
      <c r="D488" t="s">
        <v>5070</v>
      </c>
    </row>
    <row r="489" spans="1:4" x14ac:dyDescent="0.3">
      <c r="A489" t="s">
        <v>5067</v>
      </c>
      <c r="B489" t="s">
        <v>5123</v>
      </c>
      <c r="C489" s="22" t="s">
        <v>5183</v>
      </c>
      <c r="D489" t="s">
        <v>5070</v>
      </c>
    </row>
    <row r="490" spans="1:4" x14ac:dyDescent="0.3">
      <c r="A490" t="s">
        <v>5067</v>
      </c>
      <c r="B490" t="s">
        <v>5123</v>
      </c>
      <c r="C490" s="22" t="s">
        <v>5184</v>
      </c>
      <c r="D490" t="s">
        <v>5070</v>
      </c>
    </row>
    <row r="491" spans="1:4" x14ac:dyDescent="0.3">
      <c r="A491" t="s">
        <v>5067</v>
      </c>
      <c r="B491" t="s">
        <v>5123</v>
      </c>
      <c r="C491" s="22" t="s">
        <v>5185</v>
      </c>
      <c r="D491" t="s">
        <v>5070</v>
      </c>
    </row>
    <row r="492" spans="1:4" x14ac:dyDescent="0.3">
      <c r="A492" t="s">
        <v>5067</v>
      </c>
      <c r="B492" t="s">
        <v>5123</v>
      </c>
      <c r="C492" s="22" t="s">
        <v>5186</v>
      </c>
      <c r="D492" t="s">
        <v>5070</v>
      </c>
    </row>
    <row r="493" spans="1:4" x14ac:dyDescent="0.3">
      <c r="A493" t="s">
        <v>5067</v>
      </c>
      <c r="B493" t="s">
        <v>5123</v>
      </c>
      <c r="C493" s="22" t="s">
        <v>5187</v>
      </c>
      <c r="D493" t="s">
        <v>5070</v>
      </c>
    </row>
    <row r="494" spans="1:4" x14ac:dyDescent="0.3">
      <c r="A494" t="s">
        <v>5067</v>
      </c>
      <c r="B494" t="s">
        <v>5123</v>
      </c>
      <c r="C494" s="22" t="s">
        <v>5188</v>
      </c>
      <c r="D494" t="s">
        <v>5070</v>
      </c>
    </row>
    <row r="495" spans="1:4" x14ac:dyDescent="0.3">
      <c r="A495" t="s">
        <v>5067</v>
      </c>
      <c r="B495" t="s">
        <v>5123</v>
      </c>
      <c r="C495" s="22" t="s">
        <v>5189</v>
      </c>
      <c r="D495" t="s">
        <v>5070</v>
      </c>
    </row>
    <row r="496" spans="1:4" x14ac:dyDescent="0.3">
      <c r="A496" t="s">
        <v>5067</v>
      </c>
      <c r="B496" t="s">
        <v>5123</v>
      </c>
      <c r="C496" s="22" t="s">
        <v>5190</v>
      </c>
      <c r="D496" t="s">
        <v>5070</v>
      </c>
    </row>
    <row r="497" spans="1:4" x14ac:dyDescent="0.3">
      <c r="A497" t="s">
        <v>5067</v>
      </c>
      <c r="B497" t="s">
        <v>5123</v>
      </c>
      <c r="C497" s="22" t="s">
        <v>5191</v>
      </c>
      <c r="D497" t="s">
        <v>5070</v>
      </c>
    </row>
    <row r="498" spans="1:4" x14ac:dyDescent="0.3">
      <c r="A498" t="s">
        <v>5067</v>
      </c>
      <c r="B498" t="s">
        <v>5123</v>
      </c>
      <c r="C498" s="22" t="s">
        <v>5192</v>
      </c>
      <c r="D498" t="s">
        <v>5070</v>
      </c>
    </row>
    <row r="499" spans="1:4" x14ac:dyDescent="0.3">
      <c r="A499" t="s">
        <v>5067</v>
      </c>
      <c r="B499" t="s">
        <v>5123</v>
      </c>
      <c r="C499" s="22" t="s">
        <v>5193</v>
      </c>
      <c r="D499" t="s">
        <v>5070</v>
      </c>
    </row>
    <row r="500" spans="1:4" x14ac:dyDescent="0.3">
      <c r="A500" t="s">
        <v>5067</v>
      </c>
      <c r="B500" t="s">
        <v>5123</v>
      </c>
      <c r="C500" s="22" t="s">
        <v>5194</v>
      </c>
      <c r="D500" t="s">
        <v>5070</v>
      </c>
    </row>
    <row r="501" spans="1:4" x14ac:dyDescent="0.3">
      <c r="A501" t="s">
        <v>5067</v>
      </c>
      <c r="B501" t="s">
        <v>5123</v>
      </c>
      <c r="C501" s="22" t="s">
        <v>5195</v>
      </c>
      <c r="D501" t="s">
        <v>5070</v>
      </c>
    </row>
    <row r="502" spans="1:4" x14ac:dyDescent="0.3">
      <c r="A502" t="s">
        <v>5067</v>
      </c>
      <c r="B502" t="s">
        <v>5123</v>
      </c>
      <c r="C502" s="22" t="s">
        <v>5196</v>
      </c>
      <c r="D502" t="s">
        <v>5070</v>
      </c>
    </row>
    <row r="503" spans="1:4" x14ac:dyDescent="0.3">
      <c r="A503" t="s">
        <v>5067</v>
      </c>
      <c r="B503" t="s">
        <v>5123</v>
      </c>
      <c r="C503" s="22" t="s">
        <v>5197</v>
      </c>
      <c r="D503" t="s">
        <v>5070</v>
      </c>
    </row>
    <row r="504" spans="1:4" x14ac:dyDescent="0.3">
      <c r="A504" t="s">
        <v>5067</v>
      </c>
      <c r="B504" t="s">
        <v>5123</v>
      </c>
      <c r="C504" s="22" t="s">
        <v>5198</v>
      </c>
      <c r="D504" t="s">
        <v>5070</v>
      </c>
    </row>
    <row r="505" spans="1:4" x14ac:dyDescent="0.3">
      <c r="A505" t="s">
        <v>5067</v>
      </c>
      <c r="B505" t="s">
        <v>5123</v>
      </c>
      <c r="C505" s="22" t="s">
        <v>5199</v>
      </c>
      <c r="D505" t="s">
        <v>5070</v>
      </c>
    </row>
    <row r="506" spans="1:4" x14ac:dyDescent="0.3">
      <c r="A506" t="s">
        <v>5067</v>
      </c>
      <c r="B506" t="s">
        <v>5123</v>
      </c>
      <c r="C506" s="22" t="s">
        <v>5200</v>
      </c>
      <c r="D506" t="s">
        <v>5070</v>
      </c>
    </row>
    <row r="507" spans="1:4" x14ac:dyDescent="0.3">
      <c r="A507" t="s">
        <v>5067</v>
      </c>
      <c r="B507" t="s">
        <v>5123</v>
      </c>
      <c r="C507" s="22" t="s">
        <v>5201</v>
      </c>
      <c r="D507" t="s">
        <v>5070</v>
      </c>
    </row>
    <row r="508" spans="1:4" x14ac:dyDescent="0.3">
      <c r="A508" t="s">
        <v>5067</v>
      </c>
      <c r="B508" t="s">
        <v>5123</v>
      </c>
      <c r="C508" s="22" t="s">
        <v>5202</v>
      </c>
      <c r="D508" t="s">
        <v>5070</v>
      </c>
    </row>
    <row r="509" spans="1:4" x14ac:dyDescent="0.3">
      <c r="A509" t="s">
        <v>5067</v>
      </c>
      <c r="B509" t="s">
        <v>5123</v>
      </c>
      <c r="C509" s="22" t="s">
        <v>5203</v>
      </c>
      <c r="D509" t="s">
        <v>5070</v>
      </c>
    </row>
    <row r="510" spans="1:4" x14ac:dyDescent="0.3">
      <c r="A510" t="s">
        <v>5067</v>
      </c>
      <c r="B510" t="s">
        <v>5123</v>
      </c>
      <c r="C510" s="22" t="s">
        <v>5204</v>
      </c>
      <c r="D510" t="s">
        <v>5070</v>
      </c>
    </row>
    <row r="511" spans="1:4" x14ac:dyDescent="0.3">
      <c r="A511" t="s">
        <v>5067</v>
      </c>
      <c r="B511" t="s">
        <v>5123</v>
      </c>
      <c r="C511" s="22" t="s">
        <v>5205</v>
      </c>
      <c r="D511" t="s">
        <v>5070</v>
      </c>
    </row>
    <row r="512" spans="1:4" x14ac:dyDescent="0.3">
      <c r="A512" t="s">
        <v>5067</v>
      </c>
      <c r="B512" t="s">
        <v>5123</v>
      </c>
      <c r="C512" s="22" t="s">
        <v>5206</v>
      </c>
      <c r="D512" t="s">
        <v>5070</v>
      </c>
    </row>
    <row r="513" spans="1:4" x14ac:dyDescent="0.3">
      <c r="A513" t="s">
        <v>5067</v>
      </c>
      <c r="B513" t="s">
        <v>5123</v>
      </c>
      <c r="C513" s="22" t="s">
        <v>5207</v>
      </c>
      <c r="D513" t="s">
        <v>5070</v>
      </c>
    </row>
    <row r="514" spans="1:4" x14ac:dyDescent="0.3">
      <c r="A514" t="s">
        <v>5067</v>
      </c>
      <c r="B514" t="s">
        <v>5123</v>
      </c>
      <c r="C514" s="22" t="s">
        <v>5208</v>
      </c>
      <c r="D514" t="s">
        <v>5070</v>
      </c>
    </row>
    <row r="515" spans="1:4" x14ac:dyDescent="0.3">
      <c r="A515" t="s">
        <v>5067</v>
      </c>
      <c r="B515" t="s">
        <v>5123</v>
      </c>
      <c r="C515" s="22" t="s">
        <v>5209</v>
      </c>
      <c r="D515" t="s">
        <v>5070</v>
      </c>
    </row>
    <row r="516" spans="1:4" x14ac:dyDescent="0.3">
      <c r="A516" t="s">
        <v>5067</v>
      </c>
      <c r="B516" t="s">
        <v>5123</v>
      </c>
      <c r="C516" s="22" t="s">
        <v>5210</v>
      </c>
      <c r="D516" t="s">
        <v>5070</v>
      </c>
    </row>
    <row r="517" spans="1:4" x14ac:dyDescent="0.3">
      <c r="A517" t="s">
        <v>5067</v>
      </c>
      <c r="B517" t="s">
        <v>5123</v>
      </c>
      <c r="C517" s="22" t="s">
        <v>5211</v>
      </c>
      <c r="D517" t="s">
        <v>5070</v>
      </c>
    </row>
    <row r="518" spans="1:4" x14ac:dyDescent="0.3">
      <c r="A518" t="s">
        <v>5067</v>
      </c>
      <c r="B518" t="s">
        <v>5123</v>
      </c>
      <c r="C518" s="22" t="s">
        <v>5212</v>
      </c>
      <c r="D518" t="s">
        <v>5070</v>
      </c>
    </row>
    <row r="519" spans="1:4" x14ac:dyDescent="0.3">
      <c r="A519" t="s">
        <v>5067</v>
      </c>
      <c r="B519" t="s">
        <v>5123</v>
      </c>
      <c r="C519" s="22" t="s">
        <v>5213</v>
      </c>
      <c r="D519" t="s">
        <v>5070</v>
      </c>
    </row>
    <row r="520" spans="1:4" x14ac:dyDescent="0.3">
      <c r="A520" t="s">
        <v>5067</v>
      </c>
      <c r="B520" t="s">
        <v>5123</v>
      </c>
      <c r="C520" s="22" t="s">
        <v>5214</v>
      </c>
      <c r="D520" t="s">
        <v>5070</v>
      </c>
    </row>
    <row r="521" spans="1:4" x14ac:dyDescent="0.3">
      <c r="A521" t="s">
        <v>5067</v>
      </c>
      <c r="B521" t="s">
        <v>5123</v>
      </c>
      <c r="C521" s="22" t="s">
        <v>5215</v>
      </c>
      <c r="D521" t="s">
        <v>5070</v>
      </c>
    </row>
    <row r="522" spans="1:4" x14ac:dyDescent="0.3">
      <c r="A522" t="s">
        <v>5067</v>
      </c>
      <c r="B522" t="s">
        <v>5123</v>
      </c>
      <c r="C522" s="22" t="s">
        <v>5216</v>
      </c>
      <c r="D522" t="s">
        <v>5070</v>
      </c>
    </row>
    <row r="523" spans="1:4" x14ac:dyDescent="0.3">
      <c r="A523" t="s">
        <v>5067</v>
      </c>
      <c r="B523" t="s">
        <v>5123</v>
      </c>
      <c r="C523" s="22" t="s">
        <v>5217</v>
      </c>
      <c r="D523" t="s">
        <v>5070</v>
      </c>
    </row>
    <row r="524" spans="1:4" x14ac:dyDescent="0.3">
      <c r="A524" t="s">
        <v>5067</v>
      </c>
      <c r="B524" t="s">
        <v>5123</v>
      </c>
      <c r="C524" s="22" t="s">
        <v>5218</v>
      </c>
      <c r="D524" t="s">
        <v>5070</v>
      </c>
    </row>
    <row r="525" spans="1:4" x14ac:dyDescent="0.3">
      <c r="A525" t="s">
        <v>5067</v>
      </c>
      <c r="B525" t="s">
        <v>5123</v>
      </c>
      <c r="C525" s="22" t="s">
        <v>5219</v>
      </c>
      <c r="D525" t="s">
        <v>5070</v>
      </c>
    </row>
    <row r="526" spans="1:4" x14ac:dyDescent="0.3">
      <c r="A526" t="s">
        <v>5067</v>
      </c>
      <c r="B526" t="s">
        <v>5123</v>
      </c>
      <c r="C526" s="22" t="s">
        <v>5220</v>
      </c>
      <c r="D526" t="s">
        <v>5070</v>
      </c>
    </row>
    <row r="527" spans="1:4" x14ac:dyDescent="0.3">
      <c r="A527" t="s">
        <v>5067</v>
      </c>
      <c r="B527" t="s">
        <v>5123</v>
      </c>
      <c r="C527" s="22" t="s">
        <v>5221</v>
      </c>
      <c r="D527" t="s">
        <v>5070</v>
      </c>
    </row>
    <row r="528" spans="1:4" x14ac:dyDescent="0.3">
      <c r="A528" t="s">
        <v>5067</v>
      </c>
      <c r="B528" t="s">
        <v>5123</v>
      </c>
      <c r="C528" s="22" t="s">
        <v>5222</v>
      </c>
      <c r="D528" t="s">
        <v>5070</v>
      </c>
    </row>
    <row r="529" spans="1:4" x14ac:dyDescent="0.3">
      <c r="A529" t="s">
        <v>5067</v>
      </c>
      <c r="B529" t="s">
        <v>5123</v>
      </c>
      <c r="C529" s="22" t="s">
        <v>5223</v>
      </c>
      <c r="D529" t="s">
        <v>5070</v>
      </c>
    </row>
    <row r="530" spans="1:4" x14ac:dyDescent="0.3">
      <c r="A530" t="s">
        <v>5067</v>
      </c>
      <c r="B530" t="s">
        <v>5123</v>
      </c>
      <c r="C530" s="22" t="s">
        <v>5224</v>
      </c>
      <c r="D530" t="s">
        <v>5070</v>
      </c>
    </row>
    <row r="531" spans="1:4" x14ac:dyDescent="0.3">
      <c r="A531" t="s">
        <v>5067</v>
      </c>
      <c r="B531" t="s">
        <v>5123</v>
      </c>
      <c r="C531" s="22" t="s">
        <v>5225</v>
      </c>
      <c r="D531" t="s">
        <v>5070</v>
      </c>
    </row>
    <row r="532" spans="1:4" x14ac:dyDescent="0.3">
      <c r="A532" t="s">
        <v>5067</v>
      </c>
      <c r="B532" t="s">
        <v>5123</v>
      </c>
      <c r="C532" s="22" t="s">
        <v>5226</v>
      </c>
      <c r="D532" t="s">
        <v>5070</v>
      </c>
    </row>
    <row r="533" spans="1:4" x14ac:dyDescent="0.3">
      <c r="A533" t="s">
        <v>5067</v>
      </c>
      <c r="B533" t="s">
        <v>5123</v>
      </c>
      <c r="C533" s="22" t="s">
        <v>5227</v>
      </c>
      <c r="D533" t="s">
        <v>5070</v>
      </c>
    </row>
    <row r="534" spans="1:4" x14ac:dyDescent="0.3">
      <c r="A534" t="s">
        <v>5067</v>
      </c>
      <c r="B534" t="s">
        <v>5123</v>
      </c>
      <c r="C534" s="22" t="s">
        <v>5228</v>
      </c>
      <c r="D534" t="s">
        <v>5070</v>
      </c>
    </row>
    <row r="535" spans="1:4" x14ac:dyDescent="0.3">
      <c r="A535" t="s">
        <v>5067</v>
      </c>
      <c r="B535" t="s">
        <v>5123</v>
      </c>
      <c r="C535" s="22" t="s">
        <v>5229</v>
      </c>
      <c r="D535" t="s">
        <v>5070</v>
      </c>
    </row>
    <row r="536" spans="1:4" x14ac:dyDescent="0.3">
      <c r="A536" t="s">
        <v>5067</v>
      </c>
      <c r="B536" t="s">
        <v>5123</v>
      </c>
      <c r="C536" s="22" t="s">
        <v>5230</v>
      </c>
      <c r="D536" t="s">
        <v>5070</v>
      </c>
    </row>
    <row r="537" spans="1:4" x14ac:dyDescent="0.3">
      <c r="A537" t="s">
        <v>5067</v>
      </c>
      <c r="B537" t="s">
        <v>5123</v>
      </c>
      <c r="C537" s="22" t="s">
        <v>5231</v>
      </c>
      <c r="D537" t="s">
        <v>5070</v>
      </c>
    </row>
    <row r="538" spans="1:4" x14ac:dyDescent="0.3">
      <c r="A538" t="s">
        <v>5067</v>
      </c>
      <c r="B538" t="s">
        <v>5123</v>
      </c>
      <c r="C538" s="22" t="s">
        <v>5232</v>
      </c>
      <c r="D538" t="s">
        <v>5070</v>
      </c>
    </row>
    <row r="539" spans="1:4" x14ac:dyDescent="0.3">
      <c r="A539" t="s">
        <v>5067</v>
      </c>
      <c r="B539" t="s">
        <v>5123</v>
      </c>
      <c r="C539" s="22" t="s">
        <v>5233</v>
      </c>
      <c r="D539" t="s">
        <v>5070</v>
      </c>
    </row>
    <row r="540" spans="1:4" x14ac:dyDescent="0.3">
      <c r="A540" t="s">
        <v>5067</v>
      </c>
      <c r="B540" t="s">
        <v>5123</v>
      </c>
      <c r="C540" s="22" t="s">
        <v>5234</v>
      </c>
      <c r="D540" t="s">
        <v>5070</v>
      </c>
    </row>
    <row r="541" spans="1:4" x14ac:dyDescent="0.3">
      <c r="A541" t="s">
        <v>5067</v>
      </c>
      <c r="B541" t="s">
        <v>5123</v>
      </c>
      <c r="C541" s="22" t="s">
        <v>5235</v>
      </c>
      <c r="D541" t="s">
        <v>5070</v>
      </c>
    </row>
    <row r="542" spans="1:4" x14ac:dyDescent="0.3">
      <c r="A542" t="s">
        <v>5067</v>
      </c>
      <c r="B542" t="s">
        <v>5123</v>
      </c>
      <c r="C542" s="22" t="s">
        <v>5236</v>
      </c>
      <c r="D542" t="s">
        <v>5070</v>
      </c>
    </row>
    <row r="543" spans="1:4" x14ac:dyDescent="0.3">
      <c r="A543" t="s">
        <v>5067</v>
      </c>
      <c r="B543" t="s">
        <v>5123</v>
      </c>
      <c r="C543" s="22" t="s">
        <v>5237</v>
      </c>
      <c r="D543" t="s">
        <v>5070</v>
      </c>
    </row>
    <row r="544" spans="1:4" x14ac:dyDescent="0.3">
      <c r="A544" t="s">
        <v>5067</v>
      </c>
      <c r="B544" t="s">
        <v>5123</v>
      </c>
      <c r="C544" s="22" t="s">
        <v>5238</v>
      </c>
      <c r="D544" t="s">
        <v>5070</v>
      </c>
    </row>
    <row r="545" spans="1:4" x14ac:dyDescent="0.3">
      <c r="A545" t="s">
        <v>5067</v>
      </c>
      <c r="B545" t="s">
        <v>5123</v>
      </c>
      <c r="C545" s="22" t="s">
        <v>5239</v>
      </c>
      <c r="D545" t="s">
        <v>5070</v>
      </c>
    </row>
    <row r="546" spans="1:4" x14ac:dyDescent="0.3">
      <c r="A546" t="s">
        <v>5067</v>
      </c>
      <c r="B546" t="s">
        <v>5123</v>
      </c>
      <c r="C546" s="22" t="s">
        <v>5240</v>
      </c>
      <c r="D546" t="s">
        <v>5070</v>
      </c>
    </row>
    <row r="547" spans="1:4" x14ac:dyDescent="0.3">
      <c r="A547" t="s">
        <v>5067</v>
      </c>
      <c r="B547" t="s">
        <v>5123</v>
      </c>
      <c r="C547" s="22" t="s">
        <v>5241</v>
      </c>
      <c r="D547" t="s">
        <v>5070</v>
      </c>
    </row>
    <row r="548" spans="1:4" x14ac:dyDescent="0.3">
      <c r="A548" t="s">
        <v>5067</v>
      </c>
      <c r="B548" t="s">
        <v>5123</v>
      </c>
      <c r="C548" s="22" t="s">
        <v>5242</v>
      </c>
      <c r="D548" t="s">
        <v>5070</v>
      </c>
    </row>
    <row r="549" spans="1:4" x14ac:dyDescent="0.3">
      <c r="A549" t="s">
        <v>5067</v>
      </c>
      <c r="B549" t="s">
        <v>5123</v>
      </c>
      <c r="C549" s="22" t="s">
        <v>5243</v>
      </c>
      <c r="D549" t="s">
        <v>5070</v>
      </c>
    </row>
    <row r="550" spans="1:4" x14ac:dyDescent="0.3">
      <c r="A550" t="s">
        <v>5067</v>
      </c>
      <c r="B550" t="s">
        <v>5123</v>
      </c>
      <c r="C550" s="22" t="s">
        <v>5244</v>
      </c>
      <c r="D550" t="s">
        <v>5070</v>
      </c>
    </row>
    <row r="551" spans="1:4" x14ac:dyDescent="0.3">
      <c r="A551" t="s">
        <v>5067</v>
      </c>
      <c r="B551" t="s">
        <v>5123</v>
      </c>
      <c r="C551" s="22" t="s">
        <v>5245</v>
      </c>
      <c r="D551" t="s">
        <v>5070</v>
      </c>
    </row>
    <row r="552" spans="1:4" x14ac:dyDescent="0.3">
      <c r="A552" t="s">
        <v>5067</v>
      </c>
      <c r="B552" t="s">
        <v>5123</v>
      </c>
      <c r="C552" s="22" t="s">
        <v>5246</v>
      </c>
      <c r="D552" t="s">
        <v>5125</v>
      </c>
    </row>
    <row r="553" spans="1:4" x14ac:dyDescent="0.3">
      <c r="A553" t="s">
        <v>5067</v>
      </c>
      <c r="B553" t="s">
        <v>5123</v>
      </c>
      <c r="C553" s="22" t="s">
        <v>5247</v>
      </c>
      <c r="D553" t="s">
        <v>5070</v>
      </c>
    </row>
    <row r="554" spans="1:4" x14ac:dyDescent="0.3">
      <c r="A554" t="s">
        <v>5067</v>
      </c>
      <c r="B554" t="s">
        <v>5123</v>
      </c>
      <c r="C554" s="22" t="s">
        <v>5248</v>
      </c>
      <c r="D554" t="s">
        <v>5070</v>
      </c>
    </row>
    <row r="555" spans="1:4" x14ac:dyDescent="0.3">
      <c r="A555" t="s">
        <v>5067</v>
      </c>
      <c r="B555" t="s">
        <v>5123</v>
      </c>
      <c r="C555" s="22" t="s">
        <v>5249</v>
      </c>
      <c r="D555" t="s">
        <v>5070</v>
      </c>
    </row>
    <row r="556" spans="1:4" x14ac:dyDescent="0.3">
      <c r="A556" t="s">
        <v>5067</v>
      </c>
      <c r="B556" t="s">
        <v>5123</v>
      </c>
      <c r="C556" s="22" t="s">
        <v>5250</v>
      </c>
      <c r="D556" t="s">
        <v>5070</v>
      </c>
    </row>
    <row r="557" spans="1:4" x14ac:dyDescent="0.3">
      <c r="A557" t="s">
        <v>5067</v>
      </c>
      <c r="B557" t="s">
        <v>5123</v>
      </c>
      <c r="C557" s="22" t="s">
        <v>5251</v>
      </c>
      <c r="D557" t="s">
        <v>5070</v>
      </c>
    </row>
    <row r="558" spans="1:4" x14ac:dyDescent="0.3">
      <c r="A558" t="s">
        <v>5067</v>
      </c>
      <c r="B558" t="s">
        <v>5123</v>
      </c>
      <c r="C558" s="22" t="s">
        <v>5252</v>
      </c>
      <c r="D558" t="s">
        <v>5125</v>
      </c>
    </row>
    <row r="559" spans="1:4" x14ac:dyDescent="0.3">
      <c r="A559" t="s">
        <v>5067</v>
      </c>
      <c r="B559" t="s">
        <v>5123</v>
      </c>
      <c r="C559" s="22" t="s">
        <v>5253</v>
      </c>
      <c r="D559" t="s">
        <v>5070</v>
      </c>
    </row>
    <row r="560" spans="1:4" x14ac:dyDescent="0.3">
      <c r="A560" t="s">
        <v>5067</v>
      </c>
      <c r="B560" t="s">
        <v>5123</v>
      </c>
      <c r="C560" s="22" t="s">
        <v>5254</v>
      </c>
      <c r="D560" t="s">
        <v>5070</v>
      </c>
    </row>
    <row r="561" spans="1:4" x14ac:dyDescent="0.3">
      <c r="A561" t="s">
        <v>5067</v>
      </c>
      <c r="B561" t="s">
        <v>5123</v>
      </c>
      <c r="C561" s="22" t="s">
        <v>5255</v>
      </c>
      <c r="D561" t="s">
        <v>5070</v>
      </c>
    </row>
    <row r="562" spans="1:4" x14ac:dyDescent="0.3">
      <c r="A562" t="s">
        <v>5067</v>
      </c>
      <c r="B562" t="s">
        <v>5123</v>
      </c>
      <c r="C562" s="22" t="s">
        <v>5256</v>
      </c>
      <c r="D562" t="s">
        <v>5070</v>
      </c>
    </row>
    <row r="563" spans="1:4" x14ac:dyDescent="0.3">
      <c r="A563" t="s">
        <v>5067</v>
      </c>
      <c r="B563" t="s">
        <v>5123</v>
      </c>
      <c r="C563" s="22" t="s">
        <v>5257</v>
      </c>
      <c r="D563" t="s">
        <v>5070</v>
      </c>
    </row>
    <row r="564" spans="1:4" x14ac:dyDescent="0.3">
      <c r="A564" t="s">
        <v>5067</v>
      </c>
      <c r="B564" t="s">
        <v>5123</v>
      </c>
      <c r="C564" s="22" t="s">
        <v>5258</v>
      </c>
      <c r="D564" t="s">
        <v>5070</v>
      </c>
    </row>
    <row r="565" spans="1:4" x14ac:dyDescent="0.3">
      <c r="A565" t="s">
        <v>5067</v>
      </c>
      <c r="B565" t="s">
        <v>5123</v>
      </c>
      <c r="C565" s="22" t="s">
        <v>5259</v>
      </c>
      <c r="D565" t="s">
        <v>5070</v>
      </c>
    </row>
    <row r="566" spans="1:4" x14ac:dyDescent="0.3">
      <c r="A566" t="s">
        <v>5067</v>
      </c>
      <c r="B566" t="s">
        <v>5123</v>
      </c>
      <c r="C566" s="22" t="s">
        <v>5260</v>
      </c>
      <c r="D566" t="s">
        <v>5070</v>
      </c>
    </row>
    <row r="567" spans="1:4" x14ac:dyDescent="0.3">
      <c r="A567" t="s">
        <v>5067</v>
      </c>
      <c r="B567" t="s">
        <v>5123</v>
      </c>
      <c r="C567" s="22" t="s">
        <v>5261</v>
      </c>
      <c r="D567" t="s">
        <v>5070</v>
      </c>
    </row>
    <row r="568" spans="1:4" x14ac:dyDescent="0.3">
      <c r="A568" t="s">
        <v>5067</v>
      </c>
      <c r="B568" t="s">
        <v>5123</v>
      </c>
      <c r="C568" s="22" t="s">
        <v>5262</v>
      </c>
      <c r="D568" t="s">
        <v>5070</v>
      </c>
    </row>
    <row r="569" spans="1:4" x14ac:dyDescent="0.3">
      <c r="A569" t="s">
        <v>5067</v>
      </c>
      <c r="B569" t="s">
        <v>5123</v>
      </c>
      <c r="C569" s="22" t="s">
        <v>5263</v>
      </c>
      <c r="D569" t="s">
        <v>5070</v>
      </c>
    </row>
    <row r="570" spans="1:4" x14ac:dyDescent="0.3">
      <c r="A570" t="s">
        <v>5067</v>
      </c>
      <c r="B570" t="s">
        <v>5123</v>
      </c>
      <c r="C570" s="22" t="s">
        <v>5264</v>
      </c>
      <c r="D570" t="s">
        <v>5070</v>
      </c>
    </row>
    <row r="571" spans="1:4" x14ac:dyDescent="0.3">
      <c r="A571" t="s">
        <v>5067</v>
      </c>
      <c r="B571" t="s">
        <v>5123</v>
      </c>
      <c r="C571" s="22" t="s">
        <v>5265</v>
      </c>
      <c r="D571" t="s">
        <v>5070</v>
      </c>
    </row>
    <row r="572" spans="1:4" x14ac:dyDescent="0.3">
      <c r="A572" t="s">
        <v>5067</v>
      </c>
      <c r="B572" t="s">
        <v>5123</v>
      </c>
      <c r="C572" s="22" t="s">
        <v>5266</v>
      </c>
      <c r="D572" t="s">
        <v>5070</v>
      </c>
    </row>
    <row r="573" spans="1:4" x14ac:dyDescent="0.3">
      <c r="A573" t="s">
        <v>5067</v>
      </c>
      <c r="B573" t="s">
        <v>5123</v>
      </c>
      <c r="C573" s="22" t="s">
        <v>5267</v>
      </c>
      <c r="D573" t="s">
        <v>5070</v>
      </c>
    </row>
    <row r="574" spans="1:4" x14ac:dyDescent="0.3">
      <c r="A574" t="s">
        <v>5067</v>
      </c>
      <c r="B574" t="s">
        <v>5123</v>
      </c>
      <c r="C574" s="22" t="s">
        <v>5268</v>
      </c>
      <c r="D574" t="s">
        <v>5125</v>
      </c>
    </row>
    <row r="575" spans="1:4" x14ac:dyDescent="0.3">
      <c r="A575" t="s">
        <v>5067</v>
      </c>
      <c r="B575" t="s">
        <v>5123</v>
      </c>
      <c r="C575" s="22" t="s">
        <v>5269</v>
      </c>
      <c r="D575" t="s">
        <v>5070</v>
      </c>
    </row>
    <row r="576" spans="1:4" x14ac:dyDescent="0.3">
      <c r="A576" t="s">
        <v>5067</v>
      </c>
      <c r="B576" t="s">
        <v>5123</v>
      </c>
      <c r="C576" s="22" t="s">
        <v>5270</v>
      </c>
      <c r="D576" t="s">
        <v>5070</v>
      </c>
    </row>
    <row r="577" spans="1:4" x14ac:dyDescent="0.3">
      <c r="A577" t="s">
        <v>5067</v>
      </c>
      <c r="B577" t="s">
        <v>5123</v>
      </c>
      <c r="C577" s="22" t="s">
        <v>5271</v>
      </c>
      <c r="D577" t="s">
        <v>5070</v>
      </c>
    </row>
    <row r="578" spans="1:4" x14ac:dyDescent="0.3">
      <c r="A578" t="s">
        <v>5067</v>
      </c>
      <c r="B578" t="s">
        <v>5123</v>
      </c>
      <c r="C578" s="22" t="s">
        <v>5272</v>
      </c>
      <c r="D578" t="s">
        <v>5125</v>
      </c>
    </row>
    <row r="579" spans="1:4" x14ac:dyDescent="0.3">
      <c r="A579" t="s">
        <v>5067</v>
      </c>
      <c r="B579" t="s">
        <v>5123</v>
      </c>
      <c r="C579" s="22" t="s">
        <v>5273</v>
      </c>
      <c r="D579" t="s">
        <v>5070</v>
      </c>
    </row>
    <row r="580" spans="1:4" x14ac:dyDescent="0.3">
      <c r="A580" t="s">
        <v>5067</v>
      </c>
      <c r="B580" t="s">
        <v>5123</v>
      </c>
      <c r="C580" s="22" t="s">
        <v>5274</v>
      </c>
      <c r="D580" t="s">
        <v>5070</v>
      </c>
    </row>
    <row r="581" spans="1:4" x14ac:dyDescent="0.3">
      <c r="A581" t="s">
        <v>5067</v>
      </c>
      <c r="B581" t="s">
        <v>5123</v>
      </c>
      <c r="C581" s="22" t="s">
        <v>5275</v>
      </c>
      <c r="D581" t="s">
        <v>5070</v>
      </c>
    </row>
    <row r="582" spans="1:4" x14ac:dyDescent="0.3">
      <c r="A582" t="s">
        <v>5067</v>
      </c>
      <c r="B582" t="s">
        <v>5123</v>
      </c>
      <c r="C582" s="22" t="s">
        <v>5276</v>
      </c>
      <c r="D582" t="s">
        <v>5125</v>
      </c>
    </row>
    <row r="583" spans="1:4" x14ac:dyDescent="0.3">
      <c r="A583" t="s">
        <v>5067</v>
      </c>
      <c r="B583" t="s">
        <v>5123</v>
      </c>
      <c r="C583" s="22" t="s">
        <v>5277</v>
      </c>
      <c r="D583" t="s">
        <v>5070</v>
      </c>
    </row>
    <row r="584" spans="1:4" x14ac:dyDescent="0.3">
      <c r="A584" t="s">
        <v>5067</v>
      </c>
      <c r="B584" t="s">
        <v>5123</v>
      </c>
      <c r="C584" s="22" t="s">
        <v>5278</v>
      </c>
      <c r="D584" t="s">
        <v>5070</v>
      </c>
    </row>
    <row r="585" spans="1:4" x14ac:dyDescent="0.3">
      <c r="A585" t="s">
        <v>5067</v>
      </c>
      <c r="B585" t="s">
        <v>5123</v>
      </c>
      <c r="C585" s="22" t="s">
        <v>5279</v>
      </c>
      <c r="D585" t="s">
        <v>5070</v>
      </c>
    </row>
    <row r="586" spans="1:4" x14ac:dyDescent="0.3">
      <c r="A586" t="s">
        <v>5067</v>
      </c>
      <c r="B586" t="s">
        <v>5123</v>
      </c>
      <c r="C586" s="22" t="s">
        <v>5280</v>
      </c>
      <c r="D586" t="s">
        <v>5070</v>
      </c>
    </row>
    <row r="587" spans="1:4" x14ac:dyDescent="0.3">
      <c r="A587" t="s">
        <v>5067</v>
      </c>
      <c r="B587" t="s">
        <v>5123</v>
      </c>
      <c r="C587" s="22" t="s">
        <v>5281</v>
      </c>
      <c r="D587" t="s">
        <v>5070</v>
      </c>
    </row>
    <row r="588" spans="1:4" x14ac:dyDescent="0.3">
      <c r="A588" t="s">
        <v>5067</v>
      </c>
      <c r="B588" t="s">
        <v>5123</v>
      </c>
      <c r="C588" s="22" t="s">
        <v>5282</v>
      </c>
      <c r="D588" t="s">
        <v>5070</v>
      </c>
    </row>
    <row r="589" spans="1:4" x14ac:dyDescent="0.3">
      <c r="A589" t="s">
        <v>5067</v>
      </c>
      <c r="B589" t="s">
        <v>5123</v>
      </c>
      <c r="C589" s="22" t="s">
        <v>5283</v>
      </c>
      <c r="D589" t="s">
        <v>5070</v>
      </c>
    </row>
    <row r="590" spans="1:4" x14ac:dyDescent="0.3">
      <c r="A590" t="s">
        <v>5067</v>
      </c>
      <c r="B590" t="s">
        <v>5123</v>
      </c>
      <c r="C590" s="22" t="s">
        <v>5284</v>
      </c>
      <c r="D590" t="s">
        <v>5070</v>
      </c>
    </row>
    <row r="591" spans="1:4" x14ac:dyDescent="0.3">
      <c r="A591" t="s">
        <v>5067</v>
      </c>
      <c r="B591" t="s">
        <v>5123</v>
      </c>
      <c r="C591" s="22" t="s">
        <v>5285</v>
      </c>
      <c r="D591" t="s">
        <v>5070</v>
      </c>
    </row>
    <row r="592" spans="1:4" x14ac:dyDescent="0.3">
      <c r="A592" t="s">
        <v>5067</v>
      </c>
      <c r="B592" t="s">
        <v>5123</v>
      </c>
      <c r="C592" s="22" t="s">
        <v>5286</v>
      </c>
      <c r="D592" t="s">
        <v>5070</v>
      </c>
    </row>
    <row r="593" spans="1:4" x14ac:dyDescent="0.3">
      <c r="A593" t="s">
        <v>5067</v>
      </c>
      <c r="B593" t="s">
        <v>5123</v>
      </c>
      <c r="C593" s="22" t="s">
        <v>5287</v>
      </c>
      <c r="D593" t="s">
        <v>5070</v>
      </c>
    </row>
    <row r="594" spans="1:4" x14ac:dyDescent="0.3">
      <c r="A594" t="s">
        <v>5067</v>
      </c>
      <c r="B594" t="s">
        <v>5123</v>
      </c>
      <c r="C594" s="22" t="s">
        <v>5288</v>
      </c>
      <c r="D594" t="s">
        <v>5070</v>
      </c>
    </row>
    <row r="595" spans="1:4" x14ac:dyDescent="0.3">
      <c r="A595" t="s">
        <v>5067</v>
      </c>
      <c r="B595" t="s">
        <v>5123</v>
      </c>
      <c r="C595" s="22" t="s">
        <v>5289</v>
      </c>
      <c r="D595" t="s">
        <v>5070</v>
      </c>
    </row>
    <row r="596" spans="1:4" x14ac:dyDescent="0.3">
      <c r="A596" t="s">
        <v>5067</v>
      </c>
      <c r="B596" t="s">
        <v>5123</v>
      </c>
      <c r="C596" s="22" t="s">
        <v>5290</v>
      </c>
      <c r="D596" t="s">
        <v>5070</v>
      </c>
    </row>
    <row r="597" spans="1:4" x14ac:dyDescent="0.3">
      <c r="A597" t="s">
        <v>5067</v>
      </c>
      <c r="B597" t="s">
        <v>5123</v>
      </c>
      <c r="C597" s="22" t="s">
        <v>5291</v>
      </c>
      <c r="D597" t="s">
        <v>5070</v>
      </c>
    </row>
    <row r="598" spans="1:4" x14ac:dyDescent="0.3">
      <c r="A598" t="s">
        <v>5067</v>
      </c>
      <c r="B598" t="s">
        <v>5123</v>
      </c>
      <c r="C598" s="22" t="s">
        <v>5292</v>
      </c>
      <c r="D598" t="s">
        <v>5070</v>
      </c>
    </row>
    <row r="599" spans="1:4" x14ac:dyDescent="0.3">
      <c r="A599" t="s">
        <v>5067</v>
      </c>
      <c r="B599" t="s">
        <v>5123</v>
      </c>
      <c r="C599" s="22" t="s">
        <v>5293</v>
      </c>
      <c r="D599" t="s">
        <v>5070</v>
      </c>
    </row>
    <row r="600" spans="1:4" x14ac:dyDescent="0.3">
      <c r="A600" t="s">
        <v>5067</v>
      </c>
      <c r="B600" t="s">
        <v>5123</v>
      </c>
      <c r="C600" s="22" t="s">
        <v>5294</v>
      </c>
      <c r="D600" t="s">
        <v>5070</v>
      </c>
    </row>
    <row r="601" spans="1:4" x14ac:dyDescent="0.3">
      <c r="A601" t="s">
        <v>5067</v>
      </c>
      <c r="B601" t="s">
        <v>5123</v>
      </c>
      <c r="C601" s="22" t="s">
        <v>5295</v>
      </c>
      <c r="D601" t="s">
        <v>5070</v>
      </c>
    </row>
    <row r="602" spans="1:4" x14ac:dyDescent="0.3">
      <c r="A602" t="s">
        <v>5067</v>
      </c>
      <c r="B602" t="s">
        <v>5123</v>
      </c>
      <c r="C602" s="22" t="s">
        <v>5296</v>
      </c>
      <c r="D602" t="s">
        <v>5070</v>
      </c>
    </row>
    <row r="603" spans="1:4" x14ac:dyDescent="0.3">
      <c r="A603" t="s">
        <v>5067</v>
      </c>
      <c r="B603" t="s">
        <v>5123</v>
      </c>
      <c r="C603" s="22" t="s">
        <v>5297</v>
      </c>
      <c r="D603" t="s">
        <v>5070</v>
      </c>
    </row>
    <row r="604" spans="1:4" x14ac:dyDescent="0.3">
      <c r="A604" t="s">
        <v>5067</v>
      </c>
      <c r="B604" t="s">
        <v>5123</v>
      </c>
      <c r="C604" s="22" t="s">
        <v>5298</v>
      </c>
      <c r="D604" t="s">
        <v>5070</v>
      </c>
    </row>
    <row r="605" spans="1:4" x14ac:dyDescent="0.3">
      <c r="A605" t="s">
        <v>5067</v>
      </c>
      <c r="B605" t="s">
        <v>5123</v>
      </c>
      <c r="C605" s="22" t="s">
        <v>5299</v>
      </c>
      <c r="D605" t="s">
        <v>5070</v>
      </c>
    </row>
    <row r="606" spans="1:4" x14ac:dyDescent="0.3">
      <c r="A606" t="s">
        <v>5067</v>
      </c>
      <c r="B606" t="s">
        <v>5123</v>
      </c>
      <c r="C606" s="22" t="s">
        <v>5300</v>
      </c>
      <c r="D606" t="s">
        <v>5070</v>
      </c>
    </row>
    <row r="607" spans="1:4" x14ac:dyDescent="0.3">
      <c r="A607" t="s">
        <v>5067</v>
      </c>
      <c r="B607" t="s">
        <v>5123</v>
      </c>
      <c r="C607" s="22" t="s">
        <v>5301</v>
      </c>
      <c r="D607" t="s">
        <v>5070</v>
      </c>
    </row>
    <row r="608" spans="1:4" x14ac:dyDescent="0.3">
      <c r="A608" t="s">
        <v>5067</v>
      </c>
      <c r="B608" t="s">
        <v>5123</v>
      </c>
      <c r="C608" s="22" t="s">
        <v>5302</v>
      </c>
      <c r="D608" t="s">
        <v>5070</v>
      </c>
    </row>
    <row r="609" spans="1:4" x14ac:dyDescent="0.3">
      <c r="A609" t="s">
        <v>5067</v>
      </c>
      <c r="B609" t="s">
        <v>5123</v>
      </c>
      <c r="C609" s="22" t="s">
        <v>5303</v>
      </c>
      <c r="D609" t="s">
        <v>5070</v>
      </c>
    </row>
    <row r="610" spans="1:4" x14ac:dyDescent="0.3">
      <c r="A610" t="s">
        <v>5067</v>
      </c>
      <c r="B610" t="s">
        <v>5123</v>
      </c>
      <c r="C610" s="22" t="s">
        <v>5304</v>
      </c>
      <c r="D610" t="s">
        <v>5070</v>
      </c>
    </row>
    <row r="611" spans="1:4" x14ac:dyDescent="0.3">
      <c r="A611" t="s">
        <v>5067</v>
      </c>
      <c r="B611" t="s">
        <v>5123</v>
      </c>
      <c r="C611" s="22" t="s">
        <v>5305</v>
      </c>
      <c r="D611" t="s">
        <v>5070</v>
      </c>
    </row>
    <row r="612" spans="1:4" x14ac:dyDescent="0.3">
      <c r="A612" t="s">
        <v>5067</v>
      </c>
      <c r="B612" t="s">
        <v>5123</v>
      </c>
      <c r="C612" s="22" t="s">
        <v>5306</v>
      </c>
      <c r="D612" t="s">
        <v>5070</v>
      </c>
    </row>
    <row r="613" spans="1:4" x14ac:dyDescent="0.3">
      <c r="A613" t="s">
        <v>5067</v>
      </c>
      <c r="B613" t="s">
        <v>5123</v>
      </c>
      <c r="C613" s="22" t="s">
        <v>5307</v>
      </c>
      <c r="D613" t="s">
        <v>5070</v>
      </c>
    </row>
    <row r="614" spans="1:4" x14ac:dyDescent="0.3">
      <c r="A614" t="s">
        <v>5067</v>
      </c>
      <c r="B614" t="s">
        <v>5123</v>
      </c>
      <c r="C614" s="22" t="s">
        <v>5308</v>
      </c>
      <c r="D614" t="s">
        <v>5070</v>
      </c>
    </row>
    <row r="615" spans="1:4" x14ac:dyDescent="0.3">
      <c r="A615" t="s">
        <v>5067</v>
      </c>
      <c r="B615" t="s">
        <v>5123</v>
      </c>
      <c r="C615" s="22" t="s">
        <v>5309</v>
      </c>
      <c r="D615" t="s">
        <v>5070</v>
      </c>
    </row>
    <row r="616" spans="1:4" x14ac:dyDescent="0.3">
      <c r="A616" t="s">
        <v>5067</v>
      </c>
      <c r="B616" t="s">
        <v>5123</v>
      </c>
      <c r="C616" s="22" t="s">
        <v>5310</v>
      </c>
      <c r="D616" t="s">
        <v>5070</v>
      </c>
    </row>
    <row r="617" spans="1:4" x14ac:dyDescent="0.3">
      <c r="A617" t="s">
        <v>5067</v>
      </c>
      <c r="B617" t="s">
        <v>5123</v>
      </c>
      <c r="C617" s="22" t="s">
        <v>5311</v>
      </c>
      <c r="D617" t="s">
        <v>5070</v>
      </c>
    </row>
    <row r="618" spans="1:4" x14ac:dyDescent="0.3">
      <c r="A618" t="s">
        <v>5067</v>
      </c>
      <c r="B618" t="s">
        <v>5123</v>
      </c>
      <c r="C618" s="22" t="s">
        <v>5312</v>
      </c>
      <c r="D618" t="s">
        <v>5070</v>
      </c>
    </row>
    <row r="619" spans="1:4" x14ac:dyDescent="0.3">
      <c r="A619" t="s">
        <v>5067</v>
      </c>
      <c r="B619" t="s">
        <v>5123</v>
      </c>
      <c r="C619" s="22" t="s">
        <v>5313</v>
      </c>
      <c r="D619" t="s">
        <v>5070</v>
      </c>
    </row>
    <row r="620" spans="1:4" x14ac:dyDescent="0.3">
      <c r="A620" t="s">
        <v>5067</v>
      </c>
      <c r="B620" t="s">
        <v>5123</v>
      </c>
      <c r="C620" s="22" t="s">
        <v>5314</v>
      </c>
      <c r="D620" t="s">
        <v>5070</v>
      </c>
    </row>
    <row r="621" spans="1:4" x14ac:dyDescent="0.3">
      <c r="A621" t="s">
        <v>5067</v>
      </c>
      <c r="B621" t="s">
        <v>5123</v>
      </c>
      <c r="C621" s="22" t="s">
        <v>5315</v>
      </c>
      <c r="D621" t="s">
        <v>5070</v>
      </c>
    </row>
    <row r="622" spans="1:4" x14ac:dyDescent="0.3">
      <c r="A622" t="s">
        <v>5067</v>
      </c>
      <c r="B622" t="s">
        <v>5123</v>
      </c>
      <c r="C622" s="22" t="s">
        <v>5316</v>
      </c>
      <c r="D622" t="s">
        <v>5070</v>
      </c>
    </row>
    <row r="623" spans="1:4" x14ac:dyDescent="0.3">
      <c r="A623" t="s">
        <v>5067</v>
      </c>
      <c r="B623" t="s">
        <v>5123</v>
      </c>
      <c r="C623" s="22" t="s">
        <v>5317</v>
      </c>
      <c r="D623" t="s">
        <v>5070</v>
      </c>
    </row>
    <row r="624" spans="1:4" x14ac:dyDescent="0.3">
      <c r="A624" t="s">
        <v>5067</v>
      </c>
      <c r="B624" t="s">
        <v>5123</v>
      </c>
      <c r="C624" s="22" t="s">
        <v>5318</v>
      </c>
      <c r="D624" t="s">
        <v>5070</v>
      </c>
    </row>
    <row r="625" spans="1:4" x14ac:dyDescent="0.3">
      <c r="A625" t="s">
        <v>5067</v>
      </c>
      <c r="B625" t="s">
        <v>5123</v>
      </c>
      <c r="C625" s="22" t="s">
        <v>5319</v>
      </c>
      <c r="D625" t="s">
        <v>5070</v>
      </c>
    </row>
    <row r="626" spans="1:4" x14ac:dyDescent="0.3">
      <c r="A626" t="s">
        <v>5067</v>
      </c>
      <c r="B626" t="s">
        <v>5123</v>
      </c>
      <c r="C626" s="22" t="s">
        <v>5320</v>
      </c>
      <c r="D626" t="s">
        <v>5070</v>
      </c>
    </row>
    <row r="627" spans="1:4" x14ac:dyDescent="0.3">
      <c r="A627" t="s">
        <v>5067</v>
      </c>
      <c r="B627" t="s">
        <v>5123</v>
      </c>
      <c r="C627" s="22" t="s">
        <v>5321</v>
      </c>
      <c r="D627" t="s">
        <v>5070</v>
      </c>
    </row>
    <row r="628" spans="1:4" x14ac:dyDescent="0.3">
      <c r="A628" t="s">
        <v>5067</v>
      </c>
      <c r="B628" t="s">
        <v>5123</v>
      </c>
      <c r="C628" s="22" t="s">
        <v>5322</v>
      </c>
      <c r="D628" t="s">
        <v>5070</v>
      </c>
    </row>
    <row r="629" spans="1:4" x14ac:dyDescent="0.3">
      <c r="A629" t="s">
        <v>5067</v>
      </c>
      <c r="B629" t="s">
        <v>5123</v>
      </c>
      <c r="C629" s="22" t="s">
        <v>5323</v>
      </c>
      <c r="D629" t="s">
        <v>5070</v>
      </c>
    </row>
    <row r="630" spans="1:4" x14ac:dyDescent="0.3">
      <c r="A630" t="s">
        <v>5067</v>
      </c>
      <c r="B630" t="s">
        <v>5123</v>
      </c>
      <c r="C630" s="22" t="s">
        <v>5324</v>
      </c>
      <c r="D630" t="s">
        <v>5070</v>
      </c>
    </row>
    <row r="631" spans="1:4" x14ac:dyDescent="0.3">
      <c r="A631" t="s">
        <v>5067</v>
      </c>
      <c r="B631" t="s">
        <v>5123</v>
      </c>
      <c r="C631" s="22" t="s">
        <v>5325</v>
      </c>
      <c r="D631" t="s">
        <v>5070</v>
      </c>
    </row>
    <row r="632" spans="1:4" x14ac:dyDescent="0.3">
      <c r="A632" t="s">
        <v>5067</v>
      </c>
      <c r="B632" t="s">
        <v>5123</v>
      </c>
      <c r="C632" s="22" t="s">
        <v>5326</v>
      </c>
      <c r="D632" t="s">
        <v>5070</v>
      </c>
    </row>
    <row r="633" spans="1:4" x14ac:dyDescent="0.3">
      <c r="A633" t="s">
        <v>5067</v>
      </c>
      <c r="B633" t="s">
        <v>5123</v>
      </c>
      <c r="C633" s="22" t="s">
        <v>5327</v>
      </c>
      <c r="D633" t="s">
        <v>5070</v>
      </c>
    </row>
    <row r="634" spans="1:4" x14ac:dyDescent="0.3">
      <c r="A634" t="s">
        <v>5067</v>
      </c>
      <c r="B634" t="s">
        <v>5123</v>
      </c>
      <c r="C634" s="22" t="s">
        <v>5328</v>
      </c>
      <c r="D634" t="s">
        <v>5070</v>
      </c>
    </row>
    <row r="635" spans="1:4" x14ac:dyDescent="0.3">
      <c r="A635" t="s">
        <v>5067</v>
      </c>
      <c r="B635" t="s">
        <v>5123</v>
      </c>
      <c r="C635" s="22" t="s">
        <v>5329</v>
      </c>
      <c r="D635" t="s">
        <v>5070</v>
      </c>
    </row>
    <row r="636" spans="1:4" x14ac:dyDescent="0.3">
      <c r="A636" t="s">
        <v>5067</v>
      </c>
      <c r="B636" t="s">
        <v>5123</v>
      </c>
      <c r="C636" s="22" t="s">
        <v>5330</v>
      </c>
      <c r="D636" t="s">
        <v>5070</v>
      </c>
    </row>
    <row r="637" spans="1:4" x14ac:dyDescent="0.3">
      <c r="A637" t="s">
        <v>5067</v>
      </c>
      <c r="B637" t="s">
        <v>5123</v>
      </c>
      <c r="C637" s="22" t="s">
        <v>5331</v>
      </c>
      <c r="D637" t="s">
        <v>5070</v>
      </c>
    </row>
    <row r="638" spans="1:4" x14ac:dyDescent="0.3">
      <c r="A638" t="s">
        <v>5067</v>
      </c>
      <c r="B638" t="s">
        <v>5123</v>
      </c>
      <c r="C638" s="22" t="s">
        <v>5332</v>
      </c>
      <c r="D638" t="s">
        <v>5070</v>
      </c>
    </row>
    <row r="639" spans="1:4" x14ac:dyDescent="0.3">
      <c r="A639" t="s">
        <v>5067</v>
      </c>
      <c r="B639" t="s">
        <v>5123</v>
      </c>
      <c r="C639" s="22" t="s">
        <v>5333</v>
      </c>
      <c r="D639" t="s">
        <v>5070</v>
      </c>
    </row>
    <row r="640" spans="1:4" x14ac:dyDescent="0.3">
      <c r="A640" t="s">
        <v>5067</v>
      </c>
      <c r="B640" t="s">
        <v>5123</v>
      </c>
      <c r="C640" s="22" t="s">
        <v>5334</v>
      </c>
      <c r="D640" t="s">
        <v>5070</v>
      </c>
    </row>
    <row r="641" spans="1:4" x14ac:dyDescent="0.3">
      <c r="A641" t="s">
        <v>5067</v>
      </c>
      <c r="B641" t="s">
        <v>5123</v>
      </c>
      <c r="C641" s="22" t="s">
        <v>5335</v>
      </c>
      <c r="D641" t="s">
        <v>5070</v>
      </c>
    </row>
    <row r="642" spans="1:4" x14ac:dyDescent="0.3">
      <c r="A642" t="s">
        <v>5067</v>
      </c>
      <c r="B642" t="s">
        <v>5123</v>
      </c>
      <c r="C642" s="22" t="s">
        <v>5336</v>
      </c>
      <c r="D642" t="s">
        <v>5070</v>
      </c>
    </row>
    <row r="643" spans="1:4" x14ac:dyDescent="0.3">
      <c r="A643" t="s">
        <v>5067</v>
      </c>
      <c r="B643" t="s">
        <v>5123</v>
      </c>
      <c r="C643" s="22" t="s">
        <v>5337</v>
      </c>
      <c r="D643" t="s">
        <v>5070</v>
      </c>
    </row>
    <row r="644" spans="1:4" x14ac:dyDescent="0.3">
      <c r="A644" t="s">
        <v>5067</v>
      </c>
      <c r="B644" t="s">
        <v>5123</v>
      </c>
      <c r="C644" s="22" t="s">
        <v>5338</v>
      </c>
      <c r="D644" t="s">
        <v>5070</v>
      </c>
    </row>
    <row r="645" spans="1:4" x14ac:dyDescent="0.3">
      <c r="A645" t="s">
        <v>5067</v>
      </c>
      <c r="B645" t="s">
        <v>5123</v>
      </c>
      <c r="C645" s="22" t="s">
        <v>5339</v>
      </c>
      <c r="D645" t="s">
        <v>5070</v>
      </c>
    </row>
    <row r="646" spans="1:4" x14ac:dyDescent="0.3">
      <c r="A646" t="s">
        <v>5067</v>
      </c>
      <c r="B646" t="s">
        <v>5123</v>
      </c>
      <c r="C646" s="22" t="s">
        <v>5340</v>
      </c>
      <c r="D646" t="s">
        <v>5070</v>
      </c>
    </row>
    <row r="647" spans="1:4" x14ac:dyDescent="0.3">
      <c r="A647" t="s">
        <v>5067</v>
      </c>
      <c r="B647" t="s">
        <v>5123</v>
      </c>
      <c r="C647" s="22" t="s">
        <v>5341</v>
      </c>
      <c r="D647" t="s">
        <v>5070</v>
      </c>
    </row>
    <row r="648" spans="1:4" x14ac:dyDescent="0.3">
      <c r="A648" t="s">
        <v>5067</v>
      </c>
      <c r="B648" t="s">
        <v>5123</v>
      </c>
      <c r="C648" s="22" t="s">
        <v>5342</v>
      </c>
      <c r="D648" t="s">
        <v>5070</v>
      </c>
    </row>
    <row r="649" spans="1:4" x14ac:dyDescent="0.3">
      <c r="A649" t="s">
        <v>5067</v>
      </c>
      <c r="B649" t="s">
        <v>5123</v>
      </c>
      <c r="C649" s="22" t="s">
        <v>5343</v>
      </c>
      <c r="D649" t="s">
        <v>5070</v>
      </c>
    </row>
    <row r="650" spans="1:4" x14ac:dyDescent="0.3">
      <c r="A650" t="s">
        <v>5067</v>
      </c>
      <c r="B650" t="s">
        <v>5123</v>
      </c>
      <c r="C650" s="22" t="s">
        <v>5344</v>
      </c>
      <c r="D650" t="s">
        <v>5070</v>
      </c>
    </row>
    <row r="651" spans="1:4" x14ac:dyDescent="0.3">
      <c r="A651" t="s">
        <v>5067</v>
      </c>
      <c r="B651" t="s">
        <v>5123</v>
      </c>
      <c r="C651" s="22" t="s">
        <v>5345</v>
      </c>
      <c r="D651" t="s">
        <v>5070</v>
      </c>
    </row>
    <row r="652" spans="1:4" x14ac:dyDescent="0.3">
      <c r="A652" t="s">
        <v>5067</v>
      </c>
      <c r="B652" t="s">
        <v>5123</v>
      </c>
      <c r="C652" s="22" t="s">
        <v>5346</v>
      </c>
      <c r="D652" t="s">
        <v>5070</v>
      </c>
    </row>
    <row r="653" spans="1:4" x14ac:dyDescent="0.3">
      <c r="A653" t="s">
        <v>5067</v>
      </c>
      <c r="B653" t="s">
        <v>5123</v>
      </c>
      <c r="C653" s="22" t="s">
        <v>5347</v>
      </c>
      <c r="D653" t="s">
        <v>5070</v>
      </c>
    </row>
    <row r="654" spans="1:4" x14ac:dyDescent="0.3">
      <c r="A654" t="s">
        <v>5067</v>
      </c>
      <c r="B654" t="s">
        <v>5123</v>
      </c>
      <c r="C654" s="22" t="s">
        <v>5348</v>
      </c>
      <c r="D654" t="s">
        <v>5070</v>
      </c>
    </row>
    <row r="655" spans="1:4" x14ac:dyDescent="0.3">
      <c r="A655" t="s">
        <v>5067</v>
      </c>
      <c r="B655" t="s">
        <v>5123</v>
      </c>
      <c r="C655" s="22" t="s">
        <v>5349</v>
      </c>
      <c r="D655" t="s">
        <v>5070</v>
      </c>
    </row>
    <row r="656" spans="1:4" x14ac:dyDescent="0.3">
      <c r="A656" t="s">
        <v>5067</v>
      </c>
      <c r="B656" t="s">
        <v>5123</v>
      </c>
      <c r="C656" s="22" t="s">
        <v>5350</v>
      </c>
      <c r="D656" t="s">
        <v>5070</v>
      </c>
    </row>
    <row r="657" spans="1:4" x14ac:dyDescent="0.3">
      <c r="A657" t="s">
        <v>5067</v>
      </c>
      <c r="B657" t="s">
        <v>5123</v>
      </c>
      <c r="C657" s="22" t="s">
        <v>5351</v>
      </c>
      <c r="D657" t="s">
        <v>5070</v>
      </c>
    </row>
    <row r="658" spans="1:4" x14ac:dyDescent="0.3">
      <c r="A658" t="s">
        <v>5067</v>
      </c>
      <c r="B658" t="s">
        <v>5123</v>
      </c>
      <c r="C658" s="22" t="s">
        <v>5352</v>
      </c>
      <c r="D658" t="s">
        <v>5070</v>
      </c>
    </row>
    <row r="659" spans="1:4" x14ac:dyDescent="0.3">
      <c r="A659" t="s">
        <v>5067</v>
      </c>
      <c r="B659" t="s">
        <v>5123</v>
      </c>
      <c r="C659" s="22" t="s">
        <v>5353</v>
      </c>
      <c r="D659" t="s">
        <v>5070</v>
      </c>
    </row>
    <row r="660" spans="1:4" x14ac:dyDescent="0.3">
      <c r="A660" t="s">
        <v>5067</v>
      </c>
      <c r="B660" t="s">
        <v>5123</v>
      </c>
      <c r="C660" s="22" t="s">
        <v>5354</v>
      </c>
      <c r="D660" t="s">
        <v>5070</v>
      </c>
    </row>
    <row r="661" spans="1:4" x14ac:dyDescent="0.3">
      <c r="A661" t="s">
        <v>5067</v>
      </c>
      <c r="B661" t="s">
        <v>5123</v>
      </c>
      <c r="C661" s="22" t="s">
        <v>5355</v>
      </c>
      <c r="D661" t="s">
        <v>5070</v>
      </c>
    </row>
    <row r="662" spans="1:4" x14ac:dyDescent="0.3">
      <c r="A662" t="s">
        <v>5067</v>
      </c>
      <c r="B662" t="s">
        <v>5123</v>
      </c>
      <c r="C662" s="22" t="s">
        <v>5356</v>
      </c>
      <c r="D662" t="s">
        <v>5070</v>
      </c>
    </row>
    <row r="663" spans="1:4" x14ac:dyDescent="0.3">
      <c r="A663" t="s">
        <v>5067</v>
      </c>
      <c r="B663" t="s">
        <v>5123</v>
      </c>
      <c r="C663" s="22" t="s">
        <v>5357</v>
      </c>
      <c r="D663" t="s">
        <v>5070</v>
      </c>
    </row>
    <row r="664" spans="1:4" x14ac:dyDescent="0.3">
      <c r="A664" t="s">
        <v>5067</v>
      </c>
      <c r="B664" t="s">
        <v>5123</v>
      </c>
      <c r="C664" s="22" t="s">
        <v>5358</v>
      </c>
      <c r="D664" t="s">
        <v>5070</v>
      </c>
    </row>
    <row r="665" spans="1:4" x14ac:dyDescent="0.3">
      <c r="A665" t="s">
        <v>5067</v>
      </c>
      <c r="B665" t="s">
        <v>5123</v>
      </c>
      <c r="C665" s="22" t="s">
        <v>5359</v>
      </c>
      <c r="D665" t="s">
        <v>5070</v>
      </c>
    </row>
    <row r="666" spans="1:4" x14ac:dyDescent="0.3">
      <c r="A666" t="s">
        <v>5067</v>
      </c>
      <c r="B666" t="s">
        <v>5123</v>
      </c>
      <c r="C666" s="22" t="s">
        <v>5360</v>
      </c>
      <c r="D666" t="s">
        <v>5070</v>
      </c>
    </row>
    <row r="667" spans="1:4" x14ac:dyDescent="0.3">
      <c r="A667" t="s">
        <v>5067</v>
      </c>
      <c r="B667" t="s">
        <v>5123</v>
      </c>
      <c r="C667" s="22" t="s">
        <v>5361</v>
      </c>
      <c r="D667" t="s">
        <v>5070</v>
      </c>
    </row>
    <row r="668" spans="1:4" x14ac:dyDescent="0.3">
      <c r="A668" t="s">
        <v>5067</v>
      </c>
      <c r="B668" t="s">
        <v>5123</v>
      </c>
      <c r="C668" s="22" t="s">
        <v>5362</v>
      </c>
      <c r="D668" t="s">
        <v>5070</v>
      </c>
    </row>
    <row r="669" spans="1:4" x14ac:dyDescent="0.3">
      <c r="A669" t="s">
        <v>5067</v>
      </c>
      <c r="B669" t="s">
        <v>5123</v>
      </c>
      <c r="C669" s="22" t="s">
        <v>5363</v>
      </c>
      <c r="D669" t="s">
        <v>5070</v>
      </c>
    </row>
    <row r="670" spans="1:4" x14ac:dyDescent="0.3">
      <c r="A670" t="s">
        <v>5067</v>
      </c>
      <c r="B670" t="s">
        <v>5123</v>
      </c>
      <c r="C670" s="22" t="s">
        <v>5364</v>
      </c>
      <c r="D670" t="s">
        <v>5070</v>
      </c>
    </row>
    <row r="671" spans="1:4" x14ac:dyDescent="0.3">
      <c r="A671" t="s">
        <v>5067</v>
      </c>
      <c r="B671" t="s">
        <v>5123</v>
      </c>
      <c r="C671" s="22" t="s">
        <v>5365</v>
      </c>
      <c r="D671" t="s">
        <v>5070</v>
      </c>
    </row>
    <row r="672" spans="1:4" x14ac:dyDescent="0.3">
      <c r="A672" t="s">
        <v>5067</v>
      </c>
      <c r="B672" t="s">
        <v>5123</v>
      </c>
      <c r="C672" s="22" t="s">
        <v>5366</v>
      </c>
      <c r="D672" t="s">
        <v>5070</v>
      </c>
    </row>
    <row r="673" spans="1:4" x14ac:dyDescent="0.3">
      <c r="A673" t="s">
        <v>5067</v>
      </c>
      <c r="B673" t="s">
        <v>5123</v>
      </c>
      <c r="C673" s="22" t="s">
        <v>5367</v>
      </c>
      <c r="D673" t="s">
        <v>5070</v>
      </c>
    </row>
    <row r="674" spans="1:4" x14ac:dyDescent="0.3">
      <c r="A674" t="s">
        <v>5067</v>
      </c>
      <c r="B674" t="s">
        <v>5123</v>
      </c>
      <c r="C674" s="22" t="s">
        <v>5368</v>
      </c>
      <c r="D674" t="s">
        <v>5070</v>
      </c>
    </row>
    <row r="675" spans="1:4" x14ac:dyDescent="0.3">
      <c r="A675" t="s">
        <v>5067</v>
      </c>
      <c r="B675" t="s">
        <v>5123</v>
      </c>
      <c r="C675" s="22" t="s">
        <v>5369</v>
      </c>
      <c r="D675" t="s">
        <v>5070</v>
      </c>
    </row>
    <row r="676" spans="1:4" x14ac:dyDescent="0.3">
      <c r="A676" t="s">
        <v>5067</v>
      </c>
      <c r="B676" t="s">
        <v>5123</v>
      </c>
      <c r="C676" s="22" t="s">
        <v>5370</v>
      </c>
      <c r="D676" t="s">
        <v>5070</v>
      </c>
    </row>
    <row r="677" spans="1:4" x14ac:dyDescent="0.3">
      <c r="A677" t="s">
        <v>5067</v>
      </c>
      <c r="B677" t="s">
        <v>5123</v>
      </c>
      <c r="C677" s="22" t="s">
        <v>5371</v>
      </c>
      <c r="D677" t="s">
        <v>5070</v>
      </c>
    </row>
    <row r="678" spans="1:4" x14ac:dyDescent="0.3">
      <c r="A678" t="s">
        <v>5067</v>
      </c>
      <c r="B678" t="s">
        <v>5123</v>
      </c>
      <c r="C678" s="22" t="s">
        <v>5372</v>
      </c>
      <c r="D678" t="s">
        <v>5070</v>
      </c>
    </row>
    <row r="679" spans="1:4" x14ac:dyDescent="0.3">
      <c r="A679" t="s">
        <v>5067</v>
      </c>
      <c r="B679" t="s">
        <v>5123</v>
      </c>
      <c r="C679" s="22" t="s">
        <v>5373</v>
      </c>
      <c r="D679" t="s">
        <v>5070</v>
      </c>
    </row>
    <row r="680" spans="1:4" x14ac:dyDescent="0.3">
      <c r="A680" t="s">
        <v>5067</v>
      </c>
      <c r="B680" t="s">
        <v>5123</v>
      </c>
      <c r="C680" s="22" t="s">
        <v>5374</v>
      </c>
      <c r="D680" t="s">
        <v>5070</v>
      </c>
    </row>
    <row r="681" spans="1:4" x14ac:dyDescent="0.3">
      <c r="A681" t="s">
        <v>5067</v>
      </c>
      <c r="B681" t="s">
        <v>5123</v>
      </c>
      <c r="C681" s="22" t="s">
        <v>5375</v>
      </c>
      <c r="D681" t="s">
        <v>5070</v>
      </c>
    </row>
    <row r="682" spans="1:4" x14ac:dyDescent="0.3">
      <c r="A682" t="s">
        <v>5067</v>
      </c>
      <c r="B682" t="s">
        <v>5123</v>
      </c>
      <c r="C682" s="22" t="s">
        <v>5376</v>
      </c>
      <c r="D682" t="s">
        <v>5070</v>
      </c>
    </row>
    <row r="683" spans="1:4" x14ac:dyDescent="0.3">
      <c r="A683" t="s">
        <v>5067</v>
      </c>
      <c r="B683" t="s">
        <v>5123</v>
      </c>
      <c r="C683" s="22" t="s">
        <v>5377</v>
      </c>
      <c r="D683" t="s">
        <v>5070</v>
      </c>
    </row>
    <row r="684" spans="1:4" x14ac:dyDescent="0.3">
      <c r="A684" t="s">
        <v>5067</v>
      </c>
      <c r="B684" t="s">
        <v>5123</v>
      </c>
      <c r="C684" s="22" t="s">
        <v>5378</v>
      </c>
      <c r="D684" t="s">
        <v>5070</v>
      </c>
    </row>
    <row r="685" spans="1:4" x14ac:dyDescent="0.3">
      <c r="A685" t="s">
        <v>5067</v>
      </c>
      <c r="B685" t="s">
        <v>5123</v>
      </c>
      <c r="C685" s="22" t="s">
        <v>5379</v>
      </c>
      <c r="D685" t="s">
        <v>5070</v>
      </c>
    </row>
    <row r="686" spans="1:4" x14ac:dyDescent="0.3">
      <c r="A686" t="s">
        <v>5067</v>
      </c>
      <c r="B686" t="s">
        <v>5123</v>
      </c>
      <c r="C686" s="22" t="s">
        <v>5380</v>
      </c>
      <c r="D686" t="s">
        <v>5070</v>
      </c>
    </row>
    <row r="687" spans="1:4" x14ac:dyDescent="0.3">
      <c r="A687" t="s">
        <v>5067</v>
      </c>
      <c r="B687" t="s">
        <v>5123</v>
      </c>
      <c r="C687" s="22" t="s">
        <v>5381</v>
      </c>
      <c r="D687" t="s">
        <v>5070</v>
      </c>
    </row>
    <row r="688" spans="1:4" x14ac:dyDescent="0.3">
      <c r="A688" t="s">
        <v>5067</v>
      </c>
      <c r="B688" t="s">
        <v>5123</v>
      </c>
      <c r="C688" s="22" t="s">
        <v>5382</v>
      </c>
      <c r="D688" t="s">
        <v>5070</v>
      </c>
    </row>
    <row r="689" spans="1:4" x14ac:dyDescent="0.3">
      <c r="A689" t="s">
        <v>5067</v>
      </c>
      <c r="B689" t="s">
        <v>5123</v>
      </c>
      <c r="C689" s="22" t="s">
        <v>5383</v>
      </c>
      <c r="D689" t="s">
        <v>5070</v>
      </c>
    </row>
    <row r="690" spans="1:4" x14ac:dyDescent="0.3">
      <c r="A690" t="s">
        <v>5067</v>
      </c>
      <c r="B690" t="s">
        <v>5123</v>
      </c>
      <c r="C690" s="22" t="s">
        <v>5384</v>
      </c>
      <c r="D690" t="s">
        <v>5070</v>
      </c>
    </row>
    <row r="691" spans="1:4" x14ac:dyDescent="0.3">
      <c r="A691" t="s">
        <v>5067</v>
      </c>
      <c r="B691" t="s">
        <v>5123</v>
      </c>
      <c r="C691" s="22" t="s">
        <v>5385</v>
      </c>
      <c r="D691" t="s">
        <v>5070</v>
      </c>
    </row>
    <row r="692" spans="1:4" x14ac:dyDescent="0.3">
      <c r="A692" t="s">
        <v>5067</v>
      </c>
      <c r="B692" t="s">
        <v>5123</v>
      </c>
      <c r="C692" s="22" t="s">
        <v>5386</v>
      </c>
      <c r="D692" t="s">
        <v>5070</v>
      </c>
    </row>
    <row r="693" spans="1:4" x14ac:dyDescent="0.3">
      <c r="A693" t="s">
        <v>5067</v>
      </c>
      <c r="B693" t="s">
        <v>5123</v>
      </c>
      <c r="C693" s="22" t="s">
        <v>5387</v>
      </c>
      <c r="D693" t="s">
        <v>5070</v>
      </c>
    </row>
    <row r="694" spans="1:4" x14ac:dyDescent="0.3">
      <c r="A694" t="s">
        <v>5067</v>
      </c>
      <c r="B694" t="s">
        <v>5123</v>
      </c>
      <c r="C694" s="22" t="s">
        <v>5388</v>
      </c>
      <c r="D694" t="s">
        <v>5070</v>
      </c>
    </row>
    <row r="695" spans="1:4" x14ac:dyDescent="0.3">
      <c r="A695" t="s">
        <v>5067</v>
      </c>
      <c r="B695" t="s">
        <v>5123</v>
      </c>
      <c r="C695" s="22" t="s">
        <v>5389</v>
      </c>
      <c r="D695" t="s">
        <v>5070</v>
      </c>
    </row>
    <row r="696" spans="1:4" x14ac:dyDescent="0.3">
      <c r="A696" t="s">
        <v>5067</v>
      </c>
      <c r="B696" t="s">
        <v>5123</v>
      </c>
      <c r="C696" s="22" t="s">
        <v>5390</v>
      </c>
      <c r="D696" t="s">
        <v>5070</v>
      </c>
    </row>
    <row r="697" spans="1:4" x14ac:dyDescent="0.3">
      <c r="A697" t="s">
        <v>5067</v>
      </c>
      <c r="B697" t="s">
        <v>5123</v>
      </c>
      <c r="C697" s="22" t="s">
        <v>5391</v>
      </c>
      <c r="D697" t="s">
        <v>5070</v>
      </c>
    </row>
    <row r="698" spans="1:4" x14ac:dyDescent="0.3">
      <c r="A698" t="s">
        <v>5067</v>
      </c>
      <c r="B698" t="s">
        <v>5123</v>
      </c>
      <c r="C698" s="22" t="s">
        <v>5392</v>
      </c>
      <c r="D698" t="s">
        <v>5070</v>
      </c>
    </row>
    <row r="699" spans="1:4" x14ac:dyDescent="0.3">
      <c r="A699" t="s">
        <v>5067</v>
      </c>
      <c r="B699" t="s">
        <v>5123</v>
      </c>
      <c r="C699" s="22" t="s">
        <v>5393</v>
      </c>
      <c r="D699" t="s">
        <v>5070</v>
      </c>
    </row>
    <row r="700" spans="1:4" x14ac:dyDescent="0.3">
      <c r="A700" t="s">
        <v>5067</v>
      </c>
      <c r="B700" t="s">
        <v>5123</v>
      </c>
      <c r="C700" s="22" t="s">
        <v>5394</v>
      </c>
      <c r="D700" t="s">
        <v>5070</v>
      </c>
    </row>
    <row r="701" spans="1:4" x14ac:dyDescent="0.3">
      <c r="A701" t="s">
        <v>5067</v>
      </c>
      <c r="B701" t="s">
        <v>5123</v>
      </c>
      <c r="C701" s="22" t="s">
        <v>5395</v>
      </c>
      <c r="D701" t="s">
        <v>5070</v>
      </c>
    </row>
    <row r="702" spans="1:4" x14ac:dyDescent="0.3">
      <c r="A702" t="s">
        <v>5067</v>
      </c>
      <c r="B702" t="s">
        <v>5123</v>
      </c>
      <c r="C702" s="22" t="s">
        <v>5396</v>
      </c>
      <c r="D702" t="s">
        <v>5070</v>
      </c>
    </row>
    <row r="703" spans="1:4" x14ac:dyDescent="0.3">
      <c r="A703" t="s">
        <v>5067</v>
      </c>
      <c r="B703" t="s">
        <v>5123</v>
      </c>
      <c r="C703" s="22" t="s">
        <v>5397</v>
      </c>
      <c r="D703" t="s">
        <v>5070</v>
      </c>
    </row>
    <row r="704" spans="1:4" x14ac:dyDescent="0.3">
      <c r="A704" t="s">
        <v>5067</v>
      </c>
      <c r="B704" t="s">
        <v>5123</v>
      </c>
      <c r="C704" s="22" t="s">
        <v>5398</v>
      </c>
      <c r="D704" t="s">
        <v>5070</v>
      </c>
    </row>
    <row r="705" spans="1:4" x14ac:dyDescent="0.3">
      <c r="A705" t="s">
        <v>5067</v>
      </c>
      <c r="B705" t="s">
        <v>5123</v>
      </c>
      <c r="C705" s="22" t="s">
        <v>5399</v>
      </c>
      <c r="D705" t="s">
        <v>5070</v>
      </c>
    </row>
    <row r="706" spans="1:4" x14ac:dyDescent="0.3">
      <c r="A706" t="s">
        <v>5067</v>
      </c>
      <c r="B706" t="s">
        <v>5123</v>
      </c>
      <c r="C706" s="22" t="s">
        <v>5400</v>
      </c>
      <c r="D706" t="s">
        <v>5070</v>
      </c>
    </row>
    <row r="707" spans="1:4" x14ac:dyDescent="0.3">
      <c r="A707" t="s">
        <v>5067</v>
      </c>
      <c r="B707" t="s">
        <v>5123</v>
      </c>
      <c r="C707" s="22" t="s">
        <v>5401</v>
      </c>
      <c r="D707" t="s">
        <v>5070</v>
      </c>
    </row>
    <row r="708" spans="1:4" x14ac:dyDescent="0.3">
      <c r="A708" t="s">
        <v>5067</v>
      </c>
      <c r="B708" t="s">
        <v>5123</v>
      </c>
      <c r="C708" s="22" t="s">
        <v>5402</v>
      </c>
      <c r="D708" t="s">
        <v>5070</v>
      </c>
    </row>
    <row r="709" spans="1:4" x14ac:dyDescent="0.3">
      <c r="A709" t="s">
        <v>5067</v>
      </c>
      <c r="B709" t="s">
        <v>5123</v>
      </c>
      <c r="C709" s="22" t="s">
        <v>5403</v>
      </c>
      <c r="D709" t="s">
        <v>5070</v>
      </c>
    </row>
    <row r="710" spans="1:4" x14ac:dyDescent="0.3">
      <c r="A710" t="s">
        <v>5067</v>
      </c>
      <c r="B710" t="s">
        <v>5123</v>
      </c>
      <c r="C710" s="22" t="s">
        <v>5404</v>
      </c>
      <c r="D710" t="s">
        <v>5070</v>
      </c>
    </row>
    <row r="711" spans="1:4" x14ac:dyDescent="0.3">
      <c r="A711" t="s">
        <v>5067</v>
      </c>
      <c r="B711" t="s">
        <v>5123</v>
      </c>
      <c r="C711" s="22" t="s">
        <v>5405</v>
      </c>
      <c r="D711" t="s">
        <v>5070</v>
      </c>
    </row>
    <row r="712" spans="1:4" x14ac:dyDescent="0.3">
      <c r="A712" t="s">
        <v>5067</v>
      </c>
      <c r="B712" t="s">
        <v>5123</v>
      </c>
      <c r="C712" s="22" t="s">
        <v>5406</v>
      </c>
      <c r="D712" t="s">
        <v>5070</v>
      </c>
    </row>
    <row r="713" spans="1:4" x14ac:dyDescent="0.3">
      <c r="A713" t="s">
        <v>5067</v>
      </c>
      <c r="B713" t="s">
        <v>5123</v>
      </c>
      <c r="C713" s="22" t="s">
        <v>5407</v>
      </c>
      <c r="D713" t="s">
        <v>5070</v>
      </c>
    </row>
    <row r="714" spans="1:4" x14ac:dyDescent="0.3">
      <c r="A714" t="s">
        <v>5067</v>
      </c>
      <c r="B714" t="s">
        <v>5123</v>
      </c>
      <c r="C714" s="22" t="s">
        <v>5408</v>
      </c>
      <c r="D714" t="s">
        <v>5125</v>
      </c>
    </row>
    <row r="715" spans="1:4" x14ac:dyDescent="0.3">
      <c r="A715" t="s">
        <v>5067</v>
      </c>
      <c r="B715" t="s">
        <v>5123</v>
      </c>
      <c r="C715" s="22" t="s">
        <v>5409</v>
      </c>
      <c r="D715" t="s">
        <v>5070</v>
      </c>
    </row>
    <row r="716" spans="1:4" x14ac:dyDescent="0.3">
      <c r="A716" t="s">
        <v>5067</v>
      </c>
      <c r="B716" t="s">
        <v>5123</v>
      </c>
      <c r="C716" s="22" t="s">
        <v>5410</v>
      </c>
      <c r="D716" t="s">
        <v>5070</v>
      </c>
    </row>
    <row r="717" spans="1:4" x14ac:dyDescent="0.3">
      <c r="A717" t="s">
        <v>5067</v>
      </c>
      <c r="B717" t="s">
        <v>5123</v>
      </c>
      <c r="C717" s="22" t="s">
        <v>5411</v>
      </c>
      <c r="D717" t="s">
        <v>5125</v>
      </c>
    </row>
    <row r="718" spans="1:4" x14ac:dyDescent="0.3">
      <c r="A718" t="s">
        <v>5067</v>
      </c>
      <c r="B718" t="s">
        <v>5123</v>
      </c>
      <c r="C718" s="22" t="s">
        <v>5412</v>
      </c>
      <c r="D718" t="s">
        <v>5070</v>
      </c>
    </row>
    <row r="719" spans="1:4" x14ac:dyDescent="0.3">
      <c r="A719" t="s">
        <v>5067</v>
      </c>
      <c r="B719" t="s">
        <v>5123</v>
      </c>
      <c r="C719" s="22" t="s">
        <v>5413</v>
      </c>
      <c r="D719" t="s">
        <v>5070</v>
      </c>
    </row>
    <row r="720" spans="1:4" x14ac:dyDescent="0.3">
      <c r="A720" t="s">
        <v>5067</v>
      </c>
      <c r="B720" t="s">
        <v>5123</v>
      </c>
      <c r="C720" s="22" t="s">
        <v>5414</v>
      </c>
      <c r="D720" t="s">
        <v>5070</v>
      </c>
    </row>
    <row r="721" spans="1:4" x14ac:dyDescent="0.3">
      <c r="A721" t="s">
        <v>5067</v>
      </c>
      <c r="B721" t="s">
        <v>5123</v>
      </c>
      <c r="C721" s="22" t="s">
        <v>5415</v>
      </c>
      <c r="D721" t="s">
        <v>5070</v>
      </c>
    </row>
    <row r="722" spans="1:4" x14ac:dyDescent="0.3">
      <c r="A722" t="s">
        <v>5067</v>
      </c>
      <c r="B722" t="s">
        <v>5123</v>
      </c>
      <c r="C722" s="22" t="s">
        <v>5416</v>
      </c>
      <c r="D722" t="s">
        <v>5070</v>
      </c>
    </row>
    <row r="723" spans="1:4" x14ac:dyDescent="0.3">
      <c r="A723" t="s">
        <v>5067</v>
      </c>
      <c r="B723" t="s">
        <v>5123</v>
      </c>
      <c r="C723" s="22" t="s">
        <v>5417</v>
      </c>
      <c r="D723" t="s">
        <v>5070</v>
      </c>
    </row>
    <row r="724" spans="1:4" x14ac:dyDescent="0.3">
      <c r="A724" t="s">
        <v>5067</v>
      </c>
      <c r="B724" t="s">
        <v>5123</v>
      </c>
      <c r="C724" s="22" t="s">
        <v>5418</v>
      </c>
      <c r="D724" t="s">
        <v>5125</v>
      </c>
    </row>
    <row r="725" spans="1:4" x14ac:dyDescent="0.3">
      <c r="A725" t="s">
        <v>5067</v>
      </c>
      <c r="B725" t="s">
        <v>5123</v>
      </c>
      <c r="C725" s="22" t="s">
        <v>5419</v>
      </c>
      <c r="D725" t="s">
        <v>5070</v>
      </c>
    </row>
    <row r="726" spans="1:4" x14ac:dyDescent="0.3">
      <c r="A726" t="s">
        <v>5067</v>
      </c>
      <c r="B726" t="s">
        <v>5123</v>
      </c>
      <c r="C726" s="22" t="s">
        <v>5420</v>
      </c>
      <c r="D726" t="s">
        <v>5070</v>
      </c>
    </row>
    <row r="727" spans="1:4" x14ac:dyDescent="0.3">
      <c r="A727" t="s">
        <v>5067</v>
      </c>
      <c r="B727" t="s">
        <v>5123</v>
      </c>
      <c r="C727" s="22" t="s">
        <v>5421</v>
      </c>
      <c r="D727" t="s">
        <v>5070</v>
      </c>
    </row>
    <row r="728" spans="1:4" x14ac:dyDescent="0.3">
      <c r="A728" t="s">
        <v>5067</v>
      </c>
      <c r="B728" t="s">
        <v>5123</v>
      </c>
      <c r="C728" s="22" t="s">
        <v>5422</v>
      </c>
      <c r="D728" t="s">
        <v>5070</v>
      </c>
    </row>
    <row r="729" spans="1:4" x14ac:dyDescent="0.3">
      <c r="A729" t="s">
        <v>5067</v>
      </c>
      <c r="B729" t="s">
        <v>5123</v>
      </c>
      <c r="C729" s="22" t="s">
        <v>5423</v>
      </c>
      <c r="D729" t="s">
        <v>5070</v>
      </c>
    </row>
    <row r="730" spans="1:4" x14ac:dyDescent="0.3">
      <c r="A730" t="s">
        <v>5067</v>
      </c>
      <c r="B730" t="s">
        <v>5123</v>
      </c>
      <c r="C730" s="22" t="s">
        <v>5424</v>
      </c>
      <c r="D730" t="s">
        <v>5070</v>
      </c>
    </row>
    <row r="731" spans="1:4" x14ac:dyDescent="0.3">
      <c r="A731" t="s">
        <v>5067</v>
      </c>
      <c r="B731" t="s">
        <v>5123</v>
      </c>
      <c r="C731" s="22" t="s">
        <v>5425</v>
      </c>
      <c r="D731" t="s">
        <v>5070</v>
      </c>
    </row>
    <row r="732" spans="1:4" x14ac:dyDescent="0.3">
      <c r="A732" t="s">
        <v>5067</v>
      </c>
      <c r="B732" t="s">
        <v>5123</v>
      </c>
      <c r="C732" s="22" t="s">
        <v>5426</v>
      </c>
      <c r="D732" t="s">
        <v>5070</v>
      </c>
    </row>
    <row r="733" spans="1:4" x14ac:dyDescent="0.3">
      <c r="A733" t="s">
        <v>5067</v>
      </c>
      <c r="B733" t="s">
        <v>5123</v>
      </c>
      <c r="C733" s="22" t="s">
        <v>5427</v>
      </c>
      <c r="D733" t="s">
        <v>5070</v>
      </c>
    </row>
    <row r="734" spans="1:4" x14ac:dyDescent="0.3">
      <c r="A734" t="s">
        <v>5067</v>
      </c>
      <c r="B734" t="s">
        <v>5123</v>
      </c>
      <c r="C734" s="22" t="s">
        <v>5428</v>
      </c>
      <c r="D734" t="s">
        <v>5070</v>
      </c>
    </row>
    <row r="735" spans="1:4" x14ac:dyDescent="0.3">
      <c r="A735" t="s">
        <v>5067</v>
      </c>
      <c r="B735" t="s">
        <v>5123</v>
      </c>
      <c r="C735" s="22" t="s">
        <v>5429</v>
      </c>
      <c r="D735" t="s">
        <v>5070</v>
      </c>
    </row>
    <row r="736" spans="1:4" x14ac:dyDescent="0.3">
      <c r="A736" t="s">
        <v>5067</v>
      </c>
      <c r="B736" t="s">
        <v>5123</v>
      </c>
      <c r="C736" s="22" t="s">
        <v>5430</v>
      </c>
      <c r="D736" t="s">
        <v>5070</v>
      </c>
    </row>
    <row r="737" spans="1:4" x14ac:dyDescent="0.3">
      <c r="A737" t="s">
        <v>5067</v>
      </c>
      <c r="B737" t="s">
        <v>5123</v>
      </c>
      <c r="C737" s="22" t="s">
        <v>5431</v>
      </c>
      <c r="D737" t="s">
        <v>5070</v>
      </c>
    </row>
    <row r="738" spans="1:4" x14ac:dyDescent="0.3">
      <c r="A738" t="s">
        <v>5067</v>
      </c>
      <c r="B738" t="s">
        <v>5123</v>
      </c>
      <c r="C738" s="22" t="s">
        <v>5432</v>
      </c>
      <c r="D738" t="s">
        <v>5070</v>
      </c>
    </row>
    <row r="739" spans="1:4" x14ac:dyDescent="0.3">
      <c r="A739" t="s">
        <v>5067</v>
      </c>
      <c r="B739" t="s">
        <v>5123</v>
      </c>
      <c r="C739" s="22" t="s">
        <v>5433</v>
      </c>
      <c r="D739" t="s">
        <v>5070</v>
      </c>
    </row>
    <row r="740" spans="1:4" x14ac:dyDescent="0.3">
      <c r="A740" t="s">
        <v>5067</v>
      </c>
      <c r="B740" t="s">
        <v>5123</v>
      </c>
      <c r="C740" s="22" t="s">
        <v>5434</v>
      </c>
      <c r="D740" t="s">
        <v>5070</v>
      </c>
    </row>
    <row r="741" spans="1:4" x14ac:dyDescent="0.3">
      <c r="A741" t="s">
        <v>5067</v>
      </c>
      <c r="B741" t="s">
        <v>5123</v>
      </c>
      <c r="C741" s="22" t="s">
        <v>5435</v>
      </c>
      <c r="D741" t="s">
        <v>5070</v>
      </c>
    </row>
    <row r="742" spans="1:4" x14ac:dyDescent="0.3">
      <c r="A742" t="s">
        <v>5067</v>
      </c>
      <c r="B742" t="s">
        <v>5123</v>
      </c>
      <c r="C742" s="22" t="s">
        <v>5436</v>
      </c>
      <c r="D742" t="s">
        <v>5070</v>
      </c>
    </row>
    <row r="743" spans="1:4" x14ac:dyDescent="0.3">
      <c r="A743" t="s">
        <v>5067</v>
      </c>
      <c r="B743" t="s">
        <v>5123</v>
      </c>
      <c r="C743" s="22" t="s">
        <v>5437</v>
      </c>
      <c r="D743" t="s">
        <v>5070</v>
      </c>
    </row>
    <row r="744" spans="1:4" x14ac:dyDescent="0.3">
      <c r="A744" t="s">
        <v>5067</v>
      </c>
      <c r="B744" t="s">
        <v>5123</v>
      </c>
      <c r="C744" s="22" t="s">
        <v>5438</v>
      </c>
      <c r="D744" t="s">
        <v>5070</v>
      </c>
    </row>
    <row r="745" spans="1:4" x14ac:dyDescent="0.3">
      <c r="A745" t="s">
        <v>5067</v>
      </c>
      <c r="B745" t="s">
        <v>5123</v>
      </c>
      <c r="C745" s="22" t="s">
        <v>5439</v>
      </c>
      <c r="D745" t="s">
        <v>5070</v>
      </c>
    </row>
    <row r="746" spans="1:4" x14ac:dyDescent="0.3">
      <c r="A746" t="s">
        <v>5067</v>
      </c>
      <c r="B746" t="s">
        <v>5123</v>
      </c>
      <c r="C746" s="22" t="s">
        <v>5440</v>
      </c>
      <c r="D746" t="s">
        <v>5070</v>
      </c>
    </row>
    <row r="747" spans="1:4" x14ac:dyDescent="0.3">
      <c r="A747" t="s">
        <v>5067</v>
      </c>
      <c r="B747" t="s">
        <v>5123</v>
      </c>
      <c r="C747" s="22" t="s">
        <v>5441</v>
      </c>
      <c r="D747" t="s">
        <v>5070</v>
      </c>
    </row>
    <row r="748" spans="1:4" x14ac:dyDescent="0.3">
      <c r="A748" t="s">
        <v>5067</v>
      </c>
      <c r="B748" t="s">
        <v>5123</v>
      </c>
      <c r="C748" s="22" t="s">
        <v>5442</v>
      </c>
      <c r="D748" t="s">
        <v>5070</v>
      </c>
    </row>
    <row r="749" spans="1:4" x14ac:dyDescent="0.3">
      <c r="A749" t="s">
        <v>5067</v>
      </c>
      <c r="B749" t="s">
        <v>5123</v>
      </c>
      <c r="C749" s="22" t="s">
        <v>5443</v>
      </c>
      <c r="D749" t="s">
        <v>5070</v>
      </c>
    </row>
    <row r="750" spans="1:4" x14ac:dyDescent="0.3">
      <c r="A750" t="s">
        <v>5067</v>
      </c>
      <c r="B750" t="s">
        <v>5123</v>
      </c>
      <c r="C750" s="22" t="s">
        <v>5444</v>
      </c>
      <c r="D750" t="s">
        <v>5070</v>
      </c>
    </row>
    <row r="751" spans="1:4" x14ac:dyDescent="0.3">
      <c r="A751" t="s">
        <v>5067</v>
      </c>
      <c r="B751" t="s">
        <v>5123</v>
      </c>
      <c r="C751" s="22" t="s">
        <v>5445</v>
      </c>
      <c r="D751" t="s">
        <v>5070</v>
      </c>
    </row>
    <row r="752" spans="1:4" x14ac:dyDescent="0.3">
      <c r="A752" t="s">
        <v>5067</v>
      </c>
      <c r="B752" t="s">
        <v>5123</v>
      </c>
      <c r="C752" s="22" t="s">
        <v>5446</v>
      </c>
      <c r="D752" t="s">
        <v>5070</v>
      </c>
    </row>
    <row r="753" spans="1:4" x14ac:dyDescent="0.3">
      <c r="A753" t="s">
        <v>5067</v>
      </c>
      <c r="B753" t="s">
        <v>5123</v>
      </c>
      <c r="C753" s="22" t="s">
        <v>5447</v>
      </c>
      <c r="D753" t="s">
        <v>5070</v>
      </c>
    </row>
    <row r="754" spans="1:4" x14ac:dyDescent="0.3">
      <c r="A754" t="s">
        <v>5067</v>
      </c>
      <c r="B754" t="s">
        <v>5123</v>
      </c>
      <c r="C754" s="22" t="s">
        <v>5448</v>
      </c>
      <c r="D754" t="s">
        <v>5070</v>
      </c>
    </row>
    <row r="755" spans="1:4" x14ac:dyDescent="0.3">
      <c r="A755" t="s">
        <v>5067</v>
      </c>
      <c r="B755" t="s">
        <v>5123</v>
      </c>
      <c r="C755" s="22" t="s">
        <v>5449</v>
      </c>
      <c r="D755" t="s">
        <v>5070</v>
      </c>
    </row>
    <row r="756" spans="1:4" x14ac:dyDescent="0.3">
      <c r="A756" t="s">
        <v>5067</v>
      </c>
      <c r="B756" t="s">
        <v>5123</v>
      </c>
      <c r="C756" s="22" t="s">
        <v>5450</v>
      </c>
      <c r="D756" t="s">
        <v>5070</v>
      </c>
    </row>
    <row r="757" spans="1:4" x14ac:dyDescent="0.3">
      <c r="A757" t="s">
        <v>5067</v>
      </c>
      <c r="B757" t="s">
        <v>5123</v>
      </c>
      <c r="C757" s="22" t="s">
        <v>5451</v>
      </c>
      <c r="D757" t="s">
        <v>5070</v>
      </c>
    </row>
    <row r="758" spans="1:4" x14ac:dyDescent="0.3">
      <c r="A758" t="s">
        <v>5067</v>
      </c>
      <c r="B758" t="s">
        <v>5123</v>
      </c>
      <c r="C758" s="22" t="s">
        <v>5452</v>
      </c>
      <c r="D758" t="s">
        <v>5070</v>
      </c>
    </row>
    <row r="759" spans="1:4" x14ac:dyDescent="0.3">
      <c r="A759" t="s">
        <v>5067</v>
      </c>
      <c r="B759" t="s">
        <v>5123</v>
      </c>
      <c r="C759" s="22" t="s">
        <v>5453</v>
      </c>
      <c r="D759" t="s">
        <v>5070</v>
      </c>
    </row>
    <row r="760" spans="1:4" x14ac:dyDescent="0.3">
      <c r="A760" t="s">
        <v>5067</v>
      </c>
      <c r="B760" t="s">
        <v>5123</v>
      </c>
      <c r="C760" s="22" t="s">
        <v>5454</v>
      </c>
      <c r="D760" t="s">
        <v>5070</v>
      </c>
    </row>
    <row r="761" spans="1:4" x14ac:dyDescent="0.3">
      <c r="A761" t="s">
        <v>5067</v>
      </c>
      <c r="B761" t="s">
        <v>5123</v>
      </c>
      <c r="C761" s="22" t="s">
        <v>5455</v>
      </c>
      <c r="D761" t="s">
        <v>5070</v>
      </c>
    </row>
    <row r="762" spans="1:4" x14ac:dyDescent="0.3">
      <c r="A762" t="s">
        <v>5067</v>
      </c>
      <c r="B762" t="s">
        <v>5123</v>
      </c>
      <c r="C762" s="22" t="s">
        <v>5456</v>
      </c>
      <c r="D762" t="s">
        <v>5070</v>
      </c>
    </row>
    <row r="763" spans="1:4" x14ac:dyDescent="0.3">
      <c r="A763" t="s">
        <v>5067</v>
      </c>
      <c r="B763" t="s">
        <v>5123</v>
      </c>
      <c r="C763" s="22" t="s">
        <v>5457</v>
      </c>
      <c r="D763" t="s">
        <v>5070</v>
      </c>
    </row>
    <row r="764" spans="1:4" x14ac:dyDescent="0.3">
      <c r="A764" t="s">
        <v>5067</v>
      </c>
      <c r="B764" t="s">
        <v>5123</v>
      </c>
      <c r="C764" s="22" t="s">
        <v>5458</v>
      </c>
      <c r="D764" t="s">
        <v>5070</v>
      </c>
    </row>
    <row r="765" spans="1:4" x14ac:dyDescent="0.3">
      <c r="A765" t="s">
        <v>5067</v>
      </c>
      <c r="B765" t="s">
        <v>5123</v>
      </c>
      <c r="C765" s="22" t="s">
        <v>5459</v>
      </c>
      <c r="D765" t="s">
        <v>5070</v>
      </c>
    </row>
    <row r="766" spans="1:4" x14ac:dyDescent="0.3">
      <c r="A766" t="s">
        <v>5067</v>
      </c>
      <c r="B766" t="s">
        <v>5123</v>
      </c>
      <c r="C766" s="22" t="s">
        <v>5460</v>
      </c>
      <c r="D766" t="s">
        <v>5070</v>
      </c>
    </row>
    <row r="767" spans="1:4" x14ac:dyDescent="0.3">
      <c r="A767" t="s">
        <v>5067</v>
      </c>
      <c r="B767" t="s">
        <v>5123</v>
      </c>
      <c r="C767" s="22" t="s">
        <v>5461</v>
      </c>
      <c r="D767" t="s">
        <v>5070</v>
      </c>
    </row>
    <row r="768" spans="1:4" x14ac:dyDescent="0.3">
      <c r="A768" t="s">
        <v>5067</v>
      </c>
      <c r="B768" t="s">
        <v>5123</v>
      </c>
      <c r="C768" s="22" t="s">
        <v>5462</v>
      </c>
      <c r="D768" t="s">
        <v>5070</v>
      </c>
    </row>
    <row r="769" spans="1:4" x14ac:dyDescent="0.3">
      <c r="A769" t="s">
        <v>5067</v>
      </c>
      <c r="B769" t="s">
        <v>5123</v>
      </c>
      <c r="C769" s="22" t="s">
        <v>5463</v>
      </c>
      <c r="D769" t="s">
        <v>5070</v>
      </c>
    </row>
    <row r="770" spans="1:4" x14ac:dyDescent="0.3">
      <c r="A770" t="s">
        <v>5067</v>
      </c>
      <c r="B770" t="s">
        <v>5123</v>
      </c>
      <c r="C770" s="22" t="s">
        <v>5464</v>
      </c>
      <c r="D770" t="s">
        <v>5070</v>
      </c>
    </row>
    <row r="771" spans="1:4" x14ac:dyDescent="0.3">
      <c r="A771" t="s">
        <v>5067</v>
      </c>
      <c r="B771" t="s">
        <v>5123</v>
      </c>
      <c r="C771" s="22" t="s">
        <v>5465</v>
      </c>
      <c r="D771" t="s">
        <v>5070</v>
      </c>
    </row>
    <row r="772" spans="1:4" x14ac:dyDescent="0.3">
      <c r="A772" t="s">
        <v>5067</v>
      </c>
      <c r="B772" t="s">
        <v>5123</v>
      </c>
      <c r="C772" s="22" t="s">
        <v>5466</v>
      </c>
      <c r="D772" t="s">
        <v>5070</v>
      </c>
    </row>
    <row r="773" spans="1:4" x14ac:dyDescent="0.3">
      <c r="A773" t="s">
        <v>5067</v>
      </c>
      <c r="B773" t="s">
        <v>5123</v>
      </c>
      <c r="C773" s="22" t="s">
        <v>5467</v>
      </c>
      <c r="D773" t="s">
        <v>5070</v>
      </c>
    </row>
    <row r="774" spans="1:4" x14ac:dyDescent="0.3">
      <c r="A774" t="s">
        <v>5067</v>
      </c>
      <c r="B774" t="s">
        <v>5123</v>
      </c>
      <c r="C774" s="22" t="s">
        <v>5468</v>
      </c>
      <c r="D774" t="s">
        <v>5070</v>
      </c>
    </row>
    <row r="775" spans="1:4" x14ac:dyDescent="0.3">
      <c r="A775" t="s">
        <v>5067</v>
      </c>
      <c r="B775" t="s">
        <v>5123</v>
      </c>
      <c r="C775" s="22" t="s">
        <v>5469</v>
      </c>
      <c r="D775" t="s">
        <v>5070</v>
      </c>
    </row>
    <row r="776" spans="1:4" x14ac:dyDescent="0.3">
      <c r="A776" t="s">
        <v>5067</v>
      </c>
      <c r="B776" t="s">
        <v>5123</v>
      </c>
      <c r="C776" s="22" t="s">
        <v>5470</v>
      </c>
      <c r="D776" t="s">
        <v>5070</v>
      </c>
    </row>
    <row r="777" spans="1:4" x14ac:dyDescent="0.3">
      <c r="A777" t="s">
        <v>5067</v>
      </c>
      <c r="B777" t="s">
        <v>5123</v>
      </c>
      <c r="C777" s="22" t="s">
        <v>5471</v>
      </c>
      <c r="D777" t="s">
        <v>5070</v>
      </c>
    </row>
    <row r="778" spans="1:4" x14ac:dyDescent="0.3">
      <c r="A778" t="s">
        <v>5067</v>
      </c>
      <c r="B778" t="s">
        <v>5123</v>
      </c>
      <c r="C778" s="22" t="s">
        <v>5472</v>
      </c>
      <c r="D778" t="s">
        <v>5070</v>
      </c>
    </row>
    <row r="779" spans="1:4" x14ac:dyDescent="0.3">
      <c r="A779" t="s">
        <v>5067</v>
      </c>
      <c r="B779" t="s">
        <v>5123</v>
      </c>
      <c r="C779" s="22" t="s">
        <v>5473</v>
      </c>
      <c r="D779" t="s">
        <v>5070</v>
      </c>
    </row>
    <row r="780" spans="1:4" x14ac:dyDescent="0.3">
      <c r="A780" t="s">
        <v>5067</v>
      </c>
      <c r="B780" t="s">
        <v>5123</v>
      </c>
      <c r="C780" s="22" t="s">
        <v>5474</v>
      </c>
      <c r="D780" t="s">
        <v>5070</v>
      </c>
    </row>
    <row r="781" spans="1:4" x14ac:dyDescent="0.3">
      <c r="A781" t="s">
        <v>5067</v>
      </c>
      <c r="B781" t="s">
        <v>5123</v>
      </c>
      <c r="C781" s="22" t="s">
        <v>5475</v>
      </c>
      <c r="D781" t="s">
        <v>5070</v>
      </c>
    </row>
    <row r="782" spans="1:4" x14ac:dyDescent="0.3">
      <c r="A782" t="s">
        <v>5067</v>
      </c>
      <c r="B782" t="s">
        <v>5123</v>
      </c>
      <c r="C782" s="22" t="s">
        <v>5476</v>
      </c>
      <c r="D782" t="s">
        <v>5070</v>
      </c>
    </row>
    <row r="783" spans="1:4" x14ac:dyDescent="0.3">
      <c r="A783" t="s">
        <v>5067</v>
      </c>
      <c r="B783" t="s">
        <v>5123</v>
      </c>
      <c r="C783" s="22" t="s">
        <v>5477</v>
      </c>
      <c r="D783" t="s">
        <v>5070</v>
      </c>
    </row>
    <row r="784" spans="1:4" x14ac:dyDescent="0.3">
      <c r="A784" t="s">
        <v>5067</v>
      </c>
      <c r="B784" t="s">
        <v>5123</v>
      </c>
      <c r="C784" s="22" t="s">
        <v>5478</v>
      </c>
      <c r="D784" t="s">
        <v>5070</v>
      </c>
    </row>
    <row r="785" spans="1:4" x14ac:dyDescent="0.3">
      <c r="A785" t="s">
        <v>5067</v>
      </c>
      <c r="B785" t="s">
        <v>5123</v>
      </c>
      <c r="C785" s="22" t="s">
        <v>5479</v>
      </c>
      <c r="D785" t="s">
        <v>5070</v>
      </c>
    </row>
    <row r="786" spans="1:4" x14ac:dyDescent="0.3">
      <c r="A786" t="s">
        <v>5067</v>
      </c>
      <c r="B786" t="s">
        <v>5123</v>
      </c>
      <c r="C786" s="22" t="s">
        <v>5480</v>
      </c>
      <c r="D786" t="s">
        <v>5070</v>
      </c>
    </row>
    <row r="787" spans="1:4" x14ac:dyDescent="0.3">
      <c r="A787" t="s">
        <v>5067</v>
      </c>
      <c r="B787" t="s">
        <v>5123</v>
      </c>
      <c r="C787" s="22" t="s">
        <v>5481</v>
      </c>
      <c r="D787" t="s">
        <v>5070</v>
      </c>
    </row>
    <row r="788" spans="1:4" x14ac:dyDescent="0.3">
      <c r="A788" t="s">
        <v>5067</v>
      </c>
      <c r="B788" t="s">
        <v>5123</v>
      </c>
      <c r="C788" s="22" t="s">
        <v>5482</v>
      </c>
      <c r="D788" t="s">
        <v>5070</v>
      </c>
    </row>
    <row r="789" spans="1:4" x14ac:dyDescent="0.3">
      <c r="A789" t="s">
        <v>5067</v>
      </c>
      <c r="B789" t="s">
        <v>5123</v>
      </c>
      <c r="C789" s="22" t="s">
        <v>5483</v>
      </c>
      <c r="D789" t="s">
        <v>5070</v>
      </c>
    </row>
    <row r="790" spans="1:4" x14ac:dyDescent="0.3">
      <c r="A790" t="s">
        <v>5067</v>
      </c>
      <c r="B790" t="s">
        <v>5123</v>
      </c>
      <c r="C790" s="22" t="s">
        <v>5484</v>
      </c>
      <c r="D790" t="s">
        <v>5070</v>
      </c>
    </row>
    <row r="791" spans="1:4" x14ac:dyDescent="0.3">
      <c r="A791" t="s">
        <v>5067</v>
      </c>
      <c r="B791" t="s">
        <v>5123</v>
      </c>
      <c r="C791" s="22" t="s">
        <v>5485</v>
      </c>
      <c r="D791" t="s">
        <v>5070</v>
      </c>
    </row>
    <row r="792" spans="1:4" x14ac:dyDescent="0.3">
      <c r="A792" t="s">
        <v>5067</v>
      </c>
      <c r="B792" t="s">
        <v>5123</v>
      </c>
      <c r="C792" s="22" t="s">
        <v>5486</v>
      </c>
      <c r="D792" t="s">
        <v>5070</v>
      </c>
    </row>
    <row r="793" spans="1:4" x14ac:dyDescent="0.3">
      <c r="A793" t="s">
        <v>5067</v>
      </c>
      <c r="B793" t="s">
        <v>5123</v>
      </c>
      <c r="C793" s="22" t="s">
        <v>5487</v>
      </c>
      <c r="D793" t="s">
        <v>5070</v>
      </c>
    </row>
    <row r="794" spans="1:4" x14ac:dyDescent="0.3">
      <c r="A794" t="s">
        <v>5067</v>
      </c>
      <c r="B794" t="s">
        <v>5123</v>
      </c>
      <c r="C794" s="22" t="s">
        <v>5488</v>
      </c>
      <c r="D794" t="s">
        <v>5070</v>
      </c>
    </row>
    <row r="795" spans="1:4" x14ac:dyDescent="0.3">
      <c r="A795" t="s">
        <v>5067</v>
      </c>
      <c r="B795" t="s">
        <v>5123</v>
      </c>
      <c r="C795" s="22" t="s">
        <v>5489</v>
      </c>
      <c r="D795" t="s">
        <v>5070</v>
      </c>
    </row>
    <row r="796" spans="1:4" x14ac:dyDescent="0.3">
      <c r="A796" t="s">
        <v>5067</v>
      </c>
      <c r="B796" t="s">
        <v>5123</v>
      </c>
      <c r="C796" s="22" t="s">
        <v>5490</v>
      </c>
      <c r="D796" t="s">
        <v>5125</v>
      </c>
    </row>
    <row r="797" spans="1:4" x14ac:dyDescent="0.3">
      <c r="A797" t="s">
        <v>5067</v>
      </c>
      <c r="B797" t="s">
        <v>5123</v>
      </c>
      <c r="C797" s="22" t="s">
        <v>5491</v>
      </c>
      <c r="D797" t="s">
        <v>5070</v>
      </c>
    </row>
    <row r="798" spans="1:4" x14ac:dyDescent="0.3">
      <c r="A798" t="s">
        <v>5067</v>
      </c>
      <c r="B798" t="s">
        <v>5123</v>
      </c>
      <c r="C798" s="22" t="s">
        <v>5492</v>
      </c>
      <c r="D798" t="s">
        <v>5070</v>
      </c>
    </row>
    <row r="799" spans="1:4" x14ac:dyDescent="0.3">
      <c r="A799" t="s">
        <v>5067</v>
      </c>
      <c r="B799" t="s">
        <v>5123</v>
      </c>
      <c r="C799" s="22" t="s">
        <v>5493</v>
      </c>
      <c r="D799" t="s">
        <v>5070</v>
      </c>
    </row>
    <row r="800" spans="1:4" x14ac:dyDescent="0.3">
      <c r="A800" t="s">
        <v>5067</v>
      </c>
      <c r="B800" t="s">
        <v>5123</v>
      </c>
      <c r="C800" s="22" t="s">
        <v>5494</v>
      </c>
      <c r="D800" t="s">
        <v>5070</v>
      </c>
    </row>
    <row r="801" spans="1:4" x14ac:dyDescent="0.3">
      <c r="A801" t="s">
        <v>5067</v>
      </c>
      <c r="B801" t="s">
        <v>5123</v>
      </c>
      <c r="C801" s="22" t="s">
        <v>5495</v>
      </c>
      <c r="D801" t="s">
        <v>5125</v>
      </c>
    </row>
    <row r="802" spans="1:4" x14ac:dyDescent="0.3">
      <c r="A802" t="s">
        <v>5067</v>
      </c>
      <c r="B802" t="s">
        <v>5123</v>
      </c>
      <c r="C802" s="22" t="s">
        <v>5496</v>
      </c>
      <c r="D802" t="s">
        <v>5070</v>
      </c>
    </row>
    <row r="803" spans="1:4" x14ac:dyDescent="0.3">
      <c r="A803" t="s">
        <v>5067</v>
      </c>
      <c r="B803" t="s">
        <v>5123</v>
      </c>
      <c r="C803" s="22" t="s">
        <v>5497</v>
      </c>
      <c r="D803" t="s">
        <v>5070</v>
      </c>
    </row>
    <row r="804" spans="1:4" x14ac:dyDescent="0.3">
      <c r="A804" t="s">
        <v>5067</v>
      </c>
      <c r="B804" t="s">
        <v>5123</v>
      </c>
      <c r="C804" s="22" t="s">
        <v>5498</v>
      </c>
      <c r="D804" t="s">
        <v>5070</v>
      </c>
    </row>
    <row r="805" spans="1:4" x14ac:dyDescent="0.3">
      <c r="A805" t="s">
        <v>5067</v>
      </c>
      <c r="B805" t="s">
        <v>5123</v>
      </c>
      <c r="C805" s="22" t="s">
        <v>5499</v>
      </c>
      <c r="D805" t="s">
        <v>5070</v>
      </c>
    </row>
    <row r="806" spans="1:4" x14ac:dyDescent="0.3">
      <c r="A806" t="s">
        <v>5067</v>
      </c>
      <c r="B806" t="s">
        <v>3471</v>
      </c>
      <c r="C806" s="22" t="s">
        <v>5124</v>
      </c>
      <c r="D806" t="s">
        <v>5070</v>
      </c>
    </row>
    <row r="807" spans="1:4" x14ac:dyDescent="0.3">
      <c r="A807" t="s">
        <v>5067</v>
      </c>
      <c r="B807" t="s">
        <v>3471</v>
      </c>
      <c r="C807" s="22" t="s">
        <v>5079</v>
      </c>
      <c r="D807" t="s">
        <v>5070</v>
      </c>
    </row>
    <row r="808" spans="1:4" x14ac:dyDescent="0.3">
      <c r="A808" t="s">
        <v>5067</v>
      </c>
      <c r="B808" t="s">
        <v>3471</v>
      </c>
      <c r="C808" s="22" t="s">
        <v>5080</v>
      </c>
      <c r="D808" t="s">
        <v>5070</v>
      </c>
    </row>
    <row r="809" spans="1:4" x14ac:dyDescent="0.3">
      <c r="A809" t="s">
        <v>5067</v>
      </c>
      <c r="B809" t="s">
        <v>3471</v>
      </c>
      <c r="C809" s="22" t="s">
        <v>5081</v>
      </c>
      <c r="D809" t="s">
        <v>5070</v>
      </c>
    </row>
    <row r="810" spans="1:4" x14ac:dyDescent="0.3">
      <c r="A810" t="s">
        <v>5067</v>
      </c>
      <c r="B810" t="s">
        <v>3471</v>
      </c>
      <c r="C810" s="22" t="s">
        <v>5069</v>
      </c>
      <c r="D810" t="s">
        <v>5070</v>
      </c>
    </row>
    <row r="811" spans="1:4" x14ac:dyDescent="0.3">
      <c r="A811" t="s">
        <v>5067</v>
      </c>
      <c r="B811" t="s">
        <v>3471</v>
      </c>
      <c r="C811" s="22" t="s">
        <v>5071</v>
      </c>
      <c r="D811" t="s">
        <v>5070</v>
      </c>
    </row>
    <row r="812" spans="1:4" x14ac:dyDescent="0.3">
      <c r="A812" t="s">
        <v>5067</v>
      </c>
      <c r="B812" t="s">
        <v>3471</v>
      </c>
      <c r="C812" s="22" t="s">
        <v>5072</v>
      </c>
      <c r="D812" t="str">
        <f>IF(AND(_aktywa!F8=0,AND(_aktywa!H8=0,_aktywa!J8=0)),"ukryj","odkryj")</f>
        <v>ukryj</v>
      </c>
    </row>
    <row r="813" spans="1:4" x14ac:dyDescent="0.3">
      <c r="A813" t="s">
        <v>5067</v>
      </c>
      <c r="B813" t="s">
        <v>3471</v>
      </c>
      <c r="C813" s="22" t="s">
        <v>5073</v>
      </c>
      <c r="D813" t="str">
        <f>IF(AND(_aktywa!F9=0,AND(_aktywa!H9=0,_aktywa!J9=0)),"ukryj","odkryj")</f>
        <v>ukryj</v>
      </c>
    </row>
    <row r="814" spans="1:4" x14ac:dyDescent="0.3">
      <c r="A814" t="s">
        <v>5067</v>
      </c>
      <c r="B814" t="s">
        <v>3471</v>
      </c>
      <c r="C814" s="22" t="s">
        <v>5074</v>
      </c>
      <c r="D814" t="str">
        <f>IF(AND(_aktywa!F10=0,AND(_aktywa!H10=0,_aktywa!J10=0)),"ukryj","odkryj")</f>
        <v>ukryj</v>
      </c>
    </row>
    <row r="815" spans="1:4" x14ac:dyDescent="0.3">
      <c r="A815" t="s">
        <v>5067</v>
      </c>
      <c r="B815" t="s">
        <v>3471</v>
      </c>
      <c r="C815" s="22" t="s">
        <v>5075</v>
      </c>
      <c r="D815" t="str">
        <f>IF(AND(_aktywa!F11=0,AND(_aktywa!H11=0,_aktywa!J11=0)),"ukryj","odkryj")</f>
        <v>ukryj</v>
      </c>
    </row>
    <row r="816" spans="1:4" x14ac:dyDescent="0.3">
      <c r="A816" t="s">
        <v>5067</v>
      </c>
      <c r="B816" t="s">
        <v>3471</v>
      </c>
      <c r="C816" s="22" t="s">
        <v>5076</v>
      </c>
      <c r="D816" t="str">
        <f>IF(AND(_aktywa!F12=0,AND(_aktywa!H12=0,_aktywa!J12=0)),"ukryj","odkryj")</f>
        <v>ukryj</v>
      </c>
    </row>
    <row r="817" spans="1:4" x14ac:dyDescent="0.3">
      <c r="A817" t="s">
        <v>5067</v>
      </c>
      <c r="B817" t="s">
        <v>3471</v>
      </c>
      <c r="C817" s="22" t="s">
        <v>5077</v>
      </c>
      <c r="D817" t="str">
        <f>IF(AND(_aktywa!F13=0,AND(_aktywa!H13=0,_aktywa!J13=0)),"ukryj","odkryj")</f>
        <v>ukryj</v>
      </c>
    </row>
    <row r="818" spans="1:4" x14ac:dyDescent="0.3">
      <c r="A818" t="s">
        <v>5067</v>
      </c>
      <c r="B818" t="s">
        <v>3471</v>
      </c>
      <c r="C818" s="22" t="s">
        <v>5082</v>
      </c>
      <c r="D818" t="str">
        <f>IF(AND(_aktywa!F14=0,AND(_aktywa!H14=0,_aktywa!J14=0)),"ukryj","odkryj")</f>
        <v>ukryj</v>
      </c>
    </row>
    <row r="819" spans="1:4" x14ac:dyDescent="0.3">
      <c r="A819" t="s">
        <v>5067</v>
      </c>
      <c r="B819" t="s">
        <v>3471</v>
      </c>
      <c r="C819" s="22" t="s">
        <v>5083</v>
      </c>
      <c r="D819" t="str">
        <f>IF(AND(_aktywa!F15=0,AND(_aktywa!H15=0,_aktywa!J15=0)),"ukryj","odkryj")</f>
        <v>ukryj</v>
      </c>
    </row>
    <row r="820" spans="1:4" x14ac:dyDescent="0.3">
      <c r="A820" t="s">
        <v>5067</v>
      </c>
      <c r="B820" t="s">
        <v>3471</v>
      </c>
      <c r="C820" s="22" t="s">
        <v>5084</v>
      </c>
      <c r="D820" t="str">
        <f>IF(AND(_aktywa!F16=0,AND(_aktywa!H16=0,_aktywa!J16=0)),"ukryj","odkryj")</f>
        <v>ukryj</v>
      </c>
    </row>
    <row r="821" spans="1:4" x14ac:dyDescent="0.3">
      <c r="A821" t="s">
        <v>5067</v>
      </c>
      <c r="B821" t="s">
        <v>3471</v>
      </c>
      <c r="C821" s="22" t="s">
        <v>5085</v>
      </c>
      <c r="D821" t="str">
        <f>IF(AND(_aktywa!F17=0,AND(_aktywa!H17=0,_aktywa!J17=0)),"ukryj","odkryj")</f>
        <v>ukryj</v>
      </c>
    </row>
    <row r="822" spans="1:4" x14ac:dyDescent="0.3">
      <c r="A822" t="s">
        <v>5067</v>
      </c>
      <c r="B822" t="s">
        <v>3471</v>
      </c>
      <c r="C822" s="22" t="s">
        <v>5086</v>
      </c>
      <c r="D822" t="str">
        <f>IF(AND(_aktywa!F18=0,AND(_aktywa!H18=0,_aktywa!J18=0)),"ukryj","odkryj")</f>
        <v>ukryj</v>
      </c>
    </row>
    <row r="823" spans="1:4" x14ac:dyDescent="0.3">
      <c r="A823" t="s">
        <v>5067</v>
      </c>
      <c r="B823" t="s">
        <v>3471</v>
      </c>
      <c r="C823" s="22" t="s">
        <v>5087</v>
      </c>
      <c r="D823" t="str">
        <f>IF(AND(_aktywa!F19=0,AND(_aktywa!H19=0,_aktywa!J19=0)),"ukryj","odkryj")</f>
        <v>ukryj</v>
      </c>
    </row>
    <row r="824" spans="1:4" x14ac:dyDescent="0.3">
      <c r="A824" t="s">
        <v>5067</v>
      </c>
      <c r="B824" t="s">
        <v>3471</v>
      </c>
      <c r="C824" s="22" t="s">
        <v>5088</v>
      </c>
      <c r="D824" t="str">
        <f>IF(AND(_aktywa!F20=0,AND(_aktywa!H20=0,_aktywa!J20=0)),"ukryj","odkryj")</f>
        <v>ukryj</v>
      </c>
    </row>
    <row r="825" spans="1:4" x14ac:dyDescent="0.3">
      <c r="A825" t="s">
        <v>5067</v>
      </c>
      <c r="B825" t="s">
        <v>3471</v>
      </c>
      <c r="C825" s="22" t="s">
        <v>5089</v>
      </c>
      <c r="D825" t="str">
        <f>IF(AND(_aktywa!F21=0,AND(_aktywa!H21=0,_aktywa!J21=0)),"ukryj","odkryj")</f>
        <v>ukryj</v>
      </c>
    </row>
    <row r="826" spans="1:4" x14ac:dyDescent="0.3">
      <c r="A826" t="s">
        <v>5067</v>
      </c>
      <c r="B826" t="s">
        <v>3471</v>
      </c>
      <c r="C826" s="22" t="s">
        <v>5090</v>
      </c>
      <c r="D826" t="str">
        <f>IF(AND(_aktywa!F22=0,AND(_aktywa!H22=0,_aktywa!J22=0)),"ukryj","odkryj")</f>
        <v>ukryj</v>
      </c>
    </row>
    <row r="827" spans="1:4" x14ac:dyDescent="0.3">
      <c r="A827" t="s">
        <v>5067</v>
      </c>
      <c r="B827" t="s">
        <v>3471</v>
      </c>
      <c r="C827" s="22" t="s">
        <v>5091</v>
      </c>
      <c r="D827" t="str">
        <f>IF(AND(_aktywa!F23=0,AND(_aktywa!H23=0,_aktywa!J23=0)),"ukryj","odkryj")</f>
        <v>ukryj</v>
      </c>
    </row>
    <row r="828" spans="1:4" x14ac:dyDescent="0.3">
      <c r="A828" t="s">
        <v>5067</v>
      </c>
      <c r="B828" t="s">
        <v>3471</v>
      </c>
      <c r="C828" s="22" t="s">
        <v>5092</v>
      </c>
      <c r="D828" t="str">
        <f>IF(AND(_aktywa!F24=0,AND(_aktywa!H24=0,_aktywa!J24=0)),"ukryj","odkryj")</f>
        <v>ukryj</v>
      </c>
    </row>
    <row r="829" spans="1:4" x14ac:dyDescent="0.3">
      <c r="A829" t="s">
        <v>5067</v>
      </c>
      <c r="B829" t="s">
        <v>3471</v>
      </c>
      <c r="C829" s="22" t="s">
        <v>5093</v>
      </c>
      <c r="D829" t="str">
        <f>IF(AND(_aktywa!F25=0,AND(_aktywa!H25=0,_aktywa!J25=0)),"ukryj","odkryj")</f>
        <v>ukryj</v>
      </c>
    </row>
    <row r="830" spans="1:4" x14ac:dyDescent="0.3">
      <c r="A830" t="s">
        <v>5067</v>
      </c>
      <c r="B830" t="s">
        <v>3471</v>
      </c>
      <c r="C830" s="22" t="s">
        <v>5094</v>
      </c>
      <c r="D830" t="str">
        <f>IF(AND(_aktywa!F26=0,AND(_aktywa!H26=0,_aktywa!J26=0)),"ukryj","odkryj")</f>
        <v>ukryj</v>
      </c>
    </row>
    <row r="831" spans="1:4" x14ac:dyDescent="0.3">
      <c r="A831" t="s">
        <v>5067</v>
      </c>
      <c r="B831" t="s">
        <v>3471</v>
      </c>
      <c r="C831" s="22" t="s">
        <v>5095</v>
      </c>
      <c r="D831" t="str">
        <f>IF(AND(_aktywa!F27=0,AND(_aktywa!H27=0,_aktywa!J27=0)),"ukryj","odkryj")</f>
        <v>ukryj</v>
      </c>
    </row>
    <row r="832" spans="1:4" x14ac:dyDescent="0.3">
      <c r="A832" t="s">
        <v>5067</v>
      </c>
      <c r="B832" t="s">
        <v>3471</v>
      </c>
      <c r="C832" s="22" t="s">
        <v>5096</v>
      </c>
      <c r="D832" t="str">
        <f>IF(AND(_aktywa!F28=0,AND(_aktywa!H28=0,_aktywa!J28=0)),"ukryj","odkryj")</f>
        <v>ukryj</v>
      </c>
    </row>
    <row r="833" spans="1:4" x14ac:dyDescent="0.3">
      <c r="A833" t="s">
        <v>5067</v>
      </c>
      <c r="B833" t="s">
        <v>3471</v>
      </c>
      <c r="C833" s="22" t="s">
        <v>5097</v>
      </c>
      <c r="D833" t="str">
        <f>IF(AND(_aktywa!F29=0,AND(_aktywa!H29=0,_aktywa!J29=0)),"ukryj","odkryj")</f>
        <v>ukryj</v>
      </c>
    </row>
    <row r="834" spans="1:4" x14ac:dyDescent="0.3">
      <c r="A834" t="s">
        <v>5067</v>
      </c>
      <c r="B834" t="s">
        <v>3471</v>
      </c>
      <c r="C834" s="22" t="s">
        <v>5098</v>
      </c>
      <c r="D834" t="str">
        <f>IF(AND(_aktywa!F30=0,AND(_aktywa!H30=0,_aktywa!J30=0)),"ukryj","odkryj")</f>
        <v>ukryj</v>
      </c>
    </row>
    <row r="835" spans="1:4" x14ac:dyDescent="0.3">
      <c r="A835" t="s">
        <v>5067</v>
      </c>
      <c r="B835" t="s">
        <v>3471</v>
      </c>
      <c r="C835" s="22" t="s">
        <v>5099</v>
      </c>
      <c r="D835" t="str">
        <f>IF(AND(_aktywa!F31=0,AND(_aktywa!H31=0,_aktywa!J31=0)),"ukryj","odkryj")</f>
        <v>ukryj</v>
      </c>
    </row>
    <row r="836" spans="1:4" x14ac:dyDescent="0.3">
      <c r="A836" t="s">
        <v>5067</v>
      </c>
      <c r="B836" t="s">
        <v>3471</v>
      </c>
      <c r="C836" s="22" t="s">
        <v>5100</v>
      </c>
      <c r="D836" t="str">
        <f>IF(AND(_aktywa!F32=0,AND(_aktywa!H32=0,_aktywa!J32=0)),"ukryj","odkryj")</f>
        <v>ukryj</v>
      </c>
    </row>
    <row r="837" spans="1:4" x14ac:dyDescent="0.3">
      <c r="A837" t="s">
        <v>5067</v>
      </c>
      <c r="B837" t="s">
        <v>3471</v>
      </c>
      <c r="C837" s="22" t="s">
        <v>5101</v>
      </c>
      <c r="D837" t="str">
        <f>IF(AND(_aktywa!F33=0,AND(_aktywa!H33=0,_aktywa!J33=0)),"ukryj","odkryj")</f>
        <v>ukryj</v>
      </c>
    </row>
    <row r="838" spans="1:4" x14ac:dyDescent="0.3">
      <c r="A838" t="s">
        <v>5067</v>
      </c>
      <c r="B838" t="s">
        <v>3471</v>
      </c>
      <c r="C838" s="22" t="s">
        <v>5102</v>
      </c>
      <c r="D838" t="str">
        <f>IF(AND(_aktywa!F34=0,AND(_aktywa!H34=0,_aktywa!J34=0)),"ukryj","odkryj")</f>
        <v>ukryj</v>
      </c>
    </row>
    <row r="839" spans="1:4" x14ac:dyDescent="0.3">
      <c r="A839" t="s">
        <v>5067</v>
      </c>
      <c r="B839" t="s">
        <v>3471</v>
      </c>
      <c r="C839" s="22" t="s">
        <v>5103</v>
      </c>
      <c r="D839" t="str">
        <f>IF(AND(_aktywa!F35=0,AND(_aktywa!H35=0,_aktywa!J35=0)),"ukryj","odkryj")</f>
        <v>ukryj</v>
      </c>
    </row>
    <row r="840" spans="1:4" x14ac:dyDescent="0.3">
      <c r="A840" t="s">
        <v>5067</v>
      </c>
      <c r="B840" t="s">
        <v>3471</v>
      </c>
      <c r="C840" s="22" t="s">
        <v>5104</v>
      </c>
      <c r="D840" t="str">
        <f>IF(AND(_aktywa!F36=0,AND(_aktywa!H36=0,_aktywa!J36=0)),"ukryj","odkryj")</f>
        <v>ukryj</v>
      </c>
    </row>
    <row r="841" spans="1:4" x14ac:dyDescent="0.3">
      <c r="A841" t="s">
        <v>5067</v>
      </c>
      <c r="B841" t="s">
        <v>3471</v>
      </c>
      <c r="C841" s="22" t="s">
        <v>5105</v>
      </c>
      <c r="D841" t="str">
        <f>IF(AND(_aktywa!F37=0,AND(_aktywa!H37=0,_aktywa!J37=0)),"ukryj","odkryj")</f>
        <v>ukryj</v>
      </c>
    </row>
    <row r="842" spans="1:4" x14ac:dyDescent="0.3">
      <c r="A842" t="s">
        <v>5067</v>
      </c>
      <c r="B842" t="s">
        <v>3471</v>
      </c>
      <c r="C842" s="22" t="s">
        <v>5106</v>
      </c>
      <c r="D842" t="str">
        <f>IF(AND(_aktywa!F38=0,AND(_aktywa!H38=0,_aktywa!J38=0)),"ukryj","odkryj")</f>
        <v>ukryj</v>
      </c>
    </row>
    <row r="843" spans="1:4" x14ac:dyDescent="0.3">
      <c r="A843" t="s">
        <v>5067</v>
      </c>
      <c r="B843" t="s">
        <v>3471</v>
      </c>
      <c r="C843" s="22" t="s">
        <v>5107</v>
      </c>
      <c r="D843" t="str">
        <f>IF(AND(_aktywa!F39=0,AND(_aktywa!H39=0,_aktywa!J39=0)),"ukryj","odkryj")</f>
        <v>ukryj</v>
      </c>
    </row>
    <row r="844" spans="1:4" x14ac:dyDescent="0.3">
      <c r="A844" t="s">
        <v>5067</v>
      </c>
      <c r="B844" t="s">
        <v>3471</v>
      </c>
      <c r="C844" s="22" t="s">
        <v>5108</v>
      </c>
      <c r="D844" t="str">
        <f>IF(AND(_aktywa!F40=0,AND(_aktywa!H40=0,_aktywa!J40=0)),"ukryj","odkryj")</f>
        <v>ukryj</v>
      </c>
    </row>
    <row r="845" spans="1:4" x14ac:dyDescent="0.3">
      <c r="A845" t="s">
        <v>5067</v>
      </c>
      <c r="B845" t="s">
        <v>3471</v>
      </c>
      <c r="C845" s="22" t="s">
        <v>5109</v>
      </c>
      <c r="D845" t="str">
        <f>IF(AND(_aktywa!F41=0,AND(_aktywa!H41=0,_aktywa!J41=0)),"ukryj","odkryj")</f>
        <v>ukryj</v>
      </c>
    </row>
    <row r="846" spans="1:4" x14ac:dyDescent="0.3">
      <c r="A846" t="s">
        <v>5067</v>
      </c>
      <c r="B846" t="s">
        <v>3471</v>
      </c>
      <c r="C846" s="22" t="s">
        <v>5110</v>
      </c>
      <c r="D846" t="str">
        <f>IF(AND(_aktywa!F42=0,AND(_aktywa!H42=0,_aktywa!J42=0)),"ukryj","odkryj")</f>
        <v>ukryj</v>
      </c>
    </row>
    <row r="847" spans="1:4" x14ac:dyDescent="0.3">
      <c r="A847" t="s">
        <v>5067</v>
      </c>
      <c r="B847" t="s">
        <v>3471</v>
      </c>
      <c r="C847" s="22" t="s">
        <v>5111</v>
      </c>
      <c r="D847" t="str">
        <f>IF(AND(_aktywa!F43=0,AND(_aktywa!H43=0,_aktywa!J43=0)),"ukryj","odkryj")</f>
        <v>ukryj</v>
      </c>
    </row>
    <row r="848" spans="1:4" x14ac:dyDescent="0.3">
      <c r="A848" t="s">
        <v>5067</v>
      </c>
      <c r="B848" t="s">
        <v>3471</v>
      </c>
      <c r="C848" s="22" t="s">
        <v>5112</v>
      </c>
      <c r="D848" t="str">
        <f>IF(AND(_aktywa!F44=0,AND(_aktywa!H44=0,_aktywa!J44=0)),"ukryj","odkryj")</f>
        <v>ukryj</v>
      </c>
    </row>
    <row r="849" spans="1:4" x14ac:dyDescent="0.3">
      <c r="A849" t="s">
        <v>5067</v>
      </c>
      <c r="B849" t="s">
        <v>3471</v>
      </c>
      <c r="C849" s="22" t="s">
        <v>5113</v>
      </c>
      <c r="D849" t="str">
        <f>IF(AND(_aktywa!F45=0,AND(_aktywa!H45=0,_aktywa!J45=0)),"ukryj","odkryj")</f>
        <v>ukryj</v>
      </c>
    </row>
    <row r="850" spans="1:4" x14ac:dyDescent="0.3">
      <c r="A850" t="s">
        <v>5067</v>
      </c>
      <c r="B850" t="s">
        <v>3471</v>
      </c>
      <c r="C850" s="22" t="s">
        <v>5114</v>
      </c>
      <c r="D850" t="str">
        <f>IF(AND(_aktywa!F46=0,AND(_aktywa!H46=0,_aktywa!J46=0)),"ukryj","odkryj")</f>
        <v>ukryj</v>
      </c>
    </row>
    <row r="851" spans="1:4" x14ac:dyDescent="0.3">
      <c r="A851" t="s">
        <v>5067</v>
      </c>
      <c r="B851" t="s">
        <v>3471</v>
      </c>
      <c r="C851" s="22" t="s">
        <v>5115</v>
      </c>
      <c r="D851" t="str">
        <f>IF(AND(_aktywa!F47=0,AND(_aktywa!H47=0,_aktywa!J47=0)),"ukryj","odkryj")</f>
        <v>ukryj</v>
      </c>
    </row>
    <row r="852" spans="1:4" x14ac:dyDescent="0.3">
      <c r="A852" t="s">
        <v>5067</v>
      </c>
      <c r="B852" t="s">
        <v>3471</v>
      </c>
      <c r="C852" s="22" t="s">
        <v>5116</v>
      </c>
      <c r="D852" t="str">
        <f>IF(AND(_aktywa!F48=0,AND(_aktywa!H48=0,_aktywa!J48=0)),"ukryj","odkryj")</f>
        <v>ukryj</v>
      </c>
    </row>
    <row r="853" spans="1:4" x14ac:dyDescent="0.3">
      <c r="A853" t="s">
        <v>5067</v>
      </c>
      <c r="B853" t="s">
        <v>3471</v>
      </c>
      <c r="C853" s="22" t="s">
        <v>5117</v>
      </c>
      <c r="D853" t="str">
        <f>IF(AND(_aktywa!F49=0,AND(_aktywa!H49=0,_aktywa!J49=0)),"ukryj","odkryj")</f>
        <v>ukryj</v>
      </c>
    </row>
    <row r="854" spans="1:4" x14ac:dyDescent="0.3">
      <c r="A854" t="s">
        <v>5067</v>
      </c>
      <c r="B854" t="s">
        <v>3471</v>
      </c>
      <c r="C854" s="22" t="s">
        <v>5118</v>
      </c>
      <c r="D854" t="str">
        <f>IF(AND(_aktywa!F50=0,AND(_aktywa!H50=0,_aktywa!J50=0)),"ukryj","odkryj")</f>
        <v>ukryj</v>
      </c>
    </row>
    <row r="855" spans="1:4" x14ac:dyDescent="0.3">
      <c r="A855" t="s">
        <v>5067</v>
      </c>
      <c r="B855" t="s">
        <v>3471</v>
      </c>
      <c r="C855" s="22" t="s">
        <v>5119</v>
      </c>
      <c r="D855" t="str">
        <f>IF(AND(_aktywa!F51=0,AND(_aktywa!H51=0,_aktywa!J51=0)),"ukryj","odkryj")</f>
        <v>ukryj</v>
      </c>
    </row>
    <row r="856" spans="1:4" x14ac:dyDescent="0.3">
      <c r="A856" t="s">
        <v>5067</v>
      </c>
      <c r="B856" t="s">
        <v>3471</v>
      </c>
      <c r="C856" s="22" t="s">
        <v>5120</v>
      </c>
      <c r="D856" t="str">
        <f>IF(AND(_aktywa!F52=0,AND(_aktywa!H52=0,_aktywa!J52=0)),"ukryj","odkryj")</f>
        <v>ukryj</v>
      </c>
    </row>
    <row r="857" spans="1:4" x14ac:dyDescent="0.3">
      <c r="A857" t="s">
        <v>5067</v>
      </c>
      <c r="B857" t="s">
        <v>3471</v>
      </c>
      <c r="C857" s="22" t="s">
        <v>5121</v>
      </c>
      <c r="D857" t="str">
        <f>IF(AND(_aktywa!F53=0,AND(_aktywa!H53=0,_aktywa!J53=0)),"ukryj","odkryj")</f>
        <v>ukryj</v>
      </c>
    </row>
    <row r="858" spans="1:4" x14ac:dyDescent="0.3">
      <c r="A858" t="s">
        <v>5067</v>
      </c>
      <c r="B858" t="s">
        <v>3471</v>
      </c>
      <c r="C858" s="22" t="s">
        <v>5122</v>
      </c>
      <c r="D858" t="str">
        <f>IF(AND(_aktywa!F54=0,AND(_aktywa!H54=0,_aktywa!J54=0)),"ukryj","odkryj")</f>
        <v>ukryj</v>
      </c>
    </row>
    <row r="859" spans="1:4" x14ac:dyDescent="0.3">
      <c r="A859" t="s">
        <v>5067</v>
      </c>
      <c r="B859" t="s">
        <v>3471</v>
      </c>
      <c r="C859" s="22" t="s">
        <v>5126</v>
      </c>
      <c r="D859" t="str">
        <f>IF(AND(_aktywa!F55=0,AND(_aktywa!H55=0,_aktywa!J55=0)),"ukryj","odkryj")</f>
        <v>ukryj</v>
      </c>
    </row>
    <row r="860" spans="1:4" x14ac:dyDescent="0.3">
      <c r="A860" t="s">
        <v>5067</v>
      </c>
      <c r="B860" t="s">
        <v>3471</v>
      </c>
      <c r="C860" s="22" t="s">
        <v>5127</v>
      </c>
      <c r="D860" t="str">
        <f>IF(AND(_aktywa!F56=0,AND(_aktywa!H56=0,_aktywa!J56=0)),"ukryj","odkryj")</f>
        <v>ukryj</v>
      </c>
    </row>
    <row r="861" spans="1:4" x14ac:dyDescent="0.3">
      <c r="A861" t="s">
        <v>5067</v>
      </c>
      <c r="B861" t="s">
        <v>3471</v>
      </c>
      <c r="C861" s="22" t="s">
        <v>5128</v>
      </c>
      <c r="D861" t="str">
        <f>IF(AND(_aktywa!F57=0,AND(_aktywa!H57=0,_aktywa!J57=0)),"ukryj","odkryj")</f>
        <v>ukryj</v>
      </c>
    </row>
    <row r="862" spans="1:4" x14ac:dyDescent="0.3">
      <c r="A862" t="s">
        <v>5067</v>
      </c>
      <c r="B862" t="s">
        <v>3471</v>
      </c>
      <c r="C862" s="22" t="s">
        <v>5129</v>
      </c>
      <c r="D862" t="str">
        <f>IF(AND(_aktywa!F58=0,AND(_aktywa!H58=0,_aktywa!J58=0)),"ukryj","odkryj")</f>
        <v>ukryj</v>
      </c>
    </row>
    <row r="863" spans="1:4" x14ac:dyDescent="0.3">
      <c r="A863" t="s">
        <v>5067</v>
      </c>
      <c r="B863" t="s">
        <v>3471</v>
      </c>
      <c r="C863" s="22" t="s">
        <v>5130</v>
      </c>
      <c r="D863" t="str">
        <f>IF(AND(_aktywa!F59=0,AND(_aktywa!H59=0,_aktywa!J59=0)),"ukryj","odkryj")</f>
        <v>ukryj</v>
      </c>
    </row>
    <row r="864" spans="1:4" x14ac:dyDescent="0.3">
      <c r="A864" t="s">
        <v>5067</v>
      </c>
      <c r="B864" t="s">
        <v>3471</v>
      </c>
      <c r="C864" s="22" t="s">
        <v>5131</v>
      </c>
      <c r="D864" t="str">
        <f>IF(AND(_aktywa!F60=0,AND(_aktywa!H60=0,_aktywa!J60=0)),"ukryj","odkryj")</f>
        <v>ukryj</v>
      </c>
    </row>
    <row r="865" spans="1:4" x14ac:dyDescent="0.3">
      <c r="A865" t="s">
        <v>5067</v>
      </c>
      <c r="B865" t="s">
        <v>3471</v>
      </c>
      <c r="C865" s="22" t="s">
        <v>5132</v>
      </c>
      <c r="D865" t="str">
        <f>IF(AND(_aktywa!F61=0,AND(_aktywa!H61=0,_aktywa!J61=0)),"ukryj","odkryj")</f>
        <v>ukryj</v>
      </c>
    </row>
    <row r="866" spans="1:4" x14ac:dyDescent="0.3">
      <c r="A866" t="s">
        <v>5067</v>
      </c>
      <c r="B866" t="s">
        <v>3471</v>
      </c>
      <c r="C866" s="22" t="s">
        <v>5133</v>
      </c>
      <c r="D866" t="str">
        <f>IF(AND(_aktywa!F62=0,AND(_aktywa!H62=0,_aktywa!J62=0)),"ukryj","odkryj")</f>
        <v>ukryj</v>
      </c>
    </row>
    <row r="867" spans="1:4" x14ac:dyDescent="0.3">
      <c r="A867" t="s">
        <v>5067</v>
      </c>
      <c r="B867" t="s">
        <v>3471</v>
      </c>
      <c r="C867" s="22" t="s">
        <v>5134</v>
      </c>
      <c r="D867" t="str">
        <f>IF(AND(_aktywa!F63=0,AND(_aktywa!H63=0,_aktywa!J63=0)),"ukryj","odkryj")</f>
        <v>ukryj</v>
      </c>
    </row>
    <row r="868" spans="1:4" x14ac:dyDescent="0.3">
      <c r="A868" t="s">
        <v>5067</v>
      </c>
      <c r="B868" t="s">
        <v>3471</v>
      </c>
      <c r="C868" s="22" t="s">
        <v>5135</v>
      </c>
      <c r="D868" t="str">
        <f>IF(AND(_aktywa!F64=0,AND(_aktywa!H64=0,_aktywa!J64=0)),"ukryj","odkryj")</f>
        <v>ukryj</v>
      </c>
    </row>
    <row r="869" spans="1:4" x14ac:dyDescent="0.3">
      <c r="A869" t="s">
        <v>5067</v>
      </c>
      <c r="B869" t="s">
        <v>3471</v>
      </c>
      <c r="C869" s="22" t="s">
        <v>5136</v>
      </c>
      <c r="D869" t="str">
        <f>IF(AND(_aktywa!F65=0,AND(_aktywa!H65=0,_aktywa!J65=0)),"ukryj","odkryj")</f>
        <v>ukryj</v>
      </c>
    </row>
    <row r="870" spans="1:4" x14ac:dyDescent="0.3">
      <c r="A870" t="s">
        <v>5067</v>
      </c>
      <c r="B870" t="s">
        <v>3471</v>
      </c>
      <c r="C870" s="22" t="s">
        <v>5137</v>
      </c>
      <c r="D870" t="str">
        <f>IF(AND(_aktywa!F66=0,AND(_aktywa!H66=0,_aktywa!J66=0)),"ukryj","odkryj")</f>
        <v>ukryj</v>
      </c>
    </row>
    <row r="871" spans="1:4" x14ac:dyDescent="0.3">
      <c r="A871" t="s">
        <v>5067</v>
      </c>
      <c r="B871" t="s">
        <v>3471</v>
      </c>
      <c r="C871" s="22" t="s">
        <v>5138</v>
      </c>
      <c r="D871" t="str">
        <f>IF(AND(_aktywa!F67=0,AND(_aktywa!H67=0,_aktywa!J67=0)),"ukryj","odkryj")</f>
        <v>ukryj</v>
      </c>
    </row>
    <row r="872" spans="1:4" x14ac:dyDescent="0.3">
      <c r="A872" t="s">
        <v>5067</v>
      </c>
      <c r="B872" t="s">
        <v>3471</v>
      </c>
      <c r="C872" s="22" t="s">
        <v>5139</v>
      </c>
      <c r="D872" t="str">
        <f>IF(AND(_aktywa!F68=0,AND(_aktywa!H68=0,_aktywa!J68=0)),"ukryj","odkryj")</f>
        <v>ukryj</v>
      </c>
    </row>
    <row r="873" spans="1:4" x14ac:dyDescent="0.3">
      <c r="A873" t="s">
        <v>5067</v>
      </c>
      <c r="B873" t="s">
        <v>3471</v>
      </c>
      <c r="C873" s="22" t="s">
        <v>5140</v>
      </c>
      <c r="D873" t="str">
        <f>IF(AND(_aktywa!F69=0,AND(_aktywa!H69=0,_aktywa!J69=0)),"ukryj","odkryj")</f>
        <v>ukryj</v>
      </c>
    </row>
    <row r="874" spans="1:4" x14ac:dyDescent="0.3">
      <c r="A874" t="s">
        <v>5067</v>
      </c>
      <c r="B874" t="s">
        <v>3471</v>
      </c>
      <c r="C874" s="22" t="s">
        <v>5141</v>
      </c>
      <c r="D874" t="str">
        <f>IF(AND(_aktywa!F70=0,AND(_aktywa!H70=0,_aktywa!J70=0)),"ukryj","odkryj")</f>
        <v>ukryj</v>
      </c>
    </row>
    <row r="875" spans="1:4" x14ac:dyDescent="0.3">
      <c r="A875" t="s">
        <v>5067</v>
      </c>
      <c r="B875" t="s">
        <v>3471</v>
      </c>
      <c r="C875" s="22" t="s">
        <v>5142</v>
      </c>
      <c r="D875" t="str">
        <f>IF(AND(_aktywa!F71=0,AND(_aktywa!H71=0,_aktywa!J71=0)),"ukryj","odkryj")</f>
        <v>ukryj</v>
      </c>
    </row>
    <row r="876" spans="1:4" x14ac:dyDescent="0.3">
      <c r="A876" t="s">
        <v>5067</v>
      </c>
      <c r="B876" t="s">
        <v>3471</v>
      </c>
      <c r="C876" s="22" t="s">
        <v>5143</v>
      </c>
      <c r="D876" t="str">
        <f>IF(AND(_aktywa!F72=0,AND(_aktywa!H72=0,_aktywa!J72=0)),"ukryj","odkryj")</f>
        <v>ukryj</v>
      </c>
    </row>
    <row r="877" spans="1:4" x14ac:dyDescent="0.3">
      <c r="A877" t="s">
        <v>5067</v>
      </c>
      <c r="B877" t="s">
        <v>3471</v>
      </c>
      <c r="C877" s="22" t="s">
        <v>5144</v>
      </c>
      <c r="D877" t="str">
        <f>IF(AND(_aktywa!F73=0,AND(_aktywa!H73=0,_aktywa!J73=0)),"ukryj","odkryj")</f>
        <v>ukryj</v>
      </c>
    </row>
    <row r="878" spans="1:4" x14ac:dyDescent="0.3">
      <c r="A878" t="s">
        <v>5067</v>
      </c>
      <c r="B878" t="s">
        <v>3471</v>
      </c>
      <c r="C878" s="22" t="s">
        <v>5145</v>
      </c>
      <c r="D878" t="str">
        <f>IF(AND(_aktywa!F74=0,AND(_aktywa!H74=0,_aktywa!J74=0)),"ukryj","odkryj")</f>
        <v>ukryj</v>
      </c>
    </row>
    <row r="879" spans="1:4" x14ac:dyDescent="0.3">
      <c r="A879" t="s">
        <v>5067</v>
      </c>
      <c r="B879" t="s">
        <v>3471</v>
      </c>
      <c r="C879" s="22" t="s">
        <v>5146</v>
      </c>
      <c r="D879" t="str">
        <f>IF(AND(_aktywa!F75=0,AND(_aktywa!H75=0,_aktywa!J75=0)),"ukryj","odkryj")</f>
        <v>ukryj</v>
      </c>
    </row>
    <row r="880" spans="1:4" x14ac:dyDescent="0.3">
      <c r="A880" t="s">
        <v>5067</v>
      </c>
      <c r="B880" t="s">
        <v>3471</v>
      </c>
      <c r="C880" s="22" t="s">
        <v>5147</v>
      </c>
      <c r="D880" t="str">
        <f>IF(AND(_aktywa!F76=0,AND(_aktywa!H76=0,_aktywa!J76=0)),"ukryj","odkryj")</f>
        <v>ukryj</v>
      </c>
    </row>
    <row r="881" spans="1:4" x14ac:dyDescent="0.3">
      <c r="A881" t="s">
        <v>5067</v>
      </c>
      <c r="B881" t="s">
        <v>3471</v>
      </c>
      <c r="C881" s="22" t="s">
        <v>5148</v>
      </c>
      <c r="D881" t="str">
        <f>IF(AND(_aktywa!F77=0,AND(_aktywa!H77=0,_aktywa!J77=0)),"ukryj","odkryj")</f>
        <v>ukryj</v>
      </c>
    </row>
    <row r="882" spans="1:4" x14ac:dyDescent="0.3">
      <c r="A882" t="s">
        <v>5067</v>
      </c>
      <c r="B882" t="s">
        <v>3471</v>
      </c>
      <c r="C882" s="22" t="s">
        <v>5149</v>
      </c>
      <c r="D882" t="str">
        <f>IF(AND(_aktywa!F78=0,AND(_aktywa!H78=0,_aktywa!J78=0)),"ukryj","odkryj")</f>
        <v>ukryj</v>
      </c>
    </row>
    <row r="883" spans="1:4" x14ac:dyDescent="0.3">
      <c r="A883" t="s">
        <v>5067</v>
      </c>
      <c r="B883" t="s">
        <v>3471</v>
      </c>
      <c r="C883" s="22" t="s">
        <v>5150</v>
      </c>
      <c r="D883" t="str">
        <f>IF(AND(_aktywa!F79=0,AND(_aktywa!H79=0,_aktywa!J79=0)),"ukryj","odkryj")</f>
        <v>ukryj</v>
      </c>
    </row>
    <row r="884" spans="1:4" x14ac:dyDescent="0.3">
      <c r="A884" t="s">
        <v>5067</v>
      </c>
      <c r="B884" t="s">
        <v>3471</v>
      </c>
      <c r="C884" s="22" t="s">
        <v>5151</v>
      </c>
      <c r="D884" t="str">
        <f>IF(AND(_aktywa!F80=0,AND(_aktywa!H80=0,_aktywa!J80=0)),"ukryj","odkryj")</f>
        <v>ukryj</v>
      </c>
    </row>
    <row r="885" spans="1:4" x14ac:dyDescent="0.3">
      <c r="A885" t="s">
        <v>5067</v>
      </c>
      <c r="B885" t="s">
        <v>3471</v>
      </c>
      <c r="C885" s="22" t="s">
        <v>5152</v>
      </c>
      <c r="D885" t="str">
        <f>IF(AND(_aktywa!F81=0,AND(_aktywa!H81=0,_aktywa!J81=0)),"ukryj","odkryj")</f>
        <v>ukryj</v>
      </c>
    </row>
    <row r="886" spans="1:4" x14ac:dyDescent="0.3">
      <c r="A886" t="s">
        <v>5067</v>
      </c>
      <c r="B886" t="s">
        <v>3471</v>
      </c>
      <c r="C886" s="22" t="s">
        <v>5153</v>
      </c>
      <c r="D886" t="str">
        <f>IF(AND(_aktywa!F82=0,AND(_aktywa!H82=0,_aktywa!J82=0)),"ukryj","odkryj")</f>
        <v>ukryj</v>
      </c>
    </row>
    <row r="887" spans="1:4" x14ac:dyDescent="0.3">
      <c r="A887" t="s">
        <v>5067</v>
      </c>
      <c r="B887" t="s">
        <v>3471</v>
      </c>
      <c r="C887" s="22" t="s">
        <v>5154</v>
      </c>
      <c r="D887" t="str">
        <f>IF(AND(_aktywa!F83=0,AND(_aktywa!H83=0,_aktywa!J83=0)),"ukryj","odkryj")</f>
        <v>ukryj</v>
      </c>
    </row>
    <row r="888" spans="1:4" x14ac:dyDescent="0.3">
      <c r="A888" t="s">
        <v>5067</v>
      </c>
      <c r="B888" t="s">
        <v>3471</v>
      </c>
      <c r="C888" s="22" t="s">
        <v>5155</v>
      </c>
      <c r="D888" t="str">
        <f>IF(AND(_aktywa!F84=0,AND(_aktywa!H84=0,_aktywa!J84=0)),"ukryj","odkryj")</f>
        <v>ukryj</v>
      </c>
    </row>
    <row r="889" spans="1:4" x14ac:dyDescent="0.3">
      <c r="A889" t="s">
        <v>5067</v>
      </c>
      <c r="B889" t="s">
        <v>3471</v>
      </c>
      <c r="C889" s="22" t="s">
        <v>5156</v>
      </c>
      <c r="D889" t="str">
        <f>IF(AND(_aktywa!F85=0,AND(_aktywa!H85=0,_aktywa!J85=0)),"ukryj","odkryj")</f>
        <v>ukryj</v>
      </c>
    </row>
    <row r="890" spans="1:4" x14ac:dyDescent="0.3">
      <c r="A890" t="s">
        <v>5067</v>
      </c>
      <c r="B890" t="s">
        <v>3471</v>
      </c>
      <c r="C890" s="22" t="s">
        <v>5157</v>
      </c>
      <c r="D890" t="str">
        <f>IF(AND(_aktywa!F86=0,AND(_aktywa!H86=0,_aktywa!J86=0)),"ukryj","odkryj")</f>
        <v>ukryj</v>
      </c>
    </row>
    <row r="891" spans="1:4" x14ac:dyDescent="0.3">
      <c r="A891" t="s">
        <v>5067</v>
      </c>
      <c r="B891" t="s">
        <v>3471</v>
      </c>
      <c r="C891" s="22" t="s">
        <v>5158</v>
      </c>
      <c r="D891" t="str">
        <f>IF(AND(_aktywa!F87=0,AND(_aktywa!H87=0,_aktywa!J87=0)),"ukryj","odkryj")</f>
        <v>ukryj</v>
      </c>
    </row>
    <row r="892" spans="1:4" x14ac:dyDescent="0.3">
      <c r="A892" t="s">
        <v>5067</v>
      </c>
      <c r="B892" t="s">
        <v>3471</v>
      </c>
      <c r="C892" s="22" t="s">
        <v>5159</v>
      </c>
      <c r="D892" t="str">
        <f>IF(AND(_aktywa!F88=0,AND(_aktywa!H88=0,_aktywa!J88=0)),"ukryj","odkryj")</f>
        <v>ukryj</v>
      </c>
    </row>
    <row r="893" spans="1:4" x14ac:dyDescent="0.3">
      <c r="A893" t="s">
        <v>5067</v>
      </c>
      <c r="B893" t="s">
        <v>3471</v>
      </c>
      <c r="C893" s="22" t="s">
        <v>5160</v>
      </c>
      <c r="D893" t="str">
        <f>IF(AND(_aktywa!F89=0,AND(_aktywa!H89=0,_aktywa!J89=0)),"ukryj","odkryj")</f>
        <v>ukryj</v>
      </c>
    </row>
    <row r="894" spans="1:4" x14ac:dyDescent="0.3">
      <c r="A894" t="s">
        <v>5067</v>
      </c>
      <c r="B894" t="s">
        <v>3471</v>
      </c>
      <c r="C894" s="22" t="s">
        <v>5161</v>
      </c>
      <c r="D894" t="str">
        <f>IF(AND(_aktywa!F90=0,AND(_aktywa!H90=0,_aktywa!J90=0)),"ukryj","odkryj")</f>
        <v>ukryj</v>
      </c>
    </row>
    <row r="895" spans="1:4" x14ac:dyDescent="0.3">
      <c r="A895" t="s">
        <v>5067</v>
      </c>
      <c r="B895" t="s">
        <v>3471</v>
      </c>
      <c r="C895" s="22" t="s">
        <v>5162</v>
      </c>
      <c r="D895" t="str">
        <f>IF(AND(_aktywa!F91=0,AND(_aktywa!H91=0,_aktywa!J91=0)),"ukryj","odkryj")</f>
        <v>ukryj</v>
      </c>
    </row>
    <row r="896" spans="1:4" x14ac:dyDescent="0.3">
      <c r="A896" t="s">
        <v>5067</v>
      </c>
      <c r="B896" t="s">
        <v>3471</v>
      </c>
      <c r="C896" s="22" t="s">
        <v>5163</v>
      </c>
      <c r="D896" t="str">
        <f>IF(AND(_aktywa!F92=0,AND(_aktywa!H92=0,_aktywa!J92=0)),"ukryj","odkryj")</f>
        <v>ukryj</v>
      </c>
    </row>
    <row r="897" spans="1:4" x14ac:dyDescent="0.3">
      <c r="A897" t="s">
        <v>5067</v>
      </c>
      <c r="B897" t="s">
        <v>3471</v>
      </c>
      <c r="C897" s="22" t="s">
        <v>5164</v>
      </c>
      <c r="D897" t="str">
        <f>IF(AND(_aktywa!F93=0,AND(_aktywa!H93=0,_aktywa!J93=0)),"ukryj","odkryj")</f>
        <v>ukryj</v>
      </c>
    </row>
    <row r="898" spans="1:4" x14ac:dyDescent="0.3">
      <c r="A898" t="s">
        <v>5067</v>
      </c>
      <c r="B898" t="s">
        <v>3471</v>
      </c>
      <c r="C898" s="22" t="s">
        <v>5165</v>
      </c>
      <c r="D898" t="str">
        <f>IF(AND(_aktywa!F94=0,AND(_aktywa!H94=0,_aktywa!J94=0)),"ukryj","odkryj")</f>
        <v>ukryj</v>
      </c>
    </row>
    <row r="899" spans="1:4" x14ac:dyDescent="0.3">
      <c r="A899" t="s">
        <v>5067</v>
      </c>
      <c r="B899" t="s">
        <v>3471</v>
      </c>
      <c r="C899" s="22" t="s">
        <v>5166</v>
      </c>
      <c r="D899" t="s">
        <v>5070</v>
      </c>
    </row>
    <row r="900" spans="1:4" x14ac:dyDescent="0.3">
      <c r="A900" t="s">
        <v>5067</v>
      </c>
      <c r="B900" t="s">
        <v>3788</v>
      </c>
      <c r="C900" s="22" t="s">
        <v>5124</v>
      </c>
      <c r="D900" t="s">
        <v>5070</v>
      </c>
    </row>
    <row r="901" spans="1:4" x14ac:dyDescent="0.3">
      <c r="A901" t="s">
        <v>5067</v>
      </c>
      <c r="B901" t="s">
        <v>3788</v>
      </c>
      <c r="C901" s="22" t="s">
        <v>5079</v>
      </c>
      <c r="D901" t="s">
        <v>5070</v>
      </c>
    </row>
    <row r="902" spans="1:4" x14ac:dyDescent="0.3">
      <c r="A902" t="s">
        <v>5067</v>
      </c>
      <c r="B902" t="s">
        <v>3788</v>
      </c>
      <c r="C902" s="22" t="s">
        <v>5080</v>
      </c>
      <c r="D902" t="s">
        <v>5070</v>
      </c>
    </row>
    <row r="903" spans="1:4" x14ac:dyDescent="0.3">
      <c r="A903" t="s">
        <v>5067</v>
      </c>
      <c r="B903" t="s">
        <v>3788</v>
      </c>
      <c r="C903" s="22" t="s">
        <v>5081</v>
      </c>
      <c r="D903" t="s">
        <v>5070</v>
      </c>
    </row>
    <row r="904" spans="1:4" x14ac:dyDescent="0.3">
      <c r="A904" t="s">
        <v>5067</v>
      </c>
      <c r="B904" t="s">
        <v>3788</v>
      </c>
      <c r="C904" s="22" t="s">
        <v>5069</v>
      </c>
      <c r="D904" t="s">
        <v>5070</v>
      </c>
    </row>
    <row r="905" spans="1:4" x14ac:dyDescent="0.3">
      <c r="A905" t="s">
        <v>5067</v>
      </c>
      <c r="B905" t="s">
        <v>3788</v>
      </c>
      <c r="C905" s="22" t="s">
        <v>5071</v>
      </c>
      <c r="D905" t="s">
        <v>5070</v>
      </c>
    </row>
    <row r="906" spans="1:4" x14ac:dyDescent="0.3">
      <c r="A906" t="s">
        <v>5067</v>
      </c>
      <c r="B906" t="s">
        <v>3788</v>
      </c>
      <c r="C906" s="22" t="s">
        <v>5072</v>
      </c>
      <c r="D906" t="str">
        <f>IF(AND(_pasywa!F8=0,AND(_pasywa!H8=0,_pasywa!J8=0)),"ukryj","odkryj")</f>
        <v>ukryj</v>
      </c>
    </row>
    <row r="907" spans="1:4" x14ac:dyDescent="0.3">
      <c r="A907" t="s">
        <v>5067</v>
      </c>
      <c r="B907" t="s">
        <v>3788</v>
      </c>
      <c r="C907" s="22" t="s">
        <v>5073</v>
      </c>
      <c r="D907" t="str">
        <f>IF(AND(_pasywa!F9=0,AND(_pasywa!H9=0,_pasywa!J9=0)),"ukryj","odkryj")</f>
        <v>ukryj</v>
      </c>
    </row>
    <row r="908" spans="1:4" x14ac:dyDescent="0.3">
      <c r="A908" t="s">
        <v>5067</v>
      </c>
      <c r="B908" t="s">
        <v>3788</v>
      </c>
      <c r="C908" s="22" t="s">
        <v>5074</v>
      </c>
      <c r="D908" t="str">
        <f>IF(AND(_pasywa!F10=0,AND(_pasywa!H10=0,_pasywa!J10=0)),"ukryj","odkryj")</f>
        <v>ukryj</v>
      </c>
    </row>
    <row r="909" spans="1:4" x14ac:dyDescent="0.3">
      <c r="A909" t="s">
        <v>5067</v>
      </c>
      <c r="B909" t="s">
        <v>3788</v>
      </c>
      <c r="C909" s="22" t="s">
        <v>5075</v>
      </c>
      <c r="D909" t="str">
        <f>IF(AND(_pasywa!F11=0,AND(_pasywa!H11=0,_pasywa!J11=0)),"ukryj","odkryj")</f>
        <v>ukryj</v>
      </c>
    </row>
    <row r="910" spans="1:4" x14ac:dyDescent="0.3">
      <c r="A910" t="s">
        <v>5067</v>
      </c>
      <c r="B910" t="s">
        <v>3788</v>
      </c>
      <c r="C910" s="22" t="s">
        <v>5076</v>
      </c>
      <c r="D910" t="str">
        <f>IF(AND(_pasywa!F12=0,AND(_pasywa!H12=0,_pasywa!J12=0)),"ukryj","odkryj")</f>
        <v>ukryj</v>
      </c>
    </row>
    <row r="911" spans="1:4" x14ac:dyDescent="0.3">
      <c r="A911" t="s">
        <v>5067</v>
      </c>
      <c r="B911" t="s">
        <v>3788</v>
      </c>
      <c r="C911" s="22" t="s">
        <v>5077</v>
      </c>
      <c r="D911" t="str">
        <f>IF(AND(_pasywa!F13=0,AND(_pasywa!H13=0,_pasywa!J13=0)),"ukryj","odkryj")</f>
        <v>ukryj</v>
      </c>
    </row>
    <row r="912" spans="1:4" x14ac:dyDescent="0.3">
      <c r="A912" t="s">
        <v>5067</v>
      </c>
      <c r="B912" t="s">
        <v>3788</v>
      </c>
      <c r="C912" s="22" t="s">
        <v>5082</v>
      </c>
      <c r="D912" t="str">
        <f>IF(AND(_pasywa!F14=0,AND(_pasywa!H14=0,_pasywa!J14=0)),"ukryj","odkryj")</f>
        <v>ukryj</v>
      </c>
    </row>
    <row r="913" spans="1:4" x14ac:dyDescent="0.3">
      <c r="A913" t="s">
        <v>5067</v>
      </c>
      <c r="B913" t="s">
        <v>3788</v>
      </c>
      <c r="C913" s="22" t="s">
        <v>5083</v>
      </c>
      <c r="D913" t="str">
        <f>IF(AND(_pasywa!F15=0,AND(_pasywa!H15=0,_pasywa!J15=0)),"ukryj","odkryj")</f>
        <v>ukryj</v>
      </c>
    </row>
    <row r="914" spans="1:4" x14ac:dyDescent="0.3">
      <c r="A914" t="s">
        <v>5067</v>
      </c>
      <c r="B914" t="s">
        <v>3788</v>
      </c>
      <c r="C914" s="22" t="s">
        <v>5084</v>
      </c>
      <c r="D914" t="str">
        <f>IF(AND(_pasywa!F16=0,AND(_pasywa!H16=0,_pasywa!J16=0)),"ukryj","odkryj")</f>
        <v>ukryj</v>
      </c>
    </row>
    <row r="915" spans="1:4" x14ac:dyDescent="0.3">
      <c r="A915" t="s">
        <v>5067</v>
      </c>
      <c r="B915" t="s">
        <v>3788</v>
      </c>
      <c r="C915" s="22" t="s">
        <v>5085</v>
      </c>
      <c r="D915" t="str">
        <f>IF(AND(_pasywa!F17=0,AND(_pasywa!H17=0,_pasywa!J17=0)),"ukryj","odkryj")</f>
        <v>ukryj</v>
      </c>
    </row>
    <row r="916" spans="1:4" x14ac:dyDescent="0.3">
      <c r="A916" t="s">
        <v>5067</v>
      </c>
      <c r="B916" t="s">
        <v>3788</v>
      </c>
      <c r="C916" s="22" t="s">
        <v>5086</v>
      </c>
      <c r="D916" t="str">
        <f>IF(AND(_pasywa!F18=0,AND(_pasywa!H18=0,_pasywa!J18=0)),"ukryj","odkryj")</f>
        <v>ukryj</v>
      </c>
    </row>
    <row r="917" spans="1:4" x14ac:dyDescent="0.3">
      <c r="A917" t="s">
        <v>5067</v>
      </c>
      <c r="B917" t="s">
        <v>3788</v>
      </c>
      <c r="C917" s="22" t="s">
        <v>5087</v>
      </c>
      <c r="D917" t="str">
        <f>IF(AND(_pasywa!F19=0,AND(_pasywa!H19=0,_pasywa!J19=0)),"ukryj","odkryj")</f>
        <v>ukryj</v>
      </c>
    </row>
    <row r="918" spans="1:4" x14ac:dyDescent="0.3">
      <c r="A918" t="s">
        <v>5067</v>
      </c>
      <c r="B918" t="s">
        <v>3788</v>
      </c>
      <c r="C918" s="22" t="s">
        <v>5088</v>
      </c>
      <c r="D918" t="str">
        <f>IF(AND(_pasywa!F20=0,AND(_pasywa!H20=0,_pasywa!J20=0)),"ukryj","odkryj")</f>
        <v>ukryj</v>
      </c>
    </row>
    <row r="919" spans="1:4" x14ac:dyDescent="0.3">
      <c r="A919" t="s">
        <v>5067</v>
      </c>
      <c r="B919" t="s">
        <v>3788</v>
      </c>
      <c r="C919" s="22" t="s">
        <v>5089</v>
      </c>
      <c r="D919" t="str">
        <f>IF(AND(_pasywa!F21=0,AND(_pasywa!H21=0,_pasywa!J21=0)),"ukryj","odkryj")</f>
        <v>ukryj</v>
      </c>
    </row>
    <row r="920" spans="1:4" x14ac:dyDescent="0.3">
      <c r="A920" t="s">
        <v>5067</v>
      </c>
      <c r="B920" t="s">
        <v>3788</v>
      </c>
      <c r="C920" s="22" t="s">
        <v>5090</v>
      </c>
      <c r="D920" t="str">
        <f>IF(AND(_pasywa!F22=0,AND(_pasywa!H22=0,_pasywa!J22=0)),"ukryj","odkryj")</f>
        <v>ukryj</v>
      </c>
    </row>
    <row r="921" spans="1:4" x14ac:dyDescent="0.3">
      <c r="A921" t="s">
        <v>5067</v>
      </c>
      <c r="B921" t="s">
        <v>3788</v>
      </c>
      <c r="C921" s="22" t="s">
        <v>5091</v>
      </c>
      <c r="D921" t="str">
        <f>IF(AND(_pasywa!F23=0,AND(_pasywa!H23=0,_pasywa!J23=0)),"ukryj","odkryj")</f>
        <v>ukryj</v>
      </c>
    </row>
    <row r="922" spans="1:4" x14ac:dyDescent="0.3">
      <c r="A922" t="s">
        <v>5067</v>
      </c>
      <c r="B922" t="s">
        <v>3788</v>
      </c>
      <c r="C922" s="22" t="s">
        <v>5092</v>
      </c>
      <c r="D922" t="str">
        <f>IF(AND(_pasywa!F24=0,AND(_pasywa!H24=0,_pasywa!J24=0)),"ukryj","odkryj")</f>
        <v>ukryj</v>
      </c>
    </row>
    <row r="923" spans="1:4" x14ac:dyDescent="0.3">
      <c r="A923" t="s">
        <v>5067</v>
      </c>
      <c r="B923" t="s">
        <v>3788</v>
      </c>
      <c r="C923" s="22" t="s">
        <v>5093</v>
      </c>
      <c r="D923" t="str">
        <f>IF(AND(_pasywa!F25=0,AND(_pasywa!H25=0,_pasywa!J25=0)),"ukryj","odkryj")</f>
        <v>ukryj</v>
      </c>
    </row>
    <row r="924" spans="1:4" x14ac:dyDescent="0.3">
      <c r="A924" t="s">
        <v>5067</v>
      </c>
      <c r="B924" t="s">
        <v>3788</v>
      </c>
      <c r="C924" s="22" t="s">
        <v>5094</v>
      </c>
      <c r="D924" t="str">
        <f>IF(AND(_pasywa!F26=0,AND(_pasywa!H26=0,_pasywa!J26=0)),"ukryj","odkryj")</f>
        <v>ukryj</v>
      </c>
    </row>
    <row r="925" spans="1:4" x14ac:dyDescent="0.3">
      <c r="A925" t="s">
        <v>5067</v>
      </c>
      <c r="B925" t="s">
        <v>3788</v>
      </c>
      <c r="C925" s="22" t="s">
        <v>5095</v>
      </c>
      <c r="D925" t="str">
        <f>IF(AND(_pasywa!F27=0,AND(_pasywa!H27=0,_pasywa!J27=0)),"ukryj","odkryj")</f>
        <v>ukryj</v>
      </c>
    </row>
    <row r="926" spans="1:4" x14ac:dyDescent="0.3">
      <c r="A926" t="s">
        <v>5067</v>
      </c>
      <c r="B926" t="s">
        <v>3788</v>
      </c>
      <c r="C926" s="22" t="s">
        <v>5096</v>
      </c>
      <c r="D926" t="str">
        <f>IF(AND(_pasywa!F28=0,AND(_pasywa!H28=0,_pasywa!J28=0)),"ukryj","odkryj")</f>
        <v>ukryj</v>
      </c>
    </row>
    <row r="927" spans="1:4" x14ac:dyDescent="0.3">
      <c r="A927" t="s">
        <v>5067</v>
      </c>
      <c r="B927" t="s">
        <v>3788</v>
      </c>
      <c r="C927" s="22" t="s">
        <v>5097</v>
      </c>
      <c r="D927" t="str">
        <f>IF(AND(_pasywa!F29=0,AND(_pasywa!H29=0,_pasywa!J29=0)),"ukryj","odkryj")</f>
        <v>ukryj</v>
      </c>
    </row>
    <row r="928" spans="1:4" x14ac:dyDescent="0.3">
      <c r="A928" t="s">
        <v>5067</v>
      </c>
      <c r="B928" t="s">
        <v>3788</v>
      </c>
      <c r="C928" s="22" t="s">
        <v>5098</v>
      </c>
      <c r="D928" t="str">
        <f>IF(AND(_pasywa!F30=0,AND(_pasywa!H30=0,_pasywa!J30=0)),"ukryj","odkryj")</f>
        <v>ukryj</v>
      </c>
    </row>
    <row r="929" spans="1:4" x14ac:dyDescent="0.3">
      <c r="A929" t="s">
        <v>5067</v>
      </c>
      <c r="B929" t="s">
        <v>3788</v>
      </c>
      <c r="C929" s="22" t="s">
        <v>5099</v>
      </c>
      <c r="D929" t="str">
        <f>IF(AND(_pasywa!F31=0,AND(_pasywa!H31=0,_pasywa!J31=0)),"ukryj","odkryj")</f>
        <v>ukryj</v>
      </c>
    </row>
    <row r="930" spans="1:4" x14ac:dyDescent="0.3">
      <c r="A930" t="s">
        <v>5067</v>
      </c>
      <c r="B930" t="s">
        <v>3788</v>
      </c>
      <c r="C930" s="22" t="s">
        <v>5100</v>
      </c>
      <c r="D930" t="str">
        <f>IF(AND(_pasywa!F32=0,AND(_pasywa!H32=0,_pasywa!J32=0)),"ukryj","odkryj")</f>
        <v>ukryj</v>
      </c>
    </row>
    <row r="931" spans="1:4" x14ac:dyDescent="0.3">
      <c r="A931" t="s">
        <v>5067</v>
      </c>
      <c r="B931" t="s">
        <v>3788</v>
      </c>
      <c r="C931" s="22" t="s">
        <v>5101</v>
      </c>
      <c r="D931" t="str">
        <f>IF(AND(_pasywa!F33=0,AND(_pasywa!H33=0,_pasywa!J33=0)),"ukryj","odkryj")</f>
        <v>ukryj</v>
      </c>
    </row>
    <row r="932" spans="1:4" x14ac:dyDescent="0.3">
      <c r="A932" t="s">
        <v>5067</v>
      </c>
      <c r="B932" t="s">
        <v>3788</v>
      </c>
      <c r="C932" s="22" t="s">
        <v>5102</v>
      </c>
      <c r="D932" t="str">
        <f>IF(AND(_pasywa!F34=0,AND(_pasywa!H34=0,_pasywa!J34=0)),"ukryj","odkryj")</f>
        <v>ukryj</v>
      </c>
    </row>
    <row r="933" spans="1:4" x14ac:dyDescent="0.3">
      <c r="A933" t="s">
        <v>5067</v>
      </c>
      <c r="B933" t="s">
        <v>3788</v>
      </c>
      <c r="C933" s="22" t="s">
        <v>5103</v>
      </c>
      <c r="D933" t="str">
        <f>IF(AND(_pasywa!F35=0,AND(_pasywa!H35=0,_pasywa!J35=0)),"ukryj","odkryj")</f>
        <v>ukryj</v>
      </c>
    </row>
    <row r="934" spans="1:4" x14ac:dyDescent="0.3">
      <c r="A934" t="s">
        <v>5067</v>
      </c>
      <c r="B934" t="s">
        <v>3788</v>
      </c>
      <c r="C934" s="22" t="s">
        <v>5104</v>
      </c>
      <c r="D934" t="str">
        <f>IF(AND(_pasywa!F36=0,AND(_pasywa!H36=0,_pasywa!J36=0)),"ukryj","odkryj")</f>
        <v>ukryj</v>
      </c>
    </row>
    <row r="935" spans="1:4" x14ac:dyDescent="0.3">
      <c r="A935" t="s">
        <v>5067</v>
      </c>
      <c r="B935" t="s">
        <v>3788</v>
      </c>
      <c r="C935" s="22" t="s">
        <v>5105</v>
      </c>
      <c r="D935" t="str">
        <f>IF(AND(_pasywa!F37=0,AND(_pasywa!H37=0,_pasywa!J37=0)),"ukryj","odkryj")</f>
        <v>ukryj</v>
      </c>
    </row>
    <row r="936" spans="1:4" x14ac:dyDescent="0.3">
      <c r="A936" t="s">
        <v>5067</v>
      </c>
      <c r="B936" t="s">
        <v>3788</v>
      </c>
      <c r="C936" s="22" t="s">
        <v>5106</v>
      </c>
      <c r="D936" t="str">
        <f>IF(AND(_pasywa!F38=0,AND(_pasywa!H38=0,_pasywa!J38=0)),"ukryj","odkryj")</f>
        <v>ukryj</v>
      </c>
    </row>
    <row r="937" spans="1:4" x14ac:dyDescent="0.3">
      <c r="A937" t="s">
        <v>5067</v>
      </c>
      <c r="B937" t="s">
        <v>3788</v>
      </c>
      <c r="C937" s="22" t="s">
        <v>5107</v>
      </c>
      <c r="D937" t="str">
        <f>IF(AND(_pasywa!F39=0,AND(_pasywa!H39=0,_pasywa!J39=0)),"ukryj","odkryj")</f>
        <v>ukryj</v>
      </c>
    </row>
    <row r="938" spans="1:4" x14ac:dyDescent="0.3">
      <c r="A938" t="s">
        <v>5067</v>
      </c>
      <c r="B938" t="s">
        <v>3788</v>
      </c>
      <c r="C938" s="22" t="s">
        <v>5108</v>
      </c>
      <c r="D938" t="str">
        <f>IF(AND(_pasywa!F40=0,AND(_pasywa!H40=0,_pasywa!J40=0)),"ukryj","odkryj")</f>
        <v>ukryj</v>
      </c>
    </row>
    <row r="939" spans="1:4" x14ac:dyDescent="0.3">
      <c r="A939" t="s">
        <v>5067</v>
      </c>
      <c r="B939" t="s">
        <v>3788</v>
      </c>
      <c r="C939" s="22" t="s">
        <v>5109</v>
      </c>
      <c r="D939" t="str">
        <f>IF(AND(_pasywa!F41=0,AND(_pasywa!H41=0,_pasywa!J41=0)),"ukryj","odkryj")</f>
        <v>ukryj</v>
      </c>
    </row>
    <row r="940" spans="1:4" x14ac:dyDescent="0.3">
      <c r="A940" t="s">
        <v>5067</v>
      </c>
      <c r="B940" t="s">
        <v>3788</v>
      </c>
      <c r="C940" s="22" t="s">
        <v>5110</v>
      </c>
      <c r="D940" t="str">
        <f>IF(AND(_pasywa!F42=0,AND(_pasywa!H42=0,_pasywa!J42=0)),"ukryj","odkryj")</f>
        <v>ukryj</v>
      </c>
    </row>
    <row r="941" spans="1:4" x14ac:dyDescent="0.3">
      <c r="A941" t="s">
        <v>5067</v>
      </c>
      <c r="B941" t="s">
        <v>3788</v>
      </c>
      <c r="C941" s="22" t="s">
        <v>5111</v>
      </c>
      <c r="D941" t="str">
        <f>IF(AND(_pasywa!F43=0,AND(_pasywa!H43=0,_pasywa!J43=0)),"ukryj","odkryj")</f>
        <v>ukryj</v>
      </c>
    </row>
    <row r="942" spans="1:4" x14ac:dyDescent="0.3">
      <c r="A942" t="s">
        <v>5067</v>
      </c>
      <c r="B942" t="s">
        <v>3788</v>
      </c>
      <c r="C942" s="22" t="s">
        <v>5112</v>
      </c>
      <c r="D942" t="str">
        <f>IF(AND(_pasywa!F44=0,AND(_pasywa!H44=0,_pasywa!J44=0)),"ukryj","odkryj")</f>
        <v>ukryj</v>
      </c>
    </row>
    <row r="943" spans="1:4" x14ac:dyDescent="0.3">
      <c r="A943" t="s">
        <v>5067</v>
      </c>
      <c r="B943" t="s">
        <v>3788</v>
      </c>
      <c r="C943" s="22" t="s">
        <v>5113</v>
      </c>
      <c r="D943" t="str">
        <f>IF(AND(_pasywa!F45=0,AND(_pasywa!H45=0,_pasywa!J45=0)),"ukryj","odkryj")</f>
        <v>ukryj</v>
      </c>
    </row>
    <row r="944" spans="1:4" x14ac:dyDescent="0.3">
      <c r="A944" t="s">
        <v>5067</v>
      </c>
      <c r="B944" t="s">
        <v>3788</v>
      </c>
      <c r="C944" s="22" t="s">
        <v>5114</v>
      </c>
      <c r="D944" t="str">
        <f>IF(AND(_pasywa!F46=0,AND(_pasywa!H46=0,_pasywa!J46=0)),"ukryj","odkryj")</f>
        <v>ukryj</v>
      </c>
    </row>
    <row r="945" spans="1:4" x14ac:dyDescent="0.3">
      <c r="A945" t="s">
        <v>5067</v>
      </c>
      <c r="B945" t="s">
        <v>3788</v>
      </c>
      <c r="C945" s="22" t="s">
        <v>5115</v>
      </c>
      <c r="D945" t="str">
        <f>IF(AND(_pasywa!F47=0,AND(_pasywa!H47=0,_pasywa!J47=0)),"ukryj","odkryj")</f>
        <v>ukryj</v>
      </c>
    </row>
    <row r="946" spans="1:4" x14ac:dyDescent="0.3">
      <c r="A946" t="s">
        <v>5067</v>
      </c>
      <c r="B946" t="s">
        <v>3788</v>
      </c>
      <c r="C946" s="22" t="s">
        <v>5116</v>
      </c>
      <c r="D946" t="str">
        <f>IF(AND(_pasywa!F48=0,AND(_pasywa!H48=0,_pasywa!J48=0)),"ukryj","odkryj")</f>
        <v>ukryj</v>
      </c>
    </row>
    <row r="947" spans="1:4" x14ac:dyDescent="0.3">
      <c r="A947" t="s">
        <v>5067</v>
      </c>
      <c r="B947" t="s">
        <v>3788</v>
      </c>
      <c r="C947" s="22" t="s">
        <v>5117</v>
      </c>
      <c r="D947" t="str">
        <f>IF(AND(_pasywa!F49=0,AND(_pasywa!H49=0,_pasywa!J49=0)),"ukryj","odkryj")</f>
        <v>ukryj</v>
      </c>
    </row>
    <row r="948" spans="1:4" x14ac:dyDescent="0.3">
      <c r="A948" t="s">
        <v>5067</v>
      </c>
      <c r="B948" t="s">
        <v>3788</v>
      </c>
      <c r="C948" s="22" t="s">
        <v>5118</v>
      </c>
      <c r="D948" t="str">
        <f>IF(AND(_pasywa!F50=0,AND(_pasywa!H50=0,_pasywa!J50=0)),"ukryj","odkryj")</f>
        <v>ukryj</v>
      </c>
    </row>
    <row r="949" spans="1:4" x14ac:dyDescent="0.3">
      <c r="A949" t="s">
        <v>5067</v>
      </c>
      <c r="B949" t="s">
        <v>3788</v>
      </c>
      <c r="C949" s="22" t="s">
        <v>5119</v>
      </c>
      <c r="D949" t="str">
        <f>IF(AND(_pasywa!F51=0,AND(_pasywa!H51=0,_pasywa!J51=0)),"ukryj","odkryj")</f>
        <v>ukryj</v>
      </c>
    </row>
    <row r="950" spans="1:4" x14ac:dyDescent="0.3">
      <c r="A950" t="s">
        <v>5067</v>
      </c>
      <c r="B950" t="s">
        <v>3788</v>
      </c>
      <c r="C950" s="22" t="s">
        <v>5120</v>
      </c>
      <c r="D950" t="str">
        <f>IF(AND(_pasywa!F52=0,AND(_pasywa!H52=0,_pasywa!J52=0)),"ukryj","odkryj")</f>
        <v>ukryj</v>
      </c>
    </row>
    <row r="951" spans="1:4" x14ac:dyDescent="0.3">
      <c r="A951" t="s">
        <v>5067</v>
      </c>
      <c r="B951" t="s">
        <v>3788</v>
      </c>
      <c r="C951" s="22" t="s">
        <v>5121</v>
      </c>
      <c r="D951" t="str">
        <f>IF(AND(_pasywa!F53=0,AND(_pasywa!H53=0,_pasywa!J53=0)),"ukryj","odkryj")</f>
        <v>ukryj</v>
      </c>
    </row>
    <row r="952" spans="1:4" x14ac:dyDescent="0.3">
      <c r="A952" t="s">
        <v>5067</v>
      </c>
      <c r="B952" t="s">
        <v>3788</v>
      </c>
      <c r="C952" s="22" t="s">
        <v>5122</v>
      </c>
      <c r="D952" t="str">
        <f>IF(AND(_pasywa!F54=0,AND(_pasywa!H54=0,_pasywa!J54=0)),"ukryj","odkryj")</f>
        <v>ukryj</v>
      </c>
    </row>
    <row r="953" spans="1:4" x14ac:dyDescent="0.3">
      <c r="A953" t="s">
        <v>5067</v>
      </c>
      <c r="B953" t="s">
        <v>3788</v>
      </c>
      <c r="C953" s="22" t="s">
        <v>5126</v>
      </c>
      <c r="D953" t="str">
        <f>IF(AND(_pasywa!F55=0,AND(_pasywa!H55=0,_pasywa!J55=0)),"ukryj","odkryj")</f>
        <v>ukryj</v>
      </c>
    </row>
    <row r="954" spans="1:4" x14ac:dyDescent="0.3">
      <c r="A954" t="s">
        <v>5067</v>
      </c>
      <c r="B954" t="s">
        <v>3788</v>
      </c>
      <c r="C954" s="22" t="s">
        <v>5127</v>
      </c>
      <c r="D954" t="str">
        <f>IF(AND(_pasywa!F56=0,AND(_pasywa!H56=0,_pasywa!J56=0)),"ukryj","odkryj")</f>
        <v>ukryj</v>
      </c>
    </row>
    <row r="955" spans="1:4" x14ac:dyDescent="0.3">
      <c r="A955" t="s">
        <v>5067</v>
      </c>
      <c r="B955" t="s">
        <v>3788</v>
      </c>
      <c r="C955" s="22" t="s">
        <v>5128</v>
      </c>
      <c r="D955" t="str">
        <f>IF(AND(_pasywa!F57=0,AND(_pasywa!H57=0,_pasywa!J57=0)),"ukryj","odkryj")</f>
        <v>ukryj</v>
      </c>
    </row>
    <row r="956" spans="1:4" x14ac:dyDescent="0.3">
      <c r="A956" t="s">
        <v>5067</v>
      </c>
      <c r="B956" t="s">
        <v>3788</v>
      </c>
      <c r="C956" s="22" t="s">
        <v>5129</v>
      </c>
      <c r="D956" t="str">
        <f>IF(AND(_pasywa!F58=0,AND(_pasywa!H58=0,_pasywa!J58=0)),"ukryj","odkryj")</f>
        <v>ukryj</v>
      </c>
    </row>
    <row r="957" spans="1:4" x14ac:dyDescent="0.3">
      <c r="A957" t="s">
        <v>5067</v>
      </c>
      <c r="B957" t="s">
        <v>3788</v>
      </c>
      <c r="C957" s="22" t="s">
        <v>5130</v>
      </c>
      <c r="D957" t="str">
        <f>IF(AND(_pasywa!F59=0,AND(_pasywa!H59=0,_pasywa!J59=0)),"ukryj","odkryj")</f>
        <v>ukryj</v>
      </c>
    </row>
    <row r="958" spans="1:4" x14ac:dyDescent="0.3">
      <c r="A958" t="s">
        <v>5067</v>
      </c>
      <c r="B958" t="s">
        <v>3788</v>
      </c>
      <c r="C958" s="22" t="s">
        <v>5131</v>
      </c>
      <c r="D958" t="str">
        <f>IF(AND(_pasywa!F60=0,AND(_pasywa!H60=0,_pasywa!J60=0)),"ukryj","odkryj")</f>
        <v>ukryj</v>
      </c>
    </row>
    <row r="959" spans="1:4" x14ac:dyDescent="0.3">
      <c r="A959" t="s">
        <v>5067</v>
      </c>
      <c r="B959" t="s">
        <v>3788</v>
      </c>
      <c r="C959" s="22" t="s">
        <v>5132</v>
      </c>
      <c r="D959" t="str">
        <f>IF(AND(_pasywa!F61=0,AND(_pasywa!H61=0,_pasywa!J61=0)),"ukryj","odkryj")</f>
        <v>ukryj</v>
      </c>
    </row>
    <row r="960" spans="1:4" x14ac:dyDescent="0.3">
      <c r="A960" t="s">
        <v>5067</v>
      </c>
      <c r="B960" t="s">
        <v>3788</v>
      </c>
      <c r="C960" s="22" t="s">
        <v>5133</v>
      </c>
      <c r="D960" t="str">
        <f>IF(AND(_pasywa!F62=0,AND(_pasywa!H62=0,_pasywa!J62=0)),"ukryj","odkryj")</f>
        <v>ukryj</v>
      </c>
    </row>
    <row r="961" spans="1:4" x14ac:dyDescent="0.3">
      <c r="A961" t="s">
        <v>5067</v>
      </c>
      <c r="B961" t="s">
        <v>3788</v>
      </c>
      <c r="C961" s="22" t="s">
        <v>5134</v>
      </c>
      <c r="D961" t="str">
        <f>IF(AND(_pasywa!F63=0,AND(_pasywa!H63=0,_pasywa!J63=0)),"ukryj","odkryj")</f>
        <v>ukryj</v>
      </c>
    </row>
    <row r="962" spans="1:4" x14ac:dyDescent="0.3">
      <c r="A962" t="s">
        <v>5067</v>
      </c>
      <c r="B962" t="s">
        <v>3788</v>
      </c>
      <c r="C962" s="22" t="s">
        <v>5135</v>
      </c>
      <c r="D962" t="str">
        <f>IF(AND(_pasywa!F64=0,AND(_pasywa!H64=0,_pasywa!J64=0)),"ukryj","odkryj")</f>
        <v>ukryj</v>
      </c>
    </row>
    <row r="963" spans="1:4" x14ac:dyDescent="0.3">
      <c r="A963" t="s">
        <v>5067</v>
      </c>
      <c r="B963" t="s">
        <v>3788</v>
      </c>
      <c r="C963" s="22" t="s">
        <v>5136</v>
      </c>
      <c r="D963" t="str">
        <f>IF(AND(_pasywa!F65=0,AND(_pasywa!H65=0,_pasywa!J65=0)),"ukryj","odkryj")</f>
        <v>ukryj</v>
      </c>
    </row>
    <row r="964" spans="1:4" x14ac:dyDescent="0.3">
      <c r="A964" t="s">
        <v>5067</v>
      </c>
      <c r="B964" t="s">
        <v>3788</v>
      </c>
      <c r="C964" s="22" t="s">
        <v>5137</v>
      </c>
      <c r="D964" t="str">
        <f>IF(AND(_pasywa!F66=0,AND(_pasywa!H66=0,_pasywa!J66=0)),"ukryj","odkryj")</f>
        <v>ukryj</v>
      </c>
    </row>
    <row r="965" spans="1:4" x14ac:dyDescent="0.3">
      <c r="A965" t="s">
        <v>5067</v>
      </c>
      <c r="B965" t="s">
        <v>3788</v>
      </c>
      <c r="C965" s="22" t="s">
        <v>5138</v>
      </c>
      <c r="D965" t="s">
        <v>5070</v>
      </c>
    </row>
    <row r="966" spans="1:4" x14ac:dyDescent="0.3">
      <c r="A966" t="s">
        <v>5067</v>
      </c>
      <c r="B966" t="s">
        <v>4011</v>
      </c>
      <c r="C966" s="22" t="s">
        <v>5069</v>
      </c>
      <c r="D966" t="s">
        <v>5070</v>
      </c>
    </row>
    <row r="967" spans="1:4" x14ac:dyDescent="0.3">
      <c r="A967" t="s">
        <v>5067</v>
      </c>
      <c r="B967" t="s">
        <v>4011</v>
      </c>
      <c r="C967" s="22" t="s">
        <v>5071</v>
      </c>
      <c r="D967" t="s">
        <v>5070</v>
      </c>
    </row>
    <row r="968" spans="1:4" x14ac:dyDescent="0.3">
      <c r="A968" t="s">
        <v>5067</v>
      </c>
      <c r="B968" t="s">
        <v>4011</v>
      </c>
      <c r="C968" s="22" t="s">
        <v>5072</v>
      </c>
      <c r="D968" t="str">
        <f>IF(WariantRZiS=2,"ukryj",IF(AND(rzis!F8=0,AND(rzis!H8=0,rzis!J8=0)),"ukryj","odkryj"))</f>
        <v>ukryj</v>
      </c>
    </row>
    <row r="969" spans="1:4" x14ac:dyDescent="0.3">
      <c r="A969" t="s">
        <v>5067</v>
      </c>
      <c r="B969" t="s">
        <v>4011</v>
      </c>
      <c r="C969" s="22" t="s">
        <v>5073</v>
      </c>
      <c r="D969" t="str">
        <f>IF(WariantRZiS=2,"ukryj",IF(AND(rzis!F9=0,AND(rzis!H9=0,rzis!J9=0)),"ukryj","odkryj"))</f>
        <v>ukryj</v>
      </c>
    </row>
    <row r="970" spans="1:4" x14ac:dyDescent="0.3">
      <c r="A970" t="s">
        <v>5067</v>
      </c>
      <c r="B970" t="s">
        <v>4011</v>
      </c>
      <c r="C970" s="22" t="s">
        <v>5074</v>
      </c>
      <c r="D970" t="str">
        <f>IF(WariantRZiS=2,"ukryj",IF(AND(rzis!F10=0,AND(rzis!H10=0,rzis!J10=0)),"ukryj","odkryj"))</f>
        <v>ukryj</v>
      </c>
    </row>
    <row r="971" spans="1:4" x14ac:dyDescent="0.3">
      <c r="A971" t="s">
        <v>5067</v>
      </c>
      <c r="B971" t="s">
        <v>4011</v>
      </c>
      <c r="C971" s="22" t="s">
        <v>5075</v>
      </c>
      <c r="D971" t="str">
        <f>IF(WariantRZiS=2,"ukryj",IF(AND(rzis!F11=0,AND(rzis!H11=0,rzis!J11=0)),"ukryj","odkryj"))</f>
        <v>ukryj</v>
      </c>
    </row>
    <row r="972" spans="1:4" x14ac:dyDescent="0.3">
      <c r="A972" t="s">
        <v>5067</v>
      </c>
      <c r="B972" t="s">
        <v>4011</v>
      </c>
      <c r="C972" s="22" t="s">
        <v>5076</v>
      </c>
      <c r="D972" t="str">
        <f>IF(WariantRZiS=2,"ukryj",IF(AND(rzis!F12=0,AND(rzis!H12=0,rzis!J12=0)),"ukryj","odkryj"))</f>
        <v>ukryj</v>
      </c>
    </row>
    <row r="973" spans="1:4" x14ac:dyDescent="0.3">
      <c r="A973" t="s">
        <v>5067</v>
      </c>
      <c r="B973" t="s">
        <v>4011</v>
      </c>
      <c r="C973" s="22" t="s">
        <v>5077</v>
      </c>
      <c r="D973" t="str">
        <f>IF(WariantRZiS=2,"ukryj",IF(AND(rzis!F13=0,AND(rzis!H13=0,rzis!J13=0)),"ukryj","odkryj"))</f>
        <v>ukryj</v>
      </c>
    </row>
    <row r="974" spans="1:4" x14ac:dyDescent="0.3">
      <c r="A974" t="s">
        <v>5067</v>
      </c>
      <c r="B974" t="s">
        <v>4011</v>
      </c>
      <c r="C974" s="22" t="s">
        <v>5082</v>
      </c>
      <c r="D974" t="str">
        <f>IF(WariantRZiS=2,"ukryj",IF(AND(rzis!F14=0,AND(rzis!H14=0,rzis!J14=0)),"ukryj","odkryj"))</f>
        <v>ukryj</v>
      </c>
    </row>
    <row r="975" spans="1:4" x14ac:dyDescent="0.3">
      <c r="A975" t="s">
        <v>5067</v>
      </c>
      <c r="B975" t="s">
        <v>4011</v>
      </c>
      <c r="C975" s="22" t="s">
        <v>5083</v>
      </c>
      <c r="D975" t="str">
        <f>IF(WariantRZiS=2,"ukryj",IF(AND(rzis!F15=0,AND(rzis!H15=0,rzis!J15=0)),"ukryj","odkryj"))</f>
        <v>ukryj</v>
      </c>
    </row>
    <row r="976" spans="1:4" x14ac:dyDescent="0.3">
      <c r="A976" t="s">
        <v>5067</v>
      </c>
      <c r="B976" t="s">
        <v>4011</v>
      </c>
      <c r="C976" s="22" t="s">
        <v>5084</v>
      </c>
      <c r="D976" t="str">
        <f>IF(WariantRZiS=2,"ukryj",IF(AND(rzis!F16=0,AND(rzis!H16=0,rzis!J16=0)),"ukryj","odkryj"))</f>
        <v>ukryj</v>
      </c>
    </row>
    <row r="977" spans="1:4" x14ac:dyDescent="0.3">
      <c r="A977" t="s">
        <v>5067</v>
      </c>
      <c r="B977" t="s">
        <v>4011</v>
      </c>
      <c r="C977" s="22" t="s">
        <v>5085</v>
      </c>
      <c r="D977" t="str">
        <f>IF(WariantRZiS=2,"ukryj",IF(AND(rzis!F17=0,AND(rzis!H17=0,rzis!J17=0)),"ukryj","odkryj"))</f>
        <v>ukryj</v>
      </c>
    </row>
    <row r="978" spans="1:4" x14ac:dyDescent="0.3">
      <c r="A978" t="s">
        <v>5067</v>
      </c>
      <c r="B978" t="s">
        <v>4011</v>
      </c>
      <c r="C978" s="22" t="s">
        <v>5086</v>
      </c>
      <c r="D978" t="str">
        <f>IF(WariantRZiS=2,"ukryj",IF(AND(rzis!F18=0,AND(rzis!H18=0,rzis!J18=0)),"ukryj","odkryj"))</f>
        <v>ukryj</v>
      </c>
    </row>
    <row r="979" spans="1:4" x14ac:dyDescent="0.3">
      <c r="A979" t="s">
        <v>5067</v>
      </c>
      <c r="B979" t="s">
        <v>4011</v>
      </c>
      <c r="C979" s="22" t="s">
        <v>5087</v>
      </c>
      <c r="D979" t="str">
        <f>IF(WariantRZiS=2,"ukryj",IF(AND(rzis!F19=0,AND(rzis!H19=0,rzis!J19=0)),"ukryj","odkryj"))</f>
        <v>ukryj</v>
      </c>
    </row>
    <row r="980" spans="1:4" x14ac:dyDescent="0.3">
      <c r="A980" t="s">
        <v>5067</v>
      </c>
      <c r="B980" t="s">
        <v>4011</v>
      </c>
      <c r="C980" s="22" t="s">
        <v>5088</v>
      </c>
      <c r="D980" t="str">
        <f>IF(WariantRZiS=2,"ukryj",IF(AND(rzis!F20=0,AND(rzis!H20=0,rzis!J20=0)),"ukryj","odkryj"))</f>
        <v>ukryj</v>
      </c>
    </row>
    <row r="981" spans="1:4" x14ac:dyDescent="0.3">
      <c r="A981" t="s">
        <v>5067</v>
      </c>
      <c r="B981" t="s">
        <v>4011</v>
      </c>
      <c r="C981" s="22" t="s">
        <v>5089</v>
      </c>
      <c r="D981" t="str">
        <f>IF(WariantRZiS=2,"ukryj",IF(AND(rzis!F21=0,AND(rzis!H21=0,rzis!J21=0)),"ukryj","odkryj"))</f>
        <v>ukryj</v>
      </c>
    </row>
    <row r="982" spans="1:4" x14ac:dyDescent="0.3">
      <c r="A982" t="s">
        <v>5067</v>
      </c>
      <c r="B982" t="s">
        <v>4011</v>
      </c>
      <c r="C982" s="22" t="s">
        <v>5090</v>
      </c>
      <c r="D982" t="str">
        <f>IF(WariantRZiS=2,"ukryj",IF(AND(rzis!F22=0,AND(rzis!H22=0,rzis!J22=0)),"ukryj","odkryj"))</f>
        <v>ukryj</v>
      </c>
    </row>
    <row r="983" spans="1:4" x14ac:dyDescent="0.3">
      <c r="A983" t="s">
        <v>5067</v>
      </c>
      <c r="B983" t="s">
        <v>4011</v>
      </c>
      <c r="C983" s="22" t="s">
        <v>5091</v>
      </c>
      <c r="D983" t="str">
        <f>IF(WariantRZiS=2,"ukryj",IF(AND(rzis!F23=0,AND(rzis!H23=0,rzis!J23=0)),"ukryj","odkryj"))</f>
        <v>ukryj</v>
      </c>
    </row>
    <row r="984" spans="1:4" x14ac:dyDescent="0.3">
      <c r="A984" t="s">
        <v>5067</v>
      </c>
      <c r="B984" t="s">
        <v>4011</v>
      </c>
      <c r="C984" s="22" t="s">
        <v>5092</v>
      </c>
      <c r="D984" t="str">
        <f>IF(WariantRZiS=2,"ukryj",IF(AND(rzis!F24=0,AND(rzis!H24=0,rzis!J24=0)),"ukryj","odkryj"))</f>
        <v>ukryj</v>
      </c>
    </row>
    <row r="985" spans="1:4" x14ac:dyDescent="0.3">
      <c r="A985" t="s">
        <v>5067</v>
      </c>
      <c r="B985" t="s">
        <v>4011</v>
      </c>
      <c r="C985" s="22" t="s">
        <v>5093</v>
      </c>
      <c r="D985" t="str">
        <f>IF(WariantRZiS=2,"ukryj",IF(AND(rzis!F25=0,AND(rzis!H25=0,rzis!J25=0)),"ukryj","odkryj"))</f>
        <v>ukryj</v>
      </c>
    </row>
    <row r="986" spans="1:4" x14ac:dyDescent="0.3">
      <c r="A986" t="s">
        <v>5067</v>
      </c>
      <c r="B986" t="s">
        <v>4011</v>
      </c>
      <c r="C986" s="22" t="s">
        <v>5094</v>
      </c>
      <c r="D986" t="str">
        <f>IF(WariantRZiS=2,"ukryj",IF(AND(rzis!F26=0,AND(rzis!H26=0,rzis!J26=0)),"ukryj","odkryj"))</f>
        <v>ukryj</v>
      </c>
    </row>
    <row r="987" spans="1:4" x14ac:dyDescent="0.3">
      <c r="A987" t="s">
        <v>5067</v>
      </c>
      <c r="B987" t="s">
        <v>4011</v>
      </c>
      <c r="C987" s="22" t="s">
        <v>5095</v>
      </c>
      <c r="D987" t="str">
        <f>IF(WariantRZiS=2,"ukryj",IF(AND(rzis!F27=0,AND(rzis!H27=0,rzis!J27=0)),"ukryj","odkryj"))</f>
        <v>ukryj</v>
      </c>
    </row>
    <row r="988" spans="1:4" x14ac:dyDescent="0.3">
      <c r="A988" t="s">
        <v>5067</v>
      </c>
      <c r="B988" t="s">
        <v>4011</v>
      </c>
      <c r="C988" s="22" t="s">
        <v>5096</v>
      </c>
      <c r="D988" t="str">
        <f>IF(WariantRZiS=2,"ukryj",IF(AND(rzis!F28=0,AND(rzis!H28=0,rzis!J28=0)),"ukryj","odkryj"))</f>
        <v>ukryj</v>
      </c>
    </row>
    <row r="989" spans="1:4" x14ac:dyDescent="0.3">
      <c r="A989" t="s">
        <v>5067</v>
      </c>
      <c r="B989" t="s">
        <v>4011</v>
      </c>
      <c r="C989" s="22" t="s">
        <v>5097</v>
      </c>
      <c r="D989" t="str">
        <f>IF(WariantRZiS=2,"ukryj",IF(AND(rzis!F29=0,AND(rzis!H29=0,rzis!J29=0)),"ukryj","odkryj"))</f>
        <v>ukryj</v>
      </c>
    </row>
    <row r="990" spans="1:4" x14ac:dyDescent="0.3">
      <c r="A990" t="s">
        <v>5067</v>
      </c>
      <c r="B990" t="s">
        <v>4011</v>
      </c>
      <c r="C990" s="22" t="s">
        <v>5098</v>
      </c>
      <c r="D990" t="str">
        <f>IF(WariantRZiS=2,"ukryj",IF(AND(rzis!F30=0,AND(rzis!H30=0,rzis!J30=0)),"ukryj","odkryj"))</f>
        <v>ukryj</v>
      </c>
    </row>
    <row r="991" spans="1:4" x14ac:dyDescent="0.3">
      <c r="A991" t="s">
        <v>5067</v>
      </c>
      <c r="B991" t="s">
        <v>4011</v>
      </c>
      <c r="C991" s="22" t="s">
        <v>5099</v>
      </c>
      <c r="D991" t="str">
        <f>IF(WariantRZiS=2,"ukryj",IF(AND(rzis!F31=0,AND(rzis!H31=0,rzis!J31=0)),"ukryj","odkryj"))</f>
        <v>ukryj</v>
      </c>
    </row>
    <row r="992" spans="1:4" x14ac:dyDescent="0.3">
      <c r="A992" t="s">
        <v>5067</v>
      </c>
      <c r="B992" t="s">
        <v>4011</v>
      </c>
      <c r="C992" s="22" t="s">
        <v>5100</v>
      </c>
      <c r="D992" t="str">
        <f>IF(WariantRZiS=2,"ukryj",IF(AND(rzis!F32=0,AND(rzis!H32=0,rzis!J32=0)),"ukryj","odkryj"))</f>
        <v>ukryj</v>
      </c>
    </row>
    <row r="993" spans="1:4" x14ac:dyDescent="0.3">
      <c r="A993" t="s">
        <v>5067</v>
      </c>
      <c r="B993" t="s">
        <v>4011</v>
      </c>
      <c r="C993" s="22" t="s">
        <v>5101</v>
      </c>
      <c r="D993" t="str">
        <f>IF(WariantRZiS=2,"ukryj",IF(AND(rzis!F33=0,AND(rzis!H33=0,rzis!J33=0)),"ukryj","odkryj"))</f>
        <v>ukryj</v>
      </c>
    </row>
    <row r="994" spans="1:4" x14ac:dyDescent="0.3">
      <c r="A994" t="s">
        <v>5067</v>
      </c>
      <c r="B994" t="s">
        <v>4011</v>
      </c>
      <c r="C994" s="22" t="s">
        <v>5102</v>
      </c>
      <c r="D994" t="str">
        <f>IF(WariantRZiS=2,"ukryj",IF(AND(rzis!F34=0,AND(rzis!H34=0,rzis!J34=0)),"ukryj","odkryj"))</f>
        <v>ukryj</v>
      </c>
    </row>
    <row r="995" spans="1:4" x14ac:dyDescent="0.3">
      <c r="A995" t="s">
        <v>5067</v>
      </c>
      <c r="B995" t="s">
        <v>4011</v>
      </c>
      <c r="C995" s="22" t="s">
        <v>5103</v>
      </c>
      <c r="D995" t="str">
        <f>IF(WariantRZiS=2,"ukryj",IF(AND(rzis!F35=0,AND(rzis!H35=0,rzis!J35=0)),"ukryj","odkryj"))</f>
        <v>ukryj</v>
      </c>
    </row>
    <row r="996" spans="1:4" x14ac:dyDescent="0.3">
      <c r="A996" t="s">
        <v>5067</v>
      </c>
      <c r="B996" t="s">
        <v>4011</v>
      </c>
      <c r="C996" s="22" t="s">
        <v>5104</v>
      </c>
      <c r="D996" t="str">
        <f>IF(WariantRZiS=2,"ukryj",IF(AND(rzis!F36=0,AND(rzis!H36=0,rzis!J36=0)),"ukryj","odkryj"))</f>
        <v>ukryj</v>
      </c>
    </row>
    <row r="997" spans="1:4" x14ac:dyDescent="0.3">
      <c r="A997" t="s">
        <v>5067</v>
      </c>
      <c r="B997" t="s">
        <v>4011</v>
      </c>
      <c r="C997" s="22" t="s">
        <v>5105</v>
      </c>
      <c r="D997" t="str">
        <f>IF(WariantRZiS=2,"ukryj",IF(AND(rzis!F37=0,AND(rzis!H37=0,rzis!J37=0)),"ukryj","odkryj"))</f>
        <v>ukryj</v>
      </c>
    </row>
    <row r="998" spans="1:4" x14ac:dyDescent="0.3">
      <c r="A998" t="s">
        <v>5067</v>
      </c>
      <c r="B998" t="s">
        <v>4011</v>
      </c>
      <c r="C998" s="22" t="s">
        <v>5106</v>
      </c>
      <c r="D998" t="str">
        <f>IF(WariantRZiS=2,"ukryj",IF(AND(rzis!F38=0,AND(rzis!H38=0,rzis!J38=0)),"ukryj","odkryj"))</f>
        <v>ukryj</v>
      </c>
    </row>
    <row r="999" spans="1:4" x14ac:dyDescent="0.3">
      <c r="A999" t="s">
        <v>5067</v>
      </c>
      <c r="B999" t="s">
        <v>4011</v>
      </c>
      <c r="C999" s="22" t="s">
        <v>5107</v>
      </c>
      <c r="D999" t="str">
        <f>IF(WariantRZiS=2,"ukryj",IF(AND(rzis!F39=0,AND(rzis!H39=0,rzis!J39=0)),"ukryj","odkryj"))</f>
        <v>ukryj</v>
      </c>
    </row>
    <row r="1000" spans="1:4" x14ac:dyDescent="0.3">
      <c r="A1000" t="s">
        <v>5067</v>
      </c>
      <c r="B1000" t="s">
        <v>4011</v>
      </c>
      <c r="C1000" s="22" t="s">
        <v>5108</v>
      </c>
      <c r="D1000" t="str">
        <f>IF(WariantRZiS=2,"ukryj",IF(AND(rzis!F40=0,AND(rzis!H40=0,rzis!J40=0)),"ukryj","odkryj"))</f>
        <v>ukryj</v>
      </c>
    </row>
    <row r="1001" spans="1:4" x14ac:dyDescent="0.3">
      <c r="A1001" t="s">
        <v>5067</v>
      </c>
      <c r="B1001" t="s">
        <v>4011</v>
      </c>
      <c r="C1001" s="22" t="s">
        <v>5109</v>
      </c>
      <c r="D1001" t="str">
        <f>IF(WariantRZiS=2,"ukryj",IF(AND(rzis!F41=0,AND(rzis!H41=0,rzis!J41=0)),"ukryj","odkryj"))</f>
        <v>ukryj</v>
      </c>
    </row>
    <row r="1002" spans="1:4" x14ac:dyDescent="0.3">
      <c r="A1002" t="s">
        <v>5067</v>
      </c>
      <c r="B1002" t="s">
        <v>4011</v>
      </c>
      <c r="C1002" s="22" t="s">
        <v>5110</v>
      </c>
      <c r="D1002" t="str">
        <f>IF(WariantRZiS=2,"ukryj",IF(AND(rzis!F42=0,AND(rzis!H42=0,rzis!J42=0)),"ukryj","odkryj"))</f>
        <v>ukryj</v>
      </c>
    </row>
    <row r="1003" spans="1:4" x14ac:dyDescent="0.3">
      <c r="A1003" t="s">
        <v>5067</v>
      </c>
      <c r="B1003" t="s">
        <v>4011</v>
      </c>
      <c r="C1003" s="22" t="s">
        <v>5111</v>
      </c>
      <c r="D1003" t="str">
        <f>IF(WariantRZiS=2,"ukryj",IF(AND(rzis!F43=0,AND(rzis!H43=0,rzis!J43=0)),"ukryj","odkryj"))</f>
        <v>ukryj</v>
      </c>
    </row>
    <row r="1004" spans="1:4" x14ac:dyDescent="0.3">
      <c r="A1004" t="s">
        <v>5067</v>
      </c>
      <c r="B1004" t="s">
        <v>4011</v>
      </c>
      <c r="C1004" s="22" t="s">
        <v>5112</v>
      </c>
      <c r="D1004" t="str">
        <f>IF(WariantRZiS=2,"ukryj",IF(AND(rzis!F44=0,AND(rzis!H44=0,rzis!J44=0)),"ukryj","odkryj"))</f>
        <v>ukryj</v>
      </c>
    </row>
    <row r="1005" spans="1:4" x14ac:dyDescent="0.3">
      <c r="A1005" t="s">
        <v>5067</v>
      </c>
      <c r="B1005" t="s">
        <v>4011</v>
      </c>
      <c r="C1005" s="22" t="s">
        <v>5113</v>
      </c>
      <c r="D1005" t="str">
        <f>IF(WariantRZiS=2,"ukryj",IF(AND(rzis!F45=0,AND(rzis!H45=0,rzis!J45=0)),"ukryj","odkryj"))</f>
        <v>ukryj</v>
      </c>
    </row>
    <row r="1006" spans="1:4" x14ac:dyDescent="0.3">
      <c r="A1006" t="s">
        <v>5067</v>
      </c>
      <c r="B1006" t="s">
        <v>4011</v>
      </c>
      <c r="C1006" s="22" t="s">
        <v>5114</v>
      </c>
      <c r="D1006" t="str">
        <f>IF(WariantRZiS=2,"ukryj",IF(AND(rzis!F46=0,AND(rzis!H46=0,rzis!J46=0)),"ukryj","odkryj"))</f>
        <v>ukryj</v>
      </c>
    </row>
    <row r="1007" spans="1:4" x14ac:dyDescent="0.3">
      <c r="A1007" t="s">
        <v>5067</v>
      </c>
      <c r="B1007" t="s">
        <v>4011</v>
      </c>
      <c r="C1007" s="22" t="s">
        <v>5115</v>
      </c>
      <c r="D1007" t="str">
        <f>IF(WariantRZiS=2,"ukryj",IF(AND(rzis!F47=0,AND(rzis!H47=0,rzis!J47=0)),"ukryj","odkryj"))</f>
        <v>ukryj</v>
      </c>
    </row>
    <row r="1008" spans="1:4" x14ac:dyDescent="0.3">
      <c r="A1008" t="s">
        <v>5067</v>
      </c>
      <c r="B1008" t="s">
        <v>4011</v>
      </c>
      <c r="C1008" s="22" t="s">
        <v>5116</v>
      </c>
      <c r="D1008" t="str">
        <f>IF(WariantRZiS=2,"ukryj",IF(AND(rzis!F48=0,AND(rzis!H48=0,rzis!J48=0)),"ukryj","odkryj"))</f>
        <v>ukryj</v>
      </c>
    </row>
    <row r="1009" spans="1:4" x14ac:dyDescent="0.3">
      <c r="A1009" t="s">
        <v>5067</v>
      </c>
      <c r="B1009" t="s">
        <v>4011</v>
      </c>
      <c r="C1009" s="22" t="s">
        <v>5117</v>
      </c>
      <c r="D1009" t="str">
        <f>IF(WariantRZiS=2,"ukryj",IF(AND(rzis!F49=0,AND(rzis!H49=0,rzis!J49=0)),"ukryj","odkryj"))</f>
        <v>ukryj</v>
      </c>
    </row>
    <row r="1010" spans="1:4" x14ac:dyDescent="0.3">
      <c r="A1010" t="s">
        <v>5067</v>
      </c>
      <c r="B1010" t="s">
        <v>4011</v>
      </c>
      <c r="C1010" s="22" t="s">
        <v>5118</v>
      </c>
      <c r="D1010" t="str">
        <f>IF(WariantRZiS=2,"ukryj",IF(AND(rzis!F50=0,AND(rzis!H50=0,rzis!J50=0)),"ukryj","odkryj"))</f>
        <v>ukryj</v>
      </c>
    </row>
    <row r="1011" spans="1:4" x14ac:dyDescent="0.3">
      <c r="A1011" t="s">
        <v>5067</v>
      </c>
      <c r="B1011" t="s">
        <v>4011</v>
      </c>
      <c r="C1011" s="22" t="s">
        <v>5119</v>
      </c>
      <c r="D1011" t="str">
        <f>IF(WariantRZiS=2,"ukryj",IF(AND(rzis!F51=0,AND(rzis!H51=0,rzis!J51=0)),"ukryj","odkryj"))</f>
        <v>ukryj</v>
      </c>
    </row>
    <row r="1012" spans="1:4" x14ac:dyDescent="0.3">
      <c r="A1012" t="s">
        <v>5067</v>
      </c>
      <c r="B1012" t="s">
        <v>4011</v>
      </c>
      <c r="C1012" s="22" t="s">
        <v>5120</v>
      </c>
      <c r="D1012" t="str">
        <f>IF(WariantRZiS=2,"ukryj",IF(AND(rzis!F52=0,AND(rzis!H52=0,rzis!J52=0)),"ukryj","odkryj"))</f>
        <v>ukryj</v>
      </c>
    </row>
    <row r="1013" spans="1:4" x14ac:dyDescent="0.3">
      <c r="A1013" t="s">
        <v>5067</v>
      </c>
      <c r="B1013" t="s">
        <v>4011</v>
      </c>
      <c r="C1013" s="22" t="s">
        <v>5121</v>
      </c>
      <c r="D1013" t="str">
        <f>IF(WariantRZiS=2,"ukryj",IF(AND(rzis!F53=0,AND(rzis!H53=0,rzis!J53=0)),"ukryj","odkryj"))</f>
        <v>ukryj</v>
      </c>
    </row>
    <row r="1014" spans="1:4" x14ac:dyDescent="0.3">
      <c r="A1014" t="s">
        <v>5067</v>
      </c>
      <c r="B1014" t="s">
        <v>4011</v>
      </c>
      <c r="C1014" s="22" t="s">
        <v>5122</v>
      </c>
      <c r="D1014" t="str">
        <f>IF(WariantRZiS=2,"ukryj",IF(AND(rzis!F54=0,AND(rzis!H54=0,rzis!J54=0)),"ukryj","odkryj"))</f>
        <v>ukryj</v>
      </c>
    </row>
    <row r="1015" spans="1:4" x14ac:dyDescent="0.3">
      <c r="A1015" t="s">
        <v>5067</v>
      </c>
      <c r="B1015" t="s">
        <v>4011</v>
      </c>
      <c r="C1015" s="22" t="s">
        <v>5126</v>
      </c>
      <c r="D1015" t="str">
        <f>IF(WariantRZiS=2,"ukryj",IF(AND(rzis!F55=0,AND(rzis!H55=0,rzis!J55=0)),"ukryj","odkryj"))</f>
        <v>ukryj</v>
      </c>
    </row>
    <row r="1016" spans="1:4" x14ac:dyDescent="0.3">
      <c r="A1016" t="s">
        <v>5067</v>
      </c>
      <c r="B1016" t="s">
        <v>4011</v>
      </c>
      <c r="C1016" s="22" t="s">
        <v>5127</v>
      </c>
      <c r="D1016" t="str">
        <f>IF(WariantRZiS=2,"ukryj",IF(AND(rzis!F56=0,AND(rzis!H56=0,rzis!J56=0)),"ukryj","odkryj"))</f>
        <v>ukryj</v>
      </c>
    </row>
    <row r="1017" spans="1:4" x14ac:dyDescent="0.3">
      <c r="A1017" t="s">
        <v>5067</v>
      </c>
      <c r="B1017" t="s">
        <v>4011</v>
      </c>
      <c r="C1017" s="22" t="s">
        <v>5128</v>
      </c>
      <c r="D1017" t="str">
        <f>IF(WariantRZiS=2,"ukryj",IF(AND(rzis!F57=0,AND(rzis!H57=0,rzis!J57=0)),"ukryj","odkryj"))</f>
        <v>ukryj</v>
      </c>
    </row>
    <row r="1018" spans="1:4" x14ac:dyDescent="0.3">
      <c r="A1018" t="s">
        <v>5067</v>
      </c>
      <c r="B1018" t="s">
        <v>4011</v>
      </c>
      <c r="C1018" s="22" t="s">
        <v>5129</v>
      </c>
      <c r="D1018" t="str">
        <f>IF(WariantRZiS=2,"ukryj",IF(AND(rzis!F58=0,AND(rzis!H58=0,rzis!J58=0)),"ukryj","odkryj"))</f>
        <v>ukryj</v>
      </c>
    </row>
    <row r="1019" spans="1:4" x14ac:dyDescent="0.3">
      <c r="A1019" t="s">
        <v>5067</v>
      </c>
      <c r="B1019" t="s">
        <v>4861</v>
      </c>
      <c r="C1019" s="22" t="s">
        <v>5124</v>
      </c>
      <c r="D1019" t="s">
        <v>5070</v>
      </c>
    </row>
    <row r="1020" spans="1:4" x14ac:dyDescent="0.3">
      <c r="A1020" t="s">
        <v>5067</v>
      </c>
      <c r="B1020" t="s">
        <v>4861</v>
      </c>
      <c r="C1020" s="22" t="s">
        <v>5079</v>
      </c>
      <c r="D1020" t="s">
        <v>5070</v>
      </c>
    </row>
    <row r="1021" spans="1:4" x14ac:dyDescent="0.3">
      <c r="A1021" t="s">
        <v>5067</v>
      </c>
      <c r="B1021" t="s">
        <v>4861</v>
      </c>
      <c r="C1021" s="22" t="s">
        <v>5080</v>
      </c>
      <c r="D1021" t="s">
        <v>5070</v>
      </c>
    </row>
    <row r="1022" spans="1:4" x14ac:dyDescent="0.3">
      <c r="A1022" t="s">
        <v>5067</v>
      </c>
      <c r="B1022" t="s">
        <v>4861</v>
      </c>
      <c r="C1022" s="22" t="s">
        <v>5081</v>
      </c>
      <c r="D1022" t="s">
        <v>5070</v>
      </c>
    </row>
    <row r="1023" spans="1:4" x14ac:dyDescent="0.3">
      <c r="A1023" t="s">
        <v>5067</v>
      </c>
      <c r="B1023" t="s">
        <v>4861</v>
      </c>
      <c r="C1023" s="22" t="s">
        <v>5069</v>
      </c>
      <c r="D1023" t="s">
        <v>5070</v>
      </c>
    </row>
    <row r="1024" spans="1:4" x14ac:dyDescent="0.3">
      <c r="A1024" t="s">
        <v>5067</v>
      </c>
      <c r="B1024" t="s">
        <v>4861</v>
      </c>
      <c r="C1024" s="22" t="s">
        <v>5071</v>
      </c>
      <c r="D1024" t="s">
        <v>5070</v>
      </c>
    </row>
    <row r="1025" spans="1:4" x14ac:dyDescent="0.3">
      <c r="A1025" t="s">
        <v>5067</v>
      </c>
      <c r="B1025" t="s">
        <v>4861</v>
      </c>
      <c r="C1025" s="22" t="s">
        <v>5072</v>
      </c>
      <c r="D1025" t="str">
        <f>IF(AND(kapitał!F8=0,AND(kapitał!H8=0,kapitał!J8=0)),"ukryj","odkryj")</f>
        <v>ukryj</v>
      </c>
    </row>
    <row r="1026" spans="1:4" x14ac:dyDescent="0.3">
      <c r="A1026" t="s">
        <v>5067</v>
      </c>
      <c r="B1026" t="s">
        <v>4861</v>
      </c>
      <c r="C1026" s="22" t="s">
        <v>5073</v>
      </c>
      <c r="D1026" t="str">
        <f>IF(AND(kapitał!F9=0,AND(kapitał!H9=0,kapitał!J9=0)),"ukryj","odkryj")</f>
        <v>ukryj</v>
      </c>
    </row>
    <row r="1027" spans="1:4" x14ac:dyDescent="0.3">
      <c r="A1027" t="s">
        <v>5067</v>
      </c>
      <c r="B1027" t="s">
        <v>4861</v>
      </c>
      <c r="C1027" s="22" t="s">
        <v>5074</v>
      </c>
      <c r="D1027" t="str">
        <f>IF(AND(kapitał!F10=0,AND(kapitał!H10=0,kapitał!J10=0)),"ukryj","odkryj")</f>
        <v>ukryj</v>
      </c>
    </row>
    <row r="1028" spans="1:4" x14ac:dyDescent="0.3">
      <c r="A1028" t="s">
        <v>5067</v>
      </c>
      <c r="B1028" t="s">
        <v>4861</v>
      </c>
      <c r="C1028" s="22" t="s">
        <v>5075</v>
      </c>
      <c r="D1028" t="str">
        <f>IF(AND(kapitał!F11=0,AND(kapitał!H11=0,kapitał!J11=0)),"ukryj","odkryj")</f>
        <v>ukryj</v>
      </c>
    </row>
    <row r="1029" spans="1:4" x14ac:dyDescent="0.3">
      <c r="A1029" t="s">
        <v>5067</v>
      </c>
      <c r="B1029" t="s">
        <v>4861</v>
      </c>
      <c r="C1029" s="22" t="s">
        <v>5076</v>
      </c>
      <c r="D1029" t="str">
        <f>IF(AND(kapitał!F12=0,AND(kapitał!H12=0,kapitał!J12=0)),"ukryj","odkryj")</f>
        <v>ukryj</v>
      </c>
    </row>
    <row r="1030" spans="1:4" x14ac:dyDescent="0.3">
      <c r="A1030" t="s">
        <v>5067</v>
      </c>
      <c r="B1030" t="s">
        <v>4861</v>
      </c>
      <c r="C1030" s="22" t="s">
        <v>5077</v>
      </c>
      <c r="D1030" t="str">
        <f>IF(AND(kapitał!F13=0,AND(kapitał!H13=0,kapitał!J13=0)),"ukryj","odkryj")</f>
        <v>ukryj</v>
      </c>
    </row>
    <row r="1031" spans="1:4" x14ac:dyDescent="0.3">
      <c r="A1031" t="s">
        <v>5067</v>
      </c>
      <c r="B1031" t="s">
        <v>4861</v>
      </c>
      <c r="C1031" s="22" t="s">
        <v>5082</v>
      </c>
      <c r="D1031" t="str">
        <f>IF(AND(kapitał!F14=0,AND(kapitał!H14=0,kapitał!J14=0)),"ukryj","odkryj")</f>
        <v>ukryj</v>
      </c>
    </row>
    <row r="1032" spans="1:4" x14ac:dyDescent="0.3">
      <c r="A1032" t="s">
        <v>5067</v>
      </c>
      <c r="B1032" t="s">
        <v>4861</v>
      </c>
      <c r="C1032" s="22" t="s">
        <v>5083</v>
      </c>
      <c r="D1032" t="str">
        <f>IF(AND(kapitał!F15=0,AND(kapitał!H15=0,kapitał!J15=0)),"ukryj","odkryj")</f>
        <v>ukryj</v>
      </c>
    </row>
    <row r="1033" spans="1:4" x14ac:dyDescent="0.3">
      <c r="A1033" t="s">
        <v>5067</v>
      </c>
      <c r="B1033" t="s">
        <v>4861</v>
      </c>
      <c r="C1033" s="22" t="s">
        <v>5084</v>
      </c>
      <c r="D1033" t="str">
        <f>IF(AND(kapitał!F16=0,AND(kapitał!H16=0,kapitał!J16=0)),"ukryj","odkryj")</f>
        <v>ukryj</v>
      </c>
    </row>
    <row r="1034" spans="1:4" x14ac:dyDescent="0.3">
      <c r="A1034" t="s">
        <v>5067</v>
      </c>
      <c r="B1034" t="s">
        <v>4861</v>
      </c>
      <c r="C1034" s="22" t="s">
        <v>5085</v>
      </c>
      <c r="D1034" t="str">
        <f>IF(AND(kapitał!F17=0,AND(kapitał!H17=0,kapitał!J17=0)),"ukryj","odkryj")</f>
        <v>ukryj</v>
      </c>
    </row>
    <row r="1035" spans="1:4" x14ac:dyDescent="0.3">
      <c r="A1035" t="s">
        <v>5067</v>
      </c>
      <c r="B1035" t="s">
        <v>4861</v>
      </c>
      <c r="C1035" s="22" t="s">
        <v>5086</v>
      </c>
      <c r="D1035" t="str">
        <f>IF(AND(kapitał!F18=0,AND(kapitał!H18=0,kapitał!J18=0)),"ukryj","odkryj")</f>
        <v>ukryj</v>
      </c>
    </row>
    <row r="1036" spans="1:4" x14ac:dyDescent="0.3">
      <c r="A1036" t="s">
        <v>5067</v>
      </c>
      <c r="B1036" t="s">
        <v>4861</v>
      </c>
      <c r="C1036" s="22" t="s">
        <v>5087</v>
      </c>
      <c r="D1036" t="str">
        <f>IF(AND(kapitał!F19=0,AND(kapitał!H19=0,kapitał!J19=0)),"ukryj","odkryj")</f>
        <v>ukryj</v>
      </c>
    </row>
    <row r="1037" spans="1:4" x14ac:dyDescent="0.3">
      <c r="A1037" t="s">
        <v>5067</v>
      </c>
      <c r="B1037" t="s">
        <v>4861</v>
      </c>
      <c r="C1037" s="22" t="s">
        <v>5088</v>
      </c>
      <c r="D1037" t="str">
        <f>IF(AND(kapitał!F20=0,AND(kapitał!H20=0,kapitał!J20=0)),"ukryj","odkryj")</f>
        <v>ukryj</v>
      </c>
    </row>
    <row r="1038" spans="1:4" x14ac:dyDescent="0.3">
      <c r="A1038" t="s">
        <v>5067</v>
      </c>
      <c r="B1038" t="s">
        <v>4861</v>
      </c>
      <c r="C1038" s="22" t="s">
        <v>5089</v>
      </c>
      <c r="D1038" t="str">
        <f>IF(AND(kapitał!F21=0,AND(kapitał!H21=0,kapitał!J21=0)),"ukryj","odkryj")</f>
        <v>ukryj</v>
      </c>
    </row>
    <row r="1039" spans="1:4" x14ac:dyDescent="0.3">
      <c r="A1039" t="s">
        <v>5067</v>
      </c>
      <c r="B1039" t="s">
        <v>4861</v>
      </c>
      <c r="C1039" s="22" t="s">
        <v>5090</v>
      </c>
      <c r="D1039" t="str">
        <f>IF(AND(kapitał!F22=0,AND(kapitał!H22=0,kapitał!J22=0)),"ukryj","odkryj")</f>
        <v>ukryj</v>
      </c>
    </row>
    <row r="1040" spans="1:4" x14ac:dyDescent="0.3">
      <c r="A1040" t="s">
        <v>5067</v>
      </c>
      <c r="B1040" t="s">
        <v>4861</v>
      </c>
      <c r="C1040" s="22" t="s">
        <v>5091</v>
      </c>
      <c r="D1040" t="str">
        <f>IF(AND(kapitał!F23=0,AND(kapitał!H23=0,kapitał!J23=0)),"ukryj","odkryj")</f>
        <v>ukryj</v>
      </c>
    </row>
    <row r="1041" spans="1:4" x14ac:dyDescent="0.3">
      <c r="A1041" t="s">
        <v>5067</v>
      </c>
      <c r="B1041" t="s">
        <v>4861</v>
      </c>
      <c r="C1041" s="22" t="s">
        <v>5092</v>
      </c>
      <c r="D1041" t="str">
        <f>IF(AND(kapitał!F24=0,AND(kapitał!H24=0,kapitał!J24=0)),"ukryj","odkryj")</f>
        <v>ukryj</v>
      </c>
    </row>
    <row r="1042" spans="1:4" x14ac:dyDescent="0.3">
      <c r="A1042" t="s">
        <v>5067</v>
      </c>
      <c r="B1042" t="s">
        <v>4861</v>
      </c>
      <c r="C1042" s="22" t="s">
        <v>5093</v>
      </c>
      <c r="D1042" t="str">
        <f>IF(AND(kapitał!F25=0,AND(kapitał!H25=0,kapitał!J25=0)),"ukryj","odkryj")</f>
        <v>ukryj</v>
      </c>
    </row>
    <row r="1043" spans="1:4" x14ac:dyDescent="0.3">
      <c r="A1043" t="s">
        <v>5067</v>
      </c>
      <c r="B1043" t="s">
        <v>4861</v>
      </c>
      <c r="C1043" s="22" t="s">
        <v>5094</v>
      </c>
      <c r="D1043" t="str">
        <f>IF(AND(kapitał!F26=0,AND(kapitał!H26=0,kapitał!J26=0)),"ukryj","odkryj")</f>
        <v>ukryj</v>
      </c>
    </row>
    <row r="1044" spans="1:4" x14ac:dyDescent="0.3">
      <c r="A1044" t="s">
        <v>5067</v>
      </c>
      <c r="B1044" t="s">
        <v>4861</v>
      </c>
      <c r="C1044" s="22" t="s">
        <v>5095</v>
      </c>
      <c r="D1044" t="str">
        <f>IF(AND(kapitał!F27=0,AND(kapitał!H27=0,kapitał!J27=0)),"ukryj","odkryj")</f>
        <v>ukryj</v>
      </c>
    </row>
    <row r="1045" spans="1:4" x14ac:dyDescent="0.3">
      <c r="A1045" t="s">
        <v>5067</v>
      </c>
      <c r="B1045" t="s">
        <v>4861</v>
      </c>
      <c r="C1045" s="22" t="s">
        <v>5096</v>
      </c>
      <c r="D1045" t="str">
        <f>IF(AND(kapitał!F28=0,AND(kapitał!H28=0,kapitał!J28=0)),"ukryj","odkryj")</f>
        <v>ukryj</v>
      </c>
    </row>
    <row r="1046" spans="1:4" x14ac:dyDescent="0.3">
      <c r="A1046" t="s">
        <v>5067</v>
      </c>
      <c r="B1046" t="s">
        <v>4861</v>
      </c>
      <c r="C1046" s="22" t="s">
        <v>5097</v>
      </c>
      <c r="D1046" t="str">
        <f>IF(AND(kapitał!F29=0,AND(kapitał!H29=0,kapitał!J29=0)),"ukryj","odkryj")</f>
        <v>ukryj</v>
      </c>
    </row>
    <row r="1047" spans="1:4" x14ac:dyDescent="0.3">
      <c r="A1047" t="s">
        <v>5067</v>
      </c>
      <c r="B1047" t="s">
        <v>4861</v>
      </c>
      <c r="C1047" s="22" t="s">
        <v>5098</v>
      </c>
      <c r="D1047" t="str">
        <f>IF(AND(kapitał!F30=0,AND(kapitał!H30=0,kapitał!J30=0)),"ukryj","odkryj")</f>
        <v>ukryj</v>
      </c>
    </row>
    <row r="1048" spans="1:4" x14ac:dyDescent="0.3">
      <c r="A1048" t="s">
        <v>5067</v>
      </c>
      <c r="B1048" t="s">
        <v>4861</v>
      </c>
      <c r="C1048" s="22" t="s">
        <v>5099</v>
      </c>
      <c r="D1048" t="str">
        <f>IF(AND(kapitał!F31=0,AND(kapitał!H31=0,kapitał!J31=0)),"ukryj","odkryj")</f>
        <v>ukryj</v>
      </c>
    </row>
    <row r="1049" spans="1:4" x14ac:dyDescent="0.3">
      <c r="A1049" t="s">
        <v>5067</v>
      </c>
      <c r="B1049" t="s">
        <v>4861</v>
      </c>
      <c r="C1049" s="22" t="s">
        <v>5100</v>
      </c>
      <c r="D1049" t="str">
        <f>IF(AND(kapitał!F32=0,AND(kapitał!H32=0,kapitał!J32=0)),"ukryj","odkryj")</f>
        <v>ukryj</v>
      </c>
    </row>
    <row r="1050" spans="1:4" x14ac:dyDescent="0.3">
      <c r="A1050" t="s">
        <v>5067</v>
      </c>
      <c r="B1050" t="s">
        <v>4861</v>
      </c>
      <c r="C1050" s="22" t="s">
        <v>5101</v>
      </c>
      <c r="D1050" t="str">
        <f>IF(AND(kapitał!F33=0,AND(kapitał!H33=0,kapitał!J33=0)),"ukryj","odkryj")</f>
        <v>ukryj</v>
      </c>
    </row>
    <row r="1051" spans="1:4" x14ac:dyDescent="0.3">
      <c r="A1051" t="s">
        <v>5067</v>
      </c>
      <c r="B1051" t="s">
        <v>4861</v>
      </c>
      <c r="C1051" s="22" t="s">
        <v>5102</v>
      </c>
      <c r="D1051" t="str">
        <f>IF(AND(kapitał!F34=0,AND(kapitał!H34=0,kapitał!J34=0)),"ukryj","odkryj")</f>
        <v>ukryj</v>
      </c>
    </row>
    <row r="1052" spans="1:4" x14ac:dyDescent="0.3">
      <c r="A1052" t="s">
        <v>5067</v>
      </c>
      <c r="B1052" t="s">
        <v>4861</v>
      </c>
      <c r="C1052" s="22" t="s">
        <v>5103</v>
      </c>
      <c r="D1052" t="str">
        <f>IF(AND(kapitał!F35=0,AND(kapitał!H35=0,kapitał!J35=0)),"ukryj","odkryj")</f>
        <v>ukryj</v>
      </c>
    </row>
    <row r="1053" spans="1:4" x14ac:dyDescent="0.3">
      <c r="A1053" t="s">
        <v>5067</v>
      </c>
      <c r="B1053" t="s">
        <v>4861</v>
      </c>
      <c r="C1053" s="22" t="s">
        <v>5104</v>
      </c>
      <c r="D1053" t="str">
        <f>IF(AND(kapitał!F36=0,AND(kapitał!H36=0,kapitał!J36=0)),"ukryj","odkryj")</f>
        <v>ukryj</v>
      </c>
    </row>
    <row r="1054" spans="1:4" x14ac:dyDescent="0.3">
      <c r="A1054" t="s">
        <v>5067</v>
      </c>
      <c r="B1054" t="s">
        <v>4861</v>
      </c>
      <c r="C1054" s="22" t="s">
        <v>5105</v>
      </c>
      <c r="D1054" t="str">
        <f>IF(AND(kapitał!F37=0,AND(kapitał!H37=0,kapitał!J37=0)),"ukryj","odkryj")</f>
        <v>ukryj</v>
      </c>
    </row>
    <row r="1055" spans="1:4" x14ac:dyDescent="0.3">
      <c r="A1055" t="s">
        <v>5067</v>
      </c>
      <c r="B1055" t="s">
        <v>4861</v>
      </c>
      <c r="C1055" s="22" t="s">
        <v>5106</v>
      </c>
      <c r="D1055" t="str">
        <f>IF(AND(kapitał!F38=0,AND(kapitał!H38=0,kapitał!J38=0)),"ukryj","odkryj")</f>
        <v>ukryj</v>
      </c>
    </row>
    <row r="1056" spans="1:4" x14ac:dyDescent="0.3">
      <c r="A1056" t="s">
        <v>5067</v>
      </c>
      <c r="B1056" t="s">
        <v>4861</v>
      </c>
      <c r="C1056" s="22" t="s">
        <v>5107</v>
      </c>
      <c r="D1056" t="str">
        <f>IF(AND(kapitał!F39=0,AND(kapitał!H39=0,kapitał!J39=0)),"ukryj","odkryj")</f>
        <v>ukryj</v>
      </c>
    </row>
    <row r="1057" spans="1:4" x14ac:dyDescent="0.3">
      <c r="A1057" t="s">
        <v>5067</v>
      </c>
      <c r="B1057" t="s">
        <v>4861</v>
      </c>
      <c r="C1057" s="22" t="s">
        <v>5108</v>
      </c>
      <c r="D1057" t="str">
        <f>IF(AND(kapitał!F40=0,AND(kapitał!H40=0,kapitał!J40=0)),"ukryj","odkryj")</f>
        <v>ukryj</v>
      </c>
    </row>
    <row r="1058" spans="1:4" x14ac:dyDescent="0.3">
      <c r="A1058" t="s">
        <v>5067</v>
      </c>
      <c r="B1058" t="s">
        <v>4861</v>
      </c>
      <c r="C1058" s="22" t="s">
        <v>5109</v>
      </c>
      <c r="D1058" t="str">
        <f>IF(AND(kapitał!F41=0,AND(kapitał!H41=0,kapitał!J41=0)),"ukryj","odkryj")</f>
        <v>ukryj</v>
      </c>
    </row>
    <row r="1059" spans="1:4" x14ac:dyDescent="0.3">
      <c r="A1059" t="s">
        <v>5067</v>
      </c>
      <c r="B1059" t="s">
        <v>4861</v>
      </c>
      <c r="C1059" s="22" t="s">
        <v>5110</v>
      </c>
      <c r="D1059" t="str">
        <f>IF(AND(kapitał!F42=0,AND(kapitał!H42=0,kapitał!J42=0)),"ukryj","odkryj")</f>
        <v>ukryj</v>
      </c>
    </row>
    <row r="1060" spans="1:4" x14ac:dyDescent="0.3">
      <c r="A1060" t="s">
        <v>5067</v>
      </c>
      <c r="B1060" t="s">
        <v>4861</v>
      </c>
      <c r="C1060" s="22" t="s">
        <v>5111</v>
      </c>
      <c r="D1060" t="str">
        <f>IF(AND(kapitał!F43=0,AND(kapitał!H43=0,kapitał!J43=0)),"ukryj","odkryj")</f>
        <v>ukryj</v>
      </c>
    </row>
    <row r="1061" spans="1:4" x14ac:dyDescent="0.3">
      <c r="A1061" t="s">
        <v>5067</v>
      </c>
      <c r="B1061" t="s">
        <v>4861</v>
      </c>
      <c r="C1061" s="22" t="s">
        <v>5112</v>
      </c>
      <c r="D1061" t="str">
        <f>IF(AND(kapitał!F44=0,AND(kapitał!H44=0,kapitał!J44=0)),"ukryj","odkryj")</f>
        <v>ukryj</v>
      </c>
    </row>
    <row r="1062" spans="1:4" x14ac:dyDescent="0.3">
      <c r="A1062" t="s">
        <v>5067</v>
      </c>
      <c r="B1062" t="s">
        <v>4861</v>
      </c>
      <c r="C1062" s="22" t="s">
        <v>5113</v>
      </c>
      <c r="D1062" t="str">
        <f>IF(AND(kapitał!F45=0,AND(kapitał!H45=0,kapitał!J45=0)),"ukryj","odkryj")</f>
        <v>ukryj</v>
      </c>
    </row>
    <row r="1063" spans="1:4" x14ac:dyDescent="0.3">
      <c r="A1063" t="s">
        <v>5067</v>
      </c>
      <c r="B1063" t="s">
        <v>4861</v>
      </c>
      <c r="C1063" s="22" t="s">
        <v>5114</v>
      </c>
      <c r="D1063" t="str">
        <f>IF(AND(kapitał!F46=0,AND(kapitał!H46=0,kapitał!J46=0)),"ukryj","odkryj")</f>
        <v>ukryj</v>
      </c>
    </row>
    <row r="1064" spans="1:4" x14ac:dyDescent="0.3">
      <c r="A1064" t="s">
        <v>5067</v>
      </c>
      <c r="B1064" t="s">
        <v>4861</v>
      </c>
      <c r="C1064" s="22" t="s">
        <v>5115</v>
      </c>
      <c r="D1064" t="str">
        <f>IF(AND(kapitał!F47=0,AND(kapitał!H47=0,kapitał!J47=0)),"ukryj","odkryj")</f>
        <v>ukryj</v>
      </c>
    </row>
    <row r="1065" spans="1:4" x14ac:dyDescent="0.3">
      <c r="A1065" t="s">
        <v>5067</v>
      </c>
      <c r="B1065" t="s">
        <v>4861</v>
      </c>
      <c r="C1065" s="22" t="s">
        <v>5116</v>
      </c>
      <c r="D1065" t="str">
        <f>IF(AND(kapitał!F48=0,AND(kapitał!H48=0,kapitał!J48=0)),"ukryj","odkryj")</f>
        <v>ukryj</v>
      </c>
    </row>
    <row r="1066" spans="1:4" x14ac:dyDescent="0.3">
      <c r="A1066" t="s">
        <v>5067</v>
      </c>
      <c r="B1066" t="s">
        <v>4861</v>
      </c>
      <c r="C1066" s="22" t="s">
        <v>5117</v>
      </c>
      <c r="D1066" t="str">
        <f>IF(AND(kapitał!F49=0,AND(kapitał!H49=0,kapitał!J49=0)),"ukryj","odkryj")</f>
        <v>ukryj</v>
      </c>
    </row>
    <row r="1067" spans="1:4" x14ac:dyDescent="0.3">
      <c r="A1067" t="s">
        <v>5067</v>
      </c>
      <c r="B1067" t="s">
        <v>4861</v>
      </c>
      <c r="C1067" s="22" t="s">
        <v>5118</v>
      </c>
      <c r="D1067" t="str">
        <f>IF(AND(kapitał!F50=0,AND(kapitał!H50=0,kapitał!J50=0)),"ukryj","odkryj")</f>
        <v>ukryj</v>
      </c>
    </row>
    <row r="1068" spans="1:4" x14ac:dyDescent="0.3">
      <c r="A1068" t="s">
        <v>5067</v>
      </c>
      <c r="B1068" t="s">
        <v>4861</v>
      </c>
      <c r="C1068" s="22" t="s">
        <v>5119</v>
      </c>
      <c r="D1068" t="str">
        <f>IF(AND(kapitał!F51=0,AND(kapitał!H51=0,kapitał!J51=0)),"ukryj","odkryj")</f>
        <v>ukryj</v>
      </c>
    </row>
    <row r="1069" spans="1:4" x14ac:dyDescent="0.3">
      <c r="A1069" t="s">
        <v>5067</v>
      </c>
      <c r="B1069" t="s">
        <v>4861</v>
      </c>
      <c r="C1069" s="22" t="s">
        <v>5120</v>
      </c>
      <c r="D1069" t="str">
        <f>IF(AND(kapitał!F52=0,AND(kapitał!H52=0,kapitał!J52=0)),"ukryj","odkryj")</f>
        <v>ukryj</v>
      </c>
    </row>
    <row r="1070" spans="1:4" x14ac:dyDescent="0.3">
      <c r="A1070" t="s">
        <v>5067</v>
      </c>
      <c r="B1070" t="s">
        <v>4861</v>
      </c>
      <c r="C1070" s="22" t="s">
        <v>5121</v>
      </c>
      <c r="D1070" t="str">
        <f>IF(AND(kapitał!F53=0,AND(kapitał!H53=0,kapitał!J53=0)),"ukryj","odkryj")</f>
        <v>ukryj</v>
      </c>
    </row>
    <row r="1071" spans="1:4" x14ac:dyDescent="0.3">
      <c r="A1071" t="s">
        <v>5067</v>
      </c>
      <c r="B1071" t="s">
        <v>4861</v>
      </c>
      <c r="C1071" s="22" t="s">
        <v>5122</v>
      </c>
      <c r="D1071" t="str">
        <f>IF(AND(kapitał!F54=0,AND(kapitał!H54=0,kapitał!J54=0)),"ukryj","odkryj")</f>
        <v>ukryj</v>
      </c>
    </row>
    <row r="1072" spans="1:4" x14ac:dyDescent="0.3">
      <c r="A1072" t="s">
        <v>5067</v>
      </c>
      <c r="B1072" t="s">
        <v>4861</v>
      </c>
      <c r="C1072" s="22" t="s">
        <v>5126</v>
      </c>
      <c r="D1072" t="str">
        <f>IF(AND(kapitał!F55=0,AND(kapitał!H55=0,kapitał!J55=0)),"ukryj","odkryj")</f>
        <v>ukryj</v>
      </c>
    </row>
    <row r="1073" spans="1:4" x14ac:dyDescent="0.3">
      <c r="A1073" t="s">
        <v>5067</v>
      </c>
      <c r="B1073" t="s">
        <v>4861</v>
      </c>
      <c r="C1073" s="22" t="s">
        <v>5127</v>
      </c>
      <c r="D1073" t="str">
        <f>IF(AND(kapitał!F56=0,AND(kapitał!H56=0,kapitał!J56=0)),"ukryj","odkryj")</f>
        <v>ukryj</v>
      </c>
    </row>
    <row r="1074" spans="1:4" x14ac:dyDescent="0.3">
      <c r="A1074" t="s">
        <v>5067</v>
      </c>
      <c r="B1074" t="s">
        <v>4861</v>
      </c>
      <c r="C1074" s="22" t="s">
        <v>5128</v>
      </c>
      <c r="D1074" t="str">
        <f>IF(AND(kapitał!F57=0,AND(kapitał!H57=0,kapitał!J57=0)),"ukryj","odkryj")</f>
        <v>ukryj</v>
      </c>
    </row>
    <row r="1075" spans="1:4" x14ac:dyDescent="0.3">
      <c r="A1075" t="s">
        <v>5067</v>
      </c>
      <c r="B1075" t="s">
        <v>4861</v>
      </c>
      <c r="C1075" s="22" t="s">
        <v>5129</v>
      </c>
      <c r="D1075" t="str">
        <f>IF(AND(kapitał!F58=0,AND(kapitał!H58=0,kapitał!J58=0)),"ukryj","odkryj")</f>
        <v>ukryj</v>
      </c>
    </row>
    <row r="1076" spans="1:4" x14ac:dyDescent="0.3">
      <c r="A1076" t="s">
        <v>5067</v>
      </c>
      <c r="B1076" t="s">
        <v>4861</v>
      </c>
      <c r="C1076" s="22" t="s">
        <v>5130</v>
      </c>
      <c r="D1076" t="str">
        <f>IF(AND(kapitał!F59=0,AND(kapitał!H59=0,kapitał!J59=0)),"ukryj","odkryj")</f>
        <v>ukryj</v>
      </c>
    </row>
    <row r="1077" spans="1:4" x14ac:dyDescent="0.3">
      <c r="A1077" t="s">
        <v>5067</v>
      </c>
      <c r="B1077" t="s">
        <v>4861</v>
      </c>
      <c r="C1077" s="22" t="s">
        <v>5131</v>
      </c>
      <c r="D1077" t="str">
        <f>IF(AND(kapitał!F60=0,AND(kapitał!H60=0,kapitał!J60=0)),"ukryj","odkryj")</f>
        <v>ukryj</v>
      </c>
    </row>
    <row r="1078" spans="1:4" x14ac:dyDescent="0.3">
      <c r="A1078" t="s">
        <v>5067</v>
      </c>
      <c r="B1078" t="s">
        <v>4861</v>
      </c>
      <c r="C1078" s="22" t="s">
        <v>5132</v>
      </c>
      <c r="D1078" t="str">
        <f>IF(AND(kapitał!F61=0,AND(kapitał!H61=0,kapitał!J61=0)),"ukryj","odkryj")</f>
        <v>ukryj</v>
      </c>
    </row>
    <row r="1079" spans="1:4" x14ac:dyDescent="0.3">
      <c r="A1079" t="s">
        <v>5067</v>
      </c>
      <c r="B1079" t="s">
        <v>4861</v>
      </c>
      <c r="C1079" s="22" t="s">
        <v>5133</v>
      </c>
      <c r="D1079" t="str">
        <f>IF(AND(kapitał!F62=0,AND(kapitał!H62=0,kapitał!J62=0)),"ukryj","odkryj")</f>
        <v>ukryj</v>
      </c>
    </row>
    <row r="1080" spans="1:4" x14ac:dyDescent="0.3">
      <c r="A1080" t="s">
        <v>5067</v>
      </c>
      <c r="B1080" t="s">
        <v>4549</v>
      </c>
      <c r="C1080" s="22" t="s">
        <v>5124</v>
      </c>
      <c r="D1080" t="s">
        <v>5070</v>
      </c>
    </row>
    <row r="1081" spans="1:4" x14ac:dyDescent="0.3">
      <c r="A1081" t="s">
        <v>5067</v>
      </c>
      <c r="B1081" t="s">
        <v>4549</v>
      </c>
      <c r="C1081" s="22" t="s">
        <v>5079</v>
      </c>
      <c r="D1081" t="s">
        <v>5070</v>
      </c>
    </row>
    <row r="1082" spans="1:4" x14ac:dyDescent="0.3">
      <c r="A1082" t="s">
        <v>5067</v>
      </c>
      <c r="B1082" t="s">
        <v>4549</v>
      </c>
      <c r="C1082" s="22" t="s">
        <v>5080</v>
      </c>
      <c r="D1082" t="s">
        <v>5070</v>
      </c>
    </row>
    <row r="1083" spans="1:4" x14ac:dyDescent="0.3">
      <c r="A1083" t="s">
        <v>5067</v>
      </c>
      <c r="B1083" t="s">
        <v>4549</v>
      </c>
      <c r="C1083" s="22" t="s">
        <v>5081</v>
      </c>
      <c r="D1083" t="s">
        <v>5070</v>
      </c>
    </row>
    <row r="1084" spans="1:4" x14ac:dyDescent="0.3">
      <c r="A1084" t="s">
        <v>5067</v>
      </c>
      <c r="B1084" t="s">
        <v>4549</v>
      </c>
      <c r="C1084" s="22" t="s">
        <v>5069</v>
      </c>
      <c r="D1084" t="s">
        <v>5070</v>
      </c>
    </row>
    <row r="1085" spans="1:4" x14ac:dyDescent="0.3">
      <c r="A1085" t="s">
        <v>5067</v>
      </c>
      <c r="B1085" t="s">
        <v>4549</v>
      </c>
      <c r="C1085" s="22" t="s">
        <v>5071</v>
      </c>
      <c r="D1085" t="s">
        <v>5070</v>
      </c>
    </row>
    <row r="1086" spans="1:4" x14ac:dyDescent="0.3">
      <c r="A1086" t="s">
        <v>5067</v>
      </c>
      <c r="B1086" t="s">
        <v>4549</v>
      </c>
      <c r="C1086" s="22" t="s">
        <v>5072</v>
      </c>
      <c r="D1086" t="s">
        <v>5070</v>
      </c>
    </row>
    <row r="1087" spans="1:4" x14ac:dyDescent="0.3">
      <c r="A1087" t="s">
        <v>5067</v>
      </c>
      <c r="B1087" t="s">
        <v>4549</v>
      </c>
      <c r="C1087" s="22" t="s">
        <v>5073</v>
      </c>
      <c r="D1087" t="str">
        <f>IF(AND(przepływy!F9=0,AND(przepływy!H9=0,przepływy!J9=0)),"ukryj","odkryj")</f>
        <v>ukryj</v>
      </c>
    </row>
    <row r="1088" spans="1:4" x14ac:dyDescent="0.3">
      <c r="A1088" t="s">
        <v>5067</v>
      </c>
      <c r="B1088" t="s">
        <v>4549</v>
      </c>
      <c r="C1088" s="22" t="s">
        <v>5074</v>
      </c>
      <c r="D1088" t="str">
        <f>IF(AND(przepływy!F10=0,AND(przepływy!H10=0,przepływy!J10=0)),"ukryj","odkryj")</f>
        <v>ukryj</v>
      </c>
    </row>
    <row r="1089" spans="1:4" x14ac:dyDescent="0.3">
      <c r="A1089" t="s">
        <v>5067</v>
      </c>
      <c r="B1089" t="s">
        <v>4549</v>
      </c>
      <c r="C1089" s="22" t="s">
        <v>5075</v>
      </c>
      <c r="D1089" t="str">
        <f>IF(AND(przepływy!F11=0,AND(przepływy!H11=0,przepływy!J11=0)),"ukryj","odkryj")</f>
        <v>ukryj</v>
      </c>
    </row>
    <row r="1090" spans="1:4" x14ac:dyDescent="0.3">
      <c r="A1090" t="s">
        <v>5067</v>
      </c>
      <c r="B1090" t="s">
        <v>4549</v>
      </c>
      <c r="C1090" s="22" t="s">
        <v>5076</v>
      </c>
      <c r="D1090" t="str">
        <f>IF(AND(przepływy!F12=0,AND(przepływy!H12=0,przepływy!J12=0)),"ukryj","odkryj")</f>
        <v>ukryj</v>
      </c>
    </row>
    <row r="1091" spans="1:4" x14ac:dyDescent="0.3">
      <c r="A1091" t="s">
        <v>5067</v>
      </c>
      <c r="B1091" t="s">
        <v>4549</v>
      </c>
      <c r="C1091" s="22" t="s">
        <v>5077</v>
      </c>
      <c r="D1091" t="str">
        <f>IF(AND(przepływy!F13=0,AND(przepływy!H13=0,przepływy!J13=0)),"ukryj","odkryj")</f>
        <v>ukryj</v>
      </c>
    </row>
    <row r="1092" spans="1:4" x14ac:dyDescent="0.3">
      <c r="A1092" t="s">
        <v>5067</v>
      </c>
      <c r="B1092" t="s">
        <v>4549</v>
      </c>
      <c r="C1092" s="22" t="s">
        <v>5082</v>
      </c>
      <c r="D1092" t="str">
        <f>IF(AND(przepływy!F14=0,AND(przepływy!H14=0,przepływy!J14=0)),"ukryj","odkryj")</f>
        <v>ukryj</v>
      </c>
    </row>
    <row r="1093" spans="1:4" x14ac:dyDescent="0.3">
      <c r="A1093" t="s">
        <v>5067</v>
      </c>
      <c r="B1093" t="s">
        <v>4549</v>
      </c>
      <c r="C1093" s="22" t="s">
        <v>5083</v>
      </c>
      <c r="D1093" t="str">
        <f>IF(AND(przepływy!F15=0,AND(przepływy!H15=0,przepływy!J15=0)),"ukryj","odkryj")</f>
        <v>ukryj</v>
      </c>
    </row>
    <row r="1094" spans="1:4" x14ac:dyDescent="0.3">
      <c r="A1094" t="s">
        <v>5067</v>
      </c>
      <c r="B1094" t="s">
        <v>4549</v>
      </c>
      <c r="C1094" s="22" t="s">
        <v>5084</v>
      </c>
      <c r="D1094" t="str">
        <f>IF(AND(przepływy!F16=0,AND(przepływy!H16=0,przepływy!J16=0)),"ukryj","odkryj")</f>
        <v>ukryj</v>
      </c>
    </row>
    <row r="1095" spans="1:4" x14ac:dyDescent="0.3">
      <c r="A1095" t="s">
        <v>5067</v>
      </c>
      <c r="B1095" t="s">
        <v>4549</v>
      </c>
      <c r="C1095" s="22" t="s">
        <v>5085</v>
      </c>
      <c r="D1095" t="str">
        <f>IF(AND(przepływy!F17=0,AND(przepływy!H17=0,przepływy!J17=0)),"ukryj","odkryj")</f>
        <v>ukryj</v>
      </c>
    </row>
    <row r="1096" spans="1:4" x14ac:dyDescent="0.3">
      <c r="A1096" t="s">
        <v>5067</v>
      </c>
      <c r="B1096" t="s">
        <v>4549</v>
      </c>
      <c r="C1096" s="22" t="s">
        <v>5086</v>
      </c>
      <c r="D1096" t="str">
        <f>IF(AND(przepływy!F18=0,AND(przepływy!H18=0,przepływy!J18=0)),"ukryj","odkryj")</f>
        <v>ukryj</v>
      </c>
    </row>
    <row r="1097" spans="1:4" x14ac:dyDescent="0.3">
      <c r="A1097" t="s">
        <v>5067</v>
      </c>
      <c r="B1097" t="s">
        <v>4549</v>
      </c>
      <c r="C1097" s="22" t="s">
        <v>5087</v>
      </c>
      <c r="D1097" t="str">
        <f>IF(AND(przepływy!F19=0,AND(przepływy!H19=0,przepływy!J19=0)),"ukryj","odkryj")</f>
        <v>ukryj</v>
      </c>
    </row>
    <row r="1098" spans="1:4" x14ac:dyDescent="0.3">
      <c r="A1098" t="s">
        <v>5067</v>
      </c>
      <c r="B1098" t="s">
        <v>4549</v>
      </c>
      <c r="C1098" s="22" t="s">
        <v>5088</v>
      </c>
      <c r="D1098" t="str">
        <f>IF(AND(przepływy!F20=0,AND(przepływy!H20=0,przepływy!J20=0)),"ukryj","odkryj")</f>
        <v>ukryj</v>
      </c>
    </row>
    <row r="1099" spans="1:4" x14ac:dyDescent="0.3">
      <c r="A1099" t="s">
        <v>5067</v>
      </c>
      <c r="B1099" t="s">
        <v>4549</v>
      </c>
      <c r="C1099" s="22" t="s">
        <v>5089</v>
      </c>
      <c r="D1099" t="str">
        <f>IF(AND(przepływy!F21=0,AND(przepływy!H21=0,przepływy!J21=0)),"ukryj","odkryj")</f>
        <v>ukryj</v>
      </c>
    </row>
    <row r="1100" spans="1:4" x14ac:dyDescent="0.3">
      <c r="A1100" t="s">
        <v>5067</v>
      </c>
      <c r="B1100" t="s">
        <v>4549</v>
      </c>
      <c r="C1100" s="22" t="s">
        <v>5090</v>
      </c>
      <c r="D1100" t="s">
        <v>5070</v>
      </c>
    </row>
    <row r="1101" spans="1:4" x14ac:dyDescent="0.3">
      <c r="A1101" t="s">
        <v>5067</v>
      </c>
      <c r="B1101" t="s">
        <v>4549</v>
      </c>
      <c r="C1101" s="22" t="s">
        <v>5091</v>
      </c>
      <c r="D1101" t="str">
        <f>IF(AND(przepływy!F23=0,AND(przepływy!H23=0,przepływy!J23=0)),"ukryj","odkryj")</f>
        <v>ukryj</v>
      </c>
    </row>
    <row r="1102" spans="1:4" x14ac:dyDescent="0.3">
      <c r="A1102" t="s">
        <v>5067</v>
      </c>
      <c r="B1102" t="s">
        <v>4549</v>
      </c>
      <c r="C1102" s="22" t="s">
        <v>5092</v>
      </c>
      <c r="D1102" t="str">
        <f>IF(AND(przepływy!F24=0,AND(przepływy!H24=0,przepływy!J24=0)),"ukryj","odkryj")</f>
        <v>ukryj</v>
      </c>
    </row>
    <row r="1103" spans="1:4" x14ac:dyDescent="0.3">
      <c r="A1103" t="s">
        <v>5067</v>
      </c>
      <c r="B1103" t="s">
        <v>4549</v>
      </c>
      <c r="C1103" s="22" t="s">
        <v>5093</v>
      </c>
      <c r="D1103" t="str">
        <f>IF(AND(przepływy!F25=0,AND(przepływy!H25=0,przepływy!J25=0)),"ukryj","odkryj")</f>
        <v>ukryj</v>
      </c>
    </row>
    <row r="1104" spans="1:4" x14ac:dyDescent="0.3">
      <c r="A1104" t="s">
        <v>5067</v>
      </c>
      <c r="B1104" t="s">
        <v>4549</v>
      </c>
      <c r="C1104" s="22" t="s">
        <v>5094</v>
      </c>
      <c r="D1104" t="str">
        <f>IF(AND(przepływy!F26=0,AND(przepływy!H26=0,przepływy!J26=0)),"ukryj","odkryj")</f>
        <v>ukryj</v>
      </c>
    </row>
    <row r="1105" spans="1:4" x14ac:dyDescent="0.3">
      <c r="A1105" t="s">
        <v>5067</v>
      </c>
      <c r="B1105" t="s">
        <v>4549</v>
      </c>
      <c r="C1105" s="22" t="s">
        <v>5095</v>
      </c>
      <c r="D1105" t="str">
        <f>IF(AND(przepływy!F27=0,AND(przepływy!H27=0,przepływy!J27=0)),"ukryj","odkryj")</f>
        <v>ukryj</v>
      </c>
    </row>
    <row r="1106" spans="1:4" x14ac:dyDescent="0.3">
      <c r="A1106" t="s">
        <v>5067</v>
      </c>
      <c r="B1106" t="s">
        <v>4549</v>
      </c>
      <c r="C1106" s="22" t="s">
        <v>5096</v>
      </c>
      <c r="D1106" t="str">
        <f>IF(AND(przepływy!F28=0,AND(przepływy!H28=0,przepływy!J28=0)),"ukryj","odkryj")</f>
        <v>ukryj</v>
      </c>
    </row>
    <row r="1107" spans="1:4" x14ac:dyDescent="0.3">
      <c r="A1107" t="s">
        <v>5067</v>
      </c>
      <c r="B1107" t="s">
        <v>4549</v>
      </c>
      <c r="C1107" s="22" t="s">
        <v>5097</v>
      </c>
      <c r="D1107" t="str">
        <f>IF(AND(przepływy!F29=0,AND(przepływy!H29=0,przepływy!J29=0)),"ukryj","odkryj")</f>
        <v>ukryj</v>
      </c>
    </row>
    <row r="1108" spans="1:4" x14ac:dyDescent="0.3">
      <c r="A1108" t="s">
        <v>5067</v>
      </c>
      <c r="B1108" t="s">
        <v>4549</v>
      </c>
      <c r="C1108" s="22" t="s">
        <v>5098</v>
      </c>
      <c r="D1108" t="str">
        <f>IF(AND(przepływy!F30=0,AND(przepływy!H30=0,przepływy!J30=0)),"ukryj","odkryj")</f>
        <v>ukryj</v>
      </c>
    </row>
    <row r="1109" spans="1:4" x14ac:dyDescent="0.3">
      <c r="A1109" t="s">
        <v>5067</v>
      </c>
      <c r="B1109" t="s">
        <v>4549</v>
      </c>
      <c r="C1109" s="22" t="s">
        <v>5099</v>
      </c>
      <c r="D1109" t="str">
        <f>IF(AND(przepływy!F31=0,AND(przepływy!H31=0,przepływy!J31=0)),"ukryj","odkryj")</f>
        <v>ukryj</v>
      </c>
    </row>
    <row r="1110" spans="1:4" x14ac:dyDescent="0.3">
      <c r="A1110" t="s">
        <v>5067</v>
      </c>
      <c r="B1110" t="s">
        <v>4549</v>
      </c>
      <c r="C1110" s="22" t="s">
        <v>5100</v>
      </c>
      <c r="D1110" t="str">
        <f>IF(AND(przepływy!F32=0,AND(przepływy!H32=0,przepływy!J32=0)),"ukryj","odkryj")</f>
        <v>ukryj</v>
      </c>
    </row>
    <row r="1111" spans="1:4" x14ac:dyDescent="0.3">
      <c r="A1111" t="s">
        <v>5067</v>
      </c>
      <c r="B1111" t="s">
        <v>4549</v>
      </c>
      <c r="C1111" s="22" t="s">
        <v>5101</v>
      </c>
      <c r="D1111" t="str">
        <f>IF(AND(przepływy!F33=0,AND(przepływy!H33=0,przepływy!J33=0)),"ukryj","odkryj")</f>
        <v>ukryj</v>
      </c>
    </row>
    <row r="1112" spans="1:4" x14ac:dyDescent="0.3">
      <c r="A1112" t="s">
        <v>5067</v>
      </c>
      <c r="B1112" t="s">
        <v>4549</v>
      </c>
      <c r="C1112" s="22" t="s">
        <v>5102</v>
      </c>
      <c r="D1112" t="str">
        <f>IF(AND(przepływy!F34=0,AND(przepływy!H34=0,przepływy!J34=0)),"ukryj","odkryj")</f>
        <v>ukryj</v>
      </c>
    </row>
    <row r="1113" spans="1:4" x14ac:dyDescent="0.3">
      <c r="A1113" t="s">
        <v>5067</v>
      </c>
      <c r="B1113" t="s">
        <v>4549</v>
      </c>
      <c r="C1113" s="22" t="s">
        <v>5103</v>
      </c>
      <c r="D1113" t="str">
        <f>IF(AND(przepływy!F35=0,AND(przepływy!H35=0,przepływy!J35=0)),"ukryj","odkryj")</f>
        <v>ukryj</v>
      </c>
    </row>
    <row r="1114" spans="1:4" x14ac:dyDescent="0.3">
      <c r="A1114" t="s">
        <v>5067</v>
      </c>
      <c r="B1114" t="s">
        <v>4549</v>
      </c>
      <c r="C1114" s="22" t="s">
        <v>5104</v>
      </c>
      <c r="D1114" t="str">
        <f>IF(AND(przepływy!F36=0,AND(przepływy!H36=0,przepływy!J36=0)),"ukryj","odkryj")</f>
        <v>ukryj</v>
      </c>
    </row>
    <row r="1115" spans="1:4" x14ac:dyDescent="0.3">
      <c r="A1115" t="s">
        <v>5067</v>
      </c>
      <c r="B1115" t="s">
        <v>4549</v>
      </c>
      <c r="C1115" s="22" t="s">
        <v>5105</v>
      </c>
      <c r="D1115" t="str">
        <f>IF(AND(przepływy!F37=0,AND(przepływy!H37=0,przepływy!J37=0)),"ukryj","odkryj")</f>
        <v>ukryj</v>
      </c>
    </row>
    <row r="1116" spans="1:4" x14ac:dyDescent="0.3">
      <c r="A1116" t="s">
        <v>5067</v>
      </c>
      <c r="B1116" t="s">
        <v>4549</v>
      </c>
      <c r="C1116" s="22" t="s">
        <v>5106</v>
      </c>
      <c r="D1116" t="str">
        <f>IF(AND(przepływy!F38=0,AND(przepływy!H38=0,przepływy!J38=0)),"ukryj","odkryj")</f>
        <v>ukryj</v>
      </c>
    </row>
    <row r="1117" spans="1:4" x14ac:dyDescent="0.3">
      <c r="A1117" t="s">
        <v>5067</v>
      </c>
      <c r="B1117" t="s">
        <v>4549</v>
      </c>
      <c r="C1117" s="22" t="s">
        <v>5107</v>
      </c>
      <c r="D1117" t="str">
        <f>IF(AND(przepływy!F39=0,AND(przepływy!H39=0,przepływy!J39=0)),"ukryj","odkryj")</f>
        <v>ukryj</v>
      </c>
    </row>
    <row r="1118" spans="1:4" x14ac:dyDescent="0.3">
      <c r="A1118" t="s">
        <v>5067</v>
      </c>
      <c r="B1118" t="s">
        <v>4549</v>
      </c>
      <c r="C1118" s="22" t="s">
        <v>5108</v>
      </c>
      <c r="D1118" t="str">
        <f>IF(AND(przepływy!F40=0,AND(przepływy!H40=0,przepływy!J40=0)),"ukryj","odkryj")</f>
        <v>ukryj</v>
      </c>
    </row>
    <row r="1119" spans="1:4" x14ac:dyDescent="0.3">
      <c r="A1119" t="s">
        <v>5067</v>
      </c>
      <c r="B1119" t="s">
        <v>4549</v>
      </c>
      <c r="C1119" s="22" t="s">
        <v>5109</v>
      </c>
      <c r="D1119" t="str">
        <f>IF(AND(przepływy!F41=0,AND(przepływy!H41=0,przepływy!J41=0)),"ukryj","odkryj")</f>
        <v>ukryj</v>
      </c>
    </row>
    <row r="1120" spans="1:4" x14ac:dyDescent="0.3">
      <c r="A1120" t="s">
        <v>5067</v>
      </c>
      <c r="B1120" t="s">
        <v>4549</v>
      </c>
      <c r="C1120" s="22" t="s">
        <v>5110</v>
      </c>
      <c r="D1120" t="str">
        <f>IF(AND(przepływy!F42=0,AND(przepływy!H42=0,przepływy!J42=0)),"ukryj","odkryj")</f>
        <v>ukryj</v>
      </c>
    </row>
    <row r="1121" spans="1:4" x14ac:dyDescent="0.3">
      <c r="A1121" t="s">
        <v>5067</v>
      </c>
      <c r="B1121" t="s">
        <v>4549</v>
      </c>
      <c r="C1121" s="22" t="s">
        <v>5111</v>
      </c>
      <c r="D1121" t="str">
        <f>IF(AND(przepływy!F43=0,AND(przepływy!H43=0,przepływy!J43=0)),"ukryj","odkryj")</f>
        <v>ukryj</v>
      </c>
    </row>
    <row r="1122" spans="1:4" x14ac:dyDescent="0.3">
      <c r="A1122" t="s">
        <v>5067</v>
      </c>
      <c r="B1122" t="s">
        <v>4549</v>
      </c>
      <c r="C1122" s="22" t="s">
        <v>5112</v>
      </c>
      <c r="D1122" t="str">
        <f>IF(AND(przepływy!F44=0,AND(przepływy!H44=0,przepływy!J44=0)),"ukryj","odkryj")</f>
        <v>ukryj</v>
      </c>
    </row>
    <row r="1123" spans="1:4" x14ac:dyDescent="0.3">
      <c r="A1123" t="s">
        <v>5067</v>
      </c>
      <c r="B1123" t="s">
        <v>4549</v>
      </c>
      <c r="C1123" s="22" t="s">
        <v>5113</v>
      </c>
      <c r="D1123" t="s">
        <v>5070</v>
      </c>
    </row>
    <row r="1124" spans="1:4" x14ac:dyDescent="0.3">
      <c r="A1124" t="s">
        <v>5067</v>
      </c>
      <c r="B1124" t="s">
        <v>4549</v>
      </c>
      <c r="C1124" s="22" t="s">
        <v>5114</v>
      </c>
      <c r="D1124" t="str">
        <f>IF(AND(przepływy!F46=0,AND(przepływy!H46=0,przepływy!J46=0)),"ukryj","odkryj")</f>
        <v>ukryj</v>
      </c>
    </row>
    <row r="1125" spans="1:4" x14ac:dyDescent="0.3">
      <c r="A1125" t="s">
        <v>5067</v>
      </c>
      <c r="B1125" t="s">
        <v>4549</v>
      </c>
      <c r="C1125" s="22" t="s">
        <v>5115</v>
      </c>
      <c r="D1125" t="str">
        <f>IF(AND(przepływy!F47=0,AND(przepływy!H47=0,przepływy!J47=0)),"ukryj","odkryj")</f>
        <v>ukryj</v>
      </c>
    </row>
    <row r="1126" spans="1:4" x14ac:dyDescent="0.3">
      <c r="A1126" t="s">
        <v>5067</v>
      </c>
      <c r="B1126" t="s">
        <v>4549</v>
      </c>
      <c r="C1126" s="22" t="s">
        <v>5116</v>
      </c>
      <c r="D1126" t="str">
        <f>IF(AND(przepływy!F48=0,AND(przepływy!H48=0,przepływy!J48=0)),"ukryj","odkryj")</f>
        <v>ukryj</v>
      </c>
    </row>
    <row r="1127" spans="1:4" x14ac:dyDescent="0.3">
      <c r="A1127" t="s">
        <v>5067</v>
      </c>
      <c r="B1127" t="s">
        <v>4549</v>
      </c>
      <c r="C1127" s="22" t="s">
        <v>5117</v>
      </c>
      <c r="D1127" t="str">
        <f>IF(AND(przepływy!F49=0,AND(przepływy!H49=0,przepływy!J49=0)),"ukryj","odkryj")</f>
        <v>ukryj</v>
      </c>
    </row>
    <row r="1128" spans="1:4" x14ac:dyDescent="0.3">
      <c r="A1128" t="s">
        <v>5067</v>
      </c>
      <c r="B1128" t="s">
        <v>4549</v>
      </c>
      <c r="C1128" s="22" t="s">
        <v>5118</v>
      </c>
      <c r="D1128" t="str">
        <f>IF(AND(przepływy!F50=0,AND(przepływy!H50=0,przepływy!J50=0)),"ukryj","odkryj")</f>
        <v>ukryj</v>
      </c>
    </row>
    <row r="1129" spans="1:4" x14ac:dyDescent="0.3">
      <c r="A1129" t="s">
        <v>5067</v>
      </c>
      <c r="B1129" t="s">
        <v>4549</v>
      </c>
      <c r="C1129" s="22" t="s">
        <v>5119</v>
      </c>
      <c r="D1129" t="str">
        <f>IF(AND(przepływy!F51=0,AND(przepływy!H51=0,przepływy!J51=0)),"ukryj","odkryj")</f>
        <v>ukryj</v>
      </c>
    </row>
    <row r="1130" spans="1:4" x14ac:dyDescent="0.3">
      <c r="A1130" t="s">
        <v>5067</v>
      </c>
      <c r="B1130" t="s">
        <v>4549</v>
      </c>
      <c r="C1130" s="22" t="s">
        <v>5120</v>
      </c>
      <c r="D1130" t="str">
        <f>IF(AND(przepływy!F52=0,AND(przepływy!H52=0,przepływy!J52=0)),"ukryj","odkryj")</f>
        <v>ukryj</v>
      </c>
    </row>
    <row r="1131" spans="1:4" x14ac:dyDescent="0.3">
      <c r="A1131" t="s">
        <v>5067</v>
      </c>
      <c r="B1131" t="s">
        <v>4549</v>
      </c>
      <c r="C1131" s="22" t="s">
        <v>5121</v>
      </c>
      <c r="D1131" t="str">
        <f>IF(AND(przepływy!F53=0,AND(przepływy!H53=0,przepływy!J53=0)),"ukryj","odkryj")</f>
        <v>ukryj</v>
      </c>
    </row>
    <row r="1132" spans="1:4" x14ac:dyDescent="0.3">
      <c r="A1132" t="s">
        <v>5067</v>
      </c>
      <c r="B1132" t="s">
        <v>4549</v>
      </c>
      <c r="C1132" s="22" t="s">
        <v>5122</v>
      </c>
      <c r="D1132" t="str">
        <f>IF(AND(przepływy!F54=0,AND(przepływy!H54=0,przepływy!J54=0)),"ukryj","odkryj")</f>
        <v>ukryj</v>
      </c>
    </row>
    <row r="1133" spans="1:4" x14ac:dyDescent="0.3">
      <c r="A1133" t="s">
        <v>5067</v>
      </c>
      <c r="B1133" t="s">
        <v>4549</v>
      </c>
      <c r="C1133" s="22" t="s">
        <v>5126</v>
      </c>
      <c r="D1133" t="str">
        <f>IF(AND(przepływy!F55=0,AND(przepływy!H55=0,przepływy!J55=0)),"ukryj","odkryj")</f>
        <v>ukryj</v>
      </c>
    </row>
    <row r="1134" spans="1:4" x14ac:dyDescent="0.3">
      <c r="A1134" t="s">
        <v>5067</v>
      </c>
      <c r="B1134" t="s">
        <v>4549</v>
      </c>
      <c r="C1134" s="22" t="s">
        <v>5127</v>
      </c>
      <c r="D1134" t="str">
        <f>IF(AND(przepływy!F56=0,AND(przepływy!H56=0,przepływy!J56=0)),"ukryj","odkryj")</f>
        <v>ukryj</v>
      </c>
    </row>
    <row r="1135" spans="1:4" x14ac:dyDescent="0.3">
      <c r="A1135" t="s">
        <v>5067</v>
      </c>
      <c r="B1135" t="s">
        <v>4549</v>
      </c>
      <c r="C1135" s="22" t="s">
        <v>5128</v>
      </c>
      <c r="D1135" t="str">
        <f>IF(AND(przepływy!F57=0,AND(przepływy!H57=0,przepływy!J57=0)),"ukryj","odkryj")</f>
        <v>ukryj</v>
      </c>
    </row>
    <row r="1136" spans="1:4" x14ac:dyDescent="0.3">
      <c r="A1136" t="s">
        <v>5067</v>
      </c>
      <c r="B1136" t="s">
        <v>4549</v>
      </c>
      <c r="C1136" s="22" t="s">
        <v>5129</v>
      </c>
      <c r="D1136" t="str">
        <f>IF(AND(przepływy!F58=0,AND(przepływy!H58=0,przepływy!J58=0)),"ukryj","odkryj")</f>
        <v>ukryj</v>
      </c>
    </row>
    <row r="1137" spans="1:4" x14ac:dyDescent="0.3">
      <c r="A1137" t="s">
        <v>5067</v>
      </c>
      <c r="B1137" t="s">
        <v>4549</v>
      </c>
      <c r="C1137" s="22" t="s">
        <v>5130</v>
      </c>
      <c r="D1137" t="str">
        <f>IF(AND(przepływy!F59=0,AND(przepływy!H59=0,przepływy!J59=0)),"ukryj","odkryj")</f>
        <v>ukryj</v>
      </c>
    </row>
    <row r="1138" spans="1:4" x14ac:dyDescent="0.3">
      <c r="A1138" t="s">
        <v>5067</v>
      </c>
      <c r="B1138" t="s">
        <v>4549</v>
      </c>
      <c r="C1138" s="22" t="s">
        <v>5131</v>
      </c>
      <c r="D1138" t="str">
        <f>IF(AND(przepływy!F60=0,AND(przepływy!H60=0,przepływy!J60=0)),"ukryj","odkryj")</f>
        <v>ukryj</v>
      </c>
    </row>
    <row r="1139" spans="1:4" x14ac:dyDescent="0.3">
      <c r="A1139" t="s">
        <v>5067</v>
      </c>
      <c r="B1139" t="s">
        <v>4549</v>
      </c>
      <c r="C1139" s="22" t="s">
        <v>5132</v>
      </c>
      <c r="D1139" t="str">
        <f>IF(AND(przepływy!F61=0,AND(przepływy!H61=0,przepływy!J61=0)),"ukryj","odkryj")</f>
        <v>ukryj</v>
      </c>
    </row>
    <row r="1140" spans="1:4" x14ac:dyDescent="0.3">
      <c r="A1140" t="s">
        <v>5067</v>
      </c>
      <c r="B1140" t="s">
        <v>4549</v>
      </c>
      <c r="C1140" s="22" t="s">
        <v>5133</v>
      </c>
      <c r="D1140" t="str">
        <f>IF(AND(przepływy!F62=0,AND(przepływy!H62=0,przepływy!J62=0)),"ukryj","odkryj")</f>
        <v>ukryj</v>
      </c>
    </row>
    <row r="1141" spans="1:4" x14ac:dyDescent="0.3">
      <c r="A1141" t="s">
        <v>5067</v>
      </c>
      <c r="B1141" t="s">
        <v>4549</v>
      </c>
      <c r="C1141" s="22" t="s">
        <v>5134</v>
      </c>
      <c r="D1141" t="str">
        <f>IF(AND(przepływy!F63=0,AND(przepływy!H63=0,przepływy!J63=0)),"ukryj","odkryj")</f>
        <v>ukryj</v>
      </c>
    </row>
    <row r="1142" spans="1:4" x14ac:dyDescent="0.3">
      <c r="A1142" t="s">
        <v>5067</v>
      </c>
      <c r="B1142" t="s">
        <v>4549</v>
      </c>
      <c r="C1142" s="22" t="s">
        <v>5135</v>
      </c>
      <c r="D1142" t="str">
        <f>IF(AND(przepływy!F64=0,AND(przepływy!H64=0,przepływy!J64=0)),"ukryj","odkryj")</f>
        <v>ukryj</v>
      </c>
    </row>
    <row r="1143" spans="1:4" x14ac:dyDescent="0.3">
      <c r="A1143" t="s">
        <v>5067</v>
      </c>
      <c r="B1143" t="s">
        <v>4549</v>
      </c>
      <c r="C1143" s="22" t="s">
        <v>5136</v>
      </c>
      <c r="D1143" t="str">
        <f>IF(AND(przepływy!F65=0,AND(przepływy!H65=0,przepływy!J65=0)),"ukryj","odkryj")</f>
        <v>ukryj</v>
      </c>
    </row>
    <row r="1144" spans="1:4" x14ac:dyDescent="0.3">
      <c r="A1144" t="s">
        <v>5067</v>
      </c>
      <c r="B1144" t="s">
        <v>4549</v>
      </c>
      <c r="C1144" s="22" t="s">
        <v>5137</v>
      </c>
      <c r="D1144" t="str">
        <f>IF(AND(przepływy!F66=0,AND(przepływy!H66=0,przepływy!J66=0)),"ukryj","odkryj")</f>
        <v>ukryj</v>
      </c>
    </row>
    <row r="1145" spans="1:4" x14ac:dyDescent="0.3">
      <c r="A1145" t="s">
        <v>5067</v>
      </c>
      <c r="B1145" t="s">
        <v>4549</v>
      </c>
      <c r="C1145" s="22" t="s">
        <v>5138</v>
      </c>
      <c r="D1145" t="str">
        <f>IF(AND(przepływy!F67=0,AND(przepływy!H67=0,przepływy!J67=0)),"ukryj","odkryj")</f>
        <v>ukryj</v>
      </c>
    </row>
    <row r="1146" spans="1:4" x14ac:dyDescent="0.3">
      <c r="A1146" t="s">
        <v>5067</v>
      </c>
      <c r="B1146" t="s">
        <v>4914</v>
      </c>
      <c r="C1146" s="22" t="s">
        <v>5500</v>
      </c>
      <c r="D1146" t="str">
        <f>IF(NotaPodatkowa!N7="n/a","ukryj","odkryj")</f>
        <v>odkryj</v>
      </c>
    </row>
    <row r="1147" spans="1:4" x14ac:dyDescent="0.3">
      <c r="A1147" t="s">
        <v>5067</v>
      </c>
      <c r="B1147" t="s">
        <v>4914</v>
      </c>
      <c r="C1147" s="22" t="s">
        <v>5501</v>
      </c>
      <c r="D1147" t="str">
        <f>IF(OR(Jezyk=1,Jezyk=3),"odkryj","ukryj")</f>
        <v>odkryj</v>
      </c>
    </row>
    <row r="1148" spans="1:4" x14ac:dyDescent="0.3">
      <c r="A1148" t="s">
        <v>5067</v>
      </c>
      <c r="B1148" t="s">
        <v>4914</v>
      </c>
      <c r="C1148" s="22" t="s">
        <v>5502</v>
      </c>
      <c r="D1148" t="str">
        <f>IF(OR(Jezyk=2,Jezyk=3),"odkryj","ukryj")</f>
        <v>odkryj</v>
      </c>
    </row>
    <row r="1149" spans="1:4" x14ac:dyDescent="0.3">
      <c r="A1149" t="s">
        <v>5067</v>
      </c>
      <c r="B1149" t="s">
        <v>4914</v>
      </c>
      <c r="C1149" s="22" t="s">
        <v>5503</v>
      </c>
      <c r="D1149" t="s">
        <v>5070</v>
      </c>
    </row>
    <row r="1150" spans="1:4" x14ac:dyDescent="0.3">
      <c r="A1150" t="s">
        <v>5067</v>
      </c>
      <c r="B1150" t="s">
        <v>4914</v>
      </c>
      <c r="C1150" s="22" t="s">
        <v>5504</v>
      </c>
      <c r="D1150" t="s">
        <v>5070</v>
      </c>
    </row>
    <row r="1151" spans="1:4" x14ac:dyDescent="0.3">
      <c r="A1151" t="s">
        <v>5067</v>
      </c>
      <c r="B1151" t="s">
        <v>4914</v>
      </c>
      <c r="C1151" s="22" t="s">
        <v>5505</v>
      </c>
      <c r="D1151" t="s">
        <v>5070</v>
      </c>
    </row>
    <row r="1152" spans="1:4" x14ac:dyDescent="0.3">
      <c r="A1152" t="s">
        <v>5067</v>
      </c>
      <c r="B1152" t="s">
        <v>4914</v>
      </c>
      <c r="C1152" s="22" t="s">
        <v>5506</v>
      </c>
      <c r="D1152" t="s">
        <v>5070</v>
      </c>
    </row>
    <row r="1153" spans="1:4" x14ac:dyDescent="0.3">
      <c r="A1153" t="s">
        <v>5067</v>
      </c>
      <c r="B1153" t="s">
        <v>4914</v>
      </c>
      <c r="C1153" s="22" t="s">
        <v>5507</v>
      </c>
      <c r="D1153" t="s">
        <v>5070</v>
      </c>
    </row>
    <row r="1154" spans="1:4" x14ac:dyDescent="0.3">
      <c r="A1154" t="s">
        <v>5067</v>
      </c>
      <c r="B1154" t="s">
        <v>4914</v>
      </c>
      <c r="C1154" s="22" t="s">
        <v>5508</v>
      </c>
      <c r="D1154" t="s">
        <v>5070</v>
      </c>
    </row>
    <row r="1155" spans="1:4" x14ac:dyDescent="0.3">
      <c r="A1155" t="s">
        <v>5067</v>
      </c>
      <c r="B1155" t="s">
        <v>4914</v>
      </c>
      <c r="C1155" s="22" t="s">
        <v>5509</v>
      </c>
      <c r="D1155" t="s">
        <v>5070</v>
      </c>
    </row>
    <row r="1156" spans="1:4" x14ac:dyDescent="0.3">
      <c r="A1156" t="s">
        <v>5067</v>
      </c>
      <c r="B1156" t="s">
        <v>4914</v>
      </c>
      <c r="C1156" s="22" t="s">
        <v>5510</v>
      </c>
      <c r="D1156" t="s">
        <v>5070</v>
      </c>
    </row>
    <row r="1157" spans="1:4" x14ac:dyDescent="0.3">
      <c r="A1157" t="s">
        <v>5067</v>
      </c>
      <c r="B1157" t="s">
        <v>4914</v>
      </c>
      <c r="C1157" s="22" t="s">
        <v>5511</v>
      </c>
      <c r="D1157" t="s">
        <v>5070</v>
      </c>
    </row>
    <row r="1158" spans="1:4" x14ac:dyDescent="0.3">
      <c r="A1158" t="s">
        <v>5067</v>
      </c>
      <c r="B1158" t="s">
        <v>4914</v>
      </c>
      <c r="C1158" s="22" t="s">
        <v>5512</v>
      </c>
      <c r="D1158" t="s">
        <v>5070</v>
      </c>
    </row>
    <row r="1159" spans="1:4" x14ac:dyDescent="0.3">
      <c r="A1159" t="s">
        <v>5067</v>
      </c>
      <c r="B1159" t="s">
        <v>4914</v>
      </c>
      <c r="C1159" s="22" t="s">
        <v>5513</v>
      </c>
      <c r="D1159" t="s">
        <v>5070</v>
      </c>
    </row>
    <row r="1160" spans="1:4" x14ac:dyDescent="0.3">
      <c r="A1160" t="s">
        <v>5067</v>
      </c>
      <c r="B1160" t="s">
        <v>5514</v>
      </c>
      <c r="C1160" s="22" t="s">
        <v>5515</v>
      </c>
      <c r="D1160" t="s">
        <v>5070</v>
      </c>
    </row>
    <row r="1161" spans="1:4" x14ac:dyDescent="0.3">
      <c r="A1161" t="s">
        <v>5067</v>
      </c>
      <c r="B1161" t="s">
        <v>5514</v>
      </c>
      <c r="C1161" s="22" t="s">
        <v>5516</v>
      </c>
      <c r="D1161" t="str">
        <f>Noty!J2</f>
        <v>odkryj</v>
      </c>
    </row>
    <row r="1162" spans="1:4" x14ac:dyDescent="0.3">
      <c r="A1162" t="s">
        <v>5067</v>
      </c>
      <c r="B1162" t="s">
        <v>5514</v>
      </c>
      <c r="C1162" s="22" t="s">
        <v>5517</v>
      </c>
      <c r="D1162" t="str">
        <f>Noty!J3</f>
        <v>odkryj</v>
      </c>
    </row>
    <row r="1163" spans="1:4" x14ac:dyDescent="0.3">
      <c r="A1163" t="s">
        <v>5067</v>
      </c>
      <c r="B1163" t="s">
        <v>5514</v>
      </c>
      <c r="C1163" s="22" t="s">
        <v>5518</v>
      </c>
      <c r="D1163" t="str">
        <f>Noty!J4</f>
        <v>odkryj</v>
      </c>
    </row>
    <row r="1164" spans="1:4" x14ac:dyDescent="0.3">
      <c r="A1164" t="s">
        <v>5067</v>
      </c>
      <c r="B1164" t="s">
        <v>5514</v>
      </c>
      <c r="C1164" s="22" t="s">
        <v>5519</v>
      </c>
      <c r="D1164" t="str">
        <f>IF(Noty!K6="n/a","ukryj","odkryj")</f>
        <v>ukryj</v>
      </c>
    </row>
    <row r="1165" spans="1:4" x14ac:dyDescent="0.3">
      <c r="A1165" t="s">
        <v>5067</v>
      </c>
      <c r="B1165" t="s">
        <v>5514</v>
      </c>
      <c r="C1165" s="22" t="s">
        <v>5520</v>
      </c>
      <c r="D1165" t="str">
        <f>Noty!J6</f>
        <v>ukryj</v>
      </c>
    </row>
    <row r="1166" spans="1:4" x14ac:dyDescent="0.3">
      <c r="A1166" t="s">
        <v>5067</v>
      </c>
      <c r="B1166" t="s">
        <v>5514</v>
      </c>
      <c r="C1166" s="22" t="s">
        <v>5521</v>
      </c>
      <c r="D1166" t="str">
        <f>IF(Noty!K8="n/a","ukryj","odkryj")</f>
        <v>ukryj</v>
      </c>
    </row>
    <row r="1167" spans="1:4" x14ac:dyDescent="0.3">
      <c r="A1167" t="s">
        <v>5067</v>
      </c>
      <c r="B1167" t="s">
        <v>5514</v>
      </c>
      <c r="C1167" s="22" t="s">
        <v>5522</v>
      </c>
      <c r="D1167" t="str">
        <f>Noty!J8</f>
        <v>ukryj</v>
      </c>
    </row>
    <row r="1168" spans="1:4" x14ac:dyDescent="0.3">
      <c r="A1168" t="s">
        <v>5067</v>
      </c>
      <c r="B1168" t="s">
        <v>5514</v>
      </c>
      <c r="C1168" s="22" t="s">
        <v>5523</v>
      </c>
      <c r="D1168" t="str">
        <f>Noty!J11</f>
        <v>ukryj</v>
      </c>
    </row>
    <row r="1169" spans="1:4" x14ac:dyDescent="0.3">
      <c r="A1169" t="s">
        <v>5067</v>
      </c>
      <c r="B1169" t="s">
        <v>5514</v>
      </c>
      <c r="C1169" s="22" t="s">
        <v>5524</v>
      </c>
      <c r="D1169" t="str">
        <f>IF(COUNT(Noty!I13:'Noty'!I27)-COUNTIF(Noty!I13:'Noty'!I27,0)=0,"ukryj","odkryj")</f>
        <v>ukryj</v>
      </c>
    </row>
    <row r="1170" spans="1:4" x14ac:dyDescent="0.3">
      <c r="A1170" t="s">
        <v>5067</v>
      </c>
      <c r="B1170" t="s">
        <v>5514</v>
      </c>
      <c r="C1170" s="22" t="s">
        <v>5525</v>
      </c>
      <c r="D1170" t="str">
        <f>Noty!J11</f>
        <v>ukryj</v>
      </c>
    </row>
    <row r="1171" spans="1:4" x14ac:dyDescent="0.3">
      <c r="A1171" t="s">
        <v>5067</v>
      </c>
      <c r="B1171" t="s">
        <v>5514</v>
      </c>
      <c r="C1171" s="22" t="s">
        <v>5526</v>
      </c>
      <c r="D1171" t="str">
        <f>IF(Noty!I13=0,"ukryj","odkryj")</f>
        <v>ukryj</v>
      </c>
    </row>
    <row r="1172" spans="1:4" x14ac:dyDescent="0.3">
      <c r="A1172" t="s">
        <v>5067</v>
      </c>
      <c r="B1172" t="s">
        <v>5514</v>
      </c>
      <c r="C1172" s="22" t="s">
        <v>5527</v>
      </c>
      <c r="D1172" t="str">
        <f>IF(Noty!I14=0,"ukryj","odkryj")</f>
        <v>ukryj</v>
      </c>
    </row>
    <row r="1173" spans="1:4" x14ac:dyDescent="0.3">
      <c r="A1173" t="s">
        <v>5067</v>
      </c>
      <c r="B1173" t="s">
        <v>5514</v>
      </c>
      <c r="C1173" s="22" t="s">
        <v>5528</v>
      </c>
      <c r="D1173" t="str">
        <f>IF(Noty!I15=0,"ukryj","odkryj")</f>
        <v>ukryj</v>
      </c>
    </row>
    <row r="1174" spans="1:4" x14ac:dyDescent="0.3">
      <c r="A1174" t="s">
        <v>5067</v>
      </c>
      <c r="B1174" t="s">
        <v>5514</v>
      </c>
      <c r="C1174" s="22" t="s">
        <v>5529</v>
      </c>
      <c r="D1174" t="str">
        <f>IF(Noty!I16=0,"ukryj","odkryj")</f>
        <v>ukryj</v>
      </c>
    </row>
    <row r="1175" spans="1:4" x14ac:dyDescent="0.3">
      <c r="A1175" t="s">
        <v>5067</v>
      </c>
      <c r="B1175" t="s">
        <v>5514</v>
      </c>
      <c r="C1175" s="22" t="s">
        <v>5530</v>
      </c>
      <c r="D1175" t="str">
        <f>IF(Noty!I17=0,"ukryj","odkryj")</f>
        <v>ukryj</v>
      </c>
    </row>
    <row r="1176" spans="1:4" x14ac:dyDescent="0.3">
      <c r="A1176" t="s">
        <v>5067</v>
      </c>
      <c r="B1176" t="s">
        <v>5514</v>
      </c>
      <c r="C1176" s="22" t="s">
        <v>5531</v>
      </c>
      <c r="D1176" t="str">
        <f>IF(Noty!I18=0,"ukryj","odkryj")</f>
        <v>ukryj</v>
      </c>
    </row>
    <row r="1177" spans="1:4" x14ac:dyDescent="0.3">
      <c r="A1177" t="s">
        <v>5067</v>
      </c>
      <c r="B1177" t="s">
        <v>5514</v>
      </c>
      <c r="C1177" s="22" t="s">
        <v>5532</v>
      </c>
      <c r="D1177" t="str">
        <f>IF(Noty!I19=0,"ukryj","odkryj")</f>
        <v>ukryj</v>
      </c>
    </row>
    <row r="1178" spans="1:4" x14ac:dyDescent="0.3">
      <c r="A1178" t="s">
        <v>5067</v>
      </c>
      <c r="B1178" t="s">
        <v>5514</v>
      </c>
      <c r="C1178" s="22" t="s">
        <v>5533</v>
      </c>
      <c r="D1178" t="str">
        <f>IF(Noty!I20=0,"ukryj","odkryj")</f>
        <v>ukryj</v>
      </c>
    </row>
    <row r="1179" spans="1:4" x14ac:dyDescent="0.3">
      <c r="A1179" t="s">
        <v>5067</v>
      </c>
      <c r="B1179" t="s">
        <v>5514</v>
      </c>
      <c r="C1179" s="22" t="s">
        <v>5534</v>
      </c>
      <c r="D1179" t="str">
        <f>IF(Noty!I21=0,"ukryj","odkryj")</f>
        <v>ukryj</v>
      </c>
    </row>
    <row r="1180" spans="1:4" x14ac:dyDescent="0.3">
      <c r="A1180" t="s">
        <v>5067</v>
      </c>
      <c r="B1180" t="s">
        <v>5514</v>
      </c>
      <c r="C1180" s="22" t="s">
        <v>5535</v>
      </c>
      <c r="D1180" t="str">
        <f>IF(Noty!I22=0,"ukryj","odkryj")</f>
        <v>ukryj</v>
      </c>
    </row>
    <row r="1181" spans="1:4" x14ac:dyDescent="0.3">
      <c r="A1181" t="s">
        <v>5067</v>
      </c>
      <c r="B1181" t="s">
        <v>5514</v>
      </c>
      <c r="C1181" s="22" t="s">
        <v>5536</v>
      </c>
      <c r="D1181" t="str">
        <f>IF(Noty!I23=0,"ukryj","odkryj")</f>
        <v>ukryj</v>
      </c>
    </row>
    <row r="1182" spans="1:4" x14ac:dyDescent="0.3">
      <c r="A1182" t="s">
        <v>5067</v>
      </c>
      <c r="B1182" t="s">
        <v>5514</v>
      </c>
      <c r="C1182" s="22" t="s">
        <v>5537</v>
      </c>
      <c r="D1182" t="str">
        <f>IF(Noty!I24=0,"ukryj","odkryj")</f>
        <v>ukryj</v>
      </c>
    </row>
    <row r="1183" spans="1:4" x14ac:dyDescent="0.3">
      <c r="A1183" t="s">
        <v>5067</v>
      </c>
      <c r="B1183" t="s">
        <v>5514</v>
      </c>
      <c r="C1183" s="22" t="s">
        <v>5538</v>
      </c>
      <c r="D1183" t="str">
        <f>IF(Noty!I25=0,"ukryj","odkryj")</f>
        <v>ukryj</v>
      </c>
    </row>
    <row r="1184" spans="1:4" x14ac:dyDescent="0.3">
      <c r="A1184" t="s">
        <v>5067</v>
      </c>
      <c r="B1184" t="s">
        <v>5514</v>
      </c>
      <c r="C1184" s="22" t="s">
        <v>5539</v>
      </c>
      <c r="D1184" t="str">
        <f>IF(Noty!I26=0,"ukryj","odkryj")</f>
        <v>ukryj</v>
      </c>
    </row>
    <row r="1185" spans="1:4" x14ac:dyDescent="0.3">
      <c r="A1185" t="s">
        <v>5067</v>
      </c>
      <c r="B1185" t="s">
        <v>5514</v>
      </c>
      <c r="C1185" s="22" t="s">
        <v>5540</v>
      </c>
      <c r="D1185" t="str">
        <f>IF(Noty!I27=0,"ukryj","odkryj")</f>
        <v>ukryj</v>
      </c>
    </row>
    <row r="1186" spans="1:4" x14ac:dyDescent="0.3">
      <c r="A1186" t="s">
        <v>5067</v>
      </c>
      <c r="B1186" t="s">
        <v>5514</v>
      </c>
      <c r="C1186" s="22" t="s">
        <v>5541</v>
      </c>
      <c r="D1186" t="str">
        <f>Noty!J27</f>
        <v>ukryj</v>
      </c>
    </row>
    <row r="1187" spans="1:4" x14ac:dyDescent="0.3">
      <c r="A1187" t="s">
        <v>5067</v>
      </c>
      <c r="B1187" t="s">
        <v>5514</v>
      </c>
      <c r="C1187" s="22" t="s">
        <v>5542</v>
      </c>
      <c r="D1187" t="str">
        <f>IF(COUNT(Noty!I31:'Noty'!I42)-COUNTIF(Noty!I31:'Noty'!I42,0)=0,"ukryj","odkryj")</f>
        <v>ukryj</v>
      </c>
    </row>
    <row r="1188" spans="1:4" x14ac:dyDescent="0.3">
      <c r="A1188" t="s">
        <v>5067</v>
      </c>
      <c r="B1188" t="s">
        <v>5514</v>
      </c>
      <c r="C1188" s="22" t="s">
        <v>5543</v>
      </c>
      <c r="D1188" t="str">
        <f>Noty!J29</f>
        <v>ukryj</v>
      </c>
    </row>
    <row r="1189" spans="1:4" x14ac:dyDescent="0.3">
      <c r="A1189" t="s">
        <v>5067</v>
      </c>
      <c r="B1189" t="s">
        <v>5514</v>
      </c>
      <c r="C1189" s="22" t="s">
        <v>5544</v>
      </c>
      <c r="D1189" t="str">
        <f>IF(Noty!I31=0,"ukryj","odkryj")</f>
        <v>ukryj</v>
      </c>
    </row>
    <row r="1190" spans="1:4" x14ac:dyDescent="0.3">
      <c r="A1190" t="s">
        <v>5067</v>
      </c>
      <c r="B1190" t="s">
        <v>5514</v>
      </c>
      <c r="C1190" s="22" t="s">
        <v>5545</v>
      </c>
      <c r="D1190" t="str">
        <f>IF(Noty!I32=0,"ukryj","odkryj")</f>
        <v>ukryj</v>
      </c>
    </row>
    <row r="1191" spans="1:4" x14ac:dyDescent="0.3">
      <c r="A1191" t="s">
        <v>5067</v>
      </c>
      <c r="B1191" t="s">
        <v>5514</v>
      </c>
      <c r="C1191" s="22" t="s">
        <v>5546</v>
      </c>
      <c r="D1191" t="str">
        <f>IF(Noty!I33=0,"ukryj","odkryj")</f>
        <v>ukryj</v>
      </c>
    </row>
    <row r="1192" spans="1:4" x14ac:dyDescent="0.3">
      <c r="A1192" t="s">
        <v>5067</v>
      </c>
      <c r="B1192" t="s">
        <v>5514</v>
      </c>
      <c r="C1192" s="22" t="s">
        <v>5547</v>
      </c>
      <c r="D1192" t="str">
        <f>IF(Noty!I34=0,"ukryj","odkryj")</f>
        <v>ukryj</v>
      </c>
    </row>
    <row r="1193" spans="1:4" x14ac:dyDescent="0.3">
      <c r="A1193" t="s">
        <v>5067</v>
      </c>
      <c r="B1193" t="s">
        <v>5514</v>
      </c>
      <c r="C1193" s="22" t="s">
        <v>5548</v>
      </c>
      <c r="D1193" t="str">
        <f>IF(Noty!I35=0,"ukryj","odkryj")</f>
        <v>ukryj</v>
      </c>
    </row>
    <row r="1194" spans="1:4" x14ac:dyDescent="0.3">
      <c r="A1194" t="s">
        <v>5067</v>
      </c>
      <c r="B1194" t="s">
        <v>5514</v>
      </c>
      <c r="C1194" s="22" t="s">
        <v>5549</v>
      </c>
      <c r="D1194" t="str">
        <f>IF(Noty!I36=0,"ukryj","odkryj")</f>
        <v>ukryj</v>
      </c>
    </row>
    <row r="1195" spans="1:4" x14ac:dyDescent="0.3">
      <c r="A1195" t="s">
        <v>5067</v>
      </c>
      <c r="B1195" t="s">
        <v>5514</v>
      </c>
      <c r="C1195" s="22" t="s">
        <v>5550</v>
      </c>
      <c r="D1195" t="str">
        <f>IF(Noty!I37=0,"ukryj","odkryj")</f>
        <v>ukryj</v>
      </c>
    </row>
    <row r="1196" spans="1:4" x14ac:dyDescent="0.3">
      <c r="A1196" t="s">
        <v>5067</v>
      </c>
      <c r="B1196" t="s">
        <v>5514</v>
      </c>
      <c r="C1196" s="22" t="s">
        <v>5551</v>
      </c>
      <c r="D1196" t="str">
        <f>IF(Noty!I38=0,"ukryj","odkryj")</f>
        <v>ukryj</v>
      </c>
    </row>
    <row r="1197" spans="1:4" x14ac:dyDescent="0.3">
      <c r="A1197" t="s">
        <v>5067</v>
      </c>
      <c r="B1197" t="s">
        <v>5514</v>
      </c>
      <c r="C1197" s="22" t="s">
        <v>5552</v>
      </c>
      <c r="D1197" t="str">
        <f>IF(Noty!I39=0,"ukryj","odkryj")</f>
        <v>ukryj</v>
      </c>
    </row>
    <row r="1198" spans="1:4" x14ac:dyDescent="0.3">
      <c r="A1198" t="s">
        <v>5067</v>
      </c>
      <c r="B1198" t="s">
        <v>5514</v>
      </c>
      <c r="C1198" s="22" t="s">
        <v>5553</v>
      </c>
      <c r="D1198" t="str">
        <f>IF(Noty!I40=0,"ukryj","odkryj")</f>
        <v>ukryj</v>
      </c>
    </row>
    <row r="1199" spans="1:4" x14ac:dyDescent="0.3">
      <c r="A1199" t="s">
        <v>5067</v>
      </c>
      <c r="B1199" t="s">
        <v>5514</v>
      </c>
      <c r="C1199" s="22" t="s">
        <v>5554</v>
      </c>
      <c r="D1199" t="str">
        <f>IF(Noty!I41=0,"ukryj","odkryj")</f>
        <v>ukryj</v>
      </c>
    </row>
    <row r="1200" spans="1:4" x14ac:dyDescent="0.3">
      <c r="A1200" t="s">
        <v>5067</v>
      </c>
      <c r="B1200" t="s">
        <v>5514</v>
      </c>
      <c r="C1200" s="22" t="s">
        <v>5555</v>
      </c>
      <c r="D1200" t="str">
        <f>IF(Noty!I42=0,"ukryj","odkryj")</f>
        <v>ukryj</v>
      </c>
    </row>
    <row r="1201" spans="1:4" x14ac:dyDescent="0.3">
      <c r="A1201" t="s">
        <v>5067</v>
      </c>
      <c r="B1201" t="s">
        <v>5514</v>
      </c>
      <c r="C1201" s="22" t="s">
        <v>5556</v>
      </c>
      <c r="D1201" t="str">
        <f>Noty!J42</f>
        <v>ukryj</v>
      </c>
    </row>
    <row r="1202" spans="1:4" x14ac:dyDescent="0.3">
      <c r="A1202" t="s">
        <v>5067</v>
      </c>
      <c r="B1202" t="s">
        <v>5514</v>
      </c>
      <c r="C1202" s="22" t="s">
        <v>5557</v>
      </c>
      <c r="D1202" t="str">
        <f>IF(COUNT(Noty!I46:'Noty'!I52)-COUNTIF(Noty!I46:'Noty'!I52,0)=0,"ukryj","odkryj")</f>
        <v>ukryj</v>
      </c>
    </row>
    <row r="1203" spans="1:4" x14ac:dyDescent="0.3">
      <c r="A1203" t="s">
        <v>5067</v>
      </c>
      <c r="B1203" t="s">
        <v>5514</v>
      </c>
      <c r="C1203" s="22" t="s">
        <v>5558</v>
      </c>
      <c r="D1203" t="str">
        <f>Noty!J44</f>
        <v>ukryj</v>
      </c>
    </row>
    <row r="1204" spans="1:4" x14ac:dyDescent="0.3">
      <c r="A1204" t="s">
        <v>5067</v>
      </c>
      <c r="B1204" t="s">
        <v>5514</v>
      </c>
      <c r="C1204" s="22" t="s">
        <v>5559</v>
      </c>
      <c r="D1204" t="str">
        <f>IF(Noty!I46=0,"ukryj","odkryj")</f>
        <v>ukryj</v>
      </c>
    </row>
    <row r="1205" spans="1:4" x14ac:dyDescent="0.3">
      <c r="A1205" t="s">
        <v>5067</v>
      </c>
      <c r="B1205" t="s">
        <v>5514</v>
      </c>
      <c r="C1205" s="22" t="s">
        <v>5560</v>
      </c>
      <c r="D1205" t="str">
        <f>IF(Noty!I47=0,"ukryj","odkryj")</f>
        <v>ukryj</v>
      </c>
    </row>
    <row r="1206" spans="1:4" x14ac:dyDescent="0.3">
      <c r="A1206" t="s">
        <v>5067</v>
      </c>
      <c r="B1206" t="s">
        <v>5514</v>
      </c>
      <c r="C1206" s="22" t="s">
        <v>5561</v>
      </c>
      <c r="D1206" t="str">
        <f>IF(Noty!I48=0,"ukryj","odkryj")</f>
        <v>ukryj</v>
      </c>
    </row>
    <row r="1207" spans="1:4" x14ac:dyDescent="0.3">
      <c r="A1207" t="s">
        <v>5067</v>
      </c>
      <c r="B1207" t="s">
        <v>5514</v>
      </c>
      <c r="C1207" s="22" t="s">
        <v>5562</v>
      </c>
      <c r="D1207" t="str">
        <f>IF(Noty!I49=0,"ukryj","odkryj")</f>
        <v>ukryj</v>
      </c>
    </row>
    <row r="1208" spans="1:4" x14ac:dyDescent="0.3">
      <c r="A1208" t="s">
        <v>5067</v>
      </c>
      <c r="B1208" t="s">
        <v>5514</v>
      </c>
      <c r="C1208" s="22" t="s">
        <v>5563</v>
      </c>
      <c r="D1208" t="str">
        <f>IF(Noty!I50=0,"ukryj","odkryj")</f>
        <v>ukryj</v>
      </c>
    </row>
    <row r="1209" spans="1:4" x14ac:dyDescent="0.3">
      <c r="A1209" t="s">
        <v>5067</v>
      </c>
      <c r="B1209" t="s">
        <v>5514</v>
      </c>
      <c r="C1209" s="22" t="s">
        <v>5564</v>
      </c>
      <c r="D1209" t="str">
        <f>IF(Noty!I51=0,"ukryj","odkryj")</f>
        <v>ukryj</v>
      </c>
    </row>
    <row r="1210" spans="1:4" x14ac:dyDescent="0.3">
      <c r="A1210" t="s">
        <v>5067</v>
      </c>
      <c r="B1210" t="s">
        <v>5514</v>
      </c>
      <c r="C1210" s="22" t="s">
        <v>5565</v>
      </c>
      <c r="D1210" t="str">
        <f>IF(Noty!I52=0,"ukryj","odkryj")</f>
        <v>ukryj</v>
      </c>
    </row>
    <row r="1211" spans="1:4" x14ac:dyDescent="0.3">
      <c r="A1211" t="s">
        <v>5067</v>
      </c>
      <c r="B1211" t="s">
        <v>5514</v>
      </c>
      <c r="C1211" s="22" t="s">
        <v>5566</v>
      </c>
      <c r="D1211" t="str">
        <f>Noty!J52</f>
        <v>ukryj</v>
      </c>
    </row>
    <row r="1212" spans="1:4" x14ac:dyDescent="0.3">
      <c r="A1212" t="s">
        <v>5067</v>
      </c>
      <c r="B1212" t="s">
        <v>5514</v>
      </c>
      <c r="C1212" s="22" t="s">
        <v>5567</v>
      </c>
      <c r="D1212" t="str">
        <f>IF(COUNT(Noty!I56:'Noty'!I57)-COUNTIF(Noty!I56:'Noty'!I57,0)=0,"ukryj","odkryj")</f>
        <v>ukryj</v>
      </c>
    </row>
    <row r="1213" spans="1:4" x14ac:dyDescent="0.3">
      <c r="A1213" t="s">
        <v>5067</v>
      </c>
      <c r="B1213" t="s">
        <v>5514</v>
      </c>
      <c r="C1213" s="22" t="s">
        <v>5568</v>
      </c>
      <c r="D1213" t="str">
        <f>Noty!J54</f>
        <v>ukryj</v>
      </c>
    </row>
    <row r="1214" spans="1:4" x14ac:dyDescent="0.3">
      <c r="A1214" t="s">
        <v>5067</v>
      </c>
      <c r="B1214" t="s">
        <v>5514</v>
      </c>
      <c r="C1214" s="22" t="s">
        <v>5569</v>
      </c>
      <c r="D1214" t="str">
        <f>IF(Noty!I56=0,"ukryj","odkryj")</f>
        <v>ukryj</v>
      </c>
    </row>
    <row r="1215" spans="1:4" x14ac:dyDescent="0.3">
      <c r="A1215" t="s">
        <v>5067</v>
      </c>
      <c r="B1215" t="s">
        <v>5514</v>
      </c>
      <c r="C1215" s="22" t="s">
        <v>5570</v>
      </c>
      <c r="D1215" t="str">
        <f>IF(Noty!I57=0,"ukryj","odkryj")</f>
        <v>ukryj</v>
      </c>
    </row>
    <row r="1216" spans="1:4" x14ac:dyDescent="0.3">
      <c r="A1216" t="s">
        <v>5067</v>
      </c>
      <c r="B1216" t="s">
        <v>5514</v>
      </c>
      <c r="C1216" s="22" t="s">
        <v>5571</v>
      </c>
      <c r="D1216" t="str">
        <f>Noty!J57</f>
        <v>ukryj</v>
      </c>
    </row>
    <row r="1217" spans="1:4" x14ac:dyDescent="0.3">
      <c r="A1217" t="s">
        <v>5067</v>
      </c>
      <c r="B1217" t="s">
        <v>5514</v>
      </c>
      <c r="C1217" s="22" t="s">
        <v>5572</v>
      </c>
      <c r="D1217" t="str">
        <f>IF(Noty!K59="n/a","ukryj","odkryj")</f>
        <v>ukryj</v>
      </c>
    </row>
    <row r="1218" spans="1:4" x14ac:dyDescent="0.3">
      <c r="A1218" t="s">
        <v>5067</v>
      </c>
      <c r="B1218" t="s">
        <v>5514</v>
      </c>
      <c r="C1218" s="22" t="s">
        <v>5573</v>
      </c>
      <c r="D1218" t="str">
        <f>Noty!J59</f>
        <v>ukryj</v>
      </c>
    </row>
    <row r="1219" spans="1:4" x14ac:dyDescent="0.3">
      <c r="A1219" t="s">
        <v>5067</v>
      </c>
      <c r="B1219" t="s">
        <v>5514</v>
      </c>
      <c r="C1219" s="22" t="s">
        <v>5574</v>
      </c>
      <c r="D1219" t="str">
        <f>IF(Noty!H61=0,"ukryj","odkryj")</f>
        <v>ukryj</v>
      </c>
    </row>
    <row r="1220" spans="1:4" x14ac:dyDescent="0.3">
      <c r="A1220" t="s">
        <v>5067</v>
      </c>
      <c r="B1220" t="s">
        <v>5514</v>
      </c>
      <c r="C1220" s="22" t="s">
        <v>5575</v>
      </c>
      <c r="D1220" t="s">
        <v>5125</v>
      </c>
    </row>
    <row r="1221" spans="1:4" x14ac:dyDescent="0.3">
      <c r="A1221" t="s">
        <v>5067</v>
      </c>
      <c r="B1221" t="s">
        <v>5514</v>
      </c>
      <c r="C1221" s="22" t="s">
        <v>5576</v>
      </c>
      <c r="D1221" t="str">
        <f>IF(Noty!I63=0,"ukryj","odkryj")</f>
        <v>ukryj</v>
      </c>
    </row>
    <row r="1222" spans="1:4" x14ac:dyDescent="0.3">
      <c r="A1222" t="s">
        <v>5067</v>
      </c>
      <c r="B1222" t="s">
        <v>5514</v>
      </c>
      <c r="C1222" s="22" t="s">
        <v>5577</v>
      </c>
      <c r="D1222" t="str">
        <f>IF(Noty!I64=0,"ukryj","odkryj")</f>
        <v>ukryj</v>
      </c>
    </row>
    <row r="1223" spans="1:4" x14ac:dyDescent="0.3">
      <c r="A1223" t="s">
        <v>5067</v>
      </c>
      <c r="B1223" t="s">
        <v>5514</v>
      </c>
      <c r="C1223" s="22" t="s">
        <v>5578</v>
      </c>
      <c r="D1223" t="str">
        <f>Noty!J63</f>
        <v>ukryj</v>
      </c>
    </row>
    <row r="1224" spans="1:4" x14ac:dyDescent="0.3">
      <c r="A1224" t="s">
        <v>5067</v>
      </c>
      <c r="B1224" t="s">
        <v>5514</v>
      </c>
      <c r="C1224" s="22" t="s">
        <v>5579</v>
      </c>
      <c r="D1224" t="str">
        <f>IF(Noty!K66="n/a","ukryj","odkryj")</f>
        <v>ukryj</v>
      </c>
    </row>
    <row r="1225" spans="1:4" x14ac:dyDescent="0.3">
      <c r="A1225" t="s">
        <v>5067</v>
      </c>
      <c r="B1225" t="s">
        <v>5514</v>
      </c>
      <c r="C1225" s="22" t="s">
        <v>5580</v>
      </c>
      <c r="D1225" t="str">
        <f>Noty!J66</f>
        <v>ukryj</v>
      </c>
    </row>
    <row r="1226" spans="1:4" x14ac:dyDescent="0.3">
      <c r="A1226" t="s">
        <v>5067</v>
      </c>
      <c r="B1226" t="s">
        <v>5514</v>
      </c>
      <c r="C1226" s="22" t="s">
        <v>5581</v>
      </c>
      <c r="D1226" t="str">
        <f>Noty!J67</f>
        <v>ukryj</v>
      </c>
    </row>
    <row r="1227" spans="1:4" x14ac:dyDescent="0.3">
      <c r="A1227" t="s">
        <v>5067</v>
      </c>
      <c r="B1227" t="s">
        <v>5514</v>
      </c>
      <c r="C1227" s="22" t="s">
        <v>5582</v>
      </c>
      <c r="D1227" t="str">
        <f>Noty!J68</f>
        <v>ukryj</v>
      </c>
    </row>
    <row r="1228" spans="1:4" x14ac:dyDescent="0.3">
      <c r="A1228" t="s">
        <v>5067</v>
      </c>
      <c r="B1228" t="s">
        <v>5514</v>
      </c>
      <c r="C1228" s="22" t="s">
        <v>5583</v>
      </c>
      <c r="D1228" t="str">
        <f>IF(Noty!K70="n/a","ukryj","odkryj")</f>
        <v>ukryj</v>
      </c>
    </row>
    <row r="1229" spans="1:4" x14ac:dyDescent="0.3">
      <c r="A1229" t="s">
        <v>5067</v>
      </c>
      <c r="B1229" t="s">
        <v>5514</v>
      </c>
      <c r="C1229" s="22" t="s">
        <v>5584</v>
      </c>
      <c r="D1229" t="str">
        <f>Noty!J70</f>
        <v>ukryj</v>
      </c>
    </row>
    <row r="1230" spans="1:4" x14ac:dyDescent="0.3">
      <c r="A1230" t="s">
        <v>5067</v>
      </c>
      <c r="B1230" t="s">
        <v>5514</v>
      </c>
      <c r="C1230" s="22" t="s">
        <v>5585</v>
      </c>
      <c r="D1230" t="str">
        <f>Noty!J71</f>
        <v>ukryj</v>
      </c>
    </row>
    <row r="1231" spans="1:4" x14ac:dyDescent="0.3">
      <c r="A1231" t="s">
        <v>5067</v>
      </c>
      <c r="B1231" t="s">
        <v>5514</v>
      </c>
      <c r="C1231" s="22" t="s">
        <v>5586</v>
      </c>
      <c r="D1231" t="str">
        <f>Noty!J72</f>
        <v>ukryj</v>
      </c>
    </row>
    <row r="1232" spans="1:4" x14ac:dyDescent="0.3">
      <c r="A1232" t="s">
        <v>5067</v>
      </c>
      <c r="B1232" t="s">
        <v>5514</v>
      </c>
      <c r="C1232" s="22" t="s">
        <v>5587</v>
      </c>
      <c r="D1232" t="str">
        <f>Noty!J73</f>
        <v>ukryj</v>
      </c>
    </row>
    <row r="1233" spans="1:4" x14ac:dyDescent="0.3">
      <c r="A1233" t="s">
        <v>5067</v>
      </c>
      <c r="B1233" t="s">
        <v>5514</v>
      </c>
      <c r="C1233" s="22" t="s">
        <v>5588</v>
      </c>
      <c r="D1233" t="str">
        <f>Noty!J74</f>
        <v>ukryj</v>
      </c>
    </row>
    <row r="1234" spans="1:4" x14ac:dyDescent="0.3">
      <c r="A1234" t="s">
        <v>5067</v>
      </c>
      <c r="B1234" t="s">
        <v>5514</v>
      </c>
      <c r="C1234" s="22" t="s">
        <v>5589</v>
      </c>
      <c r="D1234" t="str">
        <f>Noty!J75</f>
        <v>ukryj</v>
      </c>
    </row>
    <row r="1235" spans="1:4" x14ac:dyDescent="0.3">
      <c r="A1235" t="s">
        <v>5067</v>
      </c>
      <c r="B1235" t="s">
        <v>5514</v>
      </c>
      <c r="C1235" s="22" t="s">
        <v>5590</v>
      </c>
      <c r="D1235" t="str">
        <f>IF(Noty!K77="n/a","ukryj","odkryj")</f>
        <v>ukryj</v>
      </c>
    </row>
    <row r="1236" spans="1:4" x14ac:dyDescent="0.3">
      <c r="A1236" t="s">
        <v>5067</v>
      </c>
      <c r="B1236" t="s">
        <v>5514</v>
      </c>
      <c r="C1236" s="22" t="s">
        <v>5591</v>
      </c>
      <c r="D1236" t="str">
        <f>Noty!J77</f>
        <v>ukryj</v>
      </c>
    </row>
    <row r="1237" spans="1:4" x14ac:dyDescent="0.3">
      <c r="A1237" t="s">
        <v>5067</v>
      </c>
      <c r="B1237" t="s">
        <v>5514</v>
      </c>
      <c r="C1237" s="22" t="s">
        <v>5592</v>
      </c>
      <c r="D1237" t="str">
        <f>IF(Noty!K79="n/a","ukryj","odkryj")</f>
        <v>ukryj</v>
      </c>
    </row>
    <row r="1238" spans="1:4" x14ac:dyDescent="0.3">
      <c r="A1238" t="s">
        <v>5067</v>
      </c>
      <c r="B1238" t="s">
        <v>5514</v>
      </c>
      <c r="C1238" s="22" t="s">
        <v>5593</v>
      </c>
      <c r="D1238" t="str">
        <f>Noty!J79</f>
        <v>ukryj</v>
      </c>
    </row>
    <row r="1239" spans="1:4" x14ac:dyDescent="0.3">
      <c r="A1239" t="s">
        <v>5067</v>
      </c>
      <c r="B1239" t="s">
        <v>5514</v>
      </c>
      <c r="C1239" s="22" t="s">
        <v>5594</v>
      </c>
      <c r="D1239" t="str">
        <f>Noty!J80</f>
        <v>ukryj</v>
      </c>
    </row>
    <row r="1240" spans="1:4" x14ac:dyDescent="0.3">
      <c r="A1240" t="s">
        <v>5067</v>
      </c>
      <c r="B1240" t="s">
        <v>5514</v>
      </c>
      <c r="C1240" s="22" t="s">
        <v>5595</v>
      </c>
      <c r="D1240" t="str">
        <f>IF(COUNT(Noty!I84:'Noty'!I99)-COUNTIF(Noty!I84:'Noty'!I99,0)=0,"ukryj","odkryj")</f>
        <v>ukryj</v>
      </c>
    </row>
    <row r="1241" spans="1:4" x14ac:dyDescent="0.3">
      <c r="A1241" t="s">
        <v>5067</v>
      </c>
      <c r="B1241" t="s">
        <v>5514</v>
      </c>
      <c r="C1241" s="22" t="s">
        <v>5596</v>
      </c>
      <c r="D1241" t="str">
        <f>Noty!J82</f>
        <v>ukryj</v>
      </c>
    </row>
    <row r="1242" spans="1:4" x14ac:dyDescent="0.3">
      <c r="A1242" t="s">
        <v>5067</v>
      </c>
      <c r="B1242" t="s">
        <v>5514</v>
      </c>
      <c r="C1242" s="22" t="s">
        <v>5597</v>
      </c>
      <c r="D1242" t="str">
        <f>IF(Noty!I84=0,"ukryj","odkryj")</f>
        <v>ukryj</v>
      </c>
    </row>
    <row r="1243" spans="1:4" x14ac:dyDescent="0.3">
      <c r="A1243" t="s">
        <v>5067</v>
      </c>
      <c r="B1243" t="s">
        <v>5514</v>
      </c>
      <c r="C1243" s="22" t="s">
        <v>5598</v>
      </c>
      <c r="D1243" t="str">
        <f>IF(Noty!I85=0,"ukryj","odkryj")</f>
        <v>ukryj</v>
      </c>
    </row>
    <row r="1244" spans="1:4" x14ac:dyDescent="0.3">
      <c r="A1244" t="s">
        <v>5067</v>
      </c>
      <c r="B1244" t="s">
        <v>5514</v>
      </c>
      <c r="C1244" s="22" t="s">
        <v>5599</v>
      </c>
      <c r="D1244" t="str">
        <f>IF(Noty!I86=0,"ukryj","odkryj")</f>
        <v>ukryj</v>
      </c>
    </row>
    <row r="1245" spans="1:4" x14ac:dyDescent="0.3">
      <c r="A1245" t="s">
        <v>5067</v>
      </c>
      <c r="B1245" t="s">
        <v>5514</v>
      </c>
      <c r="C1245" s="22" t="s">
        <v>5600</v>
      </c>
      <c r="D1245" t="str">
        <f>IF(Noty!I87=0,"ukryj","odkryj")</f>
        <v>ukryj</v>
      </c>
    </row>
    <row r="1246" spans="1:4" x14ac:dyDescent="0.3">
      <c r="A1246" t="s">
        <v>5067</v>
      </c>
      <c r="B1246" t="s">
        <v>5514</v>
      </c>
      <c r="C1246" s="22" t="s">
        <v>5601</v>
      </c>
      <c r="D1246" t="str">
        <f>IF(Noty!I88=0,"ukryj","odkryj")</f>
        <v>ukryj</v>
      </c>
    </row>
    <row r="1247" spans="1:4" x14ac:dyDescent="0.3">
      <c r="A1247" t="s">
        <v>5067</v>
      </c>
      <c r="B1247" t="s">
        <v>5514</v>
      </c>
      <c r="C1247" s="22" t="s">
        <v>5602</v>
      </c>
      <c r="D1247" t="str">
        <f>IF(Noty!I89=0,"ukryj","odkryj")</f>
        <v>ukryj</v>
      </c>
    </row>
    <row r="1248" spans="1:4" x14ac:dyDescent="0.3">
      <c r="A1248" t="s">
        <v>5067</v>
      </c>
      <c r="B1248" t="s">
        <v>5514</v>
      </c>
      <c r="C1248" s="22" t="s">
        <v>5603</v>
      </c>
      <c r="D1248" t="str">
        <f>IF(Noty!I90=0,"ukryj","odkryj")</f>
        <v>ukryj</v>
      </c>
    </row>
    <row r="1249" spans="1:4" x14ac:dyDescent="0.3">
      <c r="A1249" t="s">
        <v>5067</v>
      </c>
      <c r="B1249" t="s">
        <v>5514</v>
      </c>
      <c r="C1249" s="22" t="s">
        <v>5604</v>
      </c>
      <c r="D1249" t="str">
        <f>IF(Noty!I91=0,"ukryj","odkryj")</f>
        <v>ukryj</v>
      </c>
    </row>
    <row r="1250" spans="1:4" x14ac:dyDescent="0.3">
      <c r="A1250" t="s">
        <v>5067</v>
      </c>
      <c r="B1250" t="s">
        <v>5514</v>
      </c>
      <c r="C1250" s="22" t="s">
        <v>5605</v>
      </c>
      <c r="D1250" t="str">
        <f>IF(Noty!I92=0,"ukryj","odkryj")</f>
        <v>ukryj</v>
      </c>
    </row>
    <row r="1251" spans="1:4" x14ac:dyDescent="0.3">
      <c r="A1251" t="s">
        <v>5067</v>
      </c>
      <c r="B1251" t="s">
        <v>5514</v>
      </c>
      <c r="C1251" s="22" t="s">
        <v>5606</v>
      </c>
      <c r="D1251" t="str">
        <f>IF(Noty!I93=0,"ukryj","odkryj")</f>
        <v>ukryj</v>
      </c>
    </row>
    <row r="1252" spans="1:4" x14ac:dyDescent="0.3">
      <c r="A1252" t="s">
        <v>5067</v>
      </c>
      <c r="B1252" t="s">
        <v>5514</v>
      </c>
      <c r="C1252" s="22" t="s">
        <v>5607</v>
      </c>
      <c r="D1252" t="str">
        <f>IF(Noty!I94=0,"ukryj","odkryj")</f>
        <v>ukryj</v>
      </c>
    </row>
    <row r="1253" spans="1:4" x14ac:dyDescent="0.3">
      <c r="A1253" t="s">
        <v>5067</v>
      </c>
      <c r="B1253" t="s">
        <v>5514</v>
      </c>
      <c r="C1253" s="22" t="s">
        <v>5608</v>
      </c>
      <c r="D1253" t="str">
        <f>IF(Noty!I95=0,"ukryj","odkryj")</f>
        <v>ukryj</v>
      </c>
    </row>
    <row r="1254" spans="1:4" x14ac:dyDescent="0.3">
      <c r="A1254" t="s">
        <v>5067</v>
      </c>
      <c r="B1254" t="s">
        <v>5514</v>
      </c>
      <c r="C1254" s="22" t="s">
        <v>5609</v>
      </c>
      <c r="D1254" t="str">
        <f>IF(Noty!I96=0,"ukryj","odkryj")</f>
        <v>ukryj</v>
      </c>
    </row>
    <row r="1255" spans="1:4" x14ac:dyDescent="0.3">
      <c r="A1255" t="s">
        <v>5067</v>
      </c>
      <c r="B1255" t="s">
        <v>5514</v>
      </c>
      <c r="C1255" s="22" t="s">
        <v>5610</v>
      </c>
      <c r="D1255" t="str">
        <f>IF(Noty!I97=0,"ukryj","odkryj")</f>
        <v>ukryj</v>
      </c>
    </row>
    <row r="1256" spans="1:4" x14ac:dyDescent="0.3">
      <c r="A1256" t="s">
        <v>5067</v>
      </c>
      <c r="B1256" t="s">
        <v>5514</v>
      </c>
      <c r="C1256" s="22" t="s">
        <v>5611</v>
      </c>
      <c r="D1256" t="str">
        <f>IF(Noty!I98=0,"ukryj","odkryj")</f>
        <v>ukryj</v>
      </c>
    </row>
    <row r="1257" spans="1:4" x14ac:dyDescent="0.3">
      <c r="A1257" t="s">
        <v>5067</v>
      </c>
      <c r="B1257" t="s">
        <v>5514</v>
      </c>
      <c r="C1257" s="22" t="s">
        <v>5612</v>
      </c>
      <c r="D1257" t="str">
        <f>IF(Noty!I99=0,"ukryj","odkryj")</f>
        <v>ukryj</v>
      </c>
    </row>
    <row r="1258" spans="1:4" x14ac:dyDescent="0.3">
      <c r="A1258" t="s">
        <v>5067</v>
      </c>
      <c r="B1258" t="s">
        <v>5514</v>
      </c>
      <c r="C1258" s="22" t="s">
        <v>5613</v>
      </c>
      <c r="D1258" t="str">
        <f>Noty!J99</f>
        <v>ukryj</v>
      </c>
    </row>
    <row r="1259" spans="1:4" x14ac:dyDescent="0.3">
      <c r="A1259" t="s">
        <v>5067</v>
      </c>
      <c r="B1259" t="s">
        <v>5514</v>
      </c>
      <c r="C1259" s="22" t="s">
        <v>5614</v>
      </c>
      <c r="D1259" t="str">
        <f>IF(COUNT(Noty!I103:'Noty'!I114)-COUNTIF(Noty!I103:'Noty'!I114,0)=0,"ukryj","odkryj")</f>
        <v>ukryj</v>
      </c>
    </row>
    <row r="1260" spans="1:4" x14ac:dyDescent="0.3">
      <c r="A1260" t="s">
        <v>5067</v>
      </c>
      <c r="B1260" t="s">
        <v>5514</v>
      </c>
      <c r="C1260" s="22" t="s">
        <v>5615</v>
      </c>
      <c r="D1260" t="str">
        <f>Noty!J101</f>
        <v>ukryj</v>
      </c>
    </row>
    <row r="1261" spans="1:4" x14ac:dyDescent="0.3">
      <c r="A1261" t="s">
        <v>5067</v>
      </c>
      <c r="B1261" t="s">
        <v>5514</v>
      </c>
      <c r="C1261" s="22" t="s">
        <v>5616</v>
      </c>
      <c r="D1261" t="str">
        <f>IF(Noty!I103=0,"ukryj","odkryj")</f>
        <v>ukryj</v>
      </c>
    </row>
    <row r="1262" spans="1:4" x14ac:dyDescent="0.3">
      <c r="A1262" t="s">
        <v>5067</v>
      </c>
      <c r="B1262" t="s">
        <v>5514</v>
      </c>
      <c r="C1262" s="22" t="s">
        <v>5617</v>
      </c>
      <c r="D1262" t="str">
        <f>IF(Noty!I104=0,"ukryj","odkryj")</f>
        <v>ukryj</v>
      </c>
    </row>
    <row r="1263" spans="1:4" x14ac:dyDescent="0.3">
      <c r="A1263" t="s">
        <v>5067</v>
      </c>
      <c r="B1263" t="s">
        <v>5514</v>
      </c>
      <c r="C1263" s="22" t="s">
        <v>5618</v>
      </c>
      <c r="D1263" t="str">
        <f>IF(Noty!I105=0,"ukryj","odkryj")</f>
        <v>ukryj</v>
      </c>
    </row>
    <row r="1264" spans="1:4" x14ac:dyDescent="0.3">
      <c r="A1264" t="s">
        <v>5067</v>
      </c>
      <c r="B1264" t="s">
        <v>5514</v>
      </c>
      <c r="C1264" s="22" t="s">
        <v>5619</v>
      </c>
      <c r="D1264" t="str">
        <f>IF(Noty!I106=0,"ukryj","odkryj")</f>
        <v>ukryj</v>
      </c>
    </row>
    <row r="1265" spans="1:4" x14ac:dyDescent="0.3">
      <c r="A1265" t="s">
        <v>5067</v>
      </c>
      <c r="B1265" t="s">
        <v>5514</v>
      </c>
      <c r="C1265" s="22" t="s">
        <v>5620</v>
      </c>
      <c r="D1265" t="str">
        <f>IF(Noty!I107=0,"ukryj","odkryj")</f>
        <v>ukryj</v>
      </c>
    </row>
    <row r="1266" spans="1:4" x14ac:dyDescent="0.3">
      <c r="A1266" t="s">
        <v>5067</v>
      </c>
      <c r="B1266" t="s">
        <v>5514</v>
      </c>
      <c r="C1266" s="22" t="s">
        <v>5621</v>
      </c>
      <c r="D1266" t="str">
        <f>IF(Noty!I108=0,"ukryj","odkryj")</f>
        <v>ukryj</v>
      </c>
    </row>
    <row r="1267" spans="1:4" x14ac:dyDescent="0.3">
      <c r="A1267" t="s">
        <v>5067</v>
      </c>
      <c r="B1267" t="s">
        <v>5514</v>
      </c>
      <c r="C1267" s="22" t="s">
        <v>5622</v>
      </c>
      <c r="D1267" t="str">
        <f>IF(Noty!I109=0,"ukryj","odkryj")</f>
        <v>ukryj</v>
      </c>
    </row>
    <row r="1268" spans="1:4" x14ac:dyDescent="0.3">
      <c r="A1268" t="s">
        <v>5067</v>
      </c>
      <c r="B1268" t="s">
        <v>5514</v>
      </c>
      <c r="C1268" s="22" t="s">
        <v>5623</v>
      </c>
      <c r="D1268" t="str">
        <f>IF(Noty!I110=0,"ukryj","odkryj")</f>
        <v>ukryj</v>
      </c>
    </row>
    <row r="1269" spans="1:4" x14ac:dyDescent="0.3">
      <c r="A1269" t="s">
        <v>5067</v>
      </c>
      <c r="B1269" t="s">
        <v>5514</v>
      </c>
      <c r="C1269" s="22" t="s">
        <v>5624</v>
      </c>
      <c r="D1269" t="str">
        <f>IF(Noty!I111=0,"ukryj","odkryj")</f>
        <v>ukryj</v>
      </c>
    </row>
    <row r="1270" spans="1:4" x14ac:dyDescent="0.3">
      <c r="A1270" t="s">
        <v>5067</v>
      </c>
      <c r="B1270" t="s">
        <v>5514</v>
      </c>
      <c r="C1270" s="22" t="s">
        <v>5625</v>
      </c>
      <c r="D1270" t="str">
        <f>IF(Noty!I112=0,"ukryj","odkryj")</f>
        <v>ukryj</v>
      </c>
    </row>
    <row r="1271" spans="1:4" x14ac:dyDescent="0.3">
      <c r="A1271" t="s">
        <v>5067</v>
      </c>
      <c r="B1271" t="s">
        <v>5514</v>
      </c>
      <c r="C1271" s="22" t="s">
        <v>5626</v>
      </c>
      <c r="D1271" t="str">
        <f>IF(Noty!I113=0,"ukryj","odkryj")</f>
        <v>ukryj</v>
      </c>
    </row>
    <row r="1272" spans="1:4" x14ac:dyDescent="0.3">
      <c r="A1272" t="s">
        <v>5067</v>
      </c>
      <c r="B1272" t="s">
        <v>5514</v>
      </c>
      <c r="C1272" s="22" t="s">
        <v>5627</v>
      </c>
      <c r="D1272" t="str">
        <f>IF(Noty!I114=0,"ukryj","odkryj")</f>
        <v>ukryj</v>
      </c>
    </row>
    <row r="1273" spans="1:4" x14ac:dyDescent="0.3">
      <c r="A1273" t="s">
        <v>5067</v>
      </c>
      <c r="B1273" t="s">
        <v>5514</v>
      </c>
      <c r="C1273" s="22" t="s">
        <v>5628</v>
      </c>
      <c r="D1273" t="str">
        <f>Noty!J114</f>
        <v>ukryj</v>
      </c>
    </row>
    <row r="1274" spans="1:4" x14ac:dyDescent="0.3">
      <c r="A1274" t="s">
        <v>5067</v>
      </c>
      <c r="B1274" t="s">
        <v>5514</v>
      </c>
      <c r="C1274" s="22" t="s">
        <v>5629</v>
      </c>
      <c r="D1274" t="str">
        <f>IF(COUNT(Noty!I118:'Noty'!I124)-COUNTIF(Noty!I118:'Noty'!I124,0)=0,"ukryj","odkryj")</f>
        <v>ukryj</v>
      </c>
    </row>
    <row r="1275" spans="1:4" x14ac:dyDescent="0.3">
      <c r="A1275" t="s">
        <v>5067</v>
      </c>
      <c r="B1275" t="s">
        <v>5514</v>
      </c>
      <c r="C1275" s="22" t="s">
        <v>5630</v>
      </c>
      <c r="D1275" t="str">
        <f>Noty!J116</f>
        <v>ukryj</v>
      </c>
    </row>
    <row r="1276" spans="1:4" x14ac:dyDescent="0.3">
      <c r="A1276" t="s">
        <v>5067</v>
      </c>
      <c r="B1276" t="s">
        <v>5514</v>
      </c>
      <c r="C1276" s="22" t="s">
        <v>5631</v>
      </c>
      <c r="D1276" t="str">
        <f>IF(Noty!I118=0,"ukryj","odkryj")</f>
        <v>ukryj</v>
      </c>
    </row>
    <row r="1277" spans="1:4" x14ac:dyDescent="0.3">
      <c r="A1277" t="s">
        <v>5067</v>
      </c>
      <c r="B1277" t="s">
        <v>5514</v>
      </c>
      <c r="C1277" s="22" t="s">
        <v>5632</v>
      </c>
      <c r="D1277" t="str">
        <f>IF(Noty!I119=0,"ukryj","odkryj")</f>
        <v>ukryj</v>
      </c>
    </row>
    <row r="1278" spans="1:4" x14ac:dyDescent="0.3">
      <c r="A1278" t="s">
        <v>5067</v>
      </c>
      <c r="B1278" t="s">
        <v>5514</v>
      </c>
      <c r="C1278" s="22" t="s">
        <v>5633</v>
      </c>
      <c r="D1278" t="str">
        <f>IF(Noty!I120=0,"ukryj","odkryj")</f>
        <v>ukryj</v>
      </c>
    </row>
    <row r="1279" spans="1:4" x14ac:dyDescent="0.3">
      <c r="A1279" t="s">
        <v>5067</v>
      </c>
      <c r="B1279" t="s">
        <v>5514</v>
      </c>
      <c r="C1279" s="22" t="s">
        <v>5634</v>
      </c>
      <c r="D1279" t="str">
        <f>IF(Noty!I121=0,"ukryj","odkryj")</f>
        <v>ukryj</v>
      </c>
    </row>
    <row r="1280" spans="1:4" x14ac:dyDescent="0.3">
      <c r="A1280" t="s">
        <v>5067</v>
      </c>
      <c r="B1280" t="s">
        <v>5514</v>
      </c>
      <c r="C1280" s="22" t="s">
        <v>5635</v>
      </c>
      <c r="D1280" t="str">
        <f>IF(Noty!I122=0,"ukryj","odkryj")</f>
        <v>ukryj</v>
      </c>
    </row>
    <row r="1281" spans="1:4" x14ac:dyDescent="0.3">
      <c r="A1281" t="s">
        <v>5067</v>
      </c>
      <c r="B1281" t="s">
        <v>5514</v>
      </c>
      <c r="C1281" s="22" t="s">
        <v>5636</v>
      </c>
      <c r="D1281" t="str">
        <f>IF(Noty!I123=0,"ukryj","odkryj")</f>
        <v>ukryj</v>
      </c>
    </row>
    <row r="1282" spans="1:4" x14ac:dyDescent="0.3">
      <c r="A1282" t="s">
        <v>5067</v>
      </c>
      <c r="B1282" t="s">
        <v>5514</v>
      </c>
      <c r="C1282" s="22" t="s">
        <v>5637</v>
      </c>
      <c r="D1282" t="str">
        <f>IF(Noty!I124=0,"ukryj","odkryj")</f>
        <v>ukryj</v>
      </c>
    </row>
    <row r="1283" spans="1:4" x14ac:dyDescent="0.3">
      <c r="A1283" t="s">
        <v>5067</v>
      </c>
      <c r="B1283" t="s">
        <v>5514</v>
      </c>
      <c r="C1283" s="22" t="s">
        <v>5638</v>
      </c>
      <c r="D1283" t="str">
        <f>Noty!J124</f>
        <v>ukryj</v>
      </c>
    </row>
    <row r="1284" spans="1:4" x14ac:dyDescent="0.3">
      <c r="A1284" t="s">
        <v>5067</v>
      </c>
      <c r="B1284" t="s">
        <v>5514</v>
      </c>
      <c r="C1284" s="22" t="s">
        <v>5639</v>
      </c>
      <c r="D1284" t="str">
        <f>IF(COUNT(Noty!I128:'Noty'!I129)-COUNTIF(Noty!I128:'Noty'!I129,0)=0,"ukryj","odkryj")</f>
        <v>ukryj</v>
      </c>
    </row>
    <row r="1285" spans="1:4" x14ac:dyDescent="0.3">
      <c r="A1285" t="s">
        <v>5067</v>
      </c>
      <c r="B1285" t="s">
        <v>5514</v>
      </c>
      <c r="C1285" s="22" t="s">
        <v>5640</v>
      </c>
      <c r="D1285" t="str">
        <f>Noty!J126</f>
        <v>ukryj</v>
      </c>
    </row>
    <row r="1286" spans="1:4" x14ac:dyDescent="0.3">
      <c r="A1286" t="s">
        <v>5067</v>
      </c>
      <c r="B1286" t="s">
        <v>5514</v>
      </c>
      <c r="C1286" s="22" t="s">
        <v>5641</v>
      </c>
      <c r="D1286" t="str">
        <f>IF(Noty!I128=0,"ukryj","odkryj")</f>
        <v>ukryj</v>
      </c>
    </row>
    <row r="1287" spans="1:4" x14ac:dyDescent="0.3">
      <c r="A1287" t="s">
        <v>5067</v>
      </c>
      <c r="B1287" t="s">
        <v>5514</v>
      </c>
      <c r="C1287" s="22" t="s">
        <v>5642</v>
      </c>
      <c r="D1287" t="str">
        <f>IF(Noty!I129=0,"ukryj","odkryj")</f>
        <v>ukryj</v>
      </c>
    </row>
    <row r="1288" spans="1:4" x14ac:dyDescent="0.3">
      <c r="A1288" t="s">
        <v>5067</v>
      </c>
      <c r="B1288" t="s">
        <v>5514</v>
      </c>
      <c r="C1288" s="22" t="s">
        <v>5643</v>
      </c>
      <c r="D1288" t="str">
        <f>Noty!J129</f>
        <v>ukryj</v>
      </c>
    </row>
    <row r="1289" spans="1:4" x14ac:dyDescent="0.3">
      <c r="A1289" t="s">
        <v>5067</v>
      </c>
      <c r="B1289" t="s">
        <v>5514</v>
      </c>
      <c r="C1289" s="22" t="s">
        <v>5644</v>
      </c>
      <c r="D1289" t="str">
        <f>IF(Noty!K131="n/a","ukryj","odkryj")</f>
        <v>ukryj</v>
      </c>
    </row>
    <row r="1290" spans="1:4" x14ac:dyDescent="0.3">
      <c r="A1290" t="s">
        <v>5067</v>
      </c>
      <c r="B1290" t="s">
        <v>5514</v>
      </c>
      <c r="C1290" s="22" t="s">
        <v>5645</v>
      </c>
      <c r="D1290" t="str">
        <f>Noty!J131</f>
        <v>ukryj</v>
      </c>
    </row>
    <row r="1291" spans="1:4" x14ac:dyDescent="0.3">
      <c r="A1291" t="s">
        <v>5067</v>
      </c>
      <c r="B1291" t="s">
        <v>5514</v>
      </c>
      <c r="C1291" s="22" t="s">
        <v>5646</v>
      </c>
      <c r="D1291" t="str">
        <f>IF(Noty!K133="n/a","ukryj","odkryj")</f>
        <v>ukryj</v>
      </c>
    </row>
    <row r="1292" spans="1:4" x14ac:dyDescent="0.3">
      <c r="A1292" t="s">
        <v>5067</v>
      </c>
      <c r="B1292" t="s">
        <v>5514</v>
      </c>
      <c r="C1292" s="22" t="s">
        <v>5647</v>
      </c>
      <c r="D1292" t="str">
        <f>IF(AND(Noty!I134=0,Noty!H134=0),"ukryj","odkryj")</f>
        <v>ukryj</v>
      </c>
    </row>
    <row r="1293" spans="1:4" x14ac:dyDescent="0.3">
      <c r="A1293" t="s">
        <v>5067</v>
      </c>
      <c r="B1293" t="s">
        <v>5514</v>
      </c>
      <c r="C1293" s="22" t="s">
        <v>5648</v>
      </c>
      <c r="D1293" t="str">
        <f>IF(AND(Noty!I135=0,Noty!H135=0),"ukryj","odkryj")</f>
        <v>ukryj</v>
      </c>
    </row>
    <row r="1294" spans="1:4" x14ac:dyDescent="0.3">
      <c r="A1294" t="s">
        <v>5067</v>
      </c>
      <c r="B1294" t="s">
        <v>5514</v>
      </c>
      <c r="C1294" s="22" t="s">
        <v>5649</v>
      </c>
      <c r="D1294" t="str">
        <f>IF(AND(Noty!I136=0,Noty!H136=0),"ukryj","odkryj")</f>
        <v>ukryj</v>
      </c>
    </row>
    <row r="1295" spans="1:4" x14ac:dyDescent="0.3">
      <c r="A1295" t="s">
        <v>5067</v>
      </c>
      <c r="B1295" t="s">
        <v>5514</v>
      </c>
      <c r="C1295" s="22" t="s">
        <v>5650</v>
      </c>
      <c r="D1295" t="str">
        <f>IF(AND(Noty!I137=0,Noty!H137=0),"ukryj","odkryj")</f>
        <v>ukryj</v>
      </c>
    </row>
    <row r="1296" spans="1:4" x14ac:dyDescent="0.3">
      <c r="A1296" t="s">
        <v>5067</v>
      </c>
      <c r="B1296" t="s">
        <v>5514</v>
      </c>
      <c r="C1296" s="22" t="s">
        <v>5651</v>
      </c>
      <c r="D1296" t="str">
        <f>IF(AND(Noty!I138=0,Noty!H138=0),"ukryj","odkryj")</f>
        <v>ukryj</v>
      </c>
    </row>
    <row r="1297" spans="1:4" x14ac:dyDescent="0.3">
      <c r="A1297" t="s">
        <v>5067</v>
      </c>
      <c r="B1297" t="s">
        <v>5514</v>
      </c>
      <c r="C1297" s="22" t="s">
        <v>5652</v>
      </c>
      <c r="D1297" t="str">
        <f>Noty!J137</f>
        <v>ukryj</v>
      </c>
    </row>
    <row r="1298" spans="1:4" x14ac:dyDescent="0.3">
      <c r="A1298" t="s">
        <v>5067</v>
      </c>
      <c r="B1298" t="s">
        <v>5514</v>
      </c>
      <c r="C1298" s="22" t="s">
        <v>5653</v>
      </c>
      <c r="D1298" t="str">
        <f>IF(AND(Noty!I140=0,Noty!H140=0),"ukryj","odkryj")</f>
        <v>ukryj</v>
      </c>
    </row>
    <row r="1299" spans="1:4" x14ac:dyDescent="0.3">
      <c r="A1299" t="s">
        <v>5067</v>
      </c>
      <c r="B1299" t="s">
        <v>5514</v>
      </c>
      <c r="C1299" s="22" t="s">
        <v>5654</v>
      </c>
      <c r="D1299" t="str">
        <f>Noty!J140</f>
        <v>ukryj</v>
      </c>
    </row>
    <row r="1300" spans="1:4" x14ac:dyDescent="0.3">
      <c r="A1300" t="s">
        <v>5067</v>
      </c>
      <c r="B1300" t="s">
        <v>5514</v>
      </c>
      <c r="C1300" s="22" t="s">
        <v>5655</v>
      </c>
      <c r="D1300" t="s">
        <v>5125</v>
      </c>
    </row>
    <row r="1301" spans="1:4" x14ac:dyDescent="0.3">
      <c r="A1301" t="s">
        <v>5067</v>
      </c>
      <c r="B1301" t="s">
        <v>5514</v>
      </c>
      <c r="C1301" s="22" t="s">
        <v>5656</v>
      </c>
      <c r="D1301" t="str">
        <f>IF(Noty!K143="n/a","ukryj","odkryj")</f>
        <v>ukryj</v>
      </c>
    </row>
    <row r="1302" spans="1:4" x14ac:dyDescent="0.3">
      <c r="A1302" t="s">
        <v>5067</v>
      </c>
      <c r="B1302" t="s">
        <v>5514</v>
      </c>
      <c r="C1302" s="22" t="s">
        <v>5657</v>
      </c>
      <c r="D1302" t="str">
        <f>Noty!J143</f>
        <v>ukryj</v>
      </c>
    </row>
    <row r="1303" spans="1:4" x14ac:dyDescent="0.3">
      <c r="A1303" t="s">
        <v>5067</v>
      </c>
      <c r="B1303" t="s">
        <v>5514</v>
      </c>
      <c r="C1303" s="22" t="s">
        <v>5658</v>
      </c>
      <c r="D1303" t="str">
        <f>IF(Noty!K145="n/a","ukryj","odkryj")</f>
        <v>ukryj</v>
      </c>
    </row>
    <row r="1304" spans="1:4" x14ac:dyDescent="0.3">
      <c r="A1304" t="s">
        <v>5067</v>
      </c>
      <c r="B1304" t="s">
        <v>5514</v>
      </c>
      <c r="C1304" s="22" t="s">
        <v>5659</v>
      </c>
      <c r="D1304" t="str">
        <f>Noty!J145</f>
        <v>ukryj</v>
      </c>
    </row>
    <row r="1305" spans="1:4" x14ac:dyDescent="0.3">
      <c r="A1305" t="s">
        <v>5067</v>
      </c>
      <c r="B1305" t="s">
        <v>5514</v>
      </c>
      <c r="C1305" s="22" t="s">
        <v>5660</v>
      </c>
      <c r="D1305" t="str">
        <f>IF(Noty!K147="n/a","ukryj","odkryj")</f>
        <v>ukryj</v>
      </c>
    </row>
    <row r="1306" spans="1:4" x14ac:dyDescent="0.3">
      <c r="A1306" t="s">
        <v>5067</v>
      </c>
      <c r="B1306" t="s">
        <v>5514</v>
      </c>
      <c r="C1306" s="22" t="s">
        <v>5661</v>
      </c>
      <c r="D1306" t="str">
        <f>IF(AND(Noty!I148=0,Noty!H148=0),"ukryj","odkryj")</f>
        <v>ukryj</v>
      </c>
    </row>
    <row r="1307" spans="1:4" x14ac:dyDescent="0.3">
      <c r="A1307" t="s">
        <v>5067</v>
      </c>
      <c r="B1307" t="s">
        <v>5514</v>
      </c>
      <c r="C1307" s="22" t="s">
        <v>5662</v>
      </c>
      <c r="D1307" t="str">
        <f>Noty!J148</f>
        <v>ukryj</v>
      </c>
    </row>
    <row r="1308" spans="1:4" x14ac:dyDescent="0.3">
      <c r="A1308" t="s">
        <v>5067</v>
      </c>
      <c r="B1308" t="s">
        <v>5514</v>
      </c>
      <c r="C1308" s="22" t="s">
        <v>5663</v>
      </c>
      <c r="D1308" t="str">
        <f>Noty!J148</f>
        <v>ukryj</v>
      </c>
    </row>
    <row r="1309" spans="1:4" x14ac:dyDescent="0.3">
      <c r="A1309" t="s">
        <v>5067</v>
      </c>
      <c r="B1309" t="s">
        <v>5514</v>
      </c>
      <c r="C1309" s="22" t="s">
        <v>5664</v>
      </c>
      <c r="D1309" t="s">
        <v>5125</v>
      </c>
    </row>
    <row r="1310" spans="1:4" x14ac:dyDescent="0.3">
      <c r="A1310" t="s">
        <v>5067</v>
      </c>
      <c r="B1310" t="s">
        <v>5514</v>
      </c>
      <c r="C1310" s="22" t="s">
        <v>5665</v>
      </c>
      <c r="D1310" t="str">
        <f>IF(Noty!K152="n/a","ukryj","odkryj")</f>
        <v>ukryj</v>
      </c>
    </row>
    <row r="1311" spans="1:4" x14ac:dyDescent="0.3">
      <c r="A1311" t="s">
        <v>5067</v>
      </c>
      <c r="B1311" t="s">
        <v>5514</v>
      </c>
      <c r="C1311" s="22" t="s">
        <v>5666</v>
      </c>
      <c r="D1311" t="str">
        <f>Noty!J152</f>
        <v>ukryj</v>
      </c>
    </row>
    <row r="1312" spans="1:4" x14ac:dyDescent="0.3">
      <c r="A1312" t="s">
        <v>5067</v>
      </c>
      <c r="B1312" t="s">
        <v>5514</v>
      </c>
      <c r="C1312" s="22" t="s">
        <v>5667</v>
      </c>
      <c r="D1312" t="str">
        <f>IF(Noty!K154="n/a","ukryj","odkryj")</f>
        <v>ukryj</v>
      </c>
    </row>
    <row r="1313" spans="1:4" x14ac:dyDescent="0.3">
      <c r="A1313" t="s">
        <v>5067</v>
      </c>
      <c r="B1313" t="s">
        <v>5514</v>
      </c>
      <c r="C1313" s="22" t="s">
        <v>5668</v>
      </c>
      <c r="D1313" t="str">
        <f>Noty!J154</f>
        <v>ukryj</v>
      </c>
    </row>
    <row r="1314" spans="1:4" x14ac:dyDescent="0.3">
      <c r="A1314" t="s">
        <v>5067</v>
      </c>
      <c r="B1314" t="s">
        <v>5514</v>
      </c>
      <c r="C1314" s="22" t="s">
        <v>5669</v>
      </c>
      <c r="D1314" t="str">
        <f>IF(Noty!K156="n/a","ukryj","odkryj")</f>
        <v>ukryj</v>
      </c>
    </row>
    <row r="1315" spans="1:4" x14ac:dyDescent="0.3">
      <c r="A1315" t="s">
        <v>5067</v>
      </c>
      <c r="B1315" t="s">
        <v>5514</v>
      </c>
      <c r="C1315" s="22" t="s">
        <v>5670</v>
      </c>
      <c r="D1315" t="str">
        <f>IF(AND(Noty!I157=0,Noty!H157=0),"ukryj","odkryj")</f>
        <v>ukryj</v>
      </c>
    </row>
    <row r="1316" spans="1:4" x14ac:dyDescent="0.3">
      <c r="A1316" t="s">
        <v>5067</v>
      </c>
      <c r="B1316" t="s">
        <v>5514</v>
      </c>
      <c r="C1316" s="22" t="s">
        <v>5671</v>
      </c>
      <c r="D1316" t="str">
        <f>Noty!J157</f>
        <v>ukryj</v>
      </c>
    </row>
    <row r="1317" spans="1:4" x14ac:dyDescent="0.3">
      <c r="A1317" t="s">
        <v>5067</v>
      </c>
      <c r="B1317" t="s">
        <v>5514</v>
      </c>
      <c r="C1317" s="22" t="s">
        <v>5672</v>
      </c>
      <c r="D1317" t="s">
        <v>5125</v>
      </c>
    </row>
    <row r="1318" spans="1:4" x14ac:dyDescent="0.3">
      <c r="A1318" t="s">
        <v>5067</v>
      </c>
      <c r="B1318" t="s">
        <v>5514</v>
      </c>
      <c r="C1318" s="22" t="s">
        <v>5673</v>
      </c>
      <c r="D1318" t="str">
        <f>IF(Noty!K160="n/a","ukryj","odkryj")</f>
        <v>ukryj</v>
      </c>
    </row>
    <row r="1319" spans="1:4" x14ac:dyDescent="0.3">
      <c r="A1319" t="s">
        <v>5067</v>
      </c>
      <c r="B1319" t="s">
        <v>5514</v>
      </c>
      <c r="C1319" s="22" t="s">
        <v>5674</v>
      </c>
      <c r="D1319" t="str">
        <f>Noty!J160</f>
        <v>ukryj</v>
      </c>
    </row>
    <row r="1320" spans="1:4" x14ac:dyDescent="0.3">
      <c r="A1320" t="s">
        <v>5067</v>
      </c>
      <c r="B1320" t="s">
        <v>5514</v>
      </c>
      <c r="C1320" s="22" t="s">
        <v>5675</v>
      </c>
      <c r="D1320" t="str">
        <f>IF(Noty!K162="n/a","ukryj","odkryj")</f>
        <v>ukryj</v>
      </c>
    </row>
    <row r="1321" spans="1:4" x14ac:dyDescent="0.3">
      <c r="A1321" t="s">
        <v>5067</v>
      </c>
      <c r="B1321" t="s">
        <v>5514</v>
      </c>
      <c r="C1321" s="22" t="s">
        <v>5676</v>
      </c>
      <c r="D1321" t="str">
        <f>Noty!J162</f>
        <v>ukryj</v>
      </c>
    </row>
    <row r="1322" spans="1:4" x14ac:dyDescent="0.3">
      <c r="A1322" t="s">
        <v>5067</v>
      </c>
      <c r="B1322" t="s">
        <v>5514</v>
      </c>
      <c r="C1322" s="22" t="s">
        <v>5677</v>
      </c>
      <c r="D1322" t="str">
        <f>Noty!J163</f>
        <v>ukryj</v>
      </c>
    </row>
    <row r="1323" spans="1:4" x14ac:dyDescent="0.3">
      <c r="A1323" t="s">
        <v>5067</v>
      </c>
      <c r="B1323" t="s">
        <v>5514</v>
      </c>
      <c r="C1323" s="22" t="s">
        <v>5678</v>
      </c>
      <c r="D1323" t="str">
        <f>Noty!J164</f>
        <v>ukryj</v>
      </c>
    </row>
    <row r="1324" spans="1:4" x14ac:dyDescent="0.3">
      <c r="A1324" t="s">
        <v>5067</v>
      </c>
      <c r="B1324" t="s">
        <v>5514</v>
      </c>
      <c r="C1324" s="22" t="s">
        <v>5679</v>
      </c>
      <c r="D1324" t="str">
        <f>IF(Noty!K166="n/a","ukryj","odkryj")</f>
        <v>ukryj</v>
      </c>
    </row>
    <row r="1325" spans="1:4" x14ac:dyDescent="0.3">
      <c r="A1325" t="s">
        <v>5067</v>
      </c>
      <c r="B1325" t="s">
        <v>5514</v>
      </c>
      <c r="C1325" s="22" t="s">
        <v>5680</v>
      </c>
      <c r="D1325" t="str">
        <f>Noty!J166</f>
        <v>ukryj</v>
      </c>
    </row>
    <row r="1326" spans="1:4" x14ac:dyDescent="0.3">
      <c r="A1326" t="s">
        <v>5067</v>
      </c>
      <c r="B1326" t="s">
        <v>5514</v>
      </c>
      <c r="C1326" s="22" t="s">
        <v>5681</v>
      </c>
      <c r="D1326" t="str">
        <f>IF(COUNT(Noty!I169:'Noty'!I181)-COUNTIF(Noty!I169:'Noty'!I181,0)=0,"ukryj","odkryj")</f>
        <v>ukryj</v>
      </c>
    </row>
    <row r="1327" spans="1:4" x14ac:dyDescent="0.3">
      <c r="A1327" t="s">
        <v>5067</v>
      </c>
      <c r="B1327" t="s">
        <v>5514</v>
      </c>
      <c r="C1327" s="22" t="s">
        <v>5682</v>
      </c>
      <c r="D1327" t="str">
        <f>IF(Noty!I169=0,"ukryj","odkryj")</f>
        <v>ukryj</v>
      </c>
    </row>
    <row r="1328" spans="1:4" x14ac:dyDescent="0.3">
      <c r="A1328" t="s">
        <v>5067</v>
      </c>
      <c r="B1328" t="s">
        <v>5514</v>
      </c>
      <c r="C1328" s="22" t="s">
        <v>5683</v>
      </c>
      <c r="D1328" t="str">
        <f>IF(Noty!I170=0,"ukryj","odkryj")</f>
        <v>ukryj</v>
      </c>
    </row>
    <row r="1329" spans="1:4" x14ac:dyDescent="0.3">
      <c r="A1329" t="s">
        <v>5067</v>
      </c>
      <c r="B1329" t="s">
        <v>5514</v>
      </c>
      <c r="C1329" s="22" t="s">
        <v>5684</v>
      </c>
      <c r="D1329" t="str">
        <f>IF(Noty!I171=0,"ukryj","odkryj")</f>
        <v>ukryj</v>
      </c>
    </row>
    <row r="1330" spans="1:4" x14ac:dyDescent="0.3">
      <c r="A1330" t="s">
        <v>5067</v>
      </c>
      <c r="B1330" t="s">
        <v>5514</v>
      </c>
      <c r="C1330" s="22" t="s">
        <v>5685</v>
      </c>
      <c r="D1330" t="str">
        <f>IF(Noty!I172=0,"ukryj","odkryj")</f>
        <v>ukryj</v>
      </c>
    </row>
    <row r="1331" spans="1:4" x14ac:dyDescent="0.3">
      <c r="A1331" t="s">
        <v>5067</v>
      </c>
      <c r="B1331" t="s">
        <v>5514</v>
      </c>
      <c r="C1331" s="22" t="s">
        <v>5686</v>
      </c>
      <c r="D1331" t="str">
        <f>IF(Noty!I173=0,"ukryj","odkryj")</f>
        <v>ukryj</v>
      </c>
    </row>
    <row r="1332" spans="1:4" x14ac:dyDescent="0.3">
      <c r="A1332" t="s">
        <v>5067</v>
      </c>
      <c r="B1332" t="s">
        <v>5514</v>
      </c>
      <c r="C1332" s="22" t="s">
        <v>5687</v>
      </c>
      <c r="D1332" t="str">
        <f>IF(Noty!I174=0,"ukryj","odkryj")</f>
        <v>ukryj</v>
      </c>
    </row>
    <row r="1333" spans="1:4" x14ac:dyDescent="0.3">
      <c r="A1333" t="s">
        <v>5067</v>
      </c>
      <c r="B1333" t="s">
        <v>5514</v>
      </c>
      <c r="C1333" s="22" t="s">
        <v>5688</v>
      </c>
      <c r="D1333" t="str">
        <f>IF(Noty!I175=0,"ukryj","odkryj")</f>
        <v>ukryj</v>
      </c>
    </row>
    <row r="1334" spans="1:4" x14ac:dyDescent="0.3">
      <c r="A1334" t="s">
        <v>5067</v>
      </c>
      <c r="B1334" t="s">
        <v>5514</v>
      </c>
      <c r="C1334" s="22" t="s">
        <v>5689</v>
      </c>
      <c r="D1334" t="str">
        <f>IF(Noty!I176=0,"ukryj","odkryj")</f>
        <v>ukryj</v>
      </c>
    </row>
    <row r="1335" spans="1:4" x14ac:dyDescent="0.3">
      <c r="A1335" t="s">
        <v>5067</v>
      </c>
      <c r="B1335" t="s">
        <v>5514</v>
      </c>
      <c r="C1335" s="22" t="s">
        <v>5690</v>
      </c>
      <c r="D1335" t="str">
        <f>IF(Noty!I177=0,"ukryj","odkryj")</f>
        <v>ukryj</v>
      </c>
    </row>
    <row r="1336" spans="1:4" x14ac:dyDescent="0.3">
      <c r="A1336" t="s">
        <v>5067</v>
      </c>
      <c r="B1336" t="s">
        <v>5514</v>
      </c>
      <c r="C1336" s="22" t="s">
        <v>5691</v>
      </c>
      <c r="D1336" t="str">
        <f>IF(Noty!I178=0,"ukryj","odkryj")</f>
        <v>ukryj</v>
      </c>
    </row>
    <row r="1337" spans="1:4" x14ac:dyDescent="0.3">
      <c r="A1337" t="s">
        <v>5067</v>
      </c>
      <c r="B1337" t="s">
        <v>5514</v>
      </c>
      <c r="C1337" s="22" t="s">
        <v>5692</v>
      </c>
      <c r="D1337" t="str">
        <f>IF(Noty!I179=0,"ukryj","odkryj")</f>
        <v>ukryj</v>
      </c>
    </row>
    <row r="1338" spans="1:4" x14ac:dyDescent="0.3">
      <c r="A1338" t="s">
        <v>5067</v>
      </c>
      <c r="B1338" t="s">
        <v>5514</v>
      </c>
      <c r="C1338" s="22" t="s">
        <v>5693</v>
      </c>
      <c r="D1338" t="str">
        <f>IF(Noty!I180=0,"ukryj","odkryj")</f>
        <v>ukryj</v>
      </c>
    </row>
    <row r="1339" spans="1:4" x14ac:dyDescent="0.3">
      <c r="A1339" t="s">
        <v>5067</v>
      </c>
      <c r="B1339" t="s">
        <v>5514</v>
      </c>
      <c r="C1339" s="22" t="s">
        <v>5694</v>
      </c>
      <c r="D1339" t="str">
        <f>IF(Noty!I181=0,"ukryj","odkryj")</f>
        <v>ukryj</v>
      </c>
    </row>
    <row r="1340" spans="1:4" x14ac:dyDescent="0.3">
      <c r="A1340" t="s">
        <v>5067</v>
      </c>
      <c r="B1340" t="s">
        <v>5514</v>
      </c>
      <c r="C1340" s="22" t="s">
        <v>5695</v>
      </c>
      <c r="D1340" t="str">
        <f>Noty!J181</f>
        <v>ukryj</v>
      </c>
    </row>
    <row r="1341" spans="1:4" x14ac:dyDescent="0.3">
      <c r="A1341" t="s">
        <v>5067</v>
      </c>
      <c r="B1341" t="s">
        <v>5514</v>
      </c>
      <c r="C1341" s="22" t="s">
        <v>5696</v>
      </c>
      <c r="D1341" t="str">
        <f>IF(COUNT(Noty!I184:'Noty'!I189)-COUNTIF(Noty!I184:'Noty'!I189,0)=0,"ukryj","odkryj")</f>
        <v>ukryj</v>
      </c>
    </row>
    <row r="1342" spans="1:4" x14ac:dyDescent="0.3">
      <c r="A1342" t="s">
        <v>5067</v>
      </c>
      <c r="B1342" t="s">
        <v>5514</v>
      </c>
      <c r="C1342" s="22" t="s">
        <v>5697</v>
      </c>
      <c r="D1342" t="str">
        <f>IF(Noty!I184=0,"ukryj","odkryj")</f>
        <v>ukryj</v>
      </c>
    </row>
    <row r="1343" spans="1:4" x14ac:dyDescent="0.3">
      <c r="A1343" t="s">
        <v>5067</v>
      </c>
      <c r="B1343" t="s">
        <v>5514</v>
      </c>
      <c r="C1343" s="22" t="s">
        <v>5698</v>
      </c>
      <c r="D1343" t="str">
        <f>IF(Noty!I185=0,"ukryj","odkryj")</f>
        <v>ukryj</v>
      </c>
    </row>
    <row r="1344" spans="1:4" x14ac:dyDescent="0.3">
      <c r="A1344" t="s">
        <v>5067</v>
      </c>
      <c r="B1344" t="s">
        <v>5514</v>
      </c>
      <c r="C1344" s="22" t="s">
        <v>5699</v>
      </c>
      <c r="D1344" t="str">
        <f>IF(Noty!I186=0,"ukryj","odkryj")</f>
        <v>ukryj</v>
      </c>
    </row>
    <row r="1345" spans="1:4" x14ac:dyDescent="0.3">
      <c r="A1345" t="s">
        <v>5067</v>
      </c>
      <c r="B1345" t="s">
        <v>5514</v>
      </c>
      <c r="C1345" s="22" t="s">
        <v>5700</v>
      </c>
      <c r="D1345" t="str">
        <f>IF(Noty!I187=0,"ukryj","odkryj")</f>
        <v>ukryj</v>
      </c>
    </row>
    <row r="1346" spans="1:4" x14ac:dyDescent="0.3">
      <c r="A1346" t="s">
        <v>5067</v>
      </c>
      <c r="B1346" t="s">
        <v>5514</v>
      </c>
      <c r="C1346" s="22" t="s">
        <v>5701</v>
      </c>
      <c r="D1346" t="str">
        <f>IF(Noty!I188=0,"ukryj","odkryj")</f>
        <v>ukryj</v>
      </c>
    </row>
    <row r="1347" spans="1:4" x14ac:dyDescent="0.3">
      <c r="A1347" t="s">
        <v>5067</v>
      </c>
      <c r="B1347" t="s">
        <v>5514</v>
      </c>
      <c r="C1347" s="22" t="s">
        <v>5702</v>
      </c>
      <c r="D1347" t="str">
        <f>IF(Noty!I189=0,"ukryj","odkryj")</f>
        <v>ukryj</v>
      </c>
    </row>
    <row r="1348" spans="1:4" x14ac:dyDescent="0.3">
      <c r="A1348" t="s">
        <v>5067</v>
      </c>
      <c r="B1348" t="s">
        <v>5514</v>
      </c>
      <c r="C1348" s="22" t="s">
        <v>5703</v>
      </c>
      <c r="D1348" t="str">
        <f>Noty!J189</f>
        <v>ukryj</v>
      </c>
    </row>
    <row r="1349" spans="1:4" x14ac:dyDescent="0.3">
      <c r="A1349" t="s">
        <v>5067</v>
      </c>
      <c r="B1349" t="s">
        <v>5514</v>
      </c>
      <c r="C1349" s="22" t="s">
        <v>5704</v>
      </c>
      <c r="D1349" t="str">
        <f>IF(COUNT(Noty!I192:'Noty'!I193)-COUNTIF(Noty!I192:'Noty'!I193,0)=0,"ukryj","odkryj")</f>
        <v>ukryj</v>
      </c>
    </row>
    <row r="1350" spans="1:4" x14ac:dyDescent="0.3">
      <c r="A1350" t="s">
        <v>5067</v>
      </c>
      <c r="B1350" t="s">
        <v>5514</v>
      </c>
      <c r="C1350" s="22" t="s">
        <v>5705</v>
      </c>
      <c r="D1350" t="str">
        <f>IF(Noty!I192=0,"ukryj","odkryj")</f>
        <v>ukryj</v>
      </c>
    </row>
    <row r="1351" spans="1:4" x14ac:dyDescent="0.3">
      <c r="A1351" t="s">
        <v>5067</v>
      </c>
      <c r="B1351" t="s">
        <v>5514</v>
      </c>
      <c r="C1351" s="22" t="s">
        <v>5706</v>
      </c>
      <c r="D1351" t="str">
        <f>IF(Noty!I193=0,"ukryj","odkryj")</f>
        <v>ukryj</v>
      </c>
    </row>
    <row r="1352" spans="1:4" x14ac:dyDescent="0.3">
      <c r="A1352" t="s">
        <v>5067</v>
      </c>
      <c r="B1352" t="s">
        <v>5514</v>
      </c>
      <c r="C1352" s="22" t="s">
        <v>5707</v>
      </c>
      <c r="D1352" t="str">
        <f>Noty!J193</f>
        <v>ukryj</v>
      </c>
    </row>
    <row r="1353" spans="1:4" x14ac:dyDescent="0.3">
      <c r="A1353" t="s">
        <v>5067</v>
      </c>
      <c r="B1353" t="s">
        <v>5514</v>
      </c>
      <c r="C1353" s="22" t="s">
        <v>5708</v>
      </c>
      <c r="D1353" t="str">
        <f>IF(Noty!K195="n/a","ukryj","odkryj")</f>
        <v>ukryj</v>
      </c>
    </row>
    <row r="1354" spans="1:4" x14ac:dyDescent="0.3">
      <c r="A1354" t="s">
        <v>5067</v>
      </c>
      <c r="B1354" t="s">
        <v>5514</v>
      </c>
      <c r="C1354" s="22" t="s">
        <v>5709</v>
      </c>
      <c r="D1354" t="str">
        <f>Noty!J195</f>
        <v>ukryj</v>
      </c>
    </row>
    <row r="1355" spans="1:4" x14ac:dyDescent="0.3">
      <c r="A1355" t="s">
        <v>5067</v>
      </c>
      <c r="B1355" t="s">
        <v>5514</v>
      </c>
      <c r="C1355" s="22" t="s">
        <v>5710</v>
      </c>
      <c r="D1355" t="str">
        <f>IF(Noty!K197="n/a","ukryj","odkryj")</f>
        <v>ukryj</v>
      </c>
    </row>
    <row r="1356" spans="1:4" x14ac:dyDescent="0.3">
      <c r="A1356" t="s">
        <v>5067</v>
      </c>
      <c r="B1356" t="s">
        <v>5514</v>
      </c>
      <c r="C1356" s="22" t="s">
        <v>5711</v>
      </c>
      <c r="D1356" t="str">
        <f>Noty!J197</f>
        <v>ukryj</v>
      </c>
    </row>
    <row r="1357" spans="1:4" x14ac:dyDescent="0.3">
      <c r="A1357" t="s">
        <v>5067</v>
      </c>
      <c r="B1357" t="s">
        <v>5514</v>
      </c>
      <c r="C1357" s="22" t="s">
        <v>5712</v>
      </c>
      <c r="D1357" t="str">
        <f>Noty!J198</f>
        <v>ukryj</v>
      </c>
    </row>
    <row r="1358" spans="1:4" x14ac:dyDescent="0.3">
      <c r="A1358" t="s">
        <v>5067</v>
      </c>
      <c r="B1358" t="s">
        <v>5514</v>
      </c>
      <c r="C1358" s="22" t="s">
        <v>5713</v>
      </c>
      <c r="D1358" t="str">
        <f>IF(Noty!I200=0,"ukryj","odkryj")</f>
        <v>ukryj</v>
      </c>
    </row>
    <row r="1359" spans="1:4" x14ac:dyDescent="0.3">
      <c r="A1359" t="s">
        <v>5067</v>
      </c>
      <c r="B1359" t="s">
        <v>5514</v>
      </c>
      <c r="C1359" s="22" t="s">
        <v>5714</v>
      </c>
      <c r="D1359" t="str">
        <f>IF(Noty!I201=0,"ukryj","odkryj")</f>
        <v>ukryj</v>
      </c>
    </row>
    <row r="1360" spans="1:4" x14ac:dyDescent="0.3">
      <c r="A1360" t="s">
        <v>5067</v>
      </c>
      <c r="B1360" t="s">
        <v>5514</v>
      </c>
      <c r="C1360" s="22" t="s">
        <v>5715</v>
      </c>
      <c r="D1360" t="str">
        <f>IF(Noty!I202=0,"ukryj","odkryj")</f>
        <v>ukryj</v>
      </c>
    </row>
    <row r="1361" spans="1:4" x14ac:dyDescent="0.3">
      <c r="A1361" t="s">
        <v>5067</v>
      </c>
      <c r="B1361" t="s">
        <v>5514</v>
      </c>
      <c r="C1361" s="22" t="s">
        <v>5716</v>
      </c>
      <c r="D1361" t="str">
        <f>IF(Noty!I203=0,"ukryj","odkryj")</f>
        <v>ukryj</v>
      </c>
    </row>
    <row r="1362" spans="1:4" x14ac:dyDescent="0.3">
      <c r="A1362" t="s">
        <v>5067</v>
      </c>
      <c r="B1362" t="s">
        <v>5514</v>
      </c>
      <c r="C1362" s="22" t="s">
        <v>5717</v>
      </c>
      <c r="D1362" t="str">
        <f>Noty!J203</f>
        <v>ukryj</v>
      </c>
    </row>
    <row r="1363" spans="1:4" x14ac:dyDescent="0.3">
      <c r="A1363" t="s">
        <v>5067</v>
      </c>
      <c r="B1363" t="s">
        <v>5514</v>
      </c>
      <c r="C1363" s="22" t="s">
        <v>5718</v>
      </c>
      <c r="D1363" t="str">
        <f>IF(Noty!K205="n/a","ukryj","odkryj")</f>
        <v>ukryj</v>
      </c>
    </row>
    <row r="1364" spans="1:4" x14ac:dyDescent="0.3">
      <c r="A1364" t="s">
        <v>5067</v>
      </c>
      <c r="B1364" t="s">
        <v>5514</v>
      </c>
      <c r="C1364" s="22" t="s">
        <v>5719</v>
      </c>
      <c r="D1364" t="str">
        <f>Noty!J205</f>
        <v>ukryj</v>
      </c>
    </row>
    <row r="1365" spans="1:4" x14ac:dyDescent="0.3">
      <c r="A1365" t="s">
        <v>5067</v>
      </c>
      <c r="B1365" t="s">
        <v>5514</v>
      </c>
      <c r="C1365" s="22" t="s">
        <v>5720</v>
      </c>
      <c r="D1365" t="str">
        <f>Noty!J206</f>
        <v>ukryj</v>
      </c>
    </row>
    <row r="1366" spans="1:4" x14ac:dyDescent="0.3">
      <c r="A1366" t="s">
        <v>5067</v>
      </c>
      <c r="B1366" t="s">
        <v>5514</v>
      </c>
      <c r="C1366" s="22" t="s">
        <v>5721</v>
      </c>
      <c r="D1366" t="str">
        <f>Noty!J207</f>
        <v>ukryj</v>
      </c>
    </row>
    <row r="1367" spans="1:4" x14ac:dyDescent="0.3">
      <c r="A1367" t="s">
        <v>5067</v>
      </c>
      <c r="B1367" t="s">
        <v>5514</v>
      </c>
      <c r="C1367" s="22" t="s">
        <v>5722</v>
      </c>
      <c r="D1367" t="str">
        <f>IF(AND(Noty!D209=0,Noty!F209=0,Noty!H209=0),"ukryj","odkryj")</f>
        <v>ukryj</v>
      </c>
    </row>
    <row r="1368" spans="1:4" x14ac:dyDescent="0.3">
      <c r="A1368" t="s">
        <v>5067</v>
      </c>
      <c r="B1368" t="s">
        <v>5514</v>
      </c>
      <c r="C1368" s="22" t="s">
        <v>5723</v>
      </c>
      <c r="D1368" t="str">
        <f>IF(AND(Noty!D210=0,Noty!F210=0,Noty!H210=0),"ukryj","odkryj")</f>
        <v>ukryj</v>
      </c>
    </row>
    <row r="1369" spans="1:4" x14ac:dyDescent="0.3">
      <c r="A1369" t="s">
        <v>5067</v>
      </c>
      <c r="B1369" t="s">
        <v>5514</v>
      </c>
      <c r="C1369" s="22" t="s">
        <v>5724</v>
      </c>
      <c r="D1369" t="str">
        <f>IF(AND(Noty!D211=0,Noty!F211=0,Noty!H211=0),"ukryj","odkryj")</f>
        <v>ukryj</v>
      </c>
    </row>
    <row r="1370" spans="1:4" x14ac:dyDescent="0.3">
      <c r="A1370" t="s">
        <v>5067</v>
      </c>
      <c r="B1370" t="s">
        <v>5514</v>
      </c>
      <c r="C1370" s="22" t="s">
        <v>5725</v>
      </c>
      <c r="D1370" t="str">
        <f>IF(AND(Noty!D212=0,Noty!F212=0,Noty!H212=0),"ukryj","odkryj")</f>
        <v>ukryj</v>
      </c>
    </row>
    <row r="1371" spans="1:4" x14ac:dyDescent="0.3">
      <c r="A1371" t="s">
        <v>5067</v>
      </c>
      <c r="B1371" t="s">
        <v>5514</v>
      </c>
      <c r="C1371" s="22" t="s">
        <v>5726</v>
      </c>
      <c r="D1371" t="str">
        <f>IF(AND(Noty!D213=0,Noty!F213=0,Noty!H213=0),"ukryj","odkryj")</f>
        <v>ukryj</v>
      </c>
    </row>
    <row r="1372" spans="1:4" x14ac:dyDescent="0.3">
      <c r="A1372" t="s">
        <v>5067</v>
      </c>
      <c r="B1372" t="s">
        <v>5514</v>
      </c>
      <c r="C1372" s="22" t="s">
        <v>5727</v>
      </c>
      <c r="D1372" t="str">
        <f>Noty!J213</f>
        <v>ukryj</v>
      </c>
    </row>
    <row r="1373" spans="1:4" x14ac:dyDescent="0.3">
      <c r="A1373" t="s">
        <v>5067</v>
      </c>
      <c r="B1373" t="s">
        <v>5514</v>
      </c>
      <c r="C1373" s="22" t="s">
        <v>5728</v>
      </c>
      <c r="D1373" t="s">
        <v>5125</v>
      </c>
    </row>
    <row r="1374" spans="1:4" x14ac:dyDescent="0.3">
      <c r="A1374" t="s">
        <v>5067</v>
      </c>
      <c r="B1374" t="s">
        <v>5514</v>
      </c>
      <c r="C1374" s="22" t="s">
        <v>5729</v>
      </c>
      <c r="D1374" t="str">
        <f>Noty!J215</f>
        <v>ukryj</v>
      </c>
    </row>
    <row r="1375" spans="1:4" x14ac:dyDescent="0.3">
      <c r="A1375" t="s">
        <v>5067</v>
      </c>
      <c r="B1375" t="s">
        <v>5514</v>
      </c>
      <c r="C1375" s="22" t="s">
        <v>5730</v>
      </c>
      <c r="D1375" t="str">
        <f>Noty!J216</f>
        <v>ukryj</v>
      </c>
    </row>
    <row r="1376" spans="1:4" x14ac:dyDescent="0.3">
      <c r="A1376" t="s">
        <v>5067</v>
      </c>
      <c r="B1376" t="s">
        <v>5514</v>
      </c>
      <c r="C1376" s="22" t="s">
        <v>5731</v>
      </c>
      <c r="D1376" t="str">
        <f>IF(Noty!K218="n/a","ukryj","odkryj")</f>
        <v>ukryj</v>
      </c>
    </row>
    <row r="1377" spans="1:4" x14ac:dyDescent="0.3">
      <c r="A1377" t="s">
        <v>5067</v>
      </c>
      <c r="B1377" t="s">
        <v>5514</v>
      </c>
      <c r="C1377" s="22" t="s">
        <v>5732</v>
      </c>
      <c r="D1377" t="str">
        <f>Noty!J218</f>
        <v>ukryj</v>
      </c>
    </row>
    <row r="1378" spans="1:4" x14ac:dyDescent="0.3">
      <c r="A1378" t="s">
        <v>5067</v>
      </c>
      <c r="B1378" t="s">
        <v>5514</v>
      </c>
      <c r="C1378" s="22" t="s">
        <v>5733</v>
      </c>
      <c r="D1378" t="str">
        <f>Noty!J219</f>
        <v>ukryj</v>
      </c>
    </row>
    <row r="1379" spans="1:4" x14ac:dyDescent="0.3">
      <c r="A1379" t="s">
        <v>5067</v>
      </c>
      <c r="B1379" t="s">
        <v>5514</v>
      </c>
      <c r="C1379" s="22" t="s">
        <v>5734</v>
      </c>
      <c r="D1379" t="str">
        <f>IF(Noty!F221=0,"ukryj","odkryj")</f>
        <v>ukryj</v>
      </c>
    </row>
    <row r="1380" spans="1:4" x14ac:dyDescent="0.3">
      <c r="A1380" t="s">
        <v>5067</v>
      </c>
      <c r="B1380" t="s">
        <v>5514</v>
      </c>
      <c r="C1380" s="22" t="s">
        <v>5735</v>
      </c>
      <c r="D1380" t="str">
        <f>IF(Noty!F222=0,"ukryj","odkryj")</f>
        <v>ukryj</v>
      </c>
    </row>
    <row r="1381" spans="1:4" x14ac:dyDescent="0.3">
      <c r="A1381" t="s">
        <v>5067</v>
      </c>
      <c r="B1381" t="s">
        <v>5514</v>
      </c>
      <c r="C1381" s="22" t="s">
        <v>5736</v>
      </c>
      <c r="D1381" t="str">
        <f>IF(Noty!F223=0,"ukryj","odkryj")</f>
        <v>ukryj</v>
      </c>
    </row>
    <row r="1382" spans="1:4" x14ac:dyDescent="0.3">
      <c r="A1382" t="s">
        <v>5067</v>
      </c>
      <c r="B1382" t="s">
        <v>5514</v>
      </c>
      <c r="C1382" s="22" t="s">
        <v>5737</v>
      </c>
      <c r="D1382" t="str">
        <f>IF(Noty!F224=0,"ukryj","odkryj")</f>
        <v>ukryj</v>
      </c>
    </row>
    <row r="1383" spans="1:4" x14ac:dyDescent="0.3">
      <c r="A1383" t="s">
        <v>5067</v>
      </c>
      <c r="B1383" t="s">
        <v>5514</v>
      </c>
      <c r="C1383" s="22" t="s">
        <v>5738</v>
      </c>
      <c r="D1383" t="str">
        <f>Noty!J224</f>
        <v>ukryj</v>
      </c>
    </row>
    <row r="1384" spans="1:4" x14ac:dyDescent="0.3">
      <c r="A1384" t="s">
        <v>5067</v>
      </c>
      <c r="B1384" t="s">
        <v>5514</v>
      </c>
      <c r="C1384" s="22" t="s">
        <v>5739</v>
      </c>
      <c r="D1384" t="str">
        <f>Noty!J225</f>
        <v>ukryj</v>
      </c>
    </row>
    <row r="1385" spans="1:4" x14ac:dyDescent="0.3">
      <c r="A1385" t="s">
        <v>5067</v>
      </c>
      <c r="B1385" t="s">
        <v>5514</v>
      </c>
      <c r="C1385" s="22" t="s">
        <v>5740</v>
      </c>
      <c r="D1385" t="str">
        <f>IF(Noty!F227=0,"ukryj","odkryj")</f>
        <v>ukryj</v>
      </c>
    </row>
    <row r="1386" spans="1:4" x14ac:dyDescent="0.3">
      <c r="A1386" t="s">
        <v>5067</v>
      </c>
      <c r="B1386" t="s">
        <v>5514</v>
      </c>
      <c r="C1386" s="22" t="s">
        <v>5741</v>
      </c>
      <c r="D1386" t="str">
        <f>IF(Noty!F228=0,"ukryj","odkryj")</f>
        <v>ukryj</v>
      </c>
    </row>
    <row r="1387" spans="1:4" x14ac:dyDescent="0.3">
      <c r="A1387" t="s">
        <v>5067</v>
      </c>
      <c r="B1387" t="s">
        <v>5514</v>
      </c>
      <c r="C1387" s="22" t="s">
        <v>5742</v>
      </c>
      <c r="D1387" t="str">
        <f>IF(Noty!F229=0,"ukryj","odkryj")</f>
        <v>ukryj</v>
      </c>
    </row>
    <row r="1388" spans="1:4" x14ac:dyDescent="0.3">
      <c r="A1388" t="s">
        <v>5067</v>
      </c>
      <c r="B1388" t="s">
        <v>5514</v>
      </c>
      <c r="C1388" s="22" t="s">
        <v>5743</v>
      </c>
      <c r="D1388" t="str">
        <f>IF(Noty!F230=0,"ukryj","odkryj")</f>
        <v>ukryj</v>
      </c>
    </row>
    <row r="1389" spans="1:4" x14ac:dyDescent="0.3">
      <c r="A1389" t="s">
        <v>5067</v>
      </c>
      <c r="B1389" t="s">
        <v>5514</v>
      </c>
      <c r="C1389" s="22" t="s">
        <v>5744</v>
      </c>
      <c r="D1389" t="str">
        <f>Noty!J230</f>
        <v>ukryj</v>
      </c>
    </row>
    <row r="1390" spans="1:4" x14ac:dyDescent="0.3">
      <c r="A1390" t="s">
        <v>5067</v>
      </c>
      <c r="B1390" t="s">
        <v>5514</v>
      </c>
      <c r="C1390" s="22" t="s">
        <v>5745</v>
      </c>
      <c r="D1390" t="str">
        <f>IF(Noty!K232="n/a","ukryj","odkryj")</f>
        <v>ukryj</v>
      </c>
    </row>
    <row r="1391" spans="1:4" x14ac:dyDescent="0.3">
      <c r="A1391" t="s">
        <v>5067</v>
      </c>
      <c r="B1391" t="s">
        <v>5514</v>
      </c>
      <c r="C1391" s="22" t="s">
        <v>5746</v>
      </c>
      <c r="D1391" t="str">
        <f>Noty!J232</f>
        <v>ukryj</v>
      </c>
    </row>
    <row r="1392" spans="1:4" x14ac:dyDescent="0.3">
      <c r="A1392" t="s">
        <v>5067</v>
      </c>
      <c r="B1392" t="s">
        <v>5514</v>
      </c>
      <c r="C1392" s="22" t="s">
        <v>5747</v>
      </c>
      <c r="D1392" t="str">
        <f>IF(Noty!K234="n/a","ukryj","odkryj")</f>
        <v>ukryj</v>
      </c>
    </row>
    <row r="1393" spans="1:4" x14ac:dyDescent="0.3">
      <c r="A1393" t="s">
        <v>5067</v>
      </c>
      <c r="B1393" t="s">
        <v>5514</v>
      </c>
      <c r="C1393" s="22" t="s">
        <v>5748</v>
      </c>
      <c r="D1393" t="s">
        <v>5125</v>
      </c>
    </row>
    <row r="1394" spans="1:4" x14ac:dyDescent="0.3">
      <c r="A1394" t="s">
        <v>5067</v>
      </c>
      <c r="B1394" t="s">
        <v>5514</v>
      </c>
      <c r="C1394" s="22" t="s">
        <v>5749</v>
      </c>
      <c r="D1394" t="str">
        <f>IF(Noty!K236="n/a","ukryj","odkryj")</f>
        <v>ukryj</v>
      </c>
    </row>
    <row r="1395" spans="1:4" x14ac:dyDescent="0.3">
      <c r="A1395" t="s">
        <v>5067</v>
      </c>
      <c r="B1395" t="s">
        <v>5514</v>
      </c>
      <c r="C1395" s="22" t="s">
        <v>5750</v>
      </c>
      <c r="D1395" t="str">
        <f>Noty!J236</f>
        <v>ukryj</v>
      </c>
    </row>
    <row r="1396" spans="1:4" x14ac:dyDescent="0.3">
      <c r="A1396" t="s">
        <v>5067</v>
      </c>
      <c r="B1396" t="s">
        <v>5514</v>
      </c>
      <c r="C1396" s="22" t="s">
        <v>5751</v>
      </c>
      <c r="D1396" t="str">
        <f>Noty!J236</f>
        <v>ukryj</v>
      </c>
    </row>
    <row r="1397" spans="1:4" x14ac:dyDescent="0.3">
      <c r="A1397" t="s">
        <v>5067</v>
      </c>
      <c r="B1397" t="s">
        <v>5514</v>
      </c>
      <c r="C1397" s="22" t="s">
        <v>5752</v>
      </c>
      <c r="D1397" t="str">
        <f>IF(Noty!I239=0,"ukryj","odkryj")</f>
        <v>ukryj</v>
      </c>
    </row>
    <row r="1398" spans="1:4" x14ac:dyDescent="0.3">
      <c r="A1398" t="s">
        <v>5067</v>
      </c>
      <c r="B1398" t="s">
        <v>5514</v>
      </c>
      <c r="C1398" s="22" t="s">
        <v>5753</v>
      </c>
      <c r="D1398" t="str">
        <f>IF(Noty!I240=0,"ukryj","odkryj")</f>
        <v>ukryj</v>
      </c>
    </row>
    <row r="1399" spans="1:4" x14ac:dyDescent="0.3">
      <c r="A1399" t="s">
        <v>5067</v>
      </c>
      <c r="B1399" t="s">
        <v>5514</v>
      </c>
      <c r="C1399" s="22" t="s">
        <v>5754</v>
      </c>
      <c r="D1399" t="str">
        <f>IF(Noty!I241=0,"ukryj","odkryj")</f>
        <v>ukryj</v>
      </c>
    </row>
    <row r="1400" spans="1:4" x14ac:dyDescent="0.3">
      <c r="A1400" t="s">
        <v>5067</v>
      </c>
      <c r="B1400" t="s">
        <v>5514</v>
      </c>
      <c r="C1400" s="22" t="s">
        <v>5755</v>
      </c>
      <c r="D1400" t="str">
        <f>IF(Noty!I242=0,"ukryj","odkryj")</f>
        <v>ukryj</v>
      </c>
    </row>
    <row r="1401" spans="1:4" x14ac:dyDescent="0.3">
      <c r="A1401" t="s">
        <v>5067</v>
      </c>
      <c r="B1401" t="s">
        <v>5514</v>
      </c>
      <c r="C1401" s="22" t="s">
        <v>5756</v>
      </c>
      <c r="D1401" t="str">
        <f>IF(Noty!I243=0,"ukryj","odkryj")</f>
        <v>ukryj</v>
      </c>
    </row>
    <row r="1402" spans="1:4" x14ac:dyDescent="0.3">
      <c r="A1402" t="s">
        <v>5067</v>
      </c>
      <c r="B1402" t="s">
        <v>5514</v>
      </c>
      <c r="C1402" s="22" t="s">
        <v>5757</v>
      </c>
      <c r="D1402" t="str">
        <f>IF(Noty!I244=0,"ukryj","odkryj")</f>
        <v>ukryj</v>
      </c>
    </row>
    <row r="1403" spans="1:4" x14ac:dyDescent="0.3">
      <c r="A1403" t="s">
        <v>5067</v>
      </c>
      <c r="B1403" t="s">
        <v>5514</v>
      </c>
      <c r="C1403" s="22" t="s">
        <v>5758</v>
      </c>
      <c r="D1403" t="str">
        <f>IF(Noty!I245=0,"ukryj","odkryj")</f>
        <v>ukryj</v>
      </c>
    </row>
    <row r="1404" spans="1:4" x14ac:dyDescent="0.3">
      <c r="A1404" t="s">
        <v>5067</v>
      </c>
      <c r="B1404" t="s">
        <v>5514</v>
      </c>
      <c r="C1404" s="22" t="s">
        <v>5759</v>
      </c>
      <c r="D1404" t="str">
        <f>IF(Noty!I246=0,"ukryj","odkryj")</f>
        <v>ukryj</v>
      </c>
    </row>
    <row r="1405" spans="1:4" x14ac:dyDescent="0.3">
      <c r="A1405" t="s">
        <v>5067</v>
      </c>
      <c r="B1405" t="s">
        <v>5514</v>
      </c>
      <c r="C1405" s="22" t="s">
        <v>5760</v>
      </c>
      <c r="D1405" t="str">
        <f>IF(Noty!I247=0,"ukryj","odkryj")</f>
        <v>ukryj</v>
      </c>
    </row>
    <row r="1406" spans="1:4" x14ac:dyDescent="0.3">
      <c r="A1406" t="s">
        <v>5067</v>
      </c>
      <c r="B1406" t="s">
        <v>5514</v>
      </c>
      <c r="C1406" s="22" t="s">
        <v>5761</v>
      </c>
      <c r="D1406" t="str">
        <f>IF(Noty!I248=0,"ukryj","odkryj")</f>
        <v>ukryj</v>
      </c>
    </row>
    <row r="1407" spans="1:4" x14ac:dyDescent="0.3">
      <c r="A1407" t="s">
        <v>5067</v>
      </c>
      <c r="B1407" t="s">
        <v>5514</v>
      </c>
      <c r="C1407" s="22" t="s">
        <v>5762</v>
      </c>
      <c r="D1407" t="str">
        <f>IF(Noty!I249=0,"ukryj","odkryj")</f>
        <v>ukryj</v>
      </c>
    </row>
    <row r="1408" spans="1:4" x14ac:dyDescent="0.3">
      <c r="A1408" t="s">
        <v>5067</v>
      </c>
      <c r="B1408" t="s">
        <v>5514</v>
      </c>
      <c r="C1408" s="22" t="s">
        <v>5763</v>
      </c>
      <c r="D1408" t="str">
        <f>IF(Noty!I250=0,"ukryj","odkryj")</f>
        <v>ukryj</v>
      </c>
    </row>
    <row r="1409" spans="1:4" x14ac:dyDescent="0.3">
      <c r="A1409" t="s">
        <v>5067</v>
      </c>
      <c r="B1409" t="s">
        <v>5514</v>
      </c>
      <c r="C1409" s="22" t="s">
        <v>5764</v>
      </c>
      <c r="D1409" t="str">
        <f>IF(Noty!I251=0,"ukryj","odkryj")</f>
        <v>ukryj</v>
      </c>
    </row>
    <row r="1410" spans="1:4" x14ac:dyDescent="0.3">
      <c r="A1410" t="s">
        <v>5067</v>
      </c>
      <c r="B1410" t="s">
        <v>5514</v>
      </c>
      <c r="C1410" s="22" t="s">
        <v>5765</v>
      </c>
      <c r="D1410" t="str">
        <f>IF(Noty!I252=0,"ukryj","odkryj")</f>
        <v>ukryj</v>
      </c>
    </row>
    <row r="1411" spans="1:4" x14ac:dyDescent="0.3">
      <c r="A1411" t="s">
        <v>5067</v>
      </c>
      <c r="B1411" t="s">
        <v>5514</v>
      </c>
      <c r="C1411" s="22" t="s">
        <v>5766</v>
      </c>
      <c r="D1411" t="s">
        <v>5125</v>
      </c>
    </row>
    <row r="1412" spans="1:4" x14ac:dyDescent="0.3">
      <c r="A1412" t="s">
        <v>5067</v>
      </c>
      <c r="B1412" t="s">
        <v>5514</v>
      </c>
      <c r="C1412" s="22" t="s">
        <v>5767</v>
      </c>
      <c r="D1412" t="str">
        <f>IF(Noty!K254="n/a","ukryj","odkryj")</f>
        <v>ukryj</v>
      </c>
    </row>
    <row r="1413" spans="1:4" x14ac:dyDescent="0.3">
      <c r="A1413" t="s">
        <v>5067</v>
      </c>
      <c r="B1413" t="s">
        <v>5514</v>
      </c>
      <c r="C1413" s="22" t="s">
        <v>5768</v>
      </c>
      <c r="D1413" t="str">
        <f>Noty!J254</f>
        <v>ukryj</v>
      </c>
    </row>
    <row r="1414" spans="1:4" x14ac:dyDescent="0.3">
      <c r="A1414" t="s">
        <v>5067</v>
      </c>
      <c r="B1414" t="s">
        <v>5514</v>
      </c>
      <c r="C1414" s="22" t="s">
        <v>5769</v>
      </c>
      <c r="D1414" t="str">
        <f>IF(COUNT(Noty!I258:'Noty'!I266)-COUNTIF(Noty!I258:'Noty'!I266,0)=0,"ukryj","odkryj")</f>
        <v>ukryj</v>
      </c>
    </row>
    <row r="1415" spans="1:4" x14ac:dyDescent="0.3">
      <c r="A1415" t="s">
        <v>5067</v>
      </c>
      <c r="B1415" t="s">
        <v>5514</v>
      </c>
      <c r="C1415" s="22" t="s">
        <v>5770</v>
      </c>
      <c r="D1415" t="str">
        <f>Noty!J256</f>
        <v>ukryj</v>
      </c>
    </row>
    <row r="1416" spans="1:4" x14ac:dyDescent="0.3">
      <c r="A1416" t="s">
        <v>5067</v>
      </c>
      <c r="B1416" t="s">
        <v>5514</v>
      </c>
      <c r="C1416" s="22" t="s">
        <v>5771</v>
      </c>
      <c r="D1416" t="str">
        <f>IF(Noty!I258=0,"ukryj","odkryj")</f>
        <v>ukryj</v>
      </c>
    </row>
    <row r="1417" spans="1:4" x14ac:dyDescent="0.3">
      <c r="A1417" t="s">
        <v>5067</v>
      </c>
      <c r="B1417" t="s">
        <v>5514</v>
      </c>
      <c r="C1417" s="22" t="s">
        <v>5772</v>
      </c>
      <c r="D1417" t="str">
        <f>IF(Noty!I259=0,"ukryj","odkryj")</f>
        <v>ukryj</v>
      </c>
    </row>
    <row r="1418" spans="1:4" x14ac:dyDescent="0.3">
      <c r="A1418" t="s">
        <v>5067</v>
      </c>
      <c r="B1418" t="s">
        <v>5514</v>
      </c>
      <c r="C1418" s="22" t="s">
        <v>5773</v>
      </c>
      <c r="D1418" t="str">
        <f>IF(Noty!I260=0,"ukryj","odkryj")</f>
        <v>ukryj</v>
      </c>
    </row>
    <row r="1419" spans="1:4" x14ac:dyDescent="0.3">
      <c r="A1419" t="s">
        <v>5067</v>
      </c>
      <c r="B1419" t="s">
        <v>5514</v>
      </c>
      <c r="C1419" s="22" t="s">
        <v>5774</v>
      </c>
      <c r="D1419" t="str">
        <f>IF(Noty!I261=0,"ukryj","odkryj")</f>
        <v>ukryj</v>
      </c>
    </row>
    <row r="1420" spans="1:4" x14ac:dyDescent="0.3">
      <c r="A1420" t="s">
        <v>5067</v>
      </c>
      <c r="B1420" t="s">
        <v>5514</v>
      </c>
      <c r="C1420" s="22" t="s">
        <v>5775</v>
      </c>
      <c r="D1420" t="str">
        <f>IF(Noty!I262=0,"ukryj","odkryj")</f>
        <v>ukryj</v>
      </c>
    </row>
    <row r="1421" spans="1:4" x14ac:dyDescent="0.3">
      <c r="A1421" t="s">
        <v>5067</v>
      </c>
      <c r="B1421" t="s">
        <v>5514</v>
      </c>
      <c r="C1421" s="22" t="s">
        <v>5776</v>
      </c>
      <c r="D1421" t="str">
        <f>IF(Noty!I263=0,"ukryj","odkryj")</f>
        <v>ukryj</v>
      </c>
    </row>
    <row r="1422" spans="1:4" x14ac:dyDescent="0.3">
      <c r="A1422" t="s">
        <v>5067</v>
      </c>
      <c r="B1422" t="s">
        <v>5514</v>
      </c>
      <c r="C1422" s="22" t="s">
        <v>5777</v>
      </c>
      <c r="D1422" t="str">
        <f>IF(Noty!I264=0,"ukryj","odkryj")</f>
        <v>ukryj</v>
      </c>
    </row>
    <row r="1423" spans="1:4" x14ac:dyDescent="0.3">
      <c r="A1423" t="s">
        <v>5067</v>
      </c>
      <c r="B1423" t="s">
        <v>5514</v>
      </c>
      <c r="C1423" s="22" t="s">
        <v>5778</v>
      </c>
      <c r="D1423" t="str">
        <f>IF(Noty!I265=0,"ukryj","odkryj")</f>
        <v>ukryj</v>
      </c>
    </row>
    <row r="1424" spans="1:4" x14ac:dyDescent="0.3">
      <c r="A1424" t="s">
        <v>5067</v>
      </c>
      <c r="B1424" t="s">
        <v>5514</v>
      </c>
      <c r="C1424" s="22" t="s">
        <v>5779</v>
      </c>
      <c r="D1424" t="str">
        <f>IF(Noty!I266=0,"ukryj","odkryj")</f>
        <v>ukryj</v>
      </c>
    </row>
    <row r="1425" spans="1:4" x14ac:dyDescent="0.3">
      <c r="A1425" t="s">
        <v>5067</v>
      </c>
      <c r="B1425" t="s">
        <v>5514</v>
      </c>
      <c r="C1425" s="22" t="s">
        <v>5780</v>
      </c>
      <c r="D1425" t="str">
        <f>Noty!J266</f>
        <v>ukryj</v>
      </c>
    </row>
    <row r="1426" spans="1:4" x14ac:dyDescent="0.3">
      <c r="A1426" t="s">
        <v>5067</v>
      </c>
      <c r="B1426" t="s">
        <v>5514</v>
      </c>
      <c r="C1426" s="22" t="s">
        <v>5781</v>
      </c>
      <c r="D1426" t="str">
        <f>IF(COUNT(Noty!I270:'Noty'!I280)-COUNTIF(Noty!I270:'Noty'!I280,0)=0,"ukryj","odkryj")</f>
        <v>ukryj</v>
      </c>
    </row>
    <row r="1427" spans="1:4" x14ac:dyDescent="0.3">
      <c r="A1427" t="s">
        <v>5067</v>
      </c>
      <c r="B1427" t="s">
        <v>5514</v>
      </c>
      <c r="C1427" s="22" t="s">
        <v>5782</v>
      </c>
      <c r="D1427" t="str">
        <f>Noty!J268</f>
        <v>ukryj</v>
      </c>
    </row>
    <row r="1428" spans="1:4" x14ac:dyDescent="0.3">
      <c r="A1428" t="s">
        <v>5067</v>
      </c>
      <c r="B1428" t="s">
        <v>5514</v>
      </c>
      <c r="C1428" s="22" t="s">
        <v>5783</v>
      </c>
      <c r="D1428" t="str">
        <f>IF(Noty!I270=0,"ukryj","odkryj")</f>
        <v>ukryj</v>
      </c>
    </row>
    <row r="1429" spans="1:4" x14ac:dyDescent="0.3">
      <c r="A1429" t="s">
        <v>5067</v>
      </c>
      <c r="B1429" t="s">
        <v>5514</v>
      </c>
      <c r="C1429" s="22" t="s">
        <v>5784</v>
      </c>
      <c r="D1429" t="str">
        <f>IF(Noty!I271=0,"ukryj","odkryj")</f>
        <v>ukryj</v>
      </c>
    </row>
    <row r="1430" spans="1:4" x14ac:dyDescent="0.3">
      <c r="A1430" t="s">
        <v>5067</v>
      </c>
      <c r="B1430" t="s">
        <v>5514</v>
      </c>
      <c r="C1430" s="22" t="s">
        <v>5785</v>
      </c>
      <c r="D1430" t="str">
        <f>IF(Noty!I272=0,"ukryj","odkryj")</f>
        <v>ukryj</v>
      </c>
    </row>
    <row r="1431" spans="1:4" x14ac:dyDescent="0.3">
      <c r="A1431" t="s">
        <v>5067</v>
      </c>
      <c r="B1431" t="s">
        <v>5514</v>
      </c>
      <c r="C1431" s="22" t="s">
        <v>5786</v>
      </c>
      <c r="D1431" t="str">
        <f>IF(Noty!I273=0,"ukryj","odkryj")</f>
        <v>ukryj</v>
      </c>
    </row>
    <row r="1432" spans="1:4" x14ac:dyDescent="0.3">
      <c r="A1432" t="s">
        <v>5067</v>
      </c>
      <c r="B1432" t="s">
        <v>5514</v>
      </c>
      <c r="C1432" s="22" t="s">
        <v>5787</v>
      </c>
      <c r="D1432" t="str">
        <f>IF(Noty!I274=0,"ukryj","odkryj")</f>
        <v>ukryj</v>
      </c>
    </row>
    <row r="1433" spans="1:4" x14ac:dyDescent="0.3">
      <c r="A1433" t="s">
        <v>5067</v>
      </c>
      <c r="B1433" t="s">
        <v>5514</v>
      </c>
      <c r="C1433" s="22" t="s">
        <v>5788</v>
      </c>
      <c r="D1433" t="str">
        <f>IF(Noty!I275=0,"ukryj","odkryj")</f>
        <v>ukryj</v>
      </c>
    </row>
    <row r="1434" spans="1:4" x14ac:dyDescent="0.3">
      <c r="A1434" t="s">
        <v>5067</v>
      </c>
      <c r="B1434" t="s">
        <v>5514</v>
      </c>
      <c r="C1434" s="22" t="s">
        <v>5789</v>
      </c>
      <c r="D1434" t="str">
        <f>IF(Noty!I276=0,"ukryj","odkryj")</f>
        <v>ukryj</v>
      </c>
    </row>
    <row r="1435" spans="1:4" x14ac:dyDescent="0.3">
      <c r="A1435" t="s">
        <v>5067</v>
      </c>
      <c r="B1435" t="s">
        <v>5514</v>
      </c>
      <c r="C1435" s="22" t="s">
        <v>5790</v>
      </c>
      <c r="D1435" t="str">
        <f>IF(Noty!I277=0,"ukryj","odkryj")</f>
        <v>ukryj</v>
      </c>
    </row>
    <row r="1436" spans="1:4" x14ac:dyDescent="0.3">
      <c r="A1436" t="s">
        <v>5067</v>
      </c>
      <c r="B1436" t="s">
        <v>5514</v>
      </c>
      <c r="C1436" s="22" t="s">
        <v>5791</v>
      </c>
      <c r="D1436" t="str">
        <f>IF(Noty!I278=0,"ukryj","odkryj")</f>
        <v>ukryj</v>
      </c>
    </row>
    <row r="1437" spans="1:4" x14ac:dyDescent="0.3">
      <c r="A1437" t="s">
        <v>5067</v>
      </c>
      <c r="B1437" t="s">
        <v>5514</v>
      </c>
      <c r="C1437" s="22" t="s">
        <v>5792</v>
      </c>
      <c r="D1437" t="str">
        <f>IF(Noty!I279=0,"ukryj","odkryj")</f>
        <v>ukryj</v>
      </c>
    </row>
    <row r="1438" spans="1:4" x14ac:dyDescent="0.3">
      <c r="A1438" t="s">
        <v>5067</v>
      </c>
      <c r="B1438" t="s">
        <v>5514</v>
      </c>
      <c r="C1438" s="22" t="s">
        <v>5793</v>
      </c>
      <c r="D1438" t="str">
        <f>IF(Noty!I280=0,"ukryj","odkryj")</f>
        <v>ukryj</v>
      </c>
    </row>
    <row r="1439" spans="1:4" x14ac:dyDescent="0.3">
      <c r="A1439" t="s">
        <v>5067</v>
      </c>
      <c r="B1439" t="s">
        <v>5514</v>
      </c>
      <c r="C1439" s="22" t="s">
        <v>5794</v>
      </c>
      <c r="D1439" t="str">
        <f>Noty!J280</f>
        <v>ukryj</v>
      </c>
    </row>
    <row r="1440" spans="1:4" x14ac:dyDescent="0.3">
      <c r="A1440" t="s">
        <v>5067</v>
      </c>
      <c r="B1440" t="s">
        <v>5514</v>
      </c>
      <c r="C1440" s="22" t="s">
        <v>5795</v>
      </c>
      <c r="D1440" t="str">
        <f>IF(COUNT(Noty!I284:'Noty'!I289)-COUNTIF(Noty!I284:'Noty'!I289,0)=0,"ukryj","odkryj")</f>
        <v>ukryj</v>
      </c>
    </row>
    <row r="1441" spans="1:4" x14ac:dyDescent="0.3">
      <c r="A1441" t="s">
        <v>5067</v>
      </c>
      <c r="B1441" t="s">
        <v>5514</v>
      </c>
      <c r="C1441" s="22" t="s">
        <v>5796</v>
      </c>
      <c r="D1441" t="str">
        <f>Noty!J282</f>
        <v>ukryj</v>
      </c>
    </row>
    <row r="1442" spans="1:4" x14ac:dyDescent="0.3">
      <c r="A1442" t="s">
        <v>5067</v>
      </c>
      <c r="B1442" t="s">
        <v>5514</v>
      </c>
      <c r="C1442" s="22" t="s">
        <v>5797</v>
      </c>
      <c r="D1442" t="str">
        <f>IF(Noty!I284=0,"ukryj","odkryj")</f>
        <v>ukryj</v>
      </c>
    </row>
    <row r="1443" spans="1:4" x14ac:dyDescent="0.3">
      <c r="A1443" t="s">
        <v>5067</v>
      </c>
      <c r="B1443" t="s">
        <v>5514</v>
      </c>
      <c r="C1443" s="22" t="s">
        <v>5798</v>
      </c>
      <c r="D1443" t="str">
        <f>IF(Noty!I285=0,"ukryj","odkryj")</f>
        <v>ukryj</v>
      </c>
    </row>
    <row r="1444" spans="1:4" x14ac:dyDescent="0.3">
      <c r="A1444" t="s">
        <v>5067</v>
      </c>
      <c r="B1444" t="s">
        <v>5514</v>
      </c>
      <c r="C1444" s="22" t="s">
        <v>5799</v>
      </c>
      <c r="D1444" t="str">
        <f>IF(Noty!I286=0,"ukryj","odkryj")</f>
        <v>ukryj</v>
      </c>
    </row>
    <row r="1445" spans="1:4" x14ac:dyDescent="0.3">
      <c r="A1445" t="s">
        <v>5067</v>
      </c>
      <c r="B1445" t="s">
        <v>5514</v>
      </c>
      <c r="C1445" s="22" t="s">
        <v>5800</v>
      </c>
      <c r="D1445" t="str">
        <f>IF(Noty!I287=0,"ukryj","odkryj")</f>
        <v>ukryj</v>
      </c>
    </row>
    <row r="1446" spans="1:4" x14ac:dyDescent="0.3">
      <c r="A1446" t="s">
        <v>5067</v>
      </c>
      <c r="B1446" t="s">
        <v>5514</v>
      </c>
      <c r="C1446" s="22" t="s">
        <v>5801</v>
      </c>
      <c r="D1446" t="str">
        <f>IF(Noty!I288=0,"ukryj","odkryj")</f>
        <v>ukryj</v>
      </c>
    </row>
    <row r="1447" spans="1:4" x14ac:dyDescent="0.3">
      <c r="A1447" t="s">
        <v>5067</v>
      </c>
      <c r="B1447" t="s">
        <v>5514</v>
      </c>
      <c r="C1447" s="22" t="s">
        <v>5802</v>
      </c>
      <c r="D1447" t="str">
        <f>IF(Noty!I289=0,"ukryj","odkryj")</f>
        <v>ukryj</v>
      </c>
    </row>
    <row r="1448" spans="1:4" x14ac:dyDescent="0.3">
      <c r="A1448" t="s">
        <v>5067</v>
      </c>
      <c r="B1448" t="s">
        <v>5514</v>
      </c>
      <c r="C1448" s="22" t="s">
        <v>5803</v>
      </c>
      <c r="D1448" t="str">
        <f>Noty!J289</f>
        <v>ukryj</v>
      </c>
    </row>
    <row r="1449" spans="1:4" x14ac:dyDescent="0.3">
      <c r="A1449" t="s">
        <v>5067</v>
      </c>
      <c r="B1449" t="s">
        <v>5514</v>
      </c>
      <c r="C1449" s="22" t="s">
        <v>5804</v>
      </c>
      <c r="D1449" t="str">
        <f>IF(COUNT(Noty!I293:'Noty'!I294)-COUNTIF(Noty!I293:'Noty'!I294,0)=0,"ukryj","odkryj")</f>
        <v>ukryj</v>
      </c>
    </row>
    <row r="1450" spans="1:4" x14ac:dyDescent="0.3">
      <c r="A1450" t="s">
        <v>5067</v>
      </c>
      <c r="B1450" t="s">
        <v>5514</v>
      </c>
      <c r="C1450" s="22" t="s">
        <v>5805</v>
      </c>
      <c r="D1450" t="str">
        <f>Noty!J291</f>
        <v>ukryj</v>
      </c>
    </row>
    <row r="1451" spans="1:4" x14ac:dyDescent="0.3">
      <c r="A1451" t="s">
        <v>5067</v>
      </c>
      <c r="B1451" t="s">
        <v>5514</v>
      </c>
      <c r="C1451" s="22" t="s">
        <v>5806</v>
      </c>
      <c r="D1451" t="str">
        <f>IF(Noty!I293=0,"ukryj","odkryj")</f>
        <v>ukryj</v>
      </c>
    </row>
    <row r="1452" spans="1:4" x14ac:dyDescent="0.3">
      <c r="A1452" t="s">
        <v>5067</v>
      </c>
      <c r="B1452" t="s">
        <v>5514</v>
      </c>
      <c r="C1452" s="22" t="s">
        <v>5807</v>
      </c>
      <c r="D1452" t="str">
        <f>IF(Noty!I294=0,"ukryj","odkryj")</f>
        <v>ukryj</v>
      </c>
    </row>
    <row r="1453" spans="1:4" x14ac:dyDescent="0.3">
      <c r="A1453" t="s">
        <v>5067</v>
      </c>
      <c r="B1453" t="s">
        <v>5514</v>
      </c>
      <c r="C1453" s="22" t="s">
        <v>5808</v>
      </c>
      <c r="D1453" t="str">
        <f>Noty!J294</f>
        <v>ukryj</v>
      </c>
    </row>
    <row r="1454" spans="1:4" x14ac:dyDescent="0.3">
      <c r="A1454" t="s">
        <v>5067</v>
      </c>
      <c r="B1454" t="s">
        <v>5514</v>
      </c>
      <c r="C1454" s="22" t="s">
        <v>5809</v>
      </c>
      <c r="D1454" t="str">
        <f>IF(Noty!K296="n/a","ukryj","odkryj")</f>
        <v>ukryj</v>
      </c>
    </row>
    <row r="1455" spans="1:4" x14ac:dyDescent="0.3">
      <c r="A1455" t="s">
        <v>5067</v>
      </c>
      <c r="B1455" t="s">
        <v>5514</v>
      </c>
      <c r="C1455" s="22" t="s">
        <v>5810</v>
      </c>
      <c r="D1455" t="str">
        <f>Noty!J296</f>
        <v>ukryj</v>
      </c>
    </row>
    <row r="1456" spans="1:4" x14ac:dyDescent="0.3">
      <c r="A1456" t="s">
        <v>5067</v>
      </c>
      <c r="B1456" t="s">
        <v>5514</v>
      </c>
      <c r="C1456" s="22" t="s">
        <v>5811</v>
      </c>
      <c r="D1456" t="str">
        <f>Noty!J297</f>
        <v>ukryj</v>
      </c>
    </row>
    <row r="1457" spans="1:4" x14ac:dyDescent="0.3">
      <c r="A1457" t="s">
        <v>5067</v>
      </c>
      <c r="B1457" t="s">
        <v>5514</v>
      </c>
      <c r="C1457" s="22" t="s">
        <v>5812</v>
      </c>
      <c r="D1457" t="str">
        <f>Noty!J298</f>
        <v>ukryj</v>
      </c>
    </row>
    <row r="1458" spans="1:4" x14ac:dyDescent="0.3">
      <c r="A1458" t="s">
        <v>5067</v>
      </c>
      <c r="B1458" t="s">
        <v>5514</v>
      </c>
      <c r="C1458" s="22" t="s">
        <v>5813</v>
      </c>
      <c r="D1458" t="str">
        <f>IF(Noty!F300=0,"ukryj","odkryj")</f>
        <v>ukryj</v>
      </c>
    </row>
    <row r="1459" spans="1:4" x14ac:dyDescent="0.3">
      <c r="A1459" t="s">
        <v>5067</v>
      </c>
      <c r="B1459" t="s">
        <v>5514</v>
      </c>
      <c r="C1459" s="22" t="s">
        <v>5814</v>
      </c>
      <c r="D1459" t="str">
        <f>IF(Noty!F301=0,"ukryj","odkryj")</f>
        <v>ukryj</v>
      </c>
    </row>
    <row r="1460" spans="1:4" x14ac:dyDescent="0.3">
      <c r="A1460" t="s">
        <v>5067</v>
      </c>
      <c r="B1460" t="s">
        <v>5514</v>
      </c>
      <c r="C1460" s="22" t="s">
        <v>5815</v>
      </c>
      <c r="D1460" t="str">
        <f>IF(Noty!F302=0,"ukryj","odkryj")</f>
        <v>ukryj</v>
      </c>
    </row>
    <row r="1461" spans="1:4" x14ac:dyDescent="0.3">
      <c r="A1461" t="s">
        <v>5067</v>
      </c>
      <c r="B1461" t="s">
        <v>5514</v>
      </c>
      <c r="C1461" s="22" t="s">
        <v>5816</v>
      </c>
      <c r="D1461" t="str">
        <f>IF(Noty!F303=0,"ukryj","odkryj")</f>
        <v>ukryj</v>
      </c>
    </row>
    <row r="1462" spans="1:4" x14ac:dyDescent="0.3">
      <c r="A1462" t="s">
        <v>5067</v>
      </c>
      <c r="B1462" t="s">
        <v>5514</v>
      </c>
      <c r="C1462" s="22" t="s">
        <v>5817</v>
      </c>
      <c r="D1462" t="str">
        <f>IF(Noty!F304=0,"ukryj","odkryj")</f>
        <v>ukryj</v>
      </c>
    </row>
    <row r="1463" spans="1:4" x14ac:dyDescent="0.3">
      <c r="A1463" t="s">
        <v>5067</v>
      </c>
      <c r="B1463" t="s">
        <v>5514</v>
      </c>
      <c r="C1463" s="22" t="s">
        <v>5818</v>
      </c>
      <c r="D1463" t="str">
        <f>IF(Noty!F305=0,"ukryj","odkryj")</f>
        <v>ukryj</v>
      </c>
    </row>
    <row r="1464" spans="1:4" x14ac:dyDescent="0.3">
      <c r="A1464" t="s">
        <v>5067</v>
      </c>
      <c r="B1464" t="s">
        <v>5514</v>
      </c>
      <c r="C1464" s="22" t="s">
        <v>5819</v>
      </c>
      <c r="D1464" t="str">
        <f>Noty!J305</f>
        <v>ukryj</v>
      </c>
    </row>
    <row r="1465" spans="1:4" x14ac:dyDescent="0.3">
      <c r="A1465" t="s">
        <v>5067</v>
      </c>
      <c r="B1465" t="s">
        <v>5514</v>
      </c>
      <c r="C1465" s="22" t="s">
        <v>5820</v>
      </c>
      <c r="D1465" t="str">
        <f>Noty!J306</f>
        <v>ukryj</v>
      </c>
    </row>
    <row r="1466" spans="1:4" x14ac:dyDescent="0.3">
      <c r="A1466" t="s">
        <v>5067</v>
      </c>
      <c r="B1466" t="s">
        <v>5514</v>
      </c>
      <c r="C1466" s="22" t="s">
        <v>5821</v>
      </c>
      <c r="D1466" t="str">
        <f>Noty!J307</f>
        <v>ukryj</v>
      </c>
    </row>
    <row r="1467" spans="1:4" x14ac:dyDescent="0.3">
      <c r="A1467" t="s">
        <v>5067</v>
      </c>
      <c r="B1467" t="s">
        <v>5514</v>
      </c>
      <c r="C1467" s="22" t="s">
        <v>5822</v>
      </c>
      <c r="D1467" t="str">
        <f>IF(Noty!F309=0,"ukryj","odkryj")</f>
        <v>ukryj</v>
      </c>
    </row>
    <row r="1468" spans="1:4" x14ac:dyDescent="0.3">
      <c r="A1468" t="s">
        <v>5067</v>
      </c>
      <c r="B1468" t="s">
        <v>5514</v>
      </c>
      <c r="C1468" s="22" t="s">
        <v>5823</v>
      </c>
      <c r="D1468" t="str">
        <f>IF(Noty!F310=0,"ukryj","odkryj")</f>
        <v>ukryj</v>
      </c>
    </row>
    <row r="1469" spans="1:4" x14ac:dyDescent="0.3">
      <c r="A1469" t="s">
        <v>5067</v>
      </c>
      <c r="B1469" t="s">
        <v>5514</v>
      </c>
      <c r="C1469" s="22" t="s">
        <v>5824</v>
      </c>
      <c r="D1469" t="str">
        <f>IF(Noty!F311=0,"ukryj","odkryj")</f>
        <v>ukryj</v>
      </c>
    </row>
    <row r="1470" spans="1:4" x14ac:dyDescent="0.3">
      <c r="A1470" t="s">
        <v>5067</v>
      </c>
      <c r="B1470" t="s">
        <v>5514</v>
      </c>
      <c r="C1470" s="22" t="s">
        <v>5825</v>
      </c>
      <c r="D1470" t="str">
        <f>IF(Noty!F312=0,"ukryj","odkryj")</f>
        <v>ukryj</v>
      </c>
    </row>
    <row r="1471" spans="1:4" x14ac:dyDescent="0.3">
      <c r="A1471" t="s">
        <v>5067</v>
      </c>
      <c r="B1471" t="s">
        <v>5514</v>
      </c>
      <c r="C1471" s="22" t="s">
        <v>5826</v>
      </c>
      <c r="D1471" t="str">
        <f>IF(Noty!F313=0,"ukryj","odkryj")</f>
        <v>ukryj</v>
      </c>
    </row>
    <row r="1472" spans="1:4" x14ac:dyDescent="0.3">
      <c r="A1472" t="s">
        <v>5067</v>
      </c>
      <c r="B1472" t="s">
        <v>5514</v>
      </c>
      <c r="C1472" s="22" t="s">
        <v>5827</v>
      </c>
      <c r="D1472" t="str">
        <f>IF(Noty!F314=0,"ukryj","odkryj")</f>
        <v>ukryj</v>
      </c>
    </row>
    <row r="1473" spans="1:4" x14ac:dyDescent="0.3">
      <c r="A1473" t="s">
        <v>5067</v>
      </c>
      <c r="B1473" t="s">
        <v>5514</v>
      </c>
      <c r="C1473" s="22" t="s">
        <v>5828</v>
      </c>
      <c r="D1473" t="str">
        <f>Noty!J314</f>
        <v>ukryj</v>
      </c>
    </row>
    <row r="1474" spans="1:4" x14ac:dyDescent="0.3">
      <c r="A1474" t="s">
        <v>5067</v>
      </c>
      <c r="B1474" t="s">
        <v>5514</v>
      </c>
      <c r="C1474" s="22" t="s">
        <v>5829</v>
      </c>
      <c r="D1474" t="str">
        <f>Noty!J314</f>
        <v>ukryj</v>
      </c>
    </row>
    <row r="1475" spans="1:4" x14ac:dyDescent="0.3">
      <c r="A1475" t="s">
        <v>5067</v>
      </c>
      <c r="B1475" t="s">
        <v>5514</v>
      </c>
      <c r="C1475" s="22" t="s">
        <v>5830</v>
      </c>
      <c r="D1475" t="str">
        <f>Noty!J316</f>
        <v>ukryj</v>
      </c>
    </row>
    <row r="1476" spans="1:4" x14ac:dyDescent="0.3">
      <c r="A1476" t="s">
        <v>5067</v>
      </c>
      <c r="B1476" t="s">
        <v>5514</v>
      </c>
      <c r="C1476" s="22" t="s">
        <v>5831</v>
      </c>
      <c r="D1476" t="str">
        <f>IF(Noty!K318="n/a","ukryj","odkryj")</f>
        <v>ukryj</v>
      </c>
    </row>
    <row r="1477" spans="1:4" x14ac:dyDescent="0.3">
      <c r="A1477" t="s">
        <v>5067</v>
      </c>
      <c r="B1477" t="s">
        <v>5514</v>
      </c>
      <c r="C1477" s="22" t="s">
        <v>5832</v>
      </c>
      <c r="D1477" t="str">
        <f>Noty!J318</f>
        <v>ukryj</v>
      </c>
    </row>
    <row r="1478" spans="1:4" x14ac:dyDescent="0.3">
      <c r="A1478" t="s">
        <v>5067</v>
      </c>
      <c r="B1478" t="s">
        <v>5514</v>
      </c>
      <c r="C1478" s="22" t="s">
        <v>5833</v>
      </c>
      <c r="D1478" t="str">
        <f>Noty!J319</f>
        <v>ukryj</v>
      </c>
    </row>
    <row r="1479" spans="1:4" x14ac:dyDescent="0.3">
      <c r="A1479" t="s">
        <v>5067</v>
      </c>
      <c r="B1479" t="s">
        <v>5514</v>
      </c>
      <c r="C1479" s="22" t="s">
        <v>5834</v>
      </c>
      <c r="D1479" t="str">
        <f>Noty!J320</f>
        <v>ukryj</v>
      </c>
    </row>
    <row r="1480" spans="1:4" x14ac:dyDescent="0.3">
      <c r="A1480" t="s">
        <v>5067</v>
      </c>
      <c r="B1480" t="s">
        <v>5514</v>
      </c>
      <c r="C1480" s="22" t="s">
        <v>5835</v>
      </c>
      <c r="D1480" t="str">
        <f>IF(Noty!H322=0,"ukryj","odkryj")</f>
        <v>ukryj</v>
      </c>
    </row>
    <row r="1481" spans="1:4" x14ac:dyDescent="0.3">
      <c r="A1481" t="s">
        <v>5067</v>
      </c>
      <c r="B1481" t="s">
        <v>5514</v>
      </c>
      <c r="C1481" s="22" t="s">
        <v>5836</v>
      </c>
      <c r="D1481" t="str">
        <f>Noty!J322</f>
        <v>ukryj</v>
      </c>
    </row>
    <row r="1482" spans="1:4" x14ac:dyDescent="0.3">
      <c r="A1482" t="s">
        <v>5067</v>
      </c>
      <c r="B1482" t="s">
        <v>5514</v>
      </c>
      <c r="C1482" s="22" t="s">
        <v>5837</v>
      </c>
      <c r="D1482" t="str">
        <f>IF(Noty!H324=0,"ukryj","odkryj")</f>
        <v>ukryj</v>
      </c>
    </row>
    <row r="1483" spans="1:4" x14ac:dyDescent="0.3">
      <c r="A1483" t="s">
        <v>5067</v>
      </c>
      <c r="B1483" t="s">
        <v>5514</v>
      </c>
      <c r="C1483" s="22" t="s">
        <v>5838</v>
      </c>
      <c r="D1483" t="str">
        <f>Noty!J324</f>
        <v>ukryj</v>
      </c>
    </row>
    <row r="1484" spans="1:4" x14ac:dyDescent="0.3">
      <c r="A1484" t="s">
        <v>5067</v>
      </c>
      <c r="B1484" t="s">
        <v>5514</v>
      </c>
      <c r="C1484" s="22" t="s">
        <v>5839</v>
      </c>
      <c r="D1484" t="str">
        <f>IF(Noty!H326=0,"ukryj","odkryj")</f>
        <v>ukryj</v>
      </c>
    </row>
    <row r="1485" spans="1:4" x14ac:dyDescent="0.3">
      <c r="A1485" t="s">
        <v>5067</v>
      </c>
      <c r="B1485" t="s">
        <v>5514</v>
      </c>
      <c r="C1485" s="22" t="s">
        <v>5840</v>
      </c>
      <c r="D1485" t="str">
        <f>Noty!J326</f>
        <v>ukryj</v>
      </c>
    </row>
    <row r="1486" spans="1:4" x14ac:dyDescent="0.3">
      <c r="A1486" t="s">
        <v>5067</v>
      </c>
      <c r="B1486" t="s">
        <v>5514</v>
      </c>
      <c r="C1486" s="22" t="s">
        <v>5841</v>
      </c>
      <c r="D1486" t="str">
        <f>IF(Noty!H328=0,"ukryj","odkryj")</f>
        <v>ukryj</v>
      </c>
    </row>
    <row r="1487" spans="1:4" x14ac:dyDescent="0.3">
      <c r="A1487" t="s">
        <v>5067</v>
      </c>
      <c r="B1487" t="s">
        <v>5514</v>
      </c>
      <c r="C1487" s="22" t="s">
        <v>5842</v>
      </c>
      <c r="D1487" t="str">
        <f>Noty!J328</f>
        <v>ukryj</v>
      </c>
    </row>
    <row r="1488" spans="1:4" x14ac:dyDescent="0.3">
      <c r="A1488" t="s">
        <v>5067</v>
      </c>
      <c r="B1488" t="s">
        <v>5514</v>
      </c>
      <c r="C1488" s="22" t="s">
        <v>5843</v>
      </c>
      <c r="D1488" t="str">
        <f>IF(Noty!H330=0,"ukryj","odkryj")</f>
        <v>ukryj</v>
      </c>
    </row>
    <row r="1489" spans="1:4" x14ac:dyDescent="0.3">
      <c r="A1489" t="s">
        <v>5067</v>
      </c>
      <c r="B1489" t="s">
        <v>5514</v>
      </c>
      <c r="C1489" s="22" t="s">
        <v>5844</v>
      </c>
      <c r="D1489" t="str">
        <f>Noty!J330</f>
        <v>ukryj</v>
      </c>
    </row>
    <row r="1490" spans="1:4" x14ac:dyDescent="0.3">
      <c r="A1490" t="s">
        <v>5067</v>
      </c>
      <c r="B1490" t="s">
        <v>5514</v>
      </c>
      <c r="C1490" s="22" t="s">
        <v>5845</v>
      </c>
      <c r="D1490" t="str">
        <f>IF(Noty!H332=0,"ukryj","odkryj")</f>
        <v>ukryj</v>
      </c>
    </row>
    <row r="1491" spans="1:4" x14ac:dyDescent="0.3">
      <c r="A1491" t="s">
        <v>5067</v>
      </c>
      <c r="B1491" t="s">
        <v>5514</v>
      </c>
      <c r="C1491" s="22" t="s">
        <v>5846</v>
      </c>
      <c r="D1491" t="str">
        <f>Noty!J332</f>
        <v>ukryj</v>
      </c>
    </row>
    <row r="1492" spans="1:4" x14ac:dyDescent="0.3">
      <c r="A1492" t="s">
        <v>5067</v>
      </c>
      <c r="B1492" t="s">
        <v>5514</v>
      </c>
      <c r="C1492" s="22" t="s">
        <v>5847</v>
      </c>
      <c r="D1492" t="str">
        <f>IF(Noty!K334="n/a","ukryj","odkryj")</f>
        <v>ukryj</v>
      </c>
    </row>
    <row r="1493" spans="1:4" x14ac:dyDescent="0.3">
      <c r="A1493" t="s">
        <v>5067</v>
      </c>
      <c r="B1493" t="s">
        <v>5514</v>
      </c>
      <c r="C1493" s="22" t="s">
        <v>5848</v>
      </c>
      <c r="D1493" t="str">
        <f>Noty!J334</f>
        <v>ukryj</v>
      </c>
    </row>
    <row r="1494" spans="1:4" x14ac:dyDescent="0.3">
      <c r="A1494" t="s">
        <v>5067</v>
      </c>
      <c r="B1494" t="s">
        <v>5514</v>
      </c>
      <c r="C1494" s="22" t="s">
        <v>5849</v>
      </c>
      <c r="D1494" t="str">
        <f>Noty!J335</f>
        <v>ukryj</v>
      </c>
    </row>
    <row r="1495" spans="1:4" x14ac:dyDescent="0.3">
      <c r="A1495" t="s">
        <v>5067</v>
      </c>
      <c r="B1495" t="s">
        <v>5514</v>
      </c>
      <c r="C1495" s="22" t="s">
        <v>5850</v>
      </c>
      <c r="D1495" t="str">
        <f>Noty!J336</f>
        <v>ukryj</v>
      </c>
    </row>
    <row r="1496" spans="1:4" x14ac:dyDescent="0.3">
      <c r="A1496" t="s">
        <v>5067</v>
      </c>
      <c r="B1496" t="s">
        <v>5514</v>
      </c>
      <c r="C1496" s="22" t="s">
        <v>5851</v>
      </c>
      <c r="D1496" t="str">
        <f>IF(Noty!H338=0,"ukryj","odkryj")</f>
        <v>ukryj</v>
      </c>
    </row>
    <row r="1497" spans="1:4" x14ac:dyDescent="0.3">
      <c r="A1497" t="s">
        <v>5067</v>
      </c>
      <c r="B1497" t="s">
        <v>5514</v>
      </c>
      <c r="C1497" s="22" t="s">
        <v>5852</v>
      </c>
      <c r="D1497" t="str">
        <f>Noty!J338</f>
        <v>ukryj</v>
      </c>
    </row>
    <row r="1498" spans="1:4" x14ac:dyDescent="0.3">
      <c r="A1498" t="s">
        <v>5067</v>
      </c>
      <c r="B1498" t="s">
        <v>5514</v>
      </c>
      <c r="C1498" s="22" t="s">
        <v>5853</v>
      </c>
      <c r="D1498" t="str">
        <f>IF(Noty!H340=0,"ukryj","odkryj")</f>
        <v>ukryj</v>
      </c>
    </row>
    <row r="1499" spans="1:4" x14ac:dyDescent="0.3">
      <c r="A1499" t="s">
        <v>5067</v>
      </c>
      <c r="B1499" t="s">
        <v>5514</v>
      </c>
      <c r="C1499" s="22" t="s">
        <v>5854</v>
      </c>
      <c r="D1499" t="str">
        <f>Noty!J340</f>
        <v>ukryj</v>
      </c>
    </row>
    <row r="1500" spans="1:4" x14ac:dyDescent="0.3">
      <c r="A1500" t="s">
        <v>5067</v>
      </c>
      <c r="B1500" t="s">
        <v>5514</v>
      </c>
      <c r="C1500" s="22" t="s">
        <v>5855</v>
      </c>
      <c r="D1500" t="str">
        <f>IF(Noty!H342=0,"ukryj","odkryj")</f>
        <v>ukryj</v>
      </c>
    </row>
    <row r="1501" spans="1:4" x14ac:dyDescent="0.3">
      <c r="A1501" t="s">
        <v>5067</v>
      </c>
      <c r="B1501" t="s">
        <v>5514</v>
      </c>
      <c r="C1501" s="22" t="s">
        <v>5856</v>
      </c>
      <c r="D1501" t="str">
        <f>Noty!J342</f>
        <v>ukryj</v>
      </c>
    </row>
    <row r="1502" spans="1:4" x14ac:dyDescent="0.3">
      <c r="A1502" t="s">
        <v>5067</v>
      </c>
      <c r="B1502" t="s">
        <v>5514</v>
      </c>
      <c r="C1502" s="22" t="s">
        <v>5857</v>
      </c>
      <c r="D1502" t="str">
        <f>IF(Noty!H344=0,"ukryj","odkryj")</f>
        <v>ukryj</v>
      </c>
    </row>
    <row r="1503" spans="1:4" x14ac:dyDescent="0.3">
      <c r="A1503" t="s">
        <v>5067</v>
      </c>
      <c r="B1503" t="s">
        <v>5514</v>
      </c>
      <c r="C1503" s="22" t="s">
        <v>5858</v>
      </c>
      <c r="D1503" t="str">
        <f>Noty!J344</f>
        <v>ukryj</v>
      </c>
    </row>
    <row r="1504" spans="1:4" x14ac:dyDescent="0.3">
      <c r="A1504" t="s">
        <v>5067</v>
      </c>
      <c r="B1504" t="s">
        <v>5514</v>
      </c>
      <c r="C1504" s="22" t="s">
        <v>5859</v>
      </c>
      <c r="D1504" t="str">
        <f>IF(Noty!H346=0,"ukryj","odkryj")</f>
        <v>ukryj</v>
      </c>
    </row>
    <row r="1505" spans="1:4" x14ac:dyDescent="0.3">
      <c r="A1505" t="s">
        <v>5067</v>
      </c>
      <c r="B1505" t="s">
        <v>5514</v>
      </c>
      <c r="C1505" s="22" t="s">
        <v>5860</v>
      </c>
      <c r="D1505" t="str">
        <f>Noty!J346</f>
        <v>ukryj</v>
      </c>
    </row>
    <row r="1506" spans="1:4" x14ac:dyDescent="0.3">
      <c r="A1506" t="s">
        <v>5067</v>
      </c>
      <c r="B1506" t="s">
        <v>5514</v>
      </c>
      <c r="C1506" s="22" t="s">
        <v>5861</v>
      </c>
      <c r="D1506" t="str">
        <f>IF(Noty!H348=0,"ukryj","odkryj")</f>
        <v>ukryj</v>
      </c>
    </row>
    <row r="1507" spans="1:4" x14ac:dyDescent="0.3">
      <c r="A1507" t="s">
        <v>5067</v>
      </c>
      <c r="B1507" t="s">
        <v>5514</v>
      </c>
      <c r="C1507" s="22" t="s">
        <v>5862</v>
      </c>
      <c r="D1507" t="str">
        <f>Noty!J348</f>
        <v>ukryj</v>
      </c>
    </row>
    <row r="1508" spans="1:4" x14ac:dyDescent="0.3">
      <c r="A1508" t="s">
        <v>5067</v>
      </c>
      <c r="B1508" t="s">
        <v>5514</v>
      </c>
      <c r="C1508" s="22" t="s">
        <v>5863</v>
      </c>
      <c r="D1508" t="str">
        <f>IF(Noty!K350="n/a","ukryj","odkryj")</f>
        <v>ukryj</v>
      </c>
    </row>
    <row r="1509" spans="1:4" x14ac:dyDescent="0.3">
      <c r="A1509" t="s">
        <v>5067</v>
      </c>
      <c r="B1509" t="s">
        <v>5514</v>
      </c>
      <c r="C1509" s="22" t="s">
        <v>5864</v>
      </c>
      <c r="D1509" t="str">
        <f>Noty!J350</f>
        <v>ukryj</v>
      </c>
    </row>
    <row r="1510" spans="1:4" x14ac:dyDescent="0.3">
      <c r="A1510" t="s">
        <v>5067</v>
      </c>
      <c r="B1510" t="s">
        <v>5514</v>
      </c>
      <c r="C1510" s="22" t="s">
        <v>5865</v>
      </c>
      <c r="D1510" t="str">
        <f>Noty!J351</f>
        <v>ukryj</v>
      </c>
    </row>
    <row r="1511" spans="1:4" x14ac:dyDescent="0.3">
      <c r="A1511" t="s">
        <v>5067</v>
      </c>
      <c r="B1511" t="s">
        <v>5514</v>
      </c>
      <c r="C1511" s="22" t="s">
        <v>5866</v>
      </c>
      <c r="D1511" t="str">
        <f>Noty!J352</f>
        <v>ukryj</v>
      </c>
    </row>
    <row r="1512" spans="1:4" x14ac:dyDescent="0.3">
      <c r="A1512" t="s">
        <v>5067</v>
      </c>
      <c r="B1512" t="s">
        <v>5514</v>
      </c>
      <c r="C1512" s="22" t="s">
        <v>5867</v>
      </c>
      <c r="D1512" t="str">
        <f>IF(Noty!H354=0,"ukryj","odkryj")</f>
        <v>ukryj</v>
      </c>
    </row>
    <row r="1513" spans="1:4" x14ac:dyDescent="0.3">
      <c r="A1513" t="s">
        <v>5067</v>
      </c>
      <c r="B1513" t="s">
        <v>5514</v>
      </c>
      <c r="C1513" s="22" t="s">
        <v>5868</v>
      </c>
      <c r="D1513" t="str">
        <f>Noty!J354</f>
        <v>ukryj</v>
      </c>
    </row>
    <row r="1514" spans="1:4" x14ac:dyDescent="0.3">
      <c r="A1514" t="s">
        <v>5067</v>
      </c>
      <c r="B1514" t="s">
        <v>5514</v>
      </c>
      <c r="C1514" s="22" t="s">
        <v>5869</v>
      </c>
      <c r="D1514" t="str">
        <f>IF(Noty!H356=0,"ukryj","odkryj")</f>
        <v>ukryj</v>
      </c>
    </row>
    <row r="1515" spans="1:4" x14ac:dyDescent="0.3">
      <c r="A1515" t="s">
        <v>5067</v>
      </c>
      <c r="B1515" t="s">
        <v>5514</v>
      </c>
      <c r="C1515" s="22" t="s">
        <v>5870</v>
      </c>
      <c r="D1515" t="str">
        <f>Noty!J356</f>
        <v>ukryj</v>
      </c>
    </row>
    <row r="1516" spans="1:4" x14ac:dyDescent="0.3">
      <c r="A1516" t="s">
        <v>5067</v>
      </c>
      <c r="B1516" t="s">
        <v>5514</v>
      </c>
      <c r="C1516" s="22" t="s">
        <v>5871</v>
      </c>
      <c r="D1516" t="str">
        <f>IF(Noty!H358=0,"ukryj","odkryj")</f>
        <v>ukryj</v>
      </c>
    </row>
    <row r="1517" spans="1:4" x14ac:dyDescent="0.3">
      <c r="A1517" t="s">
        <v>5067</v>
      </c>
      <c r="B1517" t="s">
        <v>5514</v>
      </c>
      <c r="C1517" s="22" t="s">
        <v>5872</v>
      </c>
      <c r="D1517" t="str">
        <f>Noty!J358</f>
        <v>ukryj</v>
      </c>
    </row>
    <row r="1518" spans="1:4" x14ac:dyDescent="0.3">
      <c r="A1518" t="s">
        <v>5067</v>
      </c>
      <c r="B1518" t="s">
        <v>5514</v>
      </c>
      <c r="C1518" s="22" t="s">
        <v>5873</v>
      </c>
      <c r="D1518" t="str">
        <f>IF(Noty!H360=0,"ukryj","odkryj")</f>
        <v>ukryj</v>
      </c>
    </row>
    <row r="1519" spans="1:4" x14ac:dyDescent="0.3">
      <c r="A1519" t="s">
        <v>5067</v>
      </c>
      <c r="B1519" t="s">
        <v>5514</v>
      </c>
      <c r="C1519" s="22" t="s">
        <v>5874</v>
      </c>
      <c r="D1519" t="str">
        <f>Noty!J360</f>
        <v>ukryj</v>
      </c>
    </row>
    <row r="1520" spans="1:4" x14ac:dyDescent="0.3">
      <c r="A1520" t="s">
        <v>5067</v>
      </c>
      <c r="B1520" t="s">
        <v>5514</v>
      </c>
      <c r="C1520" s="22" t="s">
        <v>5875</v>
      </c>
      <c r="D1520" t="str">
        <f>IF(Noty!H362=0,"ukryj","odkryj")</f>
        <v>ukryj</v>
      </c>
    </row>
    <row r="1521" spans="1:4" x14ac:dyDescent="0.3">
      <c r="A1521" t="s">
        <v>5067</v>
      </c>
      <c r="B1521" t="s">
        <v>5514</v>
      </c>
      <c r="C1521" s="22" t="s">
        <v>5876</v>
      </c>
      <c r="D1521" t="str">
        <f>Noty!J362</f>
        <v>ukryj</v>
      </c>
    </row>
    <row r="1522" spans="1:4" x14ac:dyDescent="0.3">
      <c r="A1522" t="s">
        <v>5067</v>
      </c>
      <c r="B1522" t="s">
        <v>5514</v>
      </c>
      <c r="C1522" s="22" t="s">
        <v>5877</v>
      </c>
      <c r="D1522" t="str">
        <f>IF(Noty!H364=0,"ukryj","odkryj")</f>
        <v>ukryj</v>
      </c>
    </row>
    <row r="1523" spans="1:4" x14ac:dyDescent="0.3">
      <c r="A1523" t="s">
        <v>5067</v>
      </c>
      <c r="B1523" t="s">
        <v>5514</v>
      </c>
      <c r="C1523" s="22" t="s">
        <v>5878</v>
      </c>
      <c r="D1523" t="str">
        <f>Noty!J364</f>
        <v>ukryj</v>
      </c>
    </row>
    <row r="1524" spans="1:4" x14ac:dyDescent="0.3">
      <c r="A1524" t="s">
        <v>5067</v>
      </c>
      <c r="B1524" t="s">
        <v>5514</v>
      </c>
      <c r="C1524" s="22" t="s">
        <v>5879</v>
      </c>
      <c r="D1524" t="str">
        <f>IF(Noty!K366="n/a","ukryj","odkryj")</f>
        <v>ukryj</v>
      </c>
    </row>
    <row r="1525" spans="1:4" x14ac:dyDescent="0.3">
      <c r="A1525" t="s">
        <v>5067</v>
      </c>
      <c r="B1525" t="s">
        <v>5514</v>
      </c>
      <c r="C1525" s="22" t="s">
        <v>5880</v>
      </c>
      <c r="D1525" t="str">
        <f>Noty!J366</f>
        <v>ukryj</v>
      </c>
    </row>
    <row r="1526" spans="1:4" x14ac:dyDescent="0.3">
      <c r="A1526" t="s">
        <v>5067</v>
      </c>
      <c r="B1526" t="s">
        <v>5514</v>
      </c>
      <c r="C1526" s="22" t="s">
        <v>5881</v>
      </c>
      <c r="D1526" t="str">
        <f>Noty!J367</f>
        <v>ukryj</v>
      </c>
    </row>
    <row r="1527" spans="1:4" x14ac:dyDescent="0.3">
      <c r="A1527" t="s">
        <v>5067</v>
      </c>
      <c r="B1527" t="s">
        <v>5514</v>
      </c>
      <c r="C1527" s="22" t="s">
        <v>5882</v>
      </c>
      <c r="D1527" t="str">
        <f>Noty!J368</f>
        <v>ukryj</v>
      </c>
    </row>
    <row r="1528" spans="1:4" x14ac:dyDescent="0.3">
      <c r="A1528" t="s">
        <v>5067</v>
      </c>
      <c r="B1528" t="s">
        <v>5514</v>
      </c>
      <c r="C1528" s="22" t="s">
        <v>5883</v>
      </c>
      <c r="D1528" t="str">
        <f>IF(Noty!H370=0,"ukryj","odkryj")</f>
        <v>ukryj</v>
      </c>
    </row>
    <row r="1529" spans="1:4" x14ac:dyDescent="0.3">
      <c r="A1529" t="s">
        <v>5067</v>
      </c>
      <c r="B1529" t="s">
        <v>5514</v>
      </c>
      <c r="C1529" s="22" t="s">
        <v>5884</v>
      </c>
      <c r="D1529" t="str">
        <f>Noty!J370</f>
        <v>ukryj</v>
      </c>
    </row>
    <row r="1530" spans="1:4" x14ac:dyDescent="0.3">
      <c r="A1530" t="s">
        <v>5067</v>
      </c>
      <c r="B1530" t="s">
        <v>5514</v>
      </c>
      <c r="C1530" s="22" t="s">
        <v>5885</v>
      </c>
      <c r="D1530" t="str">
        <f>IF(Noty!H372=0,"ukryj","odkryj")</f>
        <v>ukryj</v>
      </c>
    </row>
    <row r="1531" spans="1:4" x14ac:dyDescent="0.3">
      <c r="A1531" t="s">
        <v>5067</v>
      </c>
      <c r="B1531" t="s">
        <v>5514</v>
      </c>
      <c r="C1531" s="22" t="s">
        <v>5886</v>
      </c>
      <c r="D1531" t="str">
        <f>Noty!J372</f>
        <v>ukryj</v>
      </c>
    </row>
    <row r="1532" spans="1:4" x14ac:dyDescent="0.3">
      <c r="A1532" t="s">
        <v>5067</v>
      </c>
      <c r="B1532" t="s">
        <v>5514</v>
      </c>
      <c r="C1532" s="22" t="s">
        <v>5887</v>
      </c>
      <c r="D1532" t="str">
        <f>IF(Noty!H374=0,"ukryj","odkryj")</f>
        <v>ukryj</v>
      </c>
    </row>
    <row r="1533" spans="1:4" x14ac:dyDescent="0.3">
      <c r="A1533" t="s">
        <v>5067</v>
      </c>
      <c r="B1533" t="s">
        <v>5514</v>
      </c>
      <c r="C1533" s="22" t="s">
        <v>5888</v>
      </c>
      <c r="D1533" t="str">
        <f>Noty!J374</f>
        <v>ukryj</v>
      </c>
    </row>
    <row r="1534" spans="1:4" x14ac:dyDescent="0.3">
      <c r="A1534" t="s">
        <v>5067</v>
      </c>
      <c r="B1534" t="s">
        <v>5514</v>
      </c>
      <c r="C1534" s="22" t="s">
        <v>5889</v>
      </c>
      <c r="D1534" t="str">
        <f>IF(Noty!H376=0,"ukryj","odkryj")</f>
        <v>ukryj</v>
      </c>
    </row>
    <row r="1535" spans="1:4" x14ac:dyDescent="0.3">
      <c r="A1535" t="s">
        <v>5067</v>
      </c>
      <c r="B1535" t="s">
        <v>5514</v>
      </c>
      <c r="C1535" s="22" t="s">
        <v>5890</v>
      </c>
      <c r="D1535" t="str">
        <f>Noty!J376</f>
        <v>ukryj</v>
      </c>
    </row>
    <row r="1536" spans="1:4" x14ac:dyDescent="0.3">
      <c r="A1536" t="s">
        <v>5067</v>
      </c>
      <c r="B1536" t="s">
        <v>5514</v>
      </c>
      <c r="C1536" s="22" t="s">
        <v>5891</v>
      </c>
      <c r="D1536" t="str">
        <f>IF(Noty!H378=0,"ukryj","odkryj")</f>
        <v>ukryj</v>
      </c>
    </row>
    <row r="1537" spans="1:4" x14ac:dyDescent="0.3">
      <c r="A1537" t="s">
        <v>5067</v>
      </c>
      <c r="B1537" t="s">
        <v>5514</v>
      </c>
      <c r="C1537" s="22" t="s">
        <v>5892</v>
      </c>
      <c r="D1537" t="str">
        <f>Noty!J378</f>
        <v>ukryj</v>
      </c>
    </row>
    <row r="1538" spans="1:4" x14ac:dyDescent="0.3">
      <c r="A1538" t="s">
        <v>5067</v>
      </c>
      <c r="B1538" t="s">
        <v>5514</v>
      </c>
      <c r="C1538" s="22" t="s">
        <v>5893</v>
      </c>
      <c r="D1538" t="str">
        <f>IF(Noty!H380=0,"ukryj","odkryj")</f>
        <v>ukryj</v>
      </c>
    </row>
    <row r="1539" spans="1:4" x14ac:dyDescent="0.3">
      <c r="A1539" t="s">
        <v>5067</v>
      </c>
      <c r="B1539" t="s">
        <v>5514</v>
      </c>
      <c r="C1539" s="22" t="s">
        <v>5894</v>
      </c>
      <c r="D1539" t="str">
        <f>Noty!J380</f>
        <v>ukryj</v>
      </c>
    </row>
    <row r="1540" spans="1:4" x14ac:dyDescent="0.3">
      <c r="A1540" t="s">
        <v>5067</v>
      </c>
      <c r="B1540" t="s">
        <v>5514</v>
      </c>
      <c r="C1540" s="22" t="s">
        <v>5895</v>
      </c>
      <c r="D1540" t="str">
        <f>IF(Noty!K382="n/a","ukryj","odkryj")</f>
        <v>ukryj</v>
      </c>
    </row>
    <row r="1541" spans="1:4" x14ac:dyDescent="0.3">
      <c r="A1541" t="s">
        <v>5067</v>
      </c>
      <c r="B1541" t="s">
        <v>5514</v>
      </c>
      <c r="C1541" s="22" t="s">
        <v>5896</v>
      </c>
      <c r="D1541" t="str">
        <f>Noty!J382</f>
        <v>ukryj</v>
      </c>
    </row>
    <row r="1542" spans="1:4" x14ac:dyDescent="0.3">
      <c r="A1542" t="s">
        <v>5067</v>
      </c>
      <c r="B1542" t="s">
        <v>5514</v>
      </c>
      <c r="C1542" s="22" t="s">
        <v>5897</v>
      </c>
      <c r="D1542" t="str">
        <f>Noty!J383</f>
        <v>ukryj</v>
      </c>
    </row>
    <row r="1543" spans="1:4" x14ac:dyDescent="0.3">
      <c r="A1543" t="s">
        <v>5067</v>
      </c>
      <c r="B1543" t="s">
        <v>5514</v>
      </c>
      <c r="C1543" s="22" t="s">
        <v>5898</v>
      </c>
      <c r="D1543" t="str">
        <f>IF(Noty!E385=0,"ukryj","odkryj")</f>
        <v>ukryj</v>
      </c>
    </row>
    <row r="1544" spans="1:4" x14ac:dyDescent="0.3">
      <c r="A1544" t="s">
        <v>5067</v>
      </c>
      <c r="B1544" t="s">
        <v>5514</v>
      </c>
      <c r="C1544" s="22" t="s">
        <v>5899</v>
      </c>
      <c r="D1544" t="str">
        <f>IF(Noty!E386=0,"ukryj","odkryj")</f>
        <v>ukryj</v>
      </c>
    </row>
    <row r="1545" spans="1:4" x14ac:dyDescent="0.3">
      <c r="A1545" t="s">
        <v>5067</v>
      </c>
      <c r="B1545" t="s">
        <v>5514</v>
      </c>
      <c r="C1545" s="22" t="s">
        <v>5900</v>
      </c>
      <c r="D1545" t="str">
        <f>IF(Noty!E387=0,"ukryj","odkryj")</f>
        <v>ukryj</v>
      </c>
    </row>
    <row r="1546" spans="1:4" x14ac:dyDescent="0.3">
      <c r="A1546" t="s">
        <v>5067</v>
      </c>
      <c r="B1546" t="s">
        <v>5514</v>
      </c>
      <c r="C1546" s="22" t="s">
        <v>5901</v>
      </c>
      <c r="D1546" t="str">
        <f>IF(Noty!E388=0,"ukryj","odkryj")</f>
        <v>ukryj</v>
      </c>
    </row>
    <row r="1547" spans="1:4" x14ac:dyDescent="0.3">
      <c r="A1547" t="s">
        <v>5067</v>
      </c>
      <c r="B1547" t="s">
        <v>5514</v>
      </c>
      <c r="C1547" s="22" t="s">
        <v>5902</v>
      </c>
      <c r="D1547" t="str">
        <f>Noty!J388</f>
        <v>ukryj</v>
      </c>
    </row>
    <row r="1548" spans="1:4" x14ac:dyDescent="0.3">
      <c r="A1548" t="s">
        <v>5067</v>
      </c>
      <c r="B1548" t="s">
        <v>5514</v>
      </c>
      <c r="C1548" s="22" t="s">
        <v>5903</v>
      </c>
      <c r="D1548" t="str">
        <f>IF(Noty!K390="n/a","ukryj","odkryj")</f>
        <v>ukryj</v>
      </c>
    </row>
    <row r="1549" spans="1:4" x14ac:dyDescent="0.3">
      <c r="A1549" t="s">
        <v>5067</v>
      </c>
      <c r="B1549" t="s">
        <v>5514</v>
      </c>
      <c r="C1549" s="22" t="s">
        <v>5904</v>
      </c>
      <c r="D1549" t="str">
        <f>Noty!J390</f>
        <v>ukryj</v>
      </c>
    </row>
    <row r="1550" spans="1:4" x14ac:dyDescent="0.3">
      <c r="A1550" t="s">
        <v>5067</v>
      </c>
      <c r="B1550" t="s">
        <v>5514</v>
      </c>
      <c r="C1550" s="22" t="s">
        <v>5905</v>
      </c>
      <c r="D1550" t="str">
        <f>Noty!J391</f>
        <v>ukryj</v>
      </c>
    </row>
    <row r="1551" spans="1:4" x14ac:dyDescent="0.3">
      <c r="A1551" t="s">
        <v>5067</v>
      </c>
      <c r="B1551" t="s">
        <v>5514</v>
      </c>
      <c r="C1551" s="22" t="s">
        <v>5906</v>
      </c>
      <c r="D1551" t="str">
        <f>Noty!J392</f>
        <v>ukryj</v>
      </c>
    </row>
    <row r="1552" spans="1:4" x14ac:dyDescent="0.3">
      <c r="A1552" t="s">
        <v>5067</v>
      </c>
      <c r="B1552" t="s">
        <v>5514</v>
      </c>
      <c r="C1552" s="22" t="s">
        <v>5907</v>
      </c>
      <c r="D1552" t="str">
        <f>Noty!J405</f>
        <v>ukryj</v>
      </c>
    </row>
    <row r="1553" spans="1:4" x14ac:dyDescent="0.3">
      <c r="A1553" t="s">
        <v>5067</v>
      </c>
      <c r="B1553" t="s">
        <v>5514</v>
      </c>
      <c r="C1553" s="22" t="s">
        <v>5908</v>
      </c>
      <c r="D1553" t="str">
        <f>IF(AND(Noty!H395=0,Noty!I395=0),"ukryj","odkryj")</f>
        <v>ukryj</v>
      </c>
    </row>
    <row r="1554" spans="1:4" x14ac:dyDescent="0.3">
      <c r="A1554" t="s">
        <v>5067</v>
      </c>
      <c r="B1554" t="s">
        <v>5514</v>
      </c>
      <c r="C1554" s="22" t="s">
        <v>5909</v>
      </c>
      <c r="D1554" t="str">
        <f>IF(AND(Noty!H396=0,Noty!I396=0),"ukryj","odkryj")</f>
        <v>ukryj</v>
      </c>
    </row>
    <row r="1555" spans="1:4" x14ac:dyDescent="0.3">
      <c r="A1555" t="s">
        <v>5067</v>
      </c>
      <c r="B1555" t="s">
        <v>5514</v>
      </c>
      <c r="C1555" s="22" t="s">
        <v>5910</v>
      </c>
      <c r="D1555" t="str">
        <f>IF(AND(Noty!H397=0,Noty!I397=0),"ukryj","odkryj")</f>
        <v>ukryj</v>
      </c>
    </row>
    <row r="1556" spans="1:4" x14ac:dyDescent="0.3">
      <c r="A1556" t="s">
        <v>5067</v>
      </c>
      <c r="B1556" t="s">
        <v>5514</v>
      </c>
      <c r="C1556" s="22" t="s">
        <v>5911</v>
      </c>
      <c r="D1556" t="str">
        <f>IF(AND(Noty!H398=0,Noty!I398=0),"ukryj","odkryj")</f>
        <v>ukryj</v>
      </c>
    </row>
    <row r="1557" spans="1:4" x14ac:dyDescent="0.3">
      <c r="A1557" t="s">
        <v>5067</v>
      </c>
      <c r="B1557" t="s">
        <v>5514</v>
      </c>
      <c r="C1557" s="22" t="s">
        <v>5912</v>
      </c>
      <c r="D1557" t="str">
        <f>IF(AND(Noty!H399=0,Noty!I399=0),"ukryj","odkryj")</f>
        <v>ukryj</v>
      </c>
    </row>
    <row r="1558" spans="1:4" x14ac:dyDescent="0.3">
      <c r="A1558" t="s">
        <v>5067</v>
      </c>
      <c r="B1558" t="s">
        <v>5514</v>
      </c>
      <c r="C1558" s="22" t="s">
        <v>5913</v>
      </c>
      <c r="D1558" t="str">
        <f>IF(AND(Noty!H400=0,Noty!I400=0),"ukryj","odkryj")</f>
        <v>ukryj</v>
      </c>
    </row>
    <row r="1559" spans="1:4" x14ac:dyDescent="0.3">
      <c r="A1559" t="s">
        <v>5067</v>
      </c>
      <c r="B1559" t="s">
        <v>5514</v>
      </c>
      <c r="C1559" s="22" t="s">
        <v>5914</v>
      </c>
      <c r="D1559" t="str">
        <f>IF(AND(Noty!H401=0,Noty!I401=0),"ukryj","odkryj")</f>
        <v>ukryj</v>
      </c>
    </row>
    <row r="1560" spans="1:4" x14ac:dyDescent="0.3">
      <c r="A1560" t="s">
        <v>5067</v>
      </c>
      <c r="B1560" t="s">
        <v>5514</v>
      </c>
      <c r="C1560" s="22" t="s">
        <v>5915</v>
      </c>
      <c r="D1560" t="str">
        <f>IF(AND(Noty!H402=0,Noty!I402=0),"ukryj","odkryj")</f>
        <v>ukryj</v>
      </c>
    </row>
    <row r="1561" spans="1:4" x14ac:dyDescent="0.3">
      <c r="A1561" t="s">
        <v>5067</v>
      </c>
      <c r="B1561" t="s">
        <v>5514</v>
      </c>
      <c r="C1561" s="22" t="s">
        <v>5916</v>
      </c>
      <c r="D1561" t="str">
        <f>IF(AND(Noty!H403=0,Noty!I403=0),"ukryj","odkryj")</f>
        <v>ukryj</v>
      </c>
    </row>
    <row r="1562" spans="1:4" x14ac:dyDescent="0.3">
      <c r="A1562" t="s">
        <v>5067</v>
      </c>
      <c r="B1562" t="s">
        <v>5514</v>
      </c>
      <c r="C1562" s="22" t="s">
        <v>5917</v>
      </c>
      <c r="D1562" t="str">
        <f>IF(AND(Noty!H404=0,Noty!I404=0),"ukryj","odkryj")</f>
        <v>ukryj</v>
      </c>
    </row>
    <row r="1563" spans="1:4" x14ac:dyDescent="0.3">
      <c r="A1563" t="s">
        <v>5067</v>
      </c>
      <c r="B1563" t="s">
        <v>5514</v>
      </c>
      <c r="C1563" s="22" t="s">
        <v>5918</v>
      </c>
      <c r="D1563" t="str">
        <f>IF(AND(Noty!H405=0,Noty!I405=0),"ukryj","odkryj")</f>
        <v>ukryj</v>
      </c>
    </row>
    <row r="1564" spans="1:4" x14ac:dyDescent="0.3">
      <c r="A1564" t="s">
        <v>5067</v>
      </c>
      <c r="B1564" t="s">
        <v>5514</v>
      </c>
      <c r="C1564" s="22" t="s">
        <v>5919</v>
      </c>
      <c r="D1564" t="str">
        <f>Noty!J405</f>
        <v>ukryj</v>
      </c>
    </row>
    <row r="1565" spans="1:4" x14ac:dyDescent="0.3">
      <c r="A1565" t="s">
        <v>5067</v>
      </c>
      <c r="B1565" t="s">
        <v>5514</v>
      </c>
      <c r="C1565" s="22" t="s">
        <v>5920</v>
      </c>
      <c r="D1565" t="str">
        <f>Noty!J418</f>
        <v>ukryj</v>
      </c>
    </row>
    <row r="1566" spans="1:4" x14ac:dyDescent="0.3">
      <c r="A1566" t="s">
        <v>5067</v>
      </c>
      <c r="B1566" t="s">
        <v>5514</v>
      </c>
      <c r="C1566" s="22" t="s">
        <v>5921</v>
      </c>
      <c r="D1566" t="str">
        <f>IF(AND(Noty!H408=0,Noty!I408=0),"ukryj","odkryj")</f>
        <v>ukryj</v>
      </c>
    </row>
    <row r="1567" spans="1:4" x14ac:dyDescent="0.3">
      <c r="A1567" t="s">
        <v>5067</v>
      </c>
      <c r="B1567" t="s">
        <v>5514</v>
      </c>
      <c r="C1567" s="22" t="s">
        <v>5922</v>
      </c>
      <c r="D1567" t="str">
        <f>IF(AND(Noty!H409=0,Noty!I409=0),"ukryj","odkryj")</f>
        <v>ukryj</v>
      </c>
    </row>
    <row r="1568" spans="1:4" x14ac:dyDescent="0.3">
      <c r="A1568" t="s">
        <v>5067</v>
      </c>
      <c r="B1568" t="s">
        <v>5514</v>
      </c>
      <c r="C1568" s="22" t="s">
        <v>5923</v>
      </c>
      <c r="D1568" t="str">
        <f>IF(AND(Noty!H410=0,Noty!I410=0),"ukryj","odkryj")</f>
        <v>ukryj</v>
      </c>
    </row>
    <row r="1569" spans="1:4" x14ac:dyDescent="0.3">
      <c r="A1569" t="s">
        <v>5067</v>
      </c>
      <c r="B1569" t="s">
        <v>5514</v>
      </c>
      <c r="C1569" s="22" t="s">
        <v>5924</v>
      </c>
      <c r="D1569" t="str">
        <f>IF(AND(Noty!H411=0,Noty!I411=0),"ukryj","odkryj")</f>
        <v>ukryj</v>
      </c>
    </row>
    <row r="1570" spans="1:4" x14ac:dyDescent="0.3">
      <c r="A1570" t="s">
        <v>5067</v>
      </c>
      <c r="B1570" t="s">
        <v>5514</v>
      </c>
      <c r="C1570" s="22" t="s">
        <v>5925</v>
      </c>
      <c r="D1570" t="str">
        <f>IF(AND(Noty!H412=0,Noty!I412=0),"ukryj","odkryj")</f>
        <v>ukryj</v>
      </c>
    </row>
    <row r="1571" spans="1:4" x14ac:dyDescent="0.3">
      <c r="A1571" t="s">
        <v>5067</v>
      </c>
      <c r="B1571" t="s">
        <v>5514</v>
      </c>
      <c r="C1571" s="22" t="s">
        <v>5926</v>
      </c>
      <c r="D1571" t="str">
        <f>IF(AND(Noty!H413=0,Noty!I413=0),"ukryj","odkryj")</f>
        <v>ukryj</v>
      </c>
    </row>
    <row r="1572" spans="1:4" x14ac:dyDescent="0.3">
      <c r="A1572" t="s">
        <v>5067</v>
      </c>
      <c r="B1572" t="s">
        <v>5514</v>
      </c>
      <c r="C1572" s="22" t="s">
        <v>5927</v>
      </c>
      <c r="D1572" t="str">
        <f>IF(AND(Noty!H414=0,Noty!I414=0),"ukryj","odkryj")</f>
        <v>ukryj</v>
      </c>
    </row>
    <row r="1573" spans="1:4" x14ac:dyDescent="0.3">
      <c r="A1573" t="s">
        <v>5067</v>
      </c>
      <c r="B1573" t="s">
        <v>5514</v>
      </c>
      <c r="C1573" s="22" t="s">
        <v>5928</v>
      </c>
      <c r="D1573" t="str">
        <f>IF(AND(Noty!H415=0,Noty!I415=0),"ukryj","odkryj")</f>
        <v>ukryj</v>
      </c>
    </row>
    <row r="1574" spans="1:4" x14ac:dyDescent="0.3">
      <c r="A1574" t="s">
        <v>5067</v>
      </c>
      <c r="B1574" t="s">
        <v>5514</v>
      </c>
      <c r="C1574" s="22" t="s">
        <v>5929</v>
      </c>
      <c r="D1574" t="str">
        <f>IF(AND(Noty!H416=0,Noty!I416=0),"ukryj","odkryj")</f>
        <v>ukryj</v>
      </c>
    </row>
    <row r="1575" spans="1:4" x14ac:dyDescent="0.3">
      <c r="A1575" t="s">
        <v>5067</v>
      </c>
      <c r="B1575" t="s">
        <v>5514</v>
      </c>
      <c r="C1575" s="22" t="s">
        <v>5930</v>
      </c>
      <c r="D1575" t="str">
        <f>IF(AND(Noty!H417=0,Noty!I417=0),"ukryj","odkryj")</f>
        <v>ukryj</v>
      </c>
    </row>
    <row r="1576" spans="1:4" x14ac:dyDescent="0.3">
      <c r="A1576" t="s">
        <v>5067</v>
      </c>
      <c r="B1576" t="s">
        <v>5514</v>
      </c>
      <c r="C1576" s="22" t="s">
        <v>5931</v>
      </c>
      <c r="D1576" t="str">
        <f>IF(AND(Noty!H418=0,Noty!I418=0),"ukryj","odkryj")</f>
        <v>ukryj</v>
      </c>
    </row>
    <row r="1577" spans="1:4" x14ac:dyDescent="0.3">
      <c r="A1577" t="s">
        <v>5067</v>
      </c>
      <c r="B1577" t="s">
        <v>5514</v>
      </c>
      <c r="C1577" s="22" t="s">
        <v>5932</v>
      </c>
      <c r="D1577" t="str">
        <f>Noty!J418</f>
        <v>ukryj</v>
      </c>
    </row>
    <row r="1578" spans="1:4" x14ac:dyDescent="0.3">
      <c r="A1578" t="s">
        <v>5067</v>
      </c>
      <c r="B1578" t="s">
        <v>5514</v>
      </c>
      <c r="C1578" s="22" t="s">
        <v>5933</v>
      </c>
      <c r="D1578" t="str">
        <f>IF(AND(Noty!H420=0,Noty!I420=0),"ukryj","odkryj")</f>
        <v>ukryj</v>
      </c>
    </row>
    <row r="1579" spans="1:4" x14ac:dyDescent="0.3">
      <c r="A1579" t="s">
        <v>5067</v>
      </c>
      <c r="B1579" t="s">
        <v>5514</v>
      </c>
      <c r="C1579" s="22" t="s">
        <v>5934</v>
      </c>
      <c r="D1579" t="str">
        <f>Noty!J420</f>
        <v>ukryj</v>
      </c>
    </row>
    <row r="1580" spans="1:4" x14ac:dyDescent="0.3">
      <c r="A1580" t="s">
        <v>5067</v>
      </c>
      <c r="B1580" t="s">
        <v>5514</v>
      </c>
      <c r="C1580" s="22" t="s">
        <v>5935</v>
      </c>
      <c r="D1580" t="str">
        <f>IF(Noty!K422="n/a","ukryj","odkryj")</f>
        <v>ukryj</v>
      </c>
    </row>
    <row r="1581" spans="1:4" x14ac:dyDescent="0.3">
      <c r="A1581" t="s">
        <v>5067</v>
      </c>
      <c r="B1581" t="s">
        <v>5514</v>
      </c>
      <c r="C1581" s="22" t="s">
        <v>5936</v>
      </c>
      <c r="D1581" t="str">
        <f>Noty!J422</f>
        <v>ukryj</v>
      </c>
    </row>
    <row r="1582" spans="1:4" x14ac:dyDescent="0.3">
      <c r="A1582" t="s">
        <v>5067</v>
      </c>
      <c r="B1582" t="s">
        <v>5514</v>
      </c>
      <c r="C1582" s="22" t="s">
        <v>5937</v>
      </c>
      <c r="D1582" t="str">
        <f>IF(Noty!K424="n/a","ukryj","odkryj")</f>
        <v>ukryj</v>
      </c>
    </row>
    <row r="1583" spans="1:4" x14ac:dyDescent="0.3">
      <c r="A1583" t="s">
        <v>5067</v>
      </c>
      <c r="B1583" t="s">
        <v>5514</v>
      </c>
      <c r="C1583" s="22" t="s">
        <v>5938</v>
      </c>
      <c r="D1583" t="str">
        <f>Noty!J424</f>
        <v>ukryj</v>
      </c>
    </row>
    <row r="1584" spans="1:4" x14ac:dyDescent="0.3">
      <c r="A1584" t="s">
        <v>5067</v>
      </c>
      <c r="B1584" t="s">
        <v>5514</v>
      </c>
      <c r="C1584" s="22" t="s">
        <v>5939</v>
      </c>
      <c r="D1584" t="s">
        <v>5125</v>
      </c>
    </row>
    <row r="1585" spans="1:4" x14ac:dyDescent="0.3">
      <c r="A1585" t="s">
        <v>5067</v>
      </c>
      <c r="B1585" t="s">
        <v>5514</v>
      </c>
      <c r="C1585" s="22" t="s">
        <v>5940</v>
      </c>
      <c r="D1585" t="str">
        <f>Noty!J425</f>
        <v>ukryj</v>
      </c>
    </row>
    <row r="1586" spans="1:4" x14ac:dyDescent="0.3">
      <c r="A1586" t="s">
        <v>5067</v>
      </c>
      <c r="B1586" t="s">
        <v>5514</v>
      </c>
      <c r="C1586" s="22" t="s">
        <v>5941</v>
      </c>
      <c r="D1586" t="str">
        <f>Noty!J427</f>
        <v>ukryj</v>
      </c>
    </row>
    <row r="1587" spans="1:4" x14ac:dyDescent="0.3">
      <c r="A1587" t="s">
        <v>5067</v>
      </c>
      <c r="B1587" t="s">
        <v>5514</v>
      </c>
      <c r="C1587" s="22" t="s">
        <v>5942</v>
      </c>
      <c r="D1587" t="str">
        <f>Noty!J428</f>
        <v>ukryj</v>
      </c>
    </row>
    <row r="1588" spans="1:4" x14ac:dyDescent="0.3">
      <c r="A1588" t="s">
        <v>5067</v>
      </c>
      <c r="B1588" t="s">
        <v>5514</v>
      </c>
      <c r="C1588" s="22" t="s">
        <v>5943</v>
      </c>
      <c r="D1588" t="str">
        <f>IF(AND(Noty!E430=0,Noty!F430=0,Noty!G430=0,Noty!H430=0),"ukryj","odkryj")</f>
        <v>ukryj</v>
      </c>
    </row>
    <row r="1589" spans="1:4" x14ac:dyDescent="0.3">
      <c r="A1589" t="s">
        <v>5067</v>
      </c>
      <c r="B1589" t="s">
        <v>5514</v>
      </c>
      <c r="C1589" s="22" t="s">
        <v>5944</v>
      </c>
      <c r="D1589" t="str">
        <f>IF(AND(Noty!E431=0,Noty!F431=0,Noty!G431=0,Noty!H431=0),"ukryj","odkryj")</f>
        <v>ukryj</v>
      </c>
    </row>
    <row r="1590" spans="1:4" x14ac:dyDescent="0.3">
      <c r="A1590" t="s">
        <v>5067</v>
      </c>
      <c r="B1590" t="s">
        <v>5514</v>
      </c>
      <c r="C1590" s="22" t="s">
        <v>5945</v>
      </c>
      <c r="D1590" t="str">
        <f>IF(AND(Noty!E432=0,Noty!F432=0,Noty!G432=0,Noty!H432=0),"ukryj","odkryj")</f>
        <v>ukryj</v>
      </c>
    </row>
    <row r="1591" spans="1:4" x14ac:dyDescent="0.3">
      <c r="A1591" t="s">
        <v>5067</v>
      </c>
      <c r="B1591" t="s">
        <v>5514</v>
      </c>
      <c r="C1591" s="22" t="s">
        <v>5946</v>
      </c>
      <c r="D1591" t="s">
        <v>5125</v>
      </c>
    </row>
    <row r="1592" spans="1:4" x14ac:dyDescent="0.3">
      <c r="A1592" t="s">
        <v>5067</v>
      </c>
      <c r="B1592" t="s">
        <v>5514</v>
      </c>
      <c r="C1592" s="22" t="s">
        <v>5947</v>
      </c>
      <c r="D1592" t="s">
        <v>5125</v>
      </c>
    </row>
    <row r="1593" spans="1:4" x14ac:dyDescent="0.3">
      <c r="A1593" t="s">
        <v>5067</v>
      </c>
      <c r="B1593" t="s">
        <v>5514</v>
      </c>
      <c r="C1593" s="22" t="s">
        <v>5948</v>
      </c>
      <c r="D1593" t="s">
        <v>5125</v>
      </c>
    </row>
    <row r="1594" spans="1:4" x14ac:dyDescent="0.3">
      <c r="A1594" t="s">
        <v>5067</v>
      </c>
      <c r="B1594" t="s">
        <v>5514</v>
      </c>
      <c r="C1594" s="22" t="s">
        <v>5949</v>
      </c>
      <c r="D1594" t="str">
        <f>IF(Noty!J424="ukryj","ukryj","odkryj")</f>
        <v>ukryj</v>
      </c>
    </row>
    <row r="1595" spans="1:4" x14ac:dyDescent="0.3">
      <c r="A1595" t="s">
        <v>5067</v>
      </c>
      <c r="B1595" t="s">
        <v>5514</v>
      </c>
      <c r="C1595" s="22" t="s">
        <v>5950</v>
      </c>
      <c r="D1595" t="str">
        <f>Noty!J436</f>
        <v>ukryj</v>
      </c>
    </row>
    <row r="1596" spans="1:4" x14ac:dyDescent="0.3">
      <c r="A1596" t="s">
        <v>5067</v>
      </c>
      <c r="B1596" t="s">
        <v>5514</v>
      </c>
      <c r="C1596" s="22" t="s">
        <v>5951</v>
      </c>
      <c r="D1596" t="str">
        <f>IF(Noty!K438="n/a","ukryj","odkryj")</f>
        <v>ukryj</v>
      </c>
    </row>
    <row r="1597" spans="1:4" x14ac:dyDescent="0.3">
      <c r="A1597" t="s">
        <v>5067</v>
      </c>
      <c r="B1597" t="s">
        <v>5514</v>
      </c>
      <c r="C1597" s="22" t="s">
        <v>5952</v>
      </c>
      <c r="D1597" t="str">
        <f>Noty!J438</f>
        <v>ukryj</v>
      </c>
    </row>
    <row r="1598" spans="1:4" x14ac:dyDescent="0.3">
      <c r="A1598" t="s">
        <v>5067</v>
      </c>
      <c r="B1598" t="s">
        <v>5514</v>
      </c>
      <c r="C1598" s="22" t="s">
        <v>5953</v>
      </c>
      <c r="D1598" t="str">
        <f>Noty!J439</f>
        <v>ukryj</v>
      </c>
    </row>
    <row r="1599" spans="1:4" x14ac:dyDescent="0.3">
      <c r="A1599" t="s">
        <v>5067</v>
      </c>
      <c r="B1599" t="s">
        <v>5514</v>
      </c>
      <c r="C1599" s="22" t="s">
        <v>5954</v>
      </c>
      <c r="D1599" t="str">
        <f>IF(Noty!I441=0,"ukryj","odkryj")</f>
        <v>ukryj</v>
      </c>
    </row>
    <row r="1600" spans="1:4" x14ac:dyDescent="0.3">
      <c r="A1600" t="s">
        <v>5067</v>
      </c>
      <c r="B1600" t="s">
        <v>5514</v>
      </c>
      <c r="C1600" s="22" t="s">
        <v>5955</v>
      </c>
      <c r="D1600" t="str">
        <f>IF(Noty!I442=0,"ukryj","odkryj")</f>
        <v>ukryj</v>
      </c>
    </row>
    <row r="1601" spans="1:4" x14ac:dyDescent="0.3">
      <c r="A1601" t="s">
        <v>5067</v>
      </c>
      <c r="B1601" t="s">
        <v>5514</v>
      </c>
      <c r="C1601" s="22" t="s">
        <v>5956</v>
      </c>
      <c r="D1601" t="str">
        <f>IF(Noty!I443=0,"ukryj","odkryj")</f>
        <v>ukryj</v>
      </c>
    </row>
    <row r="1602" spans="1:4" x14ac:dyDescent="0.3">
      <c r="A1602" t="s">
        <v>5067</v>
      </c>
      <c r="B1602" t="s">
        <v>5514</v>
      </c>
      <c r="C1602" s="22" t="s">
        <v>5957</v>
      </c>
      <c r="D1602" t="str">
        <f>IF(Noty!I444=0,"ukryj","odkryj")</f>
        <v>ukryj</v>
      </c>
    </row>
    <row r="1603" spans="1:4" x14ac:dyDescent="0.3">
      <c r="A1603" t="s">
        <v>5067</v>
      </c>
      <c r="B1603" t="s">
        <v>5514</v>
      </c>
      <c r="C1603" s="22" t="s">
        <v>5958</v>
      </c>
      <c r="D1603" t="str">
        <f>Noty!J444</f>
        <v>ukryj</v>
      </c>
    </row>
    <row r="1604" spans="1:4" x14ac:dyDescent="0.3">
      <c r="A1604" t="s">
        <v>5067</v>
      </c>
      <c r="B1604" t="s">
        <v>5514</v>
      </c>
      <c r="C1604" s="22" t="s">
        <v>5959</v>
      </c>
      <c r="D1604" t="str">
        <f>IF(Noty!I446=0,"ukryj","odkryj")</f>
        <v>ukryj</v>
      </c>
    </row>
    <row r="1605" spans="1:4" x14ac:dyDescent="0.3">
      <c r="A1605" t="s">
        <v>5067</v>
      </c>
      <c r="B1605" t="s">
        <v>5514</v>
      </c>
      <c r="C1605" s="22" t="s">
        <v>5960</v>
      </c>
      <c r="D1605" t="str">
        <f>Noty!J446</f>
        <v>ukryj</v>
      </c>
    </row>
    <row r="1606" spans="1:4" x14ac:dyDescent="0.3">
      <c r="A1606" t="s">
        <v>5067</v>
      </c>
      <c r="B1606" t="s">
        <v>5514</v>
      </c>
      <c r="C1606" s="22" t="s">
        <v>5961</v>
      </c>
      <c r="D1606" t="str">
        <f>IF(Noty!K448="n/a","ukryj","odkryj")</f>
        <v>ukryj</v>
      </c>
    </row>
    <row r="1607" spans="1:4" x14ac:dyDescent="0.3">
      <c r="A1607" t="s">
        <v>5067</v>
      </c>
      <c r="B1607" t="s">
        <v>5514</v>
      </c>
      <c r="C1607" s="22" t="s">
        <v>5962</v>
      </c>
      <c r="D1607" t="str">
        <f>Noty!J448</f>
        <v>ukryj</v>
      </c>
    </row>
    <row r="1608" spans="1:4" x14ac:dyDescent="0.3">
      <c r="A1608" t="s">
        <v>5067</v>
      </c>
      <c r="B1608" t="s">
        <v>5514</v>
      </c>
      <c r="C1608" s="22" t="s">
        <v>5963</v>
      </c>
      <c r="D1608" t="str">
        <f>Noty!J449</f>
        <v>ukryj</v>
      </c>
    </row>
    <row r="1609" spans="1:4" x14ac:dyDescent="0.3">
      <c r="A1609" t="s">
        <v>5067</v>
      </c>
      <c r="B1609" t="s">
        <v>5514</v>
      </c>
      <c r="C1609" s="22" t="s">
        <v>5964</v>
      </c>
      <c r="D1609" t="str">
        <f>Noty!J450</f>
        <v>ukryj</v>
      </c>
    </row>
    <row r="1610" spans="1:4" x14ac:dyDescent="0.3">
      <c r="A1610" t="s">
        <v>5067</v>
      </c>
      <c r="B1610" t="s">
        <v>5514</v>
      </c>
      <c r="C1610" s="22" t="s">
        <v>5965</v>
      </c>
      <c r="D1610" t="str">
        <f>Noty!J451</f>
        <v>ukryj</v>
      </c>
    </row>
    <row r="1611" spans="1:4" x14ac:dyDescent="0.3">
      <c r="A1611" t="s">
        <v>5067</v>
      </c>
      <c r="B1611" t="s">
        <v>5514</v>
      </c>
      <c r="C1611" s="22" t="s">
        <v>5966</v>
      </c>
      <c r="D1611" t="str">
        <f>IF(AND(Noty!H453=0,Noty!I453=0),"ukryj","odkryj")</f>
        <v>ukryj</v>
      </c>
    </row>
    <row r="1612" spans="1:4" x14ac:dyDescent="0.3">
      <c r="A1612" t="s">
        <v>5067</v>
      </c>
      <c r="B1612" t="s">
        <v>5514</v>
      </c>
      <c r="C1612" s="22" t="s">
        <v>5967</v>
      </c>
      <c r="D1612" t="str">
        <f>IF(AND(Noty!H454=0,Noty!I454=0),"ukryj","odkryj")</f>
        <v>ukryj</v>
      </c>
    </row>
    <row r="1613" spans="1:4" x14ac:dyDescent="0.3">
      <c r="A1613" t="s">
        <v>5067</v>
      </c>
      <c r="B1613" t="s">
        <v>5514</v>
      </c>
      <c r="C1613" s="22" t="s">
        <v>5968</v>
      </c>
      <c r="D1613" t="str">
        <f>IF(AND(Noty!H455=0,Noty!I455=0),"ukryj","odkryj")</f>
        <v>ukryj</v>
      </c>
    </row>
    <row r="1614" spans="1:4" x14ac:dyDescent="0.3">
      <c r="A1614" t="s">
        <v>5067</v>
      </c>
      <c r="B1614" t="s">
        <v>5514</v>
      </c>
      <c r="C1614" s="22" t="s">
        <v>5969</v>
      </c>
      <c r="D1614" t="str">
        <f>Noty!J455</f>
        <v>ukryj</v>
      </c>
    </row>
    <row r="1615" spans="1:4" x14ac:dyDescent="0.3">
      <c r="A1615" t="s">
        <v>5067</v>
      </c>
      <c r="B1615" t="s">
        <v>5514</v>
      </c>
      <c r="C1615" s="22" t="s">
        <v>5970</v>
      </c>
      <c r="D1615" t="str">
        <f>IF(AND(Noty!H457=0,Noty!I457=0),"ukryj","odkryj")</f>
        <v>ukryj</v>
      </c>
    </row>
    <row r="1616" spans="1:4" x14ac:dyDescent="0.3">
      <c r="A1616" t="s">
        <v>5067</v>
      </c>
      <c r="B1616" t="s">
        <v>5514</v>
      </c>
      <c r="C1616" s="22" t="s">
        <v>5971</v>
      </c>
      <c r="D1616" t="str">
        <f>IF(AND(Noty!H458=0,Noty!I458=0),"ukryj","odkryj")</f>
        <v>ukryj</v>
      </c>
    </row>
    <row r="1617" spans="1:4" x14ac:dyDescent="0.3">
      <c r="A1617" t="s">
        <v>5067</v>
      </c>
      <c r="B1617" t="s">
        <v>5514</v>
      </c>
      <c r="C1617" s="22" t="s">
        <v>5972</v>
      </c>
      <c r="D1617" t="str">
        <f>IF(AND(Noty!H459=0,Noty!I459=0),"ukryj","odkryj")</f>
        <v>ukryj</v>
      </c>
    </row>
    <row r="1618" spans="1:4" x14ac:dyDescent="0.3">
      <c r="A1618" t="s">
        <v>5067</v>
      </c>
      <c r="B1618" t="s">
        <v>5514</v>
      </c>
      <c r="C1618" s="22" t="s">
        <v>5973</v>
      </c>
      <c r="D1618" t="s">
        <v>5125</v>
      </c>
    </row>
    <row r="1619" spans="1:4" x14ac:dyDescent="0.3">
      <c r="A1619" t="s">
        <v>5067</v>
      </c>
      <c r="B1619" t="s">
        <v>5514</v>
      </c>
      <c r="C1619" s="22" t="s">
        <v>5974</v>
      </c>
      <c r="D1619" t="str">
        <f>IF(Noty!J448="ukryj","ukryj","odkryj")</f>
        <v>ukryj</v>
      </c>
    </row>
    <row r="1620" spans="1:4" x14ac:dyDescent="0.3">
      <c r="A1620" t="s">
        <v>5067</v>
      </c>
      <c r="B1620" t="s">
        <v>5514</v>
      </c>
      <c r="C1620" s="22" t="s">
        <v>5975</v>
      </c>
      <c r="D1620" t="str">
        <f>Noty!J461</f>
        <v>ukryj</v>
      </c>
    </row>
    <row r="1621" spans="1:4" x14ac:dyDescent="0.3">
      <c r="A1621" t="s">
        <v>5067</v>
      </c>
      <c r="B1621" t="s">
        <v>5514</v>
      </c>
      <c r="C1621" s="22" t="s">
        <v>5976</v>
      </c>
      <c r="D1621" t="str">
        <f>IF(Noty!K463="n/a","ukryj","odkryj")</f>
        <v>ukryj</v>
      </c>
    </row>
    <row r="1622" spans="1:4" x14ac:dyDescent="0.3">
      <c r="A1622" t="s">
        <v>5067</v>
      </c>
      <c r="B1622" t="s">
        <v>5514</v>
      </c>
      <c r="C1622" s="22" t="s">
        <v>5977</v>
      </c>
      <c r="D1622" t="str">
        <f>Noty!J463</f>
        <v>ukryj</v>
      </c>
    </row>
    <row r="1623" spans="1:4" x14ac:dyDescent="0.3">
      <c r="A1623" t="s">
        <v>5067</v>
      </c>
      <c r="B1623" t="s">
        <v>5514</v>
      </c>
      <c r="C1623" s="22" t="s">
        <v>5978</v>
      </c>
      <c r="D1623" t="str">
        <f>IF(Noty!K465="n/a","ukryj","odkryj")</f>
        <v>ukryj</v>
      </c>
    </row>
    <row r="1624" spans="1:4" x14ac:dyDescent="0.3">
      <c r="A1624" t="s">
        <v>5067</v>
      </c>
      <c r="B1624" t="s">
        <v>5514</v>
      </c>
      <c r="C1624" s="22" t="s">
        <v>5979</v>
      </c>
      <c r="D1624" t="str">
        <f>Noty!J465</f>
        <v>ukryj</v>
      </c>
    </row>
    <row r="1625" spans="1:4" x14ac:dyDescent="0.3">
      <c r="A1625" t="s">
        <v>5067</v>
      </c>
      <c r="B1625" t="s">
        <v>5514</v>
      </c>
      <c r="C1625" s="22" t="s">
        <v>5980</v>
      </c>
      <c r="D1625" t="str">
        <f>Noty!J466</f>
        <v>ukryj</v>
      </c>
    </row>
    <row r="1626" spans="1:4" x14ac:dyDescent="0.3">
      <c r="A1626" t="s">
        <v>5067</v>
      </c>
      <c r="B1626" t="s">
        <v>5514</v>
      </c>
      <c r="C1626" s="22" t="s">
        <v>5981</v>
      </c>
      <c r="D1626" t="str">
        <f>Noty!J467</f>
        <v>ukryj</v>
      </c>
    </row>
    <row r="1627" spans="1:4" x14ac:dyDescent="0.3">
      <c r="A1627" t="s">
        <v>5067</v>
      </c>
      <c r="B1627" t="s">
        <v>5514</v>
      </c>
      <c r="C1627" s="22" t="s">
        <v>5982</v>
      </c>
      <c r="D1627" t="str">
        <f>IF(AND(Noty!G469=0,Noty!H469=0,Noty!I469=0),"ukryj","odkryj")</f>
        <v>ukryj</v>
      </c>
    </row>
    <row r="1628" spans="1:4" x14ac:dyDescent="0.3">
      <c r="A1628" t="s">
        <v>5067</v>
      </c>
      <c r="B1628" t="s">
        <v>5514</v>
      </c>
      <c r="C1628" s="22" t="s">
        <v>5983</v>
      </c>
      <c r="D1628" t="str">
        <f>IF(AND(Noty!G470=0,Noty!H470=0,Noty!I470=0),"ukryj","odkryj")</f>
        <v>ukryj</v>
      </c>
    </row>
    <row r="1629" spans="1:4" x14ac:dyDescent="0.3">
      <c r="A1629" t="s">
        <v>5067</v>
      </c>
      <c r="B1629" t="s">
        <v>5514</v>
      </c>
      <c r="C1629" s="22" t="s">
        <v>5984</v>
      </c>
      <c r="D1629" t="str">
        <f>IF(AND(Noty!G471=0,Noty!H471=0,Noty!I471=0),"ukryj","odkryj")</f>
        <v>ukryj</v>
      </c>
    </row>
    <row r="1630" spans="1:4" x14ac:dyDescent="0.3">
      <c r="A1630" t="s">
        <v>5067</v>
      </c>
      <c r="B1630" t="s">
        <v>5514</v>
      </c>
      <c r="C1630" s="22" t="s">
        <v>5985</v>
      </c>
      <c r="D1630" t="str">
        <f>IF(AND(Noty!G472=0,Noty!H472=0,Noty!I472=0),"ukryj","odkryj")</f>
        <v>ukryj</v>
      </c>
    </row>
    <row r="1631" spans="1:4" x14ac:dyDescent="0.3">
      <c r="A1631" t="s">
        <v>5067</v>
      </c>
      <c r="B1631" t="s">
        <v>5514</v>
      </c>
      <c r="C1631" s="22" t="s">
        <v>5986</v>
      </c>
      <c r="D1631" t="str">
        <f>IF(AND(Noty!G473=0,Noty!H473=0,Noty!I473=0),"ukryj","odkryj")</f>
        <v>ukryj</v>
      </c>
    </row>
    <row r="1632" spans="1:4" x14ac:dyDescent="0.3">
      <c r="A1632" t="s">
        <v>5067</v>
      </c>
      <c r="B1632" t="s">
        <v>5514</v>
      </c>
      <c r="C1632" s="22" t="s">
        <v>5987</v>
      </c>
      <c r="D1632" t="str">
        <f>IF(AND(Noty!G474=0,Noty!H474=0,Noty!I474=0),"ukryj","odkryj")</f>
        <v>ukryj</v>
      </c>
    </row>
    <row r="1633" spans="1:4" x14ac:dyDescent="0.3">
      <c r="A1633" t="s">
        <v>5067</v>
      </c>
      <c r="B1633" t="s">
        <v>5514</v>
      </c>
      <c r="C1633" s="22" t="s">
        <v>5988</v>
      </c>
      <c r="D1633" t="str">
        <f>IF(AND(Noty!G475=0,Noty!H475=0,Noty!I475=0),"ukryj","odkryj")</f>
        <v>ukryj</v>
      </c>
    </row>
    <row r="1634" spans="1:4" x14ac:dyDescent="0.3">
      <c r="A1634" t="s">
        <v>5067</v>
      </c>
      <c r="B1634" t="s">
        <v>5514</v>
      </c>
      <c r="C1634" s="22" t="s">
        <v>5989</v>
      </c>
      <c r="D1634" t="str">
        <f>IF(AND(Noty!G476=0,Noty!H476=0,Noty!I476=0),"ukryj","odkryj")</f>
        <v>ukryj</v>
      </c>
    </row>
    <row r="1635" spans="1:4" x14ac:dyDescent="0.3">
      <c r="A1635" t="s">
        <v>5067</v>
      </c>
      <c r="B1635" t="s">
        <v>5514</v>
      </c>
      <c r="C1635" s="22" t="s">
        <v>5990</v>
      </c>
      <c r="D1635" t="str">
        <f>IF(AND(Noty!G477=0,Noty!H477=0,Noty!I477=0),"ukryj","odkryj")</f>
        <v>ukryj</v>
      </c>
    </row>
    <row r="1636" spans="1:4" x14ac:dyDescent="0.3">
      <c r="A1636" t="s">
        <v>5067</v>
      </c>
      <c r="B1636" t="s">
        <v>5514</v>
      </c>
      <c r="C1636" s="22" t="s">
        <v>5991</v>
      </c>
      <c r="D1636" t="str">
        <f>IF(AND(Noty!G478=0,Noty!H478=0,Noty!I478=0),"ukryj","odkryj")</f>
        <v>ukryj</v>
      </c>
    </row>
    <row r="1637" spans="1:4" x14ac:dyDescent="0.3">
      <c r="A1637" t="s">
        <v>5067</v>
      </c>
      <c r="B1637" t="s">
        <v>5514</v>
      </c>
      <c r="C1637" s="22" t="s">
        <v>5992</v>
      </c>
      <c r="D1637" t="str">
        <f>IF(AND(Noty!G479=0,Noty!H479=0,Noty!I479=0),"ukryj","odkryj")</f>
        <v>ukryj</v>
      </c>
    </row>
    <row r="1638" spans="1:4" x14ac:dyDescent="0.3">
      <c r="A1638" t="s">
        <v>5067</v>
      </c>
      <c r="B1638" t="s">
        <v>5514</v>
      </c>
      <c r="C1638" s="22" t="s">
        <v>5993</v>
      </c>
      <c r="D1638" t="str">
        <f>IF(AND(Noty!G480=0,Noty!H480=0,Noty!I480=0),"ukryj","odkryj")</f>
        <v>ukryj</v>
      </c>
    </row>
    <row r="1639" spans="1:4" x14ac:dyDescent="0.3">
      <c r="A1639" t="s">
        <v>5067</v>
      </c>
      <c r="B1639" t="s">
        <v>5514</v>
      </c>
      <c r="C1639" s="22" t="s">
        <v>5994</v>
      </c>
      <c r="D1639" t="str">
        <f>IF(AND(Noty!G481=0,Noty!H481=0,Noty!I481=0),"ukryj","odkryj")</f>
        <v>ukryj</v>
      </c>
    </row>
    <row r="1640" spans="1:4" x14ac:dyDescent="0.3">
      <c r="A1640" t="s">
        <v>5067</v>
      </c>
      <c r="B1640" t="s">
        <v>5514</v>
      </c>
      <c r="C1640" s="22" t="s">
        <v>5995</v>
      </c>
      <c r="D1640" t="str">
        <f>IF(AND(Noty!G482=0,Noty!H482=0,Noty!I482=0),"ukryj","odkryj")</f>
        <v>ukryj</v>
      </c>
    </row>
    <row r="1641" spans="1:4" x14ac:dyDescent="0.3">
      <c r="A1641" t="s">
        <v>5067</v>
      </c>
      <c r="B1641" t="s">
        <v>5514</v>
      </c>
      <c r="C1641" s="22" t="s">
        <v>5996</v>
      </c>
      <c r="D1641" t="str">
        <f>IF(AND(Noty!G483=0,Noty!H483=0,Noty!I483=0),"ukryj","odkryj")</f>
        <v>ukryj</v>
      </c>
    </row>
    <row r="1642" spans="1:4" x14ac:dyDescent="0.3">
      <c r="A1642" t="s">
        <v>5067</v>
      </c>
      <c r="B1642" t="s">
        <v>5514</v>
      </c>
      <c r="C1642" s="22" t="s">
        <v>5997</v>
      </c>
      <c r="D1642" t="str">
        <f>IF(AND(Noty!G484=0,Noty!H484=0,Noty!I484=0),"ukryj","odkryj")</f>
        <v>ukryj</v>
      </c>
    </row>
    <row r="1643" spans="1:4" x14ac:dyDescent="0.3">
      <c r="A1643" t="s">
        <v>5067</v>
      </c>
      <c r="B1643" t="s">
        <v>5514</v>
      </c>
      <c r="C1643" s="22" t="s">
        <v>5998</v>
      </c>
      <c r="D1643" t="str">
        <f>IF(AND(Noty!G485=0,Noty!H485=0,Noty!I485=0),"ukryj","odkryj")</f>
        <v>ukryj</v>
      </c>
    </row>
    <row r="1644" spans="1:4" x14ac:dyDescent="0.3">
      <c r="A1644" t="s">
        <v>5067</v>
      </c>
      <c r="B1644" t="s">
        <v>5514</v>
      </c>
      <c r="C1644" s="22" t="s">
        <v>5999</v>
      </c>
      <c r="D1644" t="str">
        <f>IF(AND(Noty!G486=0,Noty!H486=0,Noty!I486=0),"ukryj","odkryj")</f>
        <v>ukryj</v>
      </c>
    </row>
    <row r="1645" spans="1:4" x14ac:dyDescent="0.3">
      <c r="A1645" t="s">
        <v>5067</v>
      </c>
      <c r="B1645" t="s">
        <v>5514</v>
      </c>
      <c r="C1645" s="22" t="s">
        <v>6000</v>
      </c>
      <c r="D1645" t="str">
        <f>Noty!J486</f>
        <v>ukryj</v>
      </c>
    </row>
    <row r="1646" spans="1:4" x14ac:dyDescent="0.3">
      <c r="A1646" t="s">
        <v>5067</v>
      </c>
      <c r="B1646" t="s">
        <v>5514</v>
      </c>
      <c r="C1646" s="22" t="s">
        <v>6001</v>
      </c>
      <c r="D1646" t="str">
        <f>Noty!J467</f>
        <v>ukryj</v>
      </c>
    </row>
    <row r="1647" spans="1:4" x14ac:dyDescent="0.3">
      <c r="A1647" t="s">
        <v>5067</v>
      </c>
      <c r="B1647" t="s">
        <v>5514</v>
      </c>
      <c r="C1647" s="22" t="s">
        <v>6002</v>
      </c>
      <c r="D1647" t="str">
        <f>Noty!J488</f>
        <v>ukryj</v>
      </c>
    </row>
    <row r="1648" spans="1:4" x14ac:dyDescent="0.3">
      <c r="A1648" t="s">
        <v>5067</v>
      </c>
      <c r="B1648" t="s">
        <v>5514</v>
      </c>
      <c r="C1648" s="22" t="s">
        <v>6003</v>
      </c>
      <c r="D1648" t="str">
        <f>IF(AND(Noty!G490=0,Noty!H490=0,Noty!I490=0),"ukryj","odkryj")</f>
        <v>ukryj</v>
      </c>
    </row>
    <row r="1649" spans="1:4" x14ac:dyDescent="0.3">
      <c r="A1649" t="s">
        <v>5067</v>
      </c>
      <c r="B1649" t="s">
        <v>5514</v>
      </c>
      <c r="C1649" s="22" t="s">
        <v>6004</v>
      </c>
      <c r="D1649" t="str">
        <f>IF(AND(Noty!G491=0,Noty!H491=0,Noty!I491=0),"ukryj","odkryj")</f>
        <v>ukryj</v>
      </c>
    </row>
    <row r="1650" spans="1:4" x14ac:dyDescent="0.3">
      <c r="A1650" t="s">
        <v>5067</v>
      </c>
      <c r="B1650" t="s">
        <v>5514</v>
      </c>
      <c r="C1650" s="22" t="s">
        <v>6005</v>
      </c>
      <c r="D1650" t="str">
        <f>IF(AND(Noty!G492=0,Noty!H492=0,Noty!I492=0),"ukryj","odkryj")</f>
        <v>ukryj</v>
      </c>
    </row>
    <row r="1651" spans="1:4" x14ac:dyDescent="0.3">
      <c r="A1651" t="s">
        <v>5067</v>
      </c>
      <c r="B1651" t="s">
        <v>5514</v>
      </c>
      <c r="C1651" s="22" t="s">
        <v>6006</v>
      </c>
      <c r="D1651" t="str">
        <f>IF(AND(Noty!G493=0,Noty!H493=0,Noty!I493=0),"ukryj","odkryj")</f>
        <v>ukryj</v>
      </c>
    </row>
    <row r="1652" spans="1:4" x14ac:dyDescent="0.3">
      <c r="A1652" t="s">
        <v>5067</v>
      </c>
      <c r="B1652" t="s">
        <v>5514</v>
      </c>
      <c r="C1652" s="22" t="s">
        <v>6007</v>
      </c>
      <c r="D1652" t="str">
        <f>IF(AND(Noty!G494=0,Noty!H494=0,Noty!I494=0),"ukryj","odkryj")</f>
        <v>ukryj</v>
      </c>
    </row>
    <row r="1653" spans="1:4" x14ac:dyDescent="0.3">
      <c r="A1653" t="s">
        <v>5067</v>
      </c>
      <c r="B1653" t="s">
        <v>5514</v>
      </c>
      <c r="C1653" s="22" t="s">
        <v>6008</v>
      </c>
      <c r="D1653" t="str">
        <f>IF(AND(Noty!G495=0,Noty!H495=0,Noty!I495=0),"ukryj","odkryj")</f>
        <v>ukryj</v>
      </c>
    </row>
    <row r="1654" spans="1:4" x14ac:dyDescent="0.3">
      <c r="A1654" t="s">
        <v>5067</v>
      </c>
      <c r="B1654" t="s">
        <v>5514</v>
      </c>
      <c r="C1654" s="22" t="s">
        <v>6009</v>
      </c>
      <c r="D1654" t="str">
        <f>IF(AND(Noty!G496=0,Noty!H496=0,Noty!I496=0),"ukryj","odkryj")</f>
        <v>ukryj</v>
      </c>
    </row>
    <row r="1655" spans="1:4" x14ac:dyDescent="0.3">
      <c r="A1655" t="s">
        <v>5067</v>
      </c>
      <c r="B1655" t="s">
        <v>5514</v>
      </c>
      <c r="C1655" s="22" t="s">
        <v>6010</v>
      </c>
      <c r="D1655" t="str">
        <f>IF(AND(Noty!G497=0,Noty!H497=0,Noty!I497=0),"ukryj","odkryj")</f>
        <v>ukryj</v>
      </c>
    </row>
    <row r="1656" spans="1:4" x14ac:dyDescent="0.3">
      <c r="A1656" t="s">
        <v>5067</v>
      </c>
      <c r="B1656" t="s">
        <v>5514</v>
      </c>
      <c r="C1656" s="22" t="s">
        <v>6011</v>
      </c>
      <c r="D1656" t="str">
        <f>IF(AND(Noty!G498=0,Noty!H498=0,Noty!I498=0),"ukryj","odkryj")</f>
        <v>ukryj</v>
      </c>
    </row>
    <row r="1657" spans="1:4" x14ac:dyDescent="0.3">
      <c r="A1657" t="s">
        <v>5067</v>
      </c>
      <c r="B1657" t="s">
        <v>5514</v>
      </c>
      <c r="C1657" s="22" t="s">
        <v>6012</v>
      </c>
      <c r="D1657" t="str">
        <f>IF(AND(Noty!G499=0,Noty!H499=0,Noty!I499=0),"ukryj","odkryj")</f>
        <v>ukryj</v>
      </c>
    </row>
    <row r="1658" spans="1:4" x14ac:dyDescent="0.3">
      <c r="A1658" t="s">
        <v>5067</v>
      </c>
      <c r="B1658" t="s">
        <v>5514</v>
      </c>
      <c r="C1658" s="22" t="s">
        <v>6013</v>
      </c>
      <c r="D1658" t="str">
        <f>IF(AND(Noty!G500=0,Noty!H500=0,Noty!I500=0),"ukryj","odkryj")</f>
        <v>ukryj</v>
      </c>
    </row>
    <row r="1659" spans="1:4" x14ac:dyDescent="0.3">
      <c r="A1659" t="s">
        <v>5067</v>
      </c>
      <c r="B1659" t="s">
        <v>5514</v>
      </c>
      <c r="C1659" s="22" t="s">
        <v>6014</v>
      </c>
      <c r="D1659" t="str">
        <f>IF(AND(Noty!G501=0,Noty!H501=0,Noty!I501=0),"ukryj","odkryj")</f>
        <v>ukryj</v>
      </c>
    </row>
    <row r="1660" spans="1:4" x14ac:dyDescent="0.3">
      <c r="A1660" t="s">
        <v>5067</v>
      </c>
      <c r="B1660" t="s">
        <v>5514</v>
      </c>
      <c r="C1660" s="22" t="s">
        <v>6015</v>
      </c>
      <c r="D1660" t="str">
        <f>IF(AND(Noty!G502=0,Noty!H502=0,Noty!I502=0),"ukryj","odkryj")</f>
        <v>ukryj</v>
      </c>
    </row>
    <row r="1661" spans="1:4" x14ac:dyDescent="0.3">
      <c r="A1661" t="s">
        <v>5067</v>
      </c>
      <c r="B1661" t="s">
        <v>5514</v>
      </c>
      <c r="C1661" s="22" t="s">
        <v>6016</v>
      </c>
      <c r="D1661" t="str">
        <f>IF(AND(Noty!G503=0,Noty!H503=0,Noty!I503=0),"ukryj","odkryj")</f>
        <v>ukryj</v>
      </c>
    </row>
    <row r="1662" spans="1:4" x14ac:dyDescent="0.3">
      <c r="A1662" t="s">
        <v>5067</v>
      </c>
      <c r="B1662" t="s">
        <v>5514</v>
      </c>
      <c r="C1662" s="22" t="s">
        <v>6017</v>
      </c>
      <c r="D1662" t="str">
        <f>IF(AND(Noty!G504=0,Noty!H504=0,Noty!I504=0),"ukryj","odkryj")</f>
        <v>ukryj</v>
      </c>
    </row>
    <row r="1663" spans="1:4" x14ac:dyDescent="0.3">
      <c r="A1663" t="s">
        <v>5067</v>
      </c>
      <c r="B1663" t="s">
        <v>5514</v>
      </c>
      <c r="C1663" s="22" t="s">
        <v>6018</v>
      </c>
      <c r="D1663" t="str">
        <f>IF(AND(Noty!G505=0,Noty!H505=0,Noty!I505=0),"ukryj","odkryj")</f>
        <v>ukryj</v>
      </c>
    </row>
    <row r="1664" spans="1:4" x14ac:dyDescent="0.3">
      <c r="A1664" t="s">
        <v>5067</v>
      </c>
      <c r="B1664" t="s">
        <v>5514</v>
      </c>
      <c r="C1664" s="22" t="s">
        <v>6019</v>
      </c>
      <c r="D1664" t="str">
        <f>IF(AND(Noty!G506=0,Noty!H506=0,Noty!I506=0),"ukryj","odkryj")</f>
        <v>ukryj</v>
      </c>
    </row>
    <row r="1665" spans="1:4" x14ac:dyDescent="0.3">
      <c r="A1665" t="s">
        <v>5067</v>
      </c>
      <c r="B1665" t="s">
        <v>5514</v>
      </c>
      <c r="C1665" s="22" t="s">
        <v>6020</v>
      </c>
      <c r="D1665" t="str">
        <f>IF(AND(Noty!G507=0,Noty!H507=0,Noty!I507=0),"ukryj","odkryj")</f>
        <v>ukryj</v>
      </c>
    </row>
    <row r="1666" spans="1:4" x14ac:dyDescent="0.3">
      <c r="A1666" t="s">
        <v>5067</v>
      </c>
      <c r="B1666" t="s">
        <v>5514</v>
      </c>
      <c r="C1666" s="22" t="s">
        <v>6021</v>
      </c>
      <c r="D1666" t="str">
        <f>Noty!J507</f>
        <v>ukryj</v>
      </c>
    </row>
    <row r="1667" spans="1:4" x14ac:dyDescent="0.3">
      <c r="A1667" t="s">
        <v>5067</v>
      </c>
      <c r="B1667" t="s">
        <v>5514</v>
      </c>
      <c r="C1667" s="22" t="s">
        <v>6022</v>
      </c>
      <c r="D1667" t="str">
        <f>IF(Noty!K509="n/a","ukryj","odkryj")</f>
        <v>ukryj</v>
      </c>
    </row>
    <row r="1668" spans="1:4" x14ac:dyDescent="0.3">
      <c r="A1668" t="s">
        <v>5067</v>
      </c>
      <c r="B1668" t="s">
        <v>5514</v>
      </c>
      <c r="C1668" s="22" t="s">
        <v>6023</v>
      </c>
      <c r="D1668" t="str">
        <f>Noty!J509</f>
        <v>ukryj</v>
      </c>
    </row>
    <row r="1669" spans="1:4" x14ac:dyDescent="0.3">
      <c r="A1669" t="s">
        <v>5067</v>
      </c>
      <c r="B1669" t="s">
        <v>5514</v>
      </c>
      <c r="C1669" s="22" t="s">
        <v>6024</v>
      </c>
      <c r="D1669" t="str">
        <f>Noty!J509</f>
        <v>ukryj</v>
      </c>
    </row>
    <row r="1670" spans="1:4" x14ac:dyDescent="0.3">
      <c r="A1670" t="s">
        <v>5067</v>
      </c>
      <c r="B1670" t="s">
        <v>5514</v>
      </c>
      <c r="C1670" s="22" t="s">
        <v>6025</v>
      </c>
      <c r="D1670" t="str">
        <f>IF(AND(Noty!G512=0,Noty!H512=0,Noty!I512=0),"ukryj","odkryj")</f>
        <v>ukryj</v>
      </c>
    </row>
    <row r="1671" spans="1:4" x14ac:dyDescent="0.3">
      <c r="A1671" t="s">
        <v>5067</v>
      </c>
      <c r="B1671" t="s">
        <v>5514</v>
      </c>
      <c r="C1671" s="22" t="s">
        <v>6026</v>
      </c>
      <c r="D1671" t="str">
        <f>IF(AND(Noty!G513=0,Noty!H513=0,Noty!I513=0),"ukryj","odkryj")</f>
        <v>ukryj</v>
      </c>
    </row>
    <row r="1672" spans="1:4" x14ac:dyDescent="0.3">
      <c r="A1672" t="s">
        <v>5067</v>
      </c>
      <c r="B1672" t="s">
        <v>5514</v>
      </c>
      <c r="C1672" s="22" t="s">
        <v>6027</v>
      </c>
      <c r="D1672" t="str">
        <f>IF(AND(Noty!G514=0,Noty!H514=0,Noty!I514=0),"ukryj","odkryj")</f>
        <v>ukryj</v>
      </c>
    </row>
    <row r="1673" spans="1:4" x14ac:dyDescent="0.3">
      <c r="A1673" t="s">
        <v>5067</v>
      </c>
      <c r="B1673" t="s">
        <v>5514</v>
      </c>
      <c r="C1673" s="22" t="s">
        <v>6028</v>
      </c>
      <c r="D1673" t="str">
        <f>IF(AND(Noty!G515=0,Noty!H515=0,Noty!I515=0),"ukryj","odkryj")</f>
        <v>ukryj</v>
      </c>
    </row>
    <row r="1674" spans="1:4" x14ac:dyDescent="0.3">
      <c r="A1674" t="s">
        <v>5067</v>
      </c>
      <c r="B1674" t="s">
        <v>5514</v>
      </c>
      <c r="C1674" s="22" t="s">
        <v>6029</v>
      </c>
      <c r="D1674" t="str">
        <f>IF(AND(Noty!G516=0,Noty!H516=0,Noty!I516=0),"ukryj","odkryj")</f>
        <v>ukryj</v>
      </c>
    </row>
    <row r="1675" spans="1:4" x14ac:dyDescent="0.3">
      <c r="A1675" t="s">
        <v>5067</v>
      </c>
      <c r="B1675" t="s">
        <v>5514</v>
      </c>
      <c r="C1675" s="22" t="s">
        <v>6030</v>
      </c>
      <c r="D1675" t="str">
        <f>IF(AND(Noty!G517=0,Noty!H517=0,Noty!I517=0),"ukryj","odkryj")</f>
        <v>ukryj</v>
      </c>
    </row>
    <row r="1676" spans="1:4" x14ac:dyDescent="0.3">
      <c r="A1676" t="s">
        <v>5067</v>
      </c>
      <c r="B1676" t="s">
        <v>5514</v>
      </c>
      <c r="C1676" s="22" t="s">
        <v>6031</v>
      </c>
      <c r="D1676" t="str">
        <f>IF(AND(Noty!G518=0,Noty!H518=0,Noty!I518=0),"ukryj","odkryj")</f>
        <v>ukryj</v>
      </c>
    </row>
    <row r="1677" spans="1:4" x14ac:dyDescent="0.3">
      <c r="A1677" t="s">
        <v>5067</v>
      </c>
      <c r="B1677" t="s">
        <v>5514</v>
      </c>
      <c r="C1677" s="22" t="s">
        <v>6032</v>
      </c>
      <c r="D1677" t="str">
        <f>IF(AND(Noty!G519=0,Noty!H519=0,Noty!I519=0),"ukryj","odkryj")</f>
        <v>ukryj</v>
      </c>
    </row>
    <row r="1678" spans="1:4" x14ac:dyDescent="0.3">
      <c r="A1678" t="s">
        <v>5067</v>
      </c>
      <c r="B1678" t="s">
        <v>5514</v>
      </c>
      <c r="C1678" s="22" t="s">
        <v>6033</v>
      </c>
      <c r="D1678" t="str">
        <f>IF(AND(Noty!G520=0,Noty!H520=0,Noty!I520=0),"ukryj","odkryj")</f>
        <v>ukryj</v>
      </c>
    </row>
    <row r="1679" spans="1:4" x14ac:dyDescent="0.3">
      <c r="A1679" t="s">
        <v>5067</v>
      </c>
      <c r="B1679" t="s">
        <v>5514</v>
      </c>
      <c r="C1679" s="22" t="s">
        <v>6034</v>
      </c>
      <c r="D1679" t="str">
        <f>IF(AND(Noty!G521=0,Noty!H521=0,Noty!I521=0),"ukryj","odkryj")</f>
        <v>ukryj</v>
      </c>
    </row>
    <row r="1680" spans="1:4" x14ac:dyDescent="0.3">
      <c r="A1680" t="s">
        <v>5067</v>
      </c>
      <c r="B1680" t="s">
        <v>5514</v>
      </c>
      <c r="C1680" s="22" t="s">
        <v>6035</v>
      </c>
      <c r="D1680" t="str">
        <f>IF(AND(Noty!G522=0,Noty!H522=0,Noty!I522=0),"ukryj","odkryj")</f>
        <v>ukryj</v>
      </c>
    </row>
    <row r="1681" spans="1:4" x14ac:dyDescent="0.3">
      <c r="A1681" t="s">
        <v>5067</v>
      </c>
      <c r="B1681" t="s">
        <v>5514</v>
      </c>
      <c r="C1681" s="22" t="s">
        <v>6036</v>
      </c>
      <c r="D1681" t="str">
        <f>IF(AND(Noty!G523=0,Noty!H523=0,Noty!I523=0),"ukryj","odkryj")</f>
        <v>ukryj</v>
      </c>
    </row>
    <row r="1682" spans="1:4" x14ac:dyDescent="0.3">
      <c r="A1682" t="s">
        <v>5067</v>
      </c>
      <c r="B1682" t="s">
        <v>5514</v>
      </c>
      <c r="C1682" s="22" t="s">
        <v>6037</v>
      </c>
      <c r="D1682" t="str">
        <f>IF(AND(Noty!G524=0,Noty!H524=0,Noty!I524=0),"ukryj","odkryj")</f>
        <v>ukryj</v>
      </c>
    </row>
    <row r="1683" spans="1:4" x14ac:dyDescent="0.3">
      <c r="A1683" t="s">
        <v>5067</v>
      </c>
      <c r="B1683" t="s">
        <v>5514</v>
      </c>
      <c r="C1683" s="22" t="s">
        <v>6038</v>
      </c>
      <c r="D1683" t="str">
        <f>IF(AND(Noty!G525=0,Noty!H525=0,Noty!I525=0),"ukryj","odkryj")</f>
        <v>ukryj</v>
      </c>
    </row>
    <row r="1684" spans="1:4" x14ac:dyDescent="0.3">
      <c r="A1684" t="s">
        <v>5067</v>
      </c>
      <c r="B1684" t="s">
        <v>5514</v>
      </c>
      <c r="C1684" s="22" t="s">
        <v>6039</v>
      </c>
      <c r="D1684" t="str">
        <f>IF(AND(Noty!G526=0,Noty!H526=0,Noty!I526=0),"ukryj","odkryj")</f>
        <v>ukryj</v>
      </c>
    </row>
    <row r="1685" spans="1:4" x14ac:dyDescent="0.3">
      <c r="A1685" t="s">
        <v>5067</v>
      </c>
      <c r="B1685" t="s">
        <v>5514</v>
      </c>
      <c r="C1685" s="22" t="s">
        <v>6040</v>
      </c>
      <c r="D1685" t="str">
        <f>IF(AND(Noty!G527=0,Noty!H527=0,Noty!I527=0),"ukryj","odkryj")</f>
        <v>ukryj</v>
      </c>
    </row>
    <row r="1686" spans="1:4" x14ac:dyDescent="0.3">
      <c r="A1686" t="s">
        <v>5067</v>
      </c>
      <c r="B1686" t="s">
        <v>5514</v>
      </c>
      <c r="C1686" s="22" t="s">
        <v>6041</v>
      </c>
      <c r="D1686" t="str">
        <f>IF(AND(Noty!G528=0,Noty!H528=0,Noty!I528=0),"ukryj","odkryj")</f>
        <v>ukryj</v>
      </c>
    </row>
    <row r="1687" spans="1:4" x14ac:dyDescent="0.3">
      <c r="A1687" t="s">
        <v>5067</v>
      </c>
      <c r="B1687" t="s">
        <v>5514</v>
      </c>
      <c r="C1687" s="22" t="s">
        <v>6042</v>
      </c>
      <c r="D1687" t="str">
        <f>IF(AND(Noty!G529=0,Noty!H529=0,Noty!I529=0),"ukryj","odkryj")</f>
        <v>ukryj</v>
      </c>
    </row>
    <row r="1688" spans="1:4" x14ac:dyDescent="0.3">
      <c r="A1688" t="s">
        <v>5067</v>
      </c>
      <c r="B1688" t="s">
        <v>5514</v>
      </c>
      <c r="C1688" s="22" t="s">
        <v>6043</v>
      </c>
      <c r="D1688" t="str">
        <f>IF(AND(Noty!G530=0,Noty!H530=0,Noty!I530=0),"ukryj","odkryj")</f>
        <v>ukryj</v>
      </c>
    </row>
    <row r="1689" spans="1:4" x14ac:dyDescent="0.3">
      <c r="A1689" t="s">
        <v>5067</v>
      </c>
      <c r="B1689" t="s">
        <v>5514</v>
      </c>
      <c r="C1689" s="22" t="s">
        <v>6044</v>
      </c>
      <c r="D1689" t="str">
        <f>IF(AND(Noty!G531=0,Noty!H531=0,Noty!I531=0),"ukryj","odkryj")</f>
        <v>ukryj</v>
      </c>
    </row>
    <row r="1690" spans="1:4" x14ac:dyDescent="0.3">
      <c r="A1690" t="s">
        <v>5067</v>
      </c>
      <c r="B1690" t="s">
        <v>5514</v>
      </c>
      <c r="C1690" s="22" t="s">
        <v>6045</v>
      </c>
      <c r="D1690" t="str">
        <f>IF(AND(Noty!G532=0,Noty!H532=0,Noty!I532=0),"ukryj","odkryj")</f>
        <v>ukryj</v>
      </c>
    </row>
    <row r="1691" spans="1:4" x14ac:dyDescent="0.3">
      <c r="A1691" t="s">
        <v>5067</v>
      </c>
      <c r="B1691" t="s">
        <v>5514</v>
      </c>
      <c r="C1691" s="22" t="s">
        <v>6046</v>
      </c>
      <c r="D1691" t="str">
        <f>IF(AND(Noty!G533=0,Noty!H533=0,Noty!I533=0),"ukryj","odkryj")</f>
        <v>ukryj</v>
      </c>
    </row>
    <row r="1692" spans="1:4" x14ac:dyDescent="0.3">
      <c r="A1692" t="s">
        <v>5067</v>
      </c>
      <c r="B1692" t="s">
        <v>5514</v>
      </c>
      <c r="C1692" s="22" t="s">
        <v>6047</v>
      </c>
      <c r="D1692" t="str">
        <f>Noty!J533</f>
        <v>ukryj</v>
      </c>
    </row>
    <row r="1693" spans="1:4" x14ac:dyDescent="0.3">
      <c r="A1693" t="s">
        <v>5067</v>
      </c>
      <c r="B1693" t="s">
        <v>5514</v>
      </c>
      <c r="C1693" s="22" t="s">
        <v>6048</v>
      </c>
      <c r="D1693" t="str">
        <f>IF(Noty!K535="n/a","ukryj","odkryj")</f>
        <v>ukryj</v>
      </c>
    </row>
    <row r="1694" spans="1:4" x14ac:dyDescent="0.3">
      <c r="A1694" t="s">
        <v>5067</v>
      </c>
      <c r="B1694" t="s">
        <v>5514</v>
      </c>
      <c r="C1694" s="22" t="s">
        <v>6049</v>
      </c>
      <c r="D1694" t="str">
        <f>Noty!J535</f>
        <v>ukryj</v>
      </c>
    </row>
    <row r="1695" spans="1:4" x14ac:dyDescent="0.3">
      <c r="A1695" t="s">
        <v>5067</v>
      </c>
      <c r="B1695" t="s">
        <v>5514</v>
      </c>
      <c r="C1695" s="22" t="s">
        <v>6050</v>
      </c>
      <c r="D1695" t="str">
        <f>Noty!J536</f>
        <v>ukryj</v>
      </c>
    </row>
    <row r="1696" spans="1:4" x14ac:dyDescent="0.3">
      <c r="A1696" t="s">
        <v>5067</v>
      </c>
      <c r="B1696" t="s">
        <v>5514</v>
      </c>
      <c r="C1696" s="22" t="s">
        <v>6051</v>
      </c>
      <c r="D1696" t="str">
        <f>IF(Noty!I538=0,"ukryj","odkryj")</f>
        <v>ukryj</v>
      </c>
    </row>
    <row r="1697" spans="1:4" x14ac:dyDescent="0.3">
      <c r="A1697" t="s">
        <v>5067</v>
      </c>
      <c r="B1697" t="s">
        <v>5514</v>
      </c>
      <c r="C1697" s="22" t="s">
        <v>6052</v>
      </c>
      <c r="D1697" t="str">
        <f>IF(Noty!I539=0,"ukryj","odkryj")</f>
        <v>ukryj</v>
      </c>
    </row>
    <row r="1698" spans="1:4" x14ac:dyDescent="0.3">
      <c r="A1698" t="s">
        <v>5067</v>
      </c>
      <c r="B1698" t="s">
        <v>5514</v>
      </c>
      <c r="C1698" s="22" t="s">
        <v>6053</v>
      </c>
      <c r="D1698" t="str">
        <f>IF(Noty!I540=0,"ukryj","odkryj")</f>
        <v>ukryj</v>
      </c>
    </row>
    <row r="1699" spans="1:4" x14ac:dyDescent="0.3">
      <c r="A1699" t="s">
        <v>5067</v>
      </c>
      <c r="B1699" t="s">
        <v>5514</v>
      </c>
      <c r="C1699" s="22" t="s">
        <v>6054</v>
      </c>
      <c r="D1699" t="str">
        <f>IF(Noty!I541=0,"ukryj","odkryj")</f>
        <v>ukryj</v>
      </c>
    </row>
    <row r="1700" spans="1:4" x14ac:dyDescent="0.3">
      <c r="A1700" t="s">
        <v>5067</v>
      </c>
      <c r="B1700" t="s">
        <v>5514</v>
      </c>
      <c r="C1700" s="22" t="s">
        <v>6055</v>
      </c>
      <c r="D1700" t="str">
        <f>IF(Noty!I542=0,"ukryj","odkryj")</f>
        <v>ukryj</v>
      </c>
    </row>
    <row r="1701" spans="1:4" x14ac:dyDescent="0.3">
      <c r="A1701" t="s">
        <v>5067</v>
      </c>
      <c r="B1701" t="s">
        <v>5514</v>
      </c>
      <c r="C1701" s="22" t="s">
        <v>6056</v>
      </c>
      <c r="D1701" t="str">
        <f>Noty!J539</f>
        <v>ukryj</v>
      </c>
    </row>
    <row r="1702" spans="1:4" x14ac:dyDescent="0.3">
      <c r="A1702" t="s">
        <v>5067</v>
      </c>
      <c r="B1702" t="s">
        <v>5514</v>
      </c>
      <c r="C1702" s="22" t="s">
        <v>6057</v>
      </c>
      <c r="D1702" t="str">
        <f>IF(Noty!I544=0,"ukryj","odkryj")</f>
        <v>ukryj</v>
      </c>
    </row>
    <row r="1703" spans="1:4" x14ac:dyDescent="0.3">
      <c r="A1703" t="s">
        <v>5067</v>
      </c>
      <c r="B1703" t="s">
        <v>5514</v>
      </c>
      <c r="C1703" s="22" t="s">
        <v>6058</v>
      </c>
      <c r="D1703" t="str">
        <f>IF(Noty!I545=0,"ukryj","odkryj")</f>
        <v>ukryj</v>
      </c>
    </row>
    <row r="1704" spans="1:4" x14ac:dyDescent="0.3">
      <c r="A1704" t="s">
        <v>5067</v>
      </c>
      <c r="B1704" t="s">
        <v>5514</v>
      </c>
      <c r="C1704" s="22" t="s">
        <v>6059</v>
      </c>
      <c r="D1704" t="str">
        <f>IF(Noty!I546=0,"ukryj","odkryj")</f>
        <v>ukryj</v>
      </c>
    </row>
    <row r="1705" spans="1:4" x14ac:dyDescent="0.3">
      <c r="A1705" t="s">
        <v>5067</v>
      </c>
      <c r="B1705" t="s">
        <v>5514</v>
      </c>
      <c r="C1705" s="22" t="s">
        <v>6060</v>
      </c>
      <c r="D1705" t="str">
        <f>IF(Noty!I547=0,"ukryj","odkryj")</f>
        <v>ukryj</v>
      </c>
    </row>
    <row r="1706" spans="1:4" x14ac:dyDescent="0.3">
      <c r="A1706" t="s">
        <v>5067</v>
      </c>
      <c r="B1706" t="s">
        <v>5514</v>
      </c>
      <c r="C1706" s="22" t="s">
        <v>6061</v>
      </c>
      <c r="D1706" t="str">
        <f>IF(Noty!I548=0,"ukryj","odkryj")</f>
        <v>ukryj</v>
      </c>
    </row>
    <row r="1707" spans="1:4" x14ac:dyDescent="0.3">
      <c r="A1707" t="s">
        <v>5067</v>
      </c>
      <c r="B1707" t="s">
        <v>5514</v>
      </c>
      <c r="C1707" s="22" t="s">
        <v>6062</v>
      </c>
      <c r="D1707" t="str">
        <f>IF(Noty!I549=0,"ukryj","odkryj")</f>
        <v>ukryj</v>
      </c>
    </row>
    <row r="1708" spans="1:4" x14ac:dyDescent="0.3">
      <c r="A1708" t="s">
        <v>5067</v>
      </c>
      <c r="B1708" t="s">
        <v>5514</v>
      </c>
      <c r="C1708" s="22" t="s">
        <v>6063</v>
      </c>
      <c r="D1708" t="str">
        <f>Noty!J549</f>
        <v>ukryj</v>
      </c>
    </row>
    <row r="1709" spans="1:4" x14ac:dyDescent="0.3">
      <c r="A1709" t="s">
        <v>5067</v>
      </c>
      <c r="B1709" t="s">
        <v>5514</v>
      </c>
      <c r="C1709" s="22" t="s">
        <v>6064</v>
      </c>
      <c r="D1709" t="str">
        <f>IF(Noty!K551="n/a","ukryj","odkryj")</f>
        <v>ukryj</v>
      </c>
    </row>
    <row r="1710" spans="1:4" x14ac:dyDescent="0.3">
      <c r="A1710" t="s">
        <v>5067</v>
      </c>
      <c r="B1710" t="s">
        <v>5514</v>
      </c>
      <c r="C1710" s="22" t="s">
        <v>6065</v>
      </c>
      <c r="D1710" t="str">
        <f>Noty!J551</f>
        <v>ukryj</v>
      </c>
    </row>
    <row r="1711" spans="1:4" x14ac:dyDescent="0.3">
      <c r="A1711" t="s">
        <v>5067</v>
      </c>
      <c r="B1711" t="s">
        <v>5514</v>
      </c>
      <c r="C1711" s="22" t="s">
        <v>6066</v>
      </c>
      <c r="D1711" t="str">
        <f>IF(Noty!K553="n/a","ukryj","odkryj")</f>
        <v>ukryj</v>
      </c>
    </row>
    <row r="1712" spans="1:4" x14ac:dyDescent="0.3">
      <c r="A1712" t="s">
        <v>5067</v>
      </c>
      <c r="B1712" t="s">
        <v>5514</v>
      </c>
      <c r="C1712" s="22" t="s">
        <v>6067</v>
      </c>
      <c r="D1712" t="str">
        <f>Noty!J553</f>
        <v>ukryj</v>
      </c>
    </row>
    <row r="1713" spans="1:4" x14ac:dyDescent="0.3">
      <c r="A1713" t="s">
        <v>5067</v>
      </c>
      <c r="B1713" t="s">
        <v>5514</v>
      </c>
      <c r="C1713" s="22" t="s">
        <v>6068</v>
      </c>
      <c r="D1713" t="str">
        <f>Noty!J554</f>
        <v>ukryj</v>
      </c>
    </row>
    <row r="1714" spans="1:4" x14ac:dyDescent="0.3">
      <c r="A1714" t="s">
        <v>5067</v>
      </c>
      <c r="B1714" t="s">
        <v>5514</v>
      </c>
      <c r="C1714" s="22" t="s">
        <v>6069</v>
      </c>
      <c r="D1714" t="str">
        <f>Noty!J555</f>
        <v>ukryj</v>
      </c>
    </row>
    <row r="1715" spans="1:4" x14ac:dyDescent="0.3">
      <c r="A1715" t="s">
        <v>5067</v>
      </c>
      <c r="B1715" t="s">
        <v>5514</v>
      </c>
      <c r="C1715" s="22" t="s">
        <v>6070</v>
      </c>
      <c r="D1715" t="str">
        <f>IF(AND(Noty!H557=0,Noty!I557=0),"ukryj","odkryj")</f>
        <v>ukryj</v>
      </c>
    </row>
    <row r="1716" spans="1:4" x14ac:dyDescent="0.3">
      <c r="A1716" t="s">
        <v>5067</v>
      </c>
      <c r="B1716" t="s">
        <v>5514</v>
      </c>
      <c r="C1716" s="22" t="s">
        <v>6071</v>
      </c>
      <c r="D1716" t="str">
        <f>IF(AND(Noty!H558=0,Noty!I558=0),"ukryj","odkryj")</f>
        <v>ukryj</v>
      </c>
    </row>
    <row r="1717" spans="1:4" x14ac:dyDescent="0.3">
      <c r="A1717" t="s">
        <v>5067</v>
      </c>
      <c r="B1717" t="s">
        <v>5514</v>
      </c>
      <c r="C1717" s="22" t="s">
        <v>6072</v>
      </c>
      <c r="D1717" t="str">
        <f>IF(AND(Noty!H559=0,Noty!I559=0),"ukryj","odkryj")</f>
        <v>ukryj</v>
      </c>
    </row>
    <row r="1718" spans="1:4" x14ac:dyDescent="0.3">
      <c r="A1718" t="s">
        <v>5067</v>
      </c>
      <c r="B1718" t="s">
        <v>5514</v>
      </c>
      <c r="C1718" s="22" t="s">
        <v>6073</v>
      </c>
      <c r="D1718" t="str">
        <f>IF(AND(Noty!H560=0,Noty!I560=0),"ukryj","odkryj")</f>
        <v>ukryj</v>
      </c>
    </row>
    <row r="1719" spans="1:4" x14ac:dyDescent="0.3">
      <c r="A1719" t="s">
        <v>5067</v>
      </c>
      <c r="B1719" t="s">
        <v>5514</v>
      </c>
      <c r="C1719" s="22" t="s">
        <v>6074</v>
      </c>
      <c r="D1719" t="str">
        <f>Noty!J554</f>
        <v>ukryj</v>
      </c>
    </row>
    <row r="1720" spans="1:4" x14ac:dyDescent="0.3">
      <c r="A1720" t="s">
        <v>5067</v>
      </c>
      <c r="B1720" t="s">
        <v>5514</v>
      </c>
      <c r="C1720" s="22" t="s">
        <v>6075</v>
      </c>
      <c r="D1720" t="str">
        <f>IF(Noty!K562="n/a","ukryj","odkryj")</f>
        <v>ukryj</v>
      </c>
    </row>
    <row r="1721" spans="1:4" x14ac:dyDescent="0.3">
      <c r="A1721" t="s">
        <v>5067</v>
      </c>
      <c r="B1721" t="s">
        <v>5514</v>
      </c>
      <c r="C1721" s="22" t="s">
        <v>6076</v>
      </c>
      <c r="D1721" t="str">
        <f>Noty!J562</f>
        <v>ukryj</v>
      </c>
    </row>
    <row r="1722" spans="1:4" x14ac:dyDescent="0.3">
      <c r="A1722" t="s">
        <v>5067</v>
      </c>
      <c r="B1722" t="s">
        <v>5514</v>
      </c>
      <c r="C1722" s="22" t="s">
        <v>6077</v>
      </c>
      <c r="D1722" t="str">
        <f>IF(Noty!K564="n/a","ukryj","odkryj")</f>
        <v>ukryj</v>
      </c>
    </row>
    <row r="1723" spans="1:4" x14ac:dyDescent="0.3">
      <c r="A1723" t="s">
        <v>5067</v>
      </c>
      <c r="B1723" t="s">
        <v>5514</v>
      </c>
      <c r="C1723" s="22" t="s">
        <v>6078</v>
      </c>
      <c r="D1723" t="str">
        <f>Noty!J564</f>
        <v>ukryj</v>
      </c>
    </row>
    <row r="1724" spans="1:4" x14ac:dyDescent="0.3">
      <c r="A1724" t="s">
        <v>5067</v>
      </c>
      <c r="B1724" t="s">
        <v>5514</v>
      </c>
      <c r="C1724" s="22" t="s">
        <v>6079</v>
      </c>
      <c r="D1724" t="str">
        <f>Noty!J565</f>
        <v>ukryj</v>
      </c>
    </row>
    <row r="1725" spans="1:4" x14ac:dyDescent="0.3">
      <c r="A1725" t="s">
        <v>5067</v>
      </c>
      <c r="B1725" t="s">
        <v>5514</v>
      </c>
      <c r="C1725" s="22" t="s">
        <v>6080</v>
      </c>
      <c r="D1725" t="str">
        <f>Noty!J566</f>
        <v>ukryj</v>
      </c>
    </row>
    <row r="1726" spans="1:4" x14ac:dyDescent="0.3">
      <c r="A1726" t="s">
        <v>5067</v>
      </c>
      <c r="B1726" t="s">
        <v>5514</v>
      </c>
      <c r="C1726" s="22" t="s">
        <v>6081</v>
      </c>
      <c r="D1726" t="str">
        <f>IF(Noty!H568=0,"ukryj","odkryj")</f>
        <v>ukryj</v>
      </c>
    </row>
    <row r="1727" spans="1:4" x14ac:dyDescent="0.3">
      <c r="A1727" t="s">
        <v>5067</v>
      </c>
      <c r="B1727" t="s">
        <v>5514</v>
      </c>
      <c r="C1727" s="22" t="s">
        <v>6082</v>
      </c>
      <c r="D1727" t="str">
        <f>IF(Noty!H569=0,"ukryj","odkryj")</f>
        <v>ukryj</v>
      </c>
    </row>
    <row r="1728" spans="1:4" x14ac:dyDescent="0.3">
      <c r="A1728" t="s">
        <v>5067</v>
      </c>
      <c r="B1728" t="s">
        <v>5514</v>
      </c>
      <c r="C1728" s="22" t="s">
        <v>6083</v>
      </c>
      <c r="D1728" t="str">
        <f>IF(Noty!H570=0,"ukryj","odkryj")</f>
        <v>ukryj</v>
      </c>
    </row>
    <row r="1729" spans="1:4" x14ac:dyDescent="0.3">
      <c r="A1729" t="s">
        <v>5067</v>
      </c>
      <c r="B1729" t="s">
        <v>5514</v>
      </c>
      <c r="C1729" s="22" t="s">
        <v>6084</v>
      </c>
      <c r="D1729" t="str">
        <f>IF(Noty!H571=0,"ukryj","odkryj")</f>
        <v>ukryj</v>
      </c>
    </row>
    <row r="1730" spans="1:4" x14ac:dyDescent="0.3">
      <c r="A1730" t="s">
        <v>5067</v>
      </c>
      <c r="B1730" t="s">
        <v>5514</v>
      </c>
      <c r="C1730" s="22" t="s">
        <v>6085</v>
      </c>
      <c r="D1730" t="str">
        <f>IF(Noty!H572=0,"ukryj","odkryj")</f>
        <v>ukryj</v>
      </c>
    </row>
    <row r="1731" spans="1:4" x14ac:dyDescent="0.3">
      <c r="A1731" t="s">
        <v>5067</v>
      </c>
      <c r="B1731" t="s">
        <v>5514</v>
      </c>
      <c r="C1731" s="22" t="s">
        <v>6086</v>
      </c>
      <c r="D1731" t="str">
        <f>IF(Noty!H573=0,"ukryj","odkryj")</f>
        <v>ukryj</v>
      </c>
    </row>
    <row r="1732" spans="1:4" x14ac:dyDescent="0.3">
      <c r="A1732" t="s">
        <v>5067</v>
      </c>
      <c r="B1732" t="s">
        <v>5514</v>
      </c>
      <c r="C1732" s="22" t="s">
        <v>6087</v>
      </c>
      <c r="D1732" t="str">
        <f>IF(Noty!H574=0,"ukryj","odkryj")</f>
        <v>ukryj</v>
      </c>
    </row>
    <row r="1733" spans="1:4" x14ac:dyDescent="0.3">
      <c r="A1733" t="s">
        <v>5067</v>
      </c>
      <c r="B1733" t="s">
        <v>5514</v>
      </c>
      <c r="C1733" s="22" t="s">
        <v>6088</v>
      </c>
      <c r="D1733" t="str">
        <f>IF(Noty!H575=0,"ukryj","odkryj")</f>
        <v>ukryj</v>
      </c>
    </row>
    <row r="1734" spans="1:4" x14ac:dyDescent="0.3">
      <c r="A1734" t="s">
        <v>5067</v>
      </c>
      <c r="B1734" t="s">
        <v>5514</v>
      </c>
      <c r="C1734" s="22" t="s">
        <v>6089</v>
      </c>
      <c r="D1734" t="str">
        <f>IF(Noty!H576=0,"ukryj","odkryj")</f>
        <v>ukryj</v>
      </c>
    </row>
    <row r="1735" spans="1:4" x14ac:dyDescent="0.3">
      <c r="A1735" t="s">
        <v>5067</v>
      </c>
      <c r="B1735" t="s">
        <v>5514</v>
      </c>
      <c r="C1735" s="22" t="s">
        <v>6090</v>
      </c>
      <c r="D1735" t="str">
        <f>IF(Noty!H577=0,"ukryj","odkryj")</f>
        <v>ukryj</v>
      </c>
    </row>
    <row r="1736" spans="1:4" x14ac:dyDescent="0.3">
      <c r="A1736" t="s">
        <v>5067</v>
      </c>
      <c r="B1736" t="s">
        <v>5514</v>
      </c>
      <c r="C1736" s="22" t="s">
        <v>6091</v>
      </c>
      <c r="D1736" t="str">
        <f>IF(Noty!H578=0,"ukryj","odkryj")</f>
        <v>ukryj</v>
      </c>
    </row>
    <row r="1737" spans="1:4" x14ac:dyDescent="0.3">
      <c r="A1737" t="s">
        <v>5067</v>
      </c>
      <c r="B1737" t="s">
        <v>5514</v>
      </c>
      <c r="C1737" s="22" t="s">
        <v>6092</v>
      </c>
      <c r="D1737" t="str">
        <f>Noty!J565</f>
        <v>ukryj</v>
      </c>
    </row>
    <row r="1738" spans="1:4" x14ac:dyDescent="0.3">
      <c r="A1738" t="s">
        <v>5067</v>
      </c>
      <c r="B1738" t="s">
        <v>5514</v>
      </c>
      <c r="C1738" s="22" t="s">
        <v>6093</v>
      </c>
      <c r="D1738" t="s">
        <v>5125</v>
      </c>
    </row>
    <row r="1739" spans="1:4" x14ac:dyDescent="0.3">
      <c r="A1739" t="s">
        <v>5067</v>
      </c>
      <c r="B1739" t="s">
        <v>5514</v>
      </c>
      <c r="C1739" s="22" t="s">
        <v>6094</v>
      </c>
      <c r="D1739" t="s">
        <v>5125</v>
      </c>
    </row>
    <row r="1740" spans="1:4" x14ac:dyDescent="0.3">
      <c r="A1740" t="s">
        <v>5067</v>
      </c>
      <c r="B1740" t="s">
        <v>5514</v>
      </c>
      <c r="C1740" s="22" t="s">
        <v>6095</v>
      </c>
      <c r="D1740" t="s">
        <v>5125</v>
      </c>
    </row>
    <row r="1741" spans="1:4" x14ac:dyDescent="0.3">
      <c r="A1741" t="s">
        <v>5067</v>
      </c>
      <c r="B1741" t="s">
        <v>5514</v>
      </c>
      <c r="C1741" s="22" t="s">
        <v>6096</v>
      </c>
      <c r="D1741">
        <f>J585</f>
        <v>0</v>
      </c>
    </row>
    <row r="1742" spans="1:4" x14ac:dyDescent="0.3">
      <c r="A1742" t="s">
        <v>5067</v>
      </c>
      <c r="B1742" t="s">
        <v>5514</v>
      </c>
      <c r="C1742" s="22" t="s">
        <v>6097</v>
      </c>
      <c r="D1742" t="str">
        <f>IF(AND(Noty!H1682=0,Noty!I1682=0),"ukryj","odkryj")</f>
        <v>ukryj</v>
      </c>
    </row>
    <row r="1743" spans="1:4" x14ac:dyDescent="0.3">
      <c r="A1743" t="s">
        <v>5067</v>
      </c>
      <c r="B1743" t="s">
        <v>5514</v>
      </c>
      <c r="C1743" s="22" t="s">
        <v>6098</v>
      </c>
      <c r="D1743">
        <f>J585</f>
        <v>0</v>
      </c>
    </row>
    <row r="1744" spans="1:4" x14ac:dyDescent="0.3">
      <c r="A1744" t="s">
        <v>5067</v>
      </c>
      <c r="B1744" t="s">
        <v>5514</v>
      </c>
      <c r="C1744" s="22" t="s">
        <v>6099</v>
      </c>
      <c r="D1744" t="s">
        <v>5125</v>
      </c>
    </row>
    <row r="1745" spans="1:4" x14ac:dyDescent="0.3">
      <c r="A1745" t="s">
        <v>5067</v>
      </c>
      <c r="B1745" t="s">
        <v>5514</v>
      </c>
      <c r="C1745" s="22" t="s">
        <v>6100</v>
      </c>
      <c r="D1745" t="s">
        <v>5125</v>
      </c>
    </row>
    <row r="1746" spans="1:4" x14ac:dyDescent="0.3">
      <c r="A1746" t="s">
        <v>5067</v>
      </c>
      <c r="B1746" t="s">
        <v>5514</v>
      </c>
      <c r="C1746" s="22" t="s">
        <v>6101</v>
      </c>
      <c r="D1746" t="s">
        <v>5125</v>
      </c>
    </row>
    <row r="1747" spans="1:4" x14ac:dyDescent="0.3">
      <c r="A1747" t="s">
        <v>5067</v>
      </c>
      <c r="B1747" t="s">
        <v>5514</v>
      </c>
      <c r="C1747" s="22" t="s">
        <v>6102</v>
      </c>
      <c r="D1747" t="str">
        <f>IF(Noty!K589="n/a","ukryj","odkryj")</f>
        <v>ukryj</v>
      </c>
    </row>
    <row r="1748" spans="1:4" x14ac:dyDescent="0.3">
      <c r="A1748" t="s">
        <v>5067</v>
      </c>
      <c r="B1748" t="s">
        <v>5514</v>
      </c>
      <c r="C1748" s="22" t="s">
        <v>6103</v>
      </c>
      <c r="D1748" t="str">
        <f>Noty!J589</f>
        <v>ukryj</v>
      </c>
    </row>
    <row r="1749" spans="1:4" x14ac:dyDescent="0.3">
      <c r="A1749" t="s">
        <v>5067</v>
      </c>
      <c r="B1749" t="s">
        <v>5514</v>
      </c>
      <c r="C1749" s="22" t="s">
        <v>6104</v>
      </c>
      <c r="D1749" t="str">
        <f>Noty!J590</f>
        <v>ukryj</v>
      </c>
    </row>
    <row r="1750" spans="1:4" x14ac:dyDescent="0.3">
      <c r="A1750" t="s">
        <v>5067</v>
      </c>
      <c r="B1750" t="s">
        <v>5514</v>
      </c>
      <c r="C1750" s="22" t="s">
        <v>6105</v>
      </c>
      <c r="D1750" t="str">
        <f>IF(Noty!H592=0,"ukryj","odkryj")</f>
        <v>ukryj</v>
      </c>
    </row>
    <row r="1751" spans="1:4" x14ac:dyDescent="0.3">
      <c r="A1751" t="s">
        <v>5067</v>
      </c>
      <c r="B1751" t="s">
        <v>5514</v>
      </c>
      <c r="C1751" s="22" t="s">
        <v>6106</v>
      </c>
      <c r="D1751" t="str">
        <f>IF(Noty!H593=0,"ukryj","odkryj")</f>
        <v>ukryj</v>
      </c>
    </row>
    <row r="1752" spans="1:4" x14ac:dyDescent="0.3">
      <c r="A1752" t="s">
        <v>5067</v>
      </c>
      <c r="B1752" t="s">
        <v>5514</v>
      </c>
      <c r="C1752" s="22" t="s">
        <v>6107</v>
      </c>
      <c r="D1752" t="str">
        <f>IF(Noty!H594=0,"ukryj","odkryj")</f>
        <v>ukryj</v>
      </c>
    </row>
    <row r="1753" spans="1:4" x14ac:dyDescent="0.3">
      <c r="A1753" t="s">
        <v>5067</v>
      </c>
      <c r="B1753" t="s">
        <v>5514</v>
      </c>
      <c r="C1753" s="22" t="s">
        <v>6108</v>
      </c>
      <c r="D1753" t="str">
        <f>IF(Noty!H595=0,"ukryj","odkryj")</f>
        <v>ukryj</v>
      </c>
    </row>
    <row r="1754" spans="1:4" x14ac:dyDescent="0.3">
      <c r="A1754" t="s">
        <v>5067</v>
      </c>
      <c r="B1754" t="s">
        <v>5514</v>
      </c>
      <c r="C1754" s="22" t="s">
        <v>6109</v>
      </c>
      <c r="D1754" t="str">
        <f>IF(Noty!H596=0,"ukryj","odkryj")</f>
        <v>ukryj</v>
      </c>
    </row>
    <row r="1755" spans="1:4" x14ac:dyDescent="0.3">
      <c r="A1755" t="s">
        <v>5067</v>
      </c>
      <c r="B1755" t="s">
        <v>5514</v>
      </c>
      <c r="C1755" s="22" t="s">
        <v>6110</v>
      </c>
      <c r="D1755" t="str">
        <f>IF(Noty!H597=0,"ukryj","odkryj")</f>
        <v>ukryj</v>
      </c>
    </row>
    <row r="1756" spans="1:4" x14ac:dyDescent="0.3">
      <c r="A1756" t="s">
        <v>5067</v>
      </c>
      <c r="B1756" t="s">
        <v>5514</v>
      </c>
      <c r="C1756" s="22" t="s">
        <v>6111</v>
      </c>
      <c r="D1756" t="str">
        <f>Noty!J590</f>
        <v>ukryj</v>
      </c>
    </row>
    <row r="1757" spans="1:4" x14ac:dyDescent="0.3">
      <c r="A1757" t="s">
        <v>5067</v>
      </c>
      <c r="B1757" t="s">
        <v>5514</v>
      </c>
      <c r="C1757" s="22" t="s">
        <v>6112</v>
      </c>
      <c r="D1757" t="str">
        <f>IF(Noty!K599="n/a","ukryj","odkryj")</f>
        <v>ukryj</v>
      </c>
    </row>
    <row r="1758" spans="1:4" x14ac:dyDescent="0.3">
      <c r="A1758" t="s">
        <v>5067</v>
      </c>
      <c r="B1758" t="s">
        <v>5514</v>
      </c>
      <c r="C1758" s="22" t="s">
        <v>6113</v>
      </c>
      <c r="D1758" t="s">
        <v>5125</v>
      </c>
    </row>
    <row r="1759" spans="1:4" x14ac:dyDescent="0.3">
      <c r="A1759" t="s">
        <v>5067</v>
      </c>
      <c r="B1759" t="s">
        <v>5514</v>
      </c>
      <c r="C1759" s="22" t="s">
        <v>6114</v>
      </c>
      <c r="D1759" t="str">
        <f>Noty!J599</f>
        <v>ukryj</v>
      </c>
    </row>
    <row r="1760" spans="1:4" x14ac:dyDescent="0.3">
      <c r="A1760" t="s">
        <v>5067</v>
      </c>
      <c r="B1760" t="s">
        <v>5514</v>
      </c>
      <c r="C1760" s="22" t="s">
        <v>6115</v>
      </c>
      <c r="D1760" t="str">
        <f>Noty!J601</f>
        <v>ukryj</v>
      </c>
    </row>
    <row r="1761" spans="1:4" x14ac:dyDescent="0.3">
      <c r="A1761" t="s">
        <v>5067</v>
      </c>
      <c r="B1761" t="s">
        <v>5514</v>
      </c>
      <c r="C1761" s="22" t="s">
        <v>6116</v>
      </c>
      <c r="D1761" t="str">
        <f>Noty!J602</f>
        <v>ukryj</v>
      </c>
    </row>
    <row r="1762" spans="1:4" x14ac:dyDescent="0.3">
      <c r="A1762" t="s">
        <v>5067</v>
      </c>
      <c r="B1762" t="s">
        <v>5514</v>
      </c>
      <c r="C1762" s="22" t="s">
        <v>6117</v>
      </c>
      <c r="D1762" t="str">
        <f>IF(Noty!I604=0,"ukryj","odkryj")</f>
        <v>ukryj</v>
      </c>
    </row>
    <row r="1763" spans="1:4" x14ac:dyDescent="0.3">
      <c r="A1763" t="s">
        <v>5067</v>
      </c>
      <c r="B1763" t="s">
        <v>5514</v>
      </c>
      <c r="C1763" s="22" t="s">
        <v>6118</v>
      </c>
      <c r="D1763" t="str">
        <f>IF(Noty!I605=0,"ukryj","odkryj")</f>
        <v>ukryj</v>
      </c>
    </row>
    <row r="1764" spans="1:4" x14ac:dyDescent="0.3">
      <c r="A1764" t="s">
        <v>5067</v>
      </c>
      <c r="B1764" t="s">
        <v>5514</v>
      </c>
      <c r="C1764" s="22" t="s">
        <v>6119</v>
      </c>
      <c r="D1764" t="str">
        <f>IF(Noty!I606=0,"ukryj","odkryj")</f>
        <v>ukryj</v>
      </c>
    </row>
    <row r="1765" spans="1:4" x14ac:dyDescent="0.3">
      <c r="A1765" t="s">
        <v>5067</v>
      </c>
      <c r="B1765" t="s">
        <v>5514</v>
      </c>
      <c r="C1765" s="22" t="s">
        <v>6120</v>
      </c>
      <c r="D1765" t="str">
        <f>IF(Noty!I607=0,"ukryj","odkryj")</f>
        <v>ukryj</v>
      </c>
    </row>
    <row r="1766" spans="1:4" x14ac:dyDescent="0.3">
      <c r="A1766" t="s">
        <v>5067</v>
      </c>
      <c r="B1766" t="s">
        <v>5514</v>
      </c>
      <c r="C1766" s="22" t="s">
        <v>6121</v>
      </c>
      <c r="D1766" t="str">
        <f>Noty!J607</f>
        <v>ukryj</v>
      </c>
    </row>
    <row r="1767" spans="1:4" x14ac:dyDescent="0.3">
      <c r="A1767" t="s">
        <v>5067</v>
      </c>
      <c r="B1767" t="s">
        <v>5514</v>
      </c>
      <c r="C1767" s="22" t="s">
        <v>6122</v>
      </c>
      <c r="D1767" t="str">
        <f>IF(Noty!K609="n/a","ukryj","odkryj")</f>
        <v>ukryj</v>
      </c>
    </row>
    <row r="1768" spans="1:4" x14ac:dyDescent="0.3">
      <c r="A1768" t="s">
        <v>5067</v>
      </c>
      <c r="B1768" t="s">
        <v>5514</v>
      </c>
      <c r="C1768" s="22" t="s">
        <v>6123</v>
      </c>
      <c r="D1768" t="str">
        <f>Noty!J609</f>
        <v>ukryj</v>
      </c>
    </row>
    <row r="1769" spans="1:4" x14ac:dyDescent="0.3">
      <c r="A1769" t="s">
        <v>5067</v>
      </c>
      <c r="B1769" t="s">
        <v>5514</v>
      </c>
      <c r="C1769" s="22" t="s">
        <v>6124</v>
      </c>
      <c r="D1769" t="str">
        <f>Noty!J610</f>
        <v>ukryj</v>
      </c>
    </row>
    <row r="1770" spans="1:4" x14ac:dyDescent="0.3">
      <c r="A1770" t="s">
        <v>5067</v>
      </c>
      <c r="B1770" t="s">
        <v>5514</v>
      </c>
      <c r="C1770" s="22" t="s">
        <v>6125</v>
      </c>
      <c r="D1770" t="str">
        <f>Noty!J611</f>
        <v>ukryj</v>
      </c>
    </row>
    <row r="1771" spans="1:4" x14ac:dyDescent="0.3">
      <c r="A1771" t="s">
        <v>5067</v>
      </c>
      <c r="B1771" t="s">
        <v>5514</v>
      </c>
      <c r="C1771" s="22" t="s">
        <v>6126</v>
      </c>
      <c r="D1771" t="str">
        <f>IF(Noty!K613="n/a","ukryj","odkryj")</f>
        <v>ukryj</v>
      </c>
    </row>
    <row r="1772" spans="1:4" x14ac:dyDescent="0.3">
      <c r="A1772" t="s">
        <v>5067</v>
      </c>
      <c r="B1772" t="s">
        <v>5514</v>
      </c>
      <c r="C1772" s="22" t="s">
        <v>6127</v>
      </c>
      <c r="D1772" t="str">
        <f>Noty!J613</f>
        <v>ukryj</v>
      </c>
    </row>
    <row r="1773" spans="1:4" x14ac:dyDescent="0.3">
      <c r="A1773" t="s">
        <v>5067</v>
      </c>
      <c r="B1773" t="s">
        <v>5514</v>
      </c>
      <c r="C1773" s="22" t="s">
        <v>6128</v>
      </c>
      <c r="D1773" t="str">
        <f>Noty!J614</f>
        <v>ukryj</v>
      </c>
    </row>
    <row r="1774" spans="1:4" x14ac:dyDescent="0.3">
      <c r="A1774" t="s">
        <v>5067</v>
      </c>
      <c r="B1774" t="s">
        <v>5514</v>
      </c>
      <c r="C1774" s="22" t="s">
        <v>6129</v>
      </c>
      <c r="D1774" t="str">
        <f>Noty!J615</f>
        <v>ukryj</v>
      </c>
    </row>
    <row r="1775" spans="1:4" x14ac:dyDescent="0.3">
      <c r="A1775" t="s">
        <v>5067</v>
      </c>
      <c r="B1775" t="s">
        <v>5514</v>
      </c>
      <c r="C1775" s="22" t="s">
        <v>6130</v>
      </c>
      <c r="D1775" t="str">
        <f>IF(Noty!K617="n/a","ukryj","odkryj")</f>
        <v>ukryj</v>
      </c>
    </row>
    <row r="1776" spans="1:4" x14ac:dyDescent="0.3">
      <c r="A1776" t="s">
        <v>5067</v>
      </c>
      <c r="B1776" t="s">
        <v>5514</v>
      </c>
      <c r="C1776" s="22" t="s">
        <v>6131</v>
      </c>
      <c r="D1776" t="str">
        <f>Noty!J617</f>
        <v>ukryj</v>
      </c>
    </row>
    <row r="1777" spans="1:4" x14ac:dyDescent="0.3">
      <c r="A1777" t="s">
        <v>5067</v>
      </c>
      <c r="B1777" t="s">
        <v>5514</v>
      </c>
      <c r="C1777" s="22" t="s">
        <v>6132</v>
      </c>
      <c r="D1777" t="str">
        <f>IF(Noty!K619="n/a","ukryj","odkryj")</f>
        <v>ukryj</v>
      </c>
    </row>
    <row r="1778" spans="1:4" x14ac:dyDescent="0.3">
      <c r="A1778" t="s">
        <v>5067</v>
      </c>
      <c r="B1778" t="s">
        <v>5514</v>
      </c>
      <c r="C1778" s="22" t="s">
        <v>6133</v>
      </c>
      <c r="D1778" t="str">
        <f>Noty!J619</f>
        <v>ukryj</v>
      </c>
    </row>
    <row r="1779" spans="1:4" x14ac:dyDescent="0.3">
      <c r="A1779" t="s">
        <v>5067</v>
      </c>
      <c r="B1779" t="s">
        <v>5514</v>
      </c>
      <c r="C1779" s="22" t="s">
        <v>6134</v>
      </c>
      <c r="D1779" t="str">
        <f>Noty!J620</f>
        <v>ukryj</v>
      </c>
    </row>
    <row r="1780" spans="1:4" x14ac:dyDescent="0.3">
      <c r="A1780" t="s">
        <v>5067</v>
      </c>
      <c r="B1780" t="s">
        <v>5514</v>
      </c>
      <c r="C1780" s="22" t="s">
        <v>6135</v>
      </c>
      <c r="D1780" t="str">
        <f>Noty!J621</f>
        <v>ukryj</v>
      </c>
    </row>
    <row r="1781" spans="1:4" x14ac:dyDescent="0.3">
      <c r="A1781" t="s">
        <v>5067</v>
      </c>
      <c r="B1781" t="s">
        <v>5514</v>
      </c>
      <c r="C1781" s="22" t="s">
        <v>6136</v>
      </c>
      <c r="D1781" t="str">
        <f>IF(Noty!I623=0,"ukryj","odkryj")</f>
        <v>ukryj</v>
      </c>
    </row>
    <row r="1782" spans="1:4" x14ac:dyDescent="0.3">
      <c r="A1782" t="s">
        <v>5067</v>
      </c>
      <c r="B1782" t="s">
        <v>5514</v>
      </c>
      <c r="C1782" s="22" t="s">
        <v>6137</v>
      </c>
      <c r="D1782" t="str">
        <f>IF(Noty!I624=0,"ukryj","odkryj")</f>
        <v>ukryj</v>
      </c>
    </row>
    <row r="1783" spans="1:4" x14ac:dyDescent="0.3">
      <c r="A1783" t="s">
        <v>5067</v>
      </c>
      <c r="B1783" t="s">
        <v>5514</v>
      </c>
      <c r="C1783" s="22" t="s">
        <v>6138</v>
      </c>
      <c r="D1783" t="str">
        <f>IF(Noty!I625=0,"ukryj","odkryj")</f>
        <v>ukryj</v>
      </c>
    </row>
    <row r="1784" spans="1:4" x14ac:dyDescent="0.3">
      <c r="A1784" t="s">
        <v>5067</v>
      </c>
      <c r="B1784" t="s">
        <v>5514</v>
      </c>
      <c r="C1784" s="22" t="s">
        <v>6139</v>
      </c>
      <c r="D1784" t="str">
        <f>IF(Noty!I626=0,"ukryj","odkryj")</f>
        <v>ukryj</v>
      </c>
    </row>
    <row r="1785" spans="1:4" x14ac:dyDescent="0.3">
      <c r="A1785" t="s">
        <v>5067</v>
      </c>
      <c r="B1785" t="s">
        <v>5514</v>
      </c>
      <c r="C1785" s="22" t="s">
        <v>6140</v>
      </c>
      <c r="D1785" t="str">
        <f>IF(Noty!I627=0,"ukryj","odkryj")</f>
        <v>ukryj</v>
      </c>
    </row>
    <row r="1786" spans="1:4" x14ac:dyDescent="0.3">
      <c r="A1786" t="s">
        <v>5067</v>
      </c>
      <c r="B1786" t="s">
        <v>5514</v>
      </c>
      <c r="C1786" s="22" t="s">
        <v>6141</v>
      </c>
      <c r="D1786" t="str">
        <f>Noty!J627</f>
        <v>ukryj</v>
      </c>
    </row>
    <row r="1787" spans="1:4" x14ac:dyDescent="0.3">
      <c r="A1787" t="s">
        <v>5067</v>
      </c>
      <c r="B1787" t="s">
        <v>5514</v>
      </c>
      <c r="C1787" s="22" t="s">
        <v>6142</v>
      </c>
      <c r="D1787" t="str">
        <f>IF(Noty!K629="n/a","ukryj","odkryj")</f>
        <v>ukryj</v>
      </c>
    </row>
    <row r="1788" spans="1:4" x14ac:dyDescent="0.3">
      <c r="A1788" t="s">
        <v>5067</v>
      </c>
      <c r="B1788" t="s">
        <v>5514</v>
      </c>
      <c r="C1788" s="22" t="s">
        <v>6143</v>
      </c>
      <c r="D1788" t="str">
        <f>Noty!J629</f>
        <v>ukryj</v>
      </c>
    </row>
    <row r="1789" spans="1:4" x14ac:dyDescent="0.3">
      <c r="A1789" t="s">
        <v>5067</v>
      </c>
      <c r="B1789" t="s">
        <v>5514</v>
      </c>
      <c r="C1789" s="22" t="s">
        <v>6144</v>
      </c>
      <c r="D1789" t="str">
        <f>Noty!J630</f>
        <v>ukryj</v>
      </c>
    </row>
    <row r="1790" spans="1:4" x14ac:dyDescent="0.3">
      <c r="A1790" t="s">
        <v>5067</v>
      </c>
      <c r="B1790" t="s">
        <v>5514</v>
      </c>
      <c r="C1790" s="22" t="s">
        <v>6145</v>
      </c>
      <c r="D1790" t="str">
        <f>Noty!J631</f>
        <v>ukryj</v>
      </c>
    </row>
    <row r="1791" spans="1:4" x14ac:dyDescent="0.3">
      <c r="A1791" t="s">
        <v>5067</v>
      </c>
      <c r="B1791" t="s">
        <v>5514</v>
      </c>
      <c r="C1791" s="22" t="s">
        <v>6146</v>
      </c>
      <c r="D1791" t="str">
        <f>IF(Noty!I633=0,"ukryj","odkryj")</f>
        <v>ukryj</v>
      </c>
    </row>
    <row r="1792" spans="1:4" x14ac:dyDescent="0.3">
      <c r="A1792" t="s">
        <v>5067</v>
      </c>
      <c r="B1792" t="s">
        <v>5514</v>
      </c>
      <c r="C1792" s="22" t="s">
        <v>6147</v>
      </c>
      <c r="D1792" t="str">
        <f>IF(Noty!I634=0,"ukryj","odkryj")</f>
        <v>ukryj</v>
      </c>
    </row>
    <row r="1793" spans="1:4" x14ac:dyDescent="0.3">
      <c r="A1793" t="s">
        <v>5067</v>
      </c>
      <c r="B1793" t="s">
        <v>5514</v>
      </c>
      <c r="C1793" s="22" t="s">
        <v>6148</v>
      </c>
      <c r="D1793" t="str">
        <f>IF(Noty!I635=0,"ukryj","odkryj")</f>
        <v>ukryj</v>
      </c>
    </row>
    <row r="1794" spans="1:4" x14ac:dyDescent="0.3">
      <c r="A1794" t="s">
        <v>5067</v>
      </c>
      <c r="B1794" t="s">
        <v>5514</v>
      </c>
      <c r="C1794" s="22" t="s">
        <v>6149</v>
      </c>
      <c r="D1794" t="str">
        <f>IF(Noty!I636=0,"ukryj","odkryj")</f>
        <v>ukryj</v>
      </c>
    </row>
    <row r="1795" spans="1:4" x14ac:dyDescent="0.3">
      <c r="A1795" t="s">
        <v>5067</v>
      </c>
      <c r="B1795" t="s">
        <v>5514</v>
      </c>
      <c r="C1795" s="22" t="s">
        <v>6150</v>
      </c>
      <c r="D1795" t="str">
        <f>IF(Noty!I637=0,"ukryj","odkryj")</f>
        <v>ukryj</v>
      </c>
    </row>
    <row r="1796" spans="1:4" x14ac:dyDescent="0.3">
      <c r="A1796" t="s">
        <v>5067</v>
      </c>
      <c r="B1796" t="s">
        <v>5514</v>
      </c>
      <c r="C1796" s="22" t="s">
        <v>6151</v>
      </c>
      <c r="D1796" t="str">
        <f>Noty!J637</f>
        <v>ukryj</v>
      </c>
    </row>
    <row r="1797" spans="1:4" x14ac:dyDescent="0.3">
      <c r="A1797" t="s">
        <v>5067</v>
      </c>
      <c r="B1797" t="s">
        <v>5514</v>
      </c>
      <c r="C1797" s="22" t="s">
        <v>6152</v>
      </c>
      <c r="D1797" t="str">
        <f>IF(Noty!K639="n/a","ukryj","odkryj")</f>
        <v>ukryj</v>
      </c>
    </row>
    <row r="1798" spans="1:4" x14ac:dyDescent="0.3">
      <c r="A1798" t="s">
        <v>5067</v>
      </c>
      <c r="B1798" t="s">
        <v>5514</v>
      </c>
      <c r="C1798" s="22" t="s">
        <v>6153</v>
      </c>
      <c r="D1798" t="str">
        <f>Noty!J639</f>
        <v>ukryj</v>
      </c>
    </row>
    <row r="1799" spans="1:4" x14ac:dyDescent="0.3">
      <c r="A1799" t="s">
        <v>5067</v>
      </c>
      <c r="B1799" t="s">
        <v>5514</v>
      </c>
      <c r="C1799" s="22" t="s">
        <v>6154</v>
      </c>
      <c r="D1799" t="str">
        <f>Noty!J640</f>
        <v>ukryj</v>
      </c>
    </row>
    <row r="1800" spans="1:4" x14ac:dyDescent="0.3">
      <c r="A1800" t="s">
        <v>5067</v>
      </c>
      <c r="B1800" t="s">
        <v>5514</v>
      </c>
      <c r="C1800" s="22" t="s">
        <v>6155</v>
      </c>
      <c r="D1800" t="str">
        <f>Noty!J641</f>
        <v>ukryj</v>
      </c>
    </row>
    <row r="1801" spans="1:4" x14ac:dyDescent="0.3">
      <c r="A1801" t="s">
        <v>5067</v>
      </c>
      <c r="B1801" t="s">
        <v>5514</v>
      </c>
      <c r="C1801" s="22" t="s">
        <v>6156</v>
      </c>
      <c r="D1801" t="str">
        <f>IF(Noty!I643=0,"ukryj","odkryj")</f>
        <v>ukryj</v>
      </c>
    </row>
    <row r="1802" spans="1:4" x14ac:dyDescent="0.3">
      <c r="A1802" t="s">
        <v>5067</v>
      </c>
      <c r="B1802" t="s">
        <v>5514</v>
      </c>
      <c r="C1802" s="22" t="s">
        <v>6157</v>
      </c>
      <c r="D1802" t="str">
        <f>IF(Noty!I644=0,"ukryj","odkryj")</f>
        <v>ukryj</v>
      </c>
    </row>
    <row r="1803" spans="1:4" x14ac:dyDescent="0.3">
      <c r="A1803" t="s">
        <v>5067</v>
      </c>
      <c r="B1803" t="s">
        <v>5514</v>
      </c>
      <c r="C1803" s="22" t="s">
        <v>6158</v>
      </c>
      <c r="D1803" t="str">
        <f>IF(Noty!I645=0,"ukryj","odkryj")</f>
        <v>ukryj</v>
      </c>
    </row>
    <row r="1804" spans="1:4" x14ac:dyDescent="0.3">
      <c r="A1804" t="s">
        <v>5067</v>
      </c>
      <c r="B1804" t="s">
        <v>5514</v>
      </c>
      <c r="C1804" s="22" t="s">
        <v>6159</v>
      </c>
      <c r="D1804" t="str">
        <f>IF(Noty!I646=0,"ukryj","odkryj")</f>
        <v>ukryj</v>
      </c>
    </row>
    <row r="1805" spans="1:4" x14ac:dyDescent="0.3">
      <c r="A1805" t="s">
        <v>5067</v>
      </c>
      <c r="B1805" t="s">
        <v>5514</v>
      </c>
      <c r="C1805" s="22" t="s">
        <v>6160</v>
      </c>
      <c r="D1805" t="str">
        <f>IF(Noty!I647=0,"ukryj","odkryj")</f>
        <v>ukryj</v>
      </c>
    </row>
    <row r="1806" spans="1:4" x14ac:dyDescent="0.3">
      <c r="A1806" t="s">
        <v>5067</v>
      </c>
      <c r="B1806" t="s">
        <v>5514</v>
      </c>
      <c r="C1806" s="22" t="s">
        <v>6161</v>
      </c>
      <c r="D1806" t="str">
        <f>Noty!J647</f>
        <v>ukryj</v>
      </c>
    </row>
    <row r="1807" spans="1:4" x14ac:dyDescent="0.3">
      <c r="A1807" t="s">
        <v>5067</v>
      </c>
      <c r="B1807" t="s">
        <v>5514</v>
      </c>
      <c r="C1807" s="22" t="s">
        <v>6162</v>
      </c>
      <c r="D1807" t="s">
        <v>5125</v>
      </c>
    </row>
    <row r="1808" spans="1:4" x14ac:dyDescent="0.3">
      <c r="A1808" t="s">
        <v>5067</v>
      </c>
      <c r="B1808" t="s">
        <v>5514</v>
      </c>
      <c r="C1808" s="22" t="s">
        <v>6163</v>
      </c>
      <c r="D1808" t="s">
        <v>5125</v>
      </c>
    </row>
    <row r="1809" spans="1:4" x14ac:dyDescent="0.3">
      <c r="A1809" t="s">
        <v>5067</v>
      </c>
      <c r="B1809" t="s">
        <v>5514</v>
      </c>
      <c r="C1809" s="22" t="s">
        <v>6164</v>
      </c>
      <c r="D1809" t="s">
        <v>5125</v>
      </c>
    </row>
    <row r="1810" spans="1:4" x14ac:dyDescent="0.3">
      <c r="A1810" t="s">
        <v>5067</v>
      </c>
      <c r="B1810" t="s">
        <v>5514</v>
      </c>
      <c r="C1810" s="22" t="s">
        <v>6165</v>
      </c>
      <c r="D1810" t="s">
        <v>5125</v>
      </c>
    </row>
    <row r="1811" spans="1:4" x14ac:dyDescent="0.3">
      <c r="A1811" t="s">
        <v>5067</v>
      </c>
      <c r="B1811" t="s">
        <v>5514</v>
      </c>
      <c r="C1811" s="22" t="s">
        <v>6166</v>
      </c>
      <c r="D1811" t="s">
        <v>5125</v>
      </c>
    </row>
    <row r="1812" spans="1:4" x14ac:dyDescent="0.3">
      <c r="A1812" t="s">
        <v>5067</v>
      </c>
      <c r="B1812" t="s">
        <v>5514</v>
      </c>
      <c r="C1812" s="22" t="s">
        <v>6167</v>
      </c>
      <c r="D1812" t="str">
        <f>Noty!J648</f>
        <v>ukryj</v>
      </c>
    </row>
    <row r="1813" spans="1:4" x14ac:dyDescent="0.3">
      <c r="A1813" t="s">
        <v>5067</v>
      </c>
      <c r="B1813" t="s">
        <v>5514</v>
      </c>
      <c r="C1813" s="22" t="s">
        <v>6168</v>
      </c>
      <c r="D1813" t="str">
        <f>IF(Noty!K655="n/a","ukryj","odkryj")</f>
        <v>ukryj</v>
      </c>
    </row>
    <row r="1814" spans="1:4" x14ac:dyDescent="0.3">
      <c r="A1814" t="s">
        <v>5067</v>
      </c>
      <c r="B1814" t="s">
        <v>5514</v>
      </c>
      <c r="C1814" s="22" t="s">
        <v>6169</v>
      </c>
      <c r="D1814" t="str">
        <f>Noty!J655</f>
        <v>ukryj</v>
      </c>
    </row>
    <row r="1815" spans="1:4" x14ac:dyDescent="0.3">
      <c r="A1815" t="s">
        <v>5067</v>
      </c>
      <c r="B1815" t="s">
        <v>5514</v>
      </c>
      <c r="C1815" s="22" t="s">
        <v>6170</v>
      </c>
      <c r="D1815" t="str">
        <f>Noty!J656</f>
        <v>ukryj</v>
      </c>
    </row>
    <row r="1816" spans="1:4" x14ac:dyDescent="0.3">
      <c r="A1816" t="s">
        <v>5067</v>
      </c>
      <c r="B1816" t="s">
        <v>5514</v>
      </c>
      <c r="C1816" s="22" t="s">
        <v>6171</v>
      </c>
      <c r="D1816" t="str">
        <f>Noty!J657</f>
        <v>ukryj</v>
      </c>
    </row>
    <row r="1817" spans="1:4" x14ac:dyDescent="0.3">
      <c r="A1817" t="s">
        <v>5067</v>
      </c>
      <c r="B1817" t="s">
        <v>5514</v>
      </c>
      <c r="C1817" s="22" t="s">
        <v>6172</v>
      </c>
      <c r="D1817" t="str">
        <f>IF(AND(Noty!D659=0,Noty!F659=0,Noty!H659=0),"ukryj","odkryj")</f>
        <v>ukryj</v>
      </c>
    </row>
    <row r="1818" spans="1:4" x14ac:dyDescent="0.3">
      <c r="A1818" t="s">
        <v>5067</v>
      </c>
      <c r="B1818" t="s">
        <v>5514</v>
      </c>
      <c r="C1818" s="22" t="s">
        <v>6173</v>
      </c>
      <c r="D1818" t="str">
        <f>IF(AND(Noty!D660=0,Noty!F660=0,Noty!H660=0),"ukryj","odkryj")</f>
        <v>ukryj</v>
      </c>
    </row>
    <row r="1819" spans="1:4" x14ac:dyDescent="0.3">
      <c r="A1819" t="s">
        <v>5067</v>
      </c>
      <c r="B1819" t="s">
        <v>5514</v>
      </c>
      <c r="C1819" s="22" t="s">
        <v>6174</v>
      </c>
      <c r="D1819" t="str">
        <f>IF(AND(Noty!D661=0,Noty!F661=0,Noty!H661=0),"ukryj","odkryj")</f>
        <v>ukryj</v>
      </c>
    </row>
    <row r="1820" spans="1:4" x14ac:dyDescent="0.3">
      <c r="A1820" t="s">
        <v>5067</v>
      </c>
      <c r="B1820" t="s">
        <v>5514</v>
      </c>
      <c r="C1820" s="22" t="s">
        <v>6175</v>
      </c>
      <c r="D1820" t="str">
        <f>IF(AND(Noty!D662=0,Noty!F662=0,Noty!H662=0),"ukryj","odkryj")</f>
        <v>ukryj</v>
      </c>
    </row>
    <row r="1821" spans="1:4" x14ac:dyDescent="0.3">
      <c r="A1821" t="s">
        <v>5067</v>
      </c>
      <c r="B1821" t="s">
        <v>5514</v>
      </c>
      <c r="C1821" s="22" t="s">
        <v>6176</v>
      </c>
      <c r="D1821" t="str">
        <f>Noty!J662</f>
        <v>ukryj</v>
      </c>
    </row>
    <row r="1822" spans="1:4" x14ac:dyDescent="0.3">
      <c r="A1822" t="s">
        <v>5067</v>
      </c>
      <c r="B1822" t="s">
        <v>5514</v>
      </c>
      <c r="C1822" s="22" t="s">
        <v>6177</v>
      </c>
      <c r="D1822" t="str">
        <f>IF(AND(Noty!D664=0,Noty!F664=0,Noty!H664=0),"ukryj","odkryj")</f>
        <v>ukryj</v>
      </c>
    </row>
    <row r="1823" spans="1:4" x14ac:dyDescent="0.3">
      <c r="A1823" t="s">
        <v>5067</v>
      </c>
      <c r="B1823" t="s">
        <v>5514</v>
      </c>
      <c r="C1823" s="22" t="s">
        <v>6178</v>
      </c>
      <c r="D1823" t="str">
        <f>Noty!J664</f>
        <v>ukryj</v>
      </c>
    </row>
    <row r="1824" spans="1:4" x14ac:dyDescent="0.3">
      <c r="A1824" t="s">
        <v>5067</v>
      </c>
      <c r="B1824" t="s">
        <v>5514</v>
      </c>
      <c r="C1824" s="22" t="s">
        <v>6179</v>
      </c>
      <c r="D1824" t="str">
        <f>IF(AND(Noty!D666=0,Noty!F666=0,Noty!H666=0),"ukryj","odkryj")</f>
        <v>ukryj</v>
      </c>
    </row>
    <row r="1825" spans="1:4" x14ac:dyDescent="0.3">
      <c r="A1825" t="s">
        <v>5067</v>
      </c>
      <c r="B1825" t="s">
        <v>5514</v>
      </c>
      <c r="C1825" s="22" t="s">
        <v>6180</v>
      </c>
      <c r="D1825" t="str">
        <f>Noty!J655</f>
        <v>ukryj</v>
      </c>
    </row>
    <row r="1826" spans="1:4" x14ac:dyDescent="0.3">
      <c r="A1826" t="s">
        <v>5067</v>
      </c>
      <c r="B1826" t="s">
        <v>5514</v>
      </c>
      <c r="C1826" s="22" t="s">
        <v>6181</v>
      </c>
      <c r="D1826" t="str">
        <f>IF(Noty!K668="n/a","ukryj","odkryj")</f>
        <v>ukryj</v>
      </c>
    </row>
    <row r="1827" spans="1:4" x14ac:dyDescent="0.3">
      <c r="A1827" t="s">
        <v>5067</v>
      </c>
      <c r="B1827" t="s">
        <v>5514</v>
      </c>
      <c r="C1827" s="22" t="s">
        <v>6182</v>
      </c>
      <c r="D1827" t="str">
        <f>Noty!J668</f>
        <v>ukryj</v>
      </c>
    </row>
    <row r="1828" spans="1:4" x14ac:dyDescent="0.3">
      <c r="A1828" t="s">
        <v>5067</v>
      </c>
      <c r="B1828" t="s">
        <v>5514</v>
      </c>
      <c r="C1828" s="22" t="s">
        <v>6183</v>
      </c>
      <c r="D1828" t="str">
        <f>Noty!J669</f>
        <v>ukryj</v>
      </c>
    </row>
    <row r="1829" spans="1:4" x14ac:dyDescent="0.3">
      <c r="A1829" t="s">
        <v>5067</v>
      </c>
      <c r="B1829" t="s">
        <v>5514</v>
      </c>
      <c r="C1829" s="22" t="s">
        <v>6184</v>
      </c>
      <c r="D1829" t="str">
        <f>Noty!J670</f>
        <v>ukryj</v>
      </c>
    </row>
    <row r="1830" spans="1:4" x14ac:dyDescent="0.3">
      <c r="A1830" t="s">
        <v>5067</v>
      </c>
      <c r="B1830" t="s">
        <v>5514</v>
      </c>
      <c r="C1830" s="22" t="s">
        <v>6185</v>
      </c>
      <c r="D1830" t="str">
        <f>IF(AND(Noty!E672=0,Noty!F672=0,Noty!G672=0,Noty!H672=0,Noty!I672=0),"ukryj","odkryj")</f>
        <v>ukryj</v>
      </c>
    </row>
    <row r="1831" spans="1:4" x14ac:dyDescent="0.3">
      <c r="A1831" t="s">
        <v>5067</v>
      </c>
      <c r="B1831" t="s">
        <v>5514</v>
      </c>
      <c r="C1831" s="22" t="s">
        <v>6186</v>
      </c>
      <c r="D1831" t="str">
        <f>IF(AND(Noty!E673=0,Noty!F673=0,Noty!G673=0,Noty!H673=0,Noty!I673=0),"ukryj","odkryj")</f>
        <v>ukryj</v>
      </c>
    </row>
    <row r="1832" spans="1:4" x14ac:dyDescent="0.3">
      <c r="A1832" t="s">
        <v>5067</v>
      </c>
      <c r="B1832" t="s">
        <v>5514</v>
      </c>
      <c r="C1832" s="22" t="s">
        <v>6187</v>
      </c>
      <c r="D1832" t="str">
        <f>IF(AND(Noty!E674=0,Noty!F674=0,Noty!G674=0,Noty!H674=0,Noty!I674=0),"ukryj","odkryj")</f>
        <v>ukryj</v>
      </c>
    </row>
    <row r="1833" spans="1:4" x14ac:dyDescent="0.3">
      <c r="A1833" t="s">
        <v>5067</v>
      </c>
      <c r="B1833" t="s">
        <v>5514</v>
      </c>
      <c r="C1833" s="22" t="s">
        <v>6188</v>
      </c>
      <c r="D1833" t="str">
        <f>IF(AND(Noty!E675=0,Noty!F675=0,Noty!G675=0,Noty!H675=0,Noty!I675=0),"ukryj","odkryj")</f>
        <v>ukryj</v>
      </c>
    </row>
    <row r="1834" spans="1:4" x14ac:dyDescent="0.3">
      <c r="A1834" t="s">
        <v>5067</v>
      </c>
      <c r="B1834" t="s">
        <v>5514</v>
      </c>
      <c r="C1834" s="22" t="s">
        <v>6189</v>
      </c>
      <c r="D1834" t="str">
        <f>Noty!J675</f>
        <v>ukryj</v>
      </c>
    </row>
    <row r="1835" spans="1:4" x14ac:dyDescent="0.3">
      <c r="A1835" t="s">
        <v>5067</v>
      </c>
      <c r="B1835" t="s">
        <v>5514</v>
      </c>
      <c r="C1835" s="22" t="s">
        <v>6190</v>
      </c>
      <c r="D1835" t="str">
        <f>IF(AND(Noty!E677=0,Noty!F677=0,Noty!G677=0,Noty!H677=0,Noty!I677=0),"ukryj","odkryj")</f>
        <v>ukryj</v>
      </c>
    </row>
    <row r="1836" spans="1:4" x14ac:dyDescent="0.3">
      <c r="A1836" t="s">
        <v>5067</v>
      </c>
      <c r="B1836" t="s">
        <v>5514</v>
      </c>
      <c r="C1836" s="22" t="s">
        <v>6191</v>
      </c>
      <c r="D1836" t="str">
        <f>Noty!J677</f>
        <v>ukryj</v>
      </c>
    </row>
    <row r="1837" spans="1:4" x14ac:dyDescent="0.3">
      <c r="A1837" t="s">
        <v>5067</v>
      </c>
      <c r="B1837" t="s">
        <v>5514</v>
      </c>
      <c r="C1837" s="22" t="s">
        <v>6192</v>
      </c>
      <c r="D1837" t="str">
        <f>IF(AND(Noty!E679=0,Noty!F679=0,Noty!G679=0,Noty!H679=0,Noty!I679=0),"ukryj","odkryj")</f>
        <v>ukryj</v>
      </c>
    </row>
    <row r="1838" spans="1:4" x14ac:dyDescent="0.3">
      <c r="A1838" t="s">
        <v>5067</v>
      </c>
      <c r="B1838" t="s">
        <v>5514</v>
      </c>
      <c r="C1838" s="22" t="s">
        <v>6193</v>
      </c>
      <c r="D1838" t="str">
        <f>Noty!J679</f>
        <v>ukryj</v>
      </c>
    </row>
    <row r="1839" spans="1:4" x14ac:dyDescent="0.3">
      <c r="A1839" t="s">
        <v>5067</v>
      </c>
      <c r="B1839" t="s">
        <v>5514</v>
      </c>
      <c r="C1839" s="22" t="s">
        <v>6194</v>
      </c>
      <c r="D1839" t="str">
        <f>IF(Noty!K681="n/a","ukryj","odkryj")</f>
        <v>ukryj</v>
      </c>
    </row>
    <row r="1840" spans="1:4" x14ac:dyDescent="0.3">
      <c r="A1840" t="s">
        <v>5067</v>
      </c>
      <c r="B1840" t="s">
        <v>5514</v>
      </c>
      <c r="C1840" s="22" t="s">
        <v>6195</v>
      </c>
      <c r="D1840" t="str">
        <f>Noty!J681</f>
        <v>ukryj</v>
      </c>
    </row>
    <row r="1841" spans="1:4" x14ac:dyDescent="0.3">
      <c r="A1841" t="s">
        <v>5067</v>
      </c>
      <c r="B1841" t="s">
        <v>5514</v>
      </c>
      <c r="C1841" s="22" t="s">
        <v>6196</v>
      </c>
      <c r="D1841" t="str">
        <f>Noty!J682</f>
        <v>ukryj</v>
      </c>
    </row>
    <row r="1842" spans="1:4" x14ac:dyDescent="0.3">
      <c r="A1842" t="s">
        <v>5067</v>
      </c>
      <c r="B1842" t="s">
        <v>5514</v>
      </c>
      <c r="C1842" s="22" t="s">
        <v>6197</v>
      </c>
      <c r="D1842" t="str">
        <f>Noty!J683</f>
        <v>ukryj</v>
      </c>
    </row>
    <row r="1843" spans="1:4" x14ac:dyDescent="0.3">
      <c r="A1843" t="s">
        <v>5067</v>
      </c>
      <c r="B1843" t="s">
        <v>5514</v>
      </c>
      <c r="C1843" s="22" t="s">
        <v>6198</v>
      </c>
      <c r="D1843" t="str">
        <f>IF(AND(Noty!E685=0,Noty!F685=0,Noty!G685=0,Noty!H685=0,Noty!I685=0),"ukryj","odkryj")</f>
        <v>ukryj</v>
      </c>
    </row>
    <row r="1844" spans="1:4" x14ac:dyDescent="0.3">
      <c r="A1844" t="s">
        <v>5067</v>
      </c>
      <c r="B1844" t="s">
        <v>5514</v>
      </c>
      <c r="C1844" s="22" t="s">
        <v>6199</v>
      </c>
      <c r="D1844" t="str">
        <f>IF(AND(Noty!E686=0,Noty!F686=0,Noty!G686=0,Noty!H686=0,Noty!I686=0),"ukryj","odkryj")</f>
        <v>ukryj</v>
      </c>
    </row>
    <row r="1845" spans="1:4" x14ac:dyDescent="0.3">
      <c r="A1845" t="s">
        <v>5067</v>
      </c>
      <c r="B1845" t="s">
        <v>5514</v>
      </c>
      <c r="C1845" s="22" t="s">
        <v>6200</v>
      </c>
      <c r="D1845" t="str">
        <f>IF(AND(Noty!E687=0,Noty!F687=0,Noty!G687=0,Noty!H687=0,Noty!I687=0),"ukryj","odkryj")</f>
        <v>ukryj</v>
      </c>
    </row>
    <row r="1846" spans="1:4" x14ac:dyDescent="0.3">
      <c r="A1846" t="s">
        <v>5067</v>
      </c>
      <c r="B1846" t="s">
        <v>5514</v>
      </c>
      <c r="C1846" s="22" t="s">
        <v>6201</v>
      </c>
      <c r="D1846" t="str">
        <f>IF(AND(Noty!E688=0,Noty!F688=0,Noty!G688=0,Noty!H688=0,Noty!I688=0),"ukryj","odkryj")</f>
        <v>ukryj</v>
      </c>
    </row>
    <row r="1847" spans="1:4" x14ac:dyDescent="0.3">
      <c r="A1847" t="s">
        <v>5067</v>
      </c>
      <c r="B1847" t="s">
        <v>5514</v>
      </c>
      <c r="C1847" s="22" t="s">
        <v>6202</v>
      </c>
      <c r="D1847" t="str">
        <f>Noty!J688</f>
        <v>ukryj</v>
      </c>
    </row>
    <row r="1848" spans="1:4" x14ac:dyDescent="0.3">
      <c r="A1848" t="s">
        <v>5067</v>
      </c>
      <c r="B1848" t="s">
        <v>5514</v>
      </c>
      <c r="C1848" s="22" t="s">
        <v>6203</v>
      </c>
      <c r="D1848" t="str">
        <f>IF(AND(Noty!E690=0,Noty!F690=0,Noty!G690=0,Noty!H690=0,Noty!I690=0),"ukryj","odkryj")</f>
        <v>ukryj</v>
      </c>
    </row>
    <row r="1849" spans="1:4" x14ac:dyDescent="0.3">
      <c r="A1849" t="s">
        <v>5067</v>
      </c>
      <c r="B1849" t="s">
        <v>5514</v>
      </c>
      <c r="C1849" s="22" t="s">
        <v>6204</v>
      </c>
      <c r="D1849" t="str">
        <f>Noty!J690</f>
        <v>ukryj</v>
      </c>
    </row>
    <row r="1850" spans="1:4" x14ac:dyDescent="0.3">
      <c r="A1850" t="s">
        <v>5067</v>
      </c>
      <c r="B1850" t="s">
        <v>5514</v>
      </c>
      <c r="C1850" s="22" t="s">
        <v>6205</v>
      </c>
      <c r="D1850" t="str">
        <f>IF(AND(Noty!E692=0,Noty!F692=0,Noty!G692=0,Noty!H692=0,Noty!I692=0),"ukryj","odkryj")</f>
        <v>ukryj</v>
      </c>
    </row>
    <row r="1851" spans="1:4" x14ac:dyDescent="0.3">
      <c r="A1851" t="s">
        <v>5067</v>
      </c>
      <c r="B1851" t="s">
        <v>5514</v>
      </c>
      <c r="C1851" s="22" t="s">
        <v>6206</v>
      </c>
      <c r="D1851" t="str">
        <f>Noty!J692</f>
        <v>ukryj</v>
      </c>
    </row>
    <row r="1852" spans="1:4" x14ac:dyDescent="0.3">
      <c r="A1852" t="s">
        <v>5067</v>
      </c>
      <c r="B1852" t="s">
        <v>5514</v>
      </c>
      <c r="C1852" s="22" t="s">
        <v>6207</v>
      </c>
      <c r="D1852" t="str">
        <f>IF(Noty!K694="n/a","ukryj","odkryj")</f>
        <v>ukryj</v>
      </c>
    </row>
    <row r="1853" spans="1:4" x14ac:dyDescent="0.3">
      <c r="A1853" t="s">
        <v>5067</v>
      </c>
      <c r="B1853" t="s">
        <v>5514</v>
      </c>
      <c r="C1853" s="22" t="s">
        <v>6208</v>
      </c>
      <c r="D1853" t="str">
        <f>Noty!J694</f>
        <v>ukryj</v>
      </c>
    </row>
    <row r="1854" spans="1:4" x14ac:dyDescent="0.3">
      <c r="A1854" t="s">
        <v>5067</v>
      </c>
      <c r="B1854" t="s">
        <v>5514</v>
      </c>
      <c r="C1854" s="22" t="s">
        <v>6209</v>
      </c>
      <c r="D1854" t="str">
        <f>Noty!J695</f>
        <v>ukryj</v>
      </c>
    </row>
    <row r="1855" spans="1:4" x14ac:dyDescent="0.3">
      <c r="A1855" t="s">
        <v>5067</v>
      </c>
      <c r="B1855" t="s">
        <v>5514</v>
      </c>
      <c r="C1855" s="22" t="s">
        <v>6210</v>
      </c>
      <c r="D1855" t="str">
        <f>Noty!J696</f>
        <v>ukryj</v>
      </c>
    </row>
    <row r="1856" spans="1:4" x14ac:dyDescent="0.3">
      <c r="A1856" t="s">
        <v>5067</v>
      </c>
      <c r="B1856" t="s">
        <v>5514</v>
      </c>
      <c r="C1856" s="22" t="s">
        <v>6211</v>
      </c>
      <c r="D1856" t="str">
        <f>IF(AND(Noty!E698=0,Noty!F698=0,Noty!G698=0,Noty!H698=0,Noty!I698=0),"ukryj","odkryj")</f>
        <v>ukryj</v>
      </c>
    </row>
    <row r="1857" spans="1:4" x14ac:dyDescent="0.3">
      <c r="A1857" t="s">
        <v>5067</v>
      </c>
      <c r="B1857" t="s">
        <v>5514</v>
      </c>
      <c r="C1857" s="22" t="s">
        <v>6212</v>
      </c>
      <c r="D1857" t="str">
        <f>IF(AND(Noty!E699=0,Noty!F699=0,Noty!G699=0,Noty!H699=0,Noty!I699=0),"ukryj","odkryj")</f>
        <v>ukryj</v>
      </c>
    </row>
    <row r="1858" spans="1:4" x14ac:dyDescent="0.3">
      <c r="A1858" t="s">
        <v>5067</v>
      </c>
      <c r="B1858" t="s">
        <v>5514</v>
      </c>
      <c r="C1858" s="22" t="s">
        <v>6213</v>
      </c>
      <c r="D1858" t="str">
        <f>IF(AND(Noty!E700=0,Noty!F700=0,Noty!G700=0,Noty!H700=0,Noty!I700=0),"ukryj","odkryj")</f>
        <v>ukryj</v>
      </c>
    </row>
    <row r="1859" spans="1:4" x14ac:dyDescent="0.3">
      <c r="A1859" t="s">
        <v>5067</v>
      </c>
      <c r="B1859" t="s">
        <v>5514</v>
      </c>
      <c r="C1859" s="22" t="s">
        <v>6214</v>
      </c>
      <c r="D1859" t="str">
        <f>IF(AND(Noty!E701=0,Noty!F701=0,Noty!G701=0,Noty!H701=0,Noty!I701=0),"ukryj","odkryj")</f>
        <v>ukryj</v>
      </c>
    </row>
    <row r="1860" spans="1:4" x14ac:dyDescent="0.3">
      <c r="A1860" t="s">
        <v>5067</v>
      </c>
      <c r="B1860" t="s">
        <v>5514</v>
      </c>
      <c r="C1860" s="22" t="s">
        <v>6215</v>
      </c>
      <c r="D1860" t="str">
        <f>Noty!J701</f>
        <v>ukryj</v>
      </c>
    </row>
    <row r="1861" spans="1:4" x14ac:dyDescent="0.3">
      <c r="A1861" t="s">
        <v>5067</v>
      </c>
      <c r="B1861" t="s">
        <v>5514</v>
      </c>
      <c r="C1861" s="22" t="s">
        <v>6216</v>
      </c>
      <c r="D1861" t="str">
        <f>IF(AND(Noty!E703=0,Noty!F703=0,Noty!G703=0,Noty!H703=0,Noty!I703=0),"ukryj","odkryj")</f>
        <v>ukryj</v>
      </c>
    </row>
    <row r="1862" spans="1:4" x14ac:dyDescent="0.3">
      <c r="A1862" t="s">
        <v>5067</v>
      </c>
      <c r="B1862" t="s">
        <v>5514</v>
      </c>
      <c r="C1862" s="22" t="s">
        <v>6217</v>
      </c>
      <c r="D1862" t="str">
        <f>Noty!J703</f>
        <v>ukryj</v>
      </c>
    </row>
    <row r="1863" spans="1:4" x14ac:dyDescent="0.3">
      <c r="A1863" t="s">
        <v>5067</v>
      </c>
      <c r="B1863" t="s">
        <v>5514</v>
      </c>
      <c r="C1863" s="22" t="s">
        <v>6218</v>
      </c>
      <c r="D1863" t="str">
        <f>IF(AND(Noty!E705=0,Noty!F705=0,Noty!G705=0,Noty!H705=0,Noty!I705=0),"ukryj","odkryj")</f>
        <v>ukryj</v>
      </c>
    </row>
    <row r="1864" spans="1:4" x14ac:dyDescent="0.3">
      <c r="A1864" t="s">
        <v>5067</v>
      </c>
      <c r="B1864" t="s">
        <v>5514</v>
      </c>
      <c r="C1864" s="22" t="s">
        <v>6219</v>
      </c>
      <c r="D1864" t="str">
        <f>Noty!J701</f>
        <v>ukryj</v>
      </c>
    </row>
    <row r="1865" spans="1:4" x14ac:dyDescent="0.3">
      <c r="A1865" t="s">
        <v>5067</v>
      </c>
      <c r="B1865" t="s">
        <v>5514</v>
      </c>
      <c r="C1865" s="22" t="s">
        <v>6220</v>
      </c>
      <c r="D1865" t="str">
        <f>IF(Noty!K707="n/a","ukryj","odkryj")</f>
        <v>ukryj</v>
      </c>
    </row>
    <row r="1866" spans="1:4" x14ac:dyDescent="0.3">
      <c r="A1866" t="s">
        <v>5067</v>
      </c>
      <c r="B1866" t="s">
        <v>5514</v>
      </c>
      <c r="C1866" s="22" t="s">
        <v>6221</v>
      </c>
      <c r="D1866" t="str">
        <f>Noty!J707</f>
        <v>ukryj</v>
      </c>
    </row>
    <row r="1867" spans="1:4" x14ac:dyDescent="0.3">
      <c r="A1867" t="s">
        <v>5067</v>
      </c>
      <c r="B1867" t="s">
        <v>5514</v>
      </c>
      <c r="C1867" s="22" t="s">
        <v>6222</v>
      </c>
      <c r="D1867" t="str">
        <f>Noty!J708</f>
        <v>ukryj</v>
      </c>
    </row>
    <row r="1868" spans="1:4" x14ac:dyDescent="0.3">
      <c r="A1868" t="s">
        <v>5067</v>
      </c>
      <c r="B1868" t="s">
        <v>5514</v>
      </c>
      <c r="C1868" s="22" t="s">
        <v>6223</v>
      </c>
      <c r="D1868" t="str">
        <f>IF(AND(Noty!G710=0,Noty!H710=0),"ukryj","odkryj")</f>
        <v>ukryj</v>
      </c>
    </row>
    <row r="1869" spans="1:4" x14ac:dyDescent="0.3">
      <c r="A1869" t="s">
        <v>5067</v>
      </c>
      <c r="B1869" t="s">
        <v>5514</v>
      </c>
      <c r="C1869" s="22" t="s">
        <v>6224</v>
      </c>
      <c r="D1869" t="str">
        <f>IF(AND(Noty!G711=0,Noty!H711=0),"ukryj","odkryj")</f>
        <v>ukryj</v>
      </c>
    </row>
    <row r="1870" spans="1:4" x14ac:dyDescent="0.3">
      <c r="A1870" t="s">
        <v>5067</v>
      </c>
      <c r="B1870" t="s">
        <v>5514</v>
      </c>
      <c r="C1870" s="22" t="s">
        <v>6225</v>
      </c>
      <c r="D1870" t="str">
        <f>IF(AND(Noty!G712=0,Noty!H712=0),"ukryj","odkryj")</f>
        <v>ukryj</v>
      </c>
    </row>
    <row r="1871" spans="1:4" x14ac:dyDescent="0.3">
      <c r="A1871" t="s">
        <v>5067</v>
      </c>
      <c r="B1871" t="s">
        <v>5514</v>
      </c>
      <c r="C1871" s="22" t="s">
        <v>6226</v>
      </c>
      <c r="D1871" t="str">
        <f>IF(AND(Noty!G713=0,Noty!H713=0),"ukryj","odkryj")</f>
        <v>ukryj</v>
      </c>
    </row>
    <row r="1872" spans="1:4" x14ac:dyDescent="0.3">
      <c r="A1872" t="s">
        <v>5067</v>
      </c>
      <c r="B1872" t="s">
        <v>5514</v>
      </c>
      <c r="C1872" s="22" t="s">
        <v>6227</v>
      </c>
      <c r="D1872" t="str">
        <f>IF(AND(Noty!G714=0,Noty!H714=0),"ukryj","odkryj")</f>
        <v>ukryj</v>
      </c>
    </row>
    <row r="1873" spans="1:4" x14ac:dyDescent="0.3">
      <c r="A1873" t="s">
        <v>5067</v>
      </c>
      <c r="B1873" t="s">
        <v>5514</v>
      </c>
      <c r="C1873" s="22" t="s">
        <v>6228</v>
      </c>
      <c r="D1873" t="str">
        <f>Noty!J714</f>
        <v>ukryj</v>
      </c>
    </row>
    <row r="1874" spans="1:4" x14ac:dyDescent="0.3">
      <c r="A1874" t="s">
        <v>5067</v>
      </c>
      <c r="B1874" t="s">
        <v>5514</v>
      </c>
      <c r="C1874" s="22" t="s">
        <v>6229</v>
      </c>
      <c r="D1874" t="str">
        <f>IF(Noty!K716="n/a","ukryj","odkryj")</f>
        <v>odkryj</v>
      </c>
    </row>
    <row r="1875" spans="1:4" x14ac:dyDescent="0.3">
      <c r="A1875" t="s">
        <v>5067</v>
      </c>
      <c r="B1875" t="s">
        <v>5514</v>
      </c>
      <c r="C1875" s="22" t="s">
        <v>6230</v>
      </c>
      <c r="D1875" t="str">
        <f>Noty!J716</f>
        <v>odkryj</v>
      </c>
    </row>
    <row r="1876" spans="1:4" x14ac:dyDescent="0.3">
      <c r="A1876" t="s">
        <v>5067</v>
      </c>
      <c r="B1876" t="s">
        <v>5514</v>
      </c>
      <c r="C1876" s="22" t="s">
        <v>6231</v>
      </c>
      <c r="D1876" t="str">
        <f>Noty!J717</f>
        <v>odkryj</v>
      </c>
    </row>
    <row r="1877" spans="1:4" x14ac:dyDescent="0.3">
      <c r="A1877" t="s">
        <v>5067</v>
      </c>
      <c r="B1877" t="s">
        <v>5514</v>
      </c>
      <c r="C1877" s="22" t="s">
        <v>6232</v>
      </c>
      <c r="D1877" t="str">
        <f>Noty!J718</f>
        <v>ukryj</v>
      </c>
    </row>
    <row r="1878" spans="1:4" x14ac:dyDescent="0.3">
      <c r="A1878" t="s">
        <v>5067</v>
      </c>
      <c r="B1878" t="s">
        <v>5514</v>
      </c>
      <c r="C1878" s="22" t="s">
        <v>6233</v>
      </c>
      <c r="D1878" t="str">
        <f>IF(AND(Noty!H720=0,Noty!I720=0),"ukryj","odkryj")</f>
        <v>ukryj</v>
      </c>
    </row>
    <row r="1879" spans="1:4" x14ac:dyDescent="0.3">
      <c r="A1879" t="s">
        <v>5067</v>
      </c>
      <c r="B1879" t="s">
        <v>5514</v>
      </c>
      <c r="C1879" s="22" t="s">
        <v>6234</v>
      </c>
      <c r="D1879" t="str">
        <f>IF(AND(Noty!H721=0,Noty!I721=0),"ukryj","odkryj")</f>
        <v>ukryj</v>
      </c>
    </row>
    <row r="1880" spans="1:4" x14ac:dyDescent="0.3">
      <c r="A1880" t="s">
        <v>5067</v>
      </c>
      <c r="B1880" t="s">
        <v>5514</v>
      </c>
      <c r="C1880" s="22" t="s">
        <v>6235</v>
      </c>
      <c r="D1880" t="str">
        <f>IF(AND(Noty!H722=0,Noty!I722=0),"ukryj","odkryj")</f>
        <v>ukryj</v>
      </c>
    </row>
    <row r="1881" spans="1:4" x14ac:dyDescent="0.3">
      <c r="A1881" t="s">
        <v>5067</v>
      </c>
      <c r="B1881" t="s">
        <v>5514</v>
      </c>
      <c r="C1881" s="22" t="s">
        <v>6236</v>
      </c>
      <c r="D1881" t="str">
        <f>IF(AND(Noty!H723=0,Noty!I723=0),"ukryj","odkryj")</f>
        <v>ukryj</v>
      </c>
    </row>
    <row r="1882" spans="1:4" x14ac:dyDescent="0.3">
      <c r="A1882" t="s">
        <v>5067</v>
      </c>
      <c r="B1882" t="s">
        <v>5514</v>
      </c>
      <c r="C1882" s="22" t="s">
        <v>6237</v>
      </c>
      <c r="D1882" t="str">
        <f>IF(AND(Noty!H724=0,Noty!I724=0),"ukryj","odkryj")</f>
        <v>ukryj</v>
      </c>
    </row>
    <row r="1883" spans="1:4" x14ac:dyDescent="0.3">
      <c r="A1883" t="s">
        <v>5067</v>
      </c>
      <c r="B1883" t="s">
        <v>5514</v>
      </c>
      <c r="C1883" s="22" t="s">
        <v>6238</v>
      </c>
      <c r="D1883" t="str">
        <f>IF(AND(Noty!H725=0,Noty!I725=0),"ukryj","odkryj")</f>
        <v>ukryj</v>
      </c>
    </row>
    <row r="1884" spans="1:4" x14ac:dyDescent="0.3">
      <c r="A1884" t="s">
        <v>5067</v>
      </c>
      <c r="B1884" t="s">
        <v>5514</v>
      </c>
      <c r="C1884" s="22" t="s">
        <v>6239</v>
      </c>
      <c r="D1884" t="str">
        <f>IF(AND(Noty!H726=0,Noty!I726=0),"ukryj","odkryj")</f>
        <v>ukryj</v>
      </c>
    </row>
    <row r="1885" spans="1:4" x14ac:dyDescent="0.3">
      <c r="A1885" t="s">
        <v>5067</v>
      </c>
      <c r="B1885" t="s">
        <v>5514</v>
      </c>
      <c r="C1885" s="22" t="s">
        <v>6240</v>
      </c>
      <c r="D1885" t="str">
        <f>IF(AND(Noty!H727=0,Noty!I727=0),"ukryj","odkryj")</f>
        <v>ukryj</v>
      </c>
    </row>
    <row r="1886" spans="1:4" x14ac:dyDescent="0.3">
      <c r="A1886" t="s">
        <v>5067</v>
      </c>
      <c r="B1886" t="s">
        <v>5514</v>
      </c>
      <c r="C1886" s="22" t="s">
        <v>6241</v>
      </c>
      <c r="D1886" t="str">
        <f>Noty!J727</f>
        <v>ukryj</v>
      </c>
    </row>
    <row r="1887" spans="1:4" x14ac:dyDescent="0.3">
      <c r="A1887" t="s">
        <v>5067</v>
      </c>
      <c r="B1887" t="s">
        <v>5514</v>
      </c>
      <c r="C1887" s="22" t="s">
        <v>6242</v>
      </c>
      <c r="D1887" t="str">
        <f>Noty!J727</f>
        <v>ukryj</v>
      </c>
    </row>
    <row r="1888" spans="1:4" x14ac:dyDescent="0.3">
      <c r="A1888" t="s">
        <v>5067</v>
      </c>
      <c r="B1888" t="s">
        <v>5514</v>
      </c>
      <c r="C1888" s="22" t="s">
        <v>6243</v>
      </c>
      <c r="D1888" t="str">
        <f>"ukryj"</f>
        <v>ukryj</v>
      </c>
    </row>
    <row r="1889" spans="1:4" x14ac:dyDescent="0.3">
      <c r="A1889" t="s">
        <v>5067</v>
      </c>
      <c r="B1889" t="s">
        <v>5514</v>
      </c>
      <c r="C1889" s="22" t="s">
        <v>6244</v>
      </c>
      <c r="D1889" t="str">
        <f>Noty!J730</f>
        <v>ukryj</v>
      </c>
    </row>
    <row r="1890" spans="1:4" x14ac:dyDescent="0.3">
      <c r="A1890" t="s">
        <v>5067</v>
      </c>
      <c r="B1890" t="s">
        <v>5514</v>
      </c>
      <c r="C1890" s="22" t="s">
        <v>6245</v>
      </c>
      <c r="D1890" t="str">
        <f>IF(Noty!K732="n/a","ukryj","odkryj")</f>
        <v>odkryj</v>
      </c>
    </row>
    <row r="1891" spans="1:4" x14ac:dyDescent="0.3">
      <c r="A1891" t="s">
        <v>5067</v>
      </c>
      <c r="B1891" t="s">
        <v>5514</v>
      </c>
      <c r="C1891" s="22" t="s">
        <v>6246</v>
      </c>
      <c r="D1891" t="str">
        <f>Noty!J732</f>
        <v>odkryj</v>
      </c>
    </row>
    <row r="1892" spans="1:4" x14ac:dyDescent="0.3">
      <c r="A1892" t="s">
        <v>5067</v>
      </c>
      <c r="B1892" t="s">
        <v>5514</v>
      </c>
      <c r="C1892" s="22" t="s">
        <v>6247</v>
      </c>
      <c r="D1892" t="str">
        <f>IF(Noty!K734="n/a","ukryj","odkryj")</f>
        <v>ukryj</v>
      </c>
    </row>
    <row r="1893" spans="1:4" x14ac:dyDescent="0.3">
      <c r="A1893" t="s">
        <v>5067</v>
      </c>
      <c r="B1893" t="s">
        <v>5514</v>
      </c>
      <c r="C1893" s="22" t="s">
        <v>6248</v>
      </c>
      <c r="D1893" t="str">
        <f>Noty!J734</f>
        <v>ukryj</v>
      </c>
    </row>
    <row r="1894" spans="1:4" x14ac:dyDescent="0.3">
      <c r="A1894" t="s">
        <v>5067</v>
      </c>
      <c r="B1894" t="s">
        <v>5514</v>
      </c>
      <c r="C1894" s="22" t="s">
        <v>6249</v>
      </c>
      <c r="D1894" t="str">
        <f>Noty!J735</f>
        <v>ukryj</v>
      </c>
    </row>
    <row r="1895" spans="1:4" x14ac:dyDescent="0.3">
      <c r="A1895" t="s">
        <v>5067</v>
      </c>
      <c r="B1895" t="s">
        <v>5514</v>
      </c>
      <c r="C1895" s="22" t="s">
        <v>6250</v>
      </c>
      <c r="D1895" t="str">
        <f>Noty!J736</f>
        <v>ukryj</v>
      </c>
    </row>
    <row r="1896" spans="1:4" x14ac:dyDescent="0.3">
      <c r="A1896" t="s">
        <v>5067</v>
      </c>
      <c r="B1896" t="s">
        <v>5514</v>
      </c>
      <c r="C1896" s="22" t="s">
        <v>6251</v>
      </c>
      <c r="D1896" t="str">
        <f>IF(AND(Noty!F738=0,Noty!G738=0,Noty!H738=0,Noty!I738=0),"ukryj","odkryj")</f>
        <v>ukryj</v>
      </c>
    </row>
    <row r="1897" spans="1:4" x14ac:dyDescent="0.3">
      <c r="A1897" t="s">
        <v>5067</v>
      </c>
      <c r="B1897" t="s">
        <v>5514</v>
      </c>
      <c r="C1897" s="22" t="s">
        <v>6252</v>
      </c>
      <c r="D1897" t="str">
        <f>IF(AND(Noty!F739=0,Noty!G739=0,Noty!H739=0,Noty!I739=0),"ukryj","odkryj")</f>
        <v>ukryj</v>
      </c>
    </row>
    <row r="1898" spans="1:4" x14ac:dyDescent="0.3">
      <c r="A1898" t="s">
        <v>5067</v>
      </c>
      <c r="B1898" t="s">
        <v>5514</v>
      </c>
      <c r="C1898" s="22" t="s">
        <v>6253</v>
      </c>
      <c r="D1898" t="str">
        <f>IF(AND(Noty!F740=0,Noty!G740=0,Noty!H740=0,Noty!I740=0),"ukryj","odkryj")</f>
        <v>ukryj</v>
      </c>
    </row>
    <row r="1899" spans="1:4" x14ac:dyDescent="0.3">
      <c r="A1899" t="s">
        <v>5067</v>
      </c>
      <c r="B1899" t="s">
        <v>5514</v>
      </c>
      <c r="C1899" s="22" t="s">
        <v>6254</v>
      </c>
      <c r="D1899" t="str">
        <f>IF(AND(Noty!F741=0,Noty!G741=0,Noty!H741=0,Noty!I741=0),"ukryj","odkryj")</f>
        <v>ukryj</v>
      </c>
    </row>
    <row r="1900" spans="1:4" x14ac:dyDescent="0.3">
      <c r="A1900" t="s">
        <v>5067</v>
      </c>
      <c r="B1900" t="s">
        <v>5514</v>
      </c>
      <c r="C1900" s="22" t="s">
        <v>6255</v>
      </c>
      <c r="D1900" t="str">
        <f>IF(AND(Noty!F742=0,Noty!G742=0,Noty!H742=0,Noty!I742=0),"ukryj","odkryj")</f>
        <v>ukryj</v>
      </c>
    </row>
    <row r="1901" spans="1:4" x14ac:dyDescent="0.3">
      <c r="A1901" t="s">
        <v>5067</v>
      </c>
      <c r="B1901" t="s">
        <v>5514</v>
      </c>
      <c r="C1901" s="22" t="s">
        <v>6256</v>
      </c>
      <c r="D1901" t="str">
        <f>Noty!J742</f>
        <v>ukryj</v>
      </c>
    </row>
    <row r="1902" spans="1:4" x14ac:dyDescent="0.3">
      <c r="A1902" t="s">
        <v>5067</v>
      </c>
      <c r="B1902" t="s">
        <v>5514</v>
      </c>
      <c r="C1902" s="22" t="s">
        <v>6257</v>
      </c>
      <c r="D1902" t="str">
        <f>IF(AND(Noty!F744=0,Noty!G744=0,Noty!H744=0,Noty!I744=0),"ukryj","odkryj")</f>
        <v>ukryj</v>
      </c>
    </row>
    <row r="1903" spans="1:4" x14ac:dyDescent="0.3">
      <c r="A1903" t="s">
        <v>5067</v>
      </c>
      <c r="B1903" t="s">
        <v>5514</v>
      </c>
      <c r="C1903" s="22" t="s">
        <v>6258</v>
      </c>
      <c r="D1903" t="str">
        <f>IF(AND(Noty!H745=0,Noty!I745=0),"ukryj","odkryj")</f>
        <v>ukryj</v>
      </c>
    </row>
    <row r="1904" spans="1:4" x14ac:dyDescent="0.3">
      <c r="A1904" t="s">
        <v>5067</v>
      </c>
      <c r="B1904" t="s">
        <v>5514</v>
      </c>
      <c r="C1904" s="22" t="s">
        <v>6259</v>
      </c>
      <c r="D1904" t="str">
        <f>IF(AND(Noty!H746=0,Noty!I746=0),"ukryj","odkryj")</f>
        <v>ukryj</v>
      </c>
    </row>
    <row r="1905" spans="1:4" x14ac:dyDescent="0.3">
      <c r="A1905" t="s">
        <v>5067</v>
      </c>
      <c r="B1905" t="s">
        <v>5514</v>
      </c>
      <c r="C1905" s="22" t="s">
        <v>6260</v>
      </c>
      <c r="D1905" t="str">
        <f>Noty!J746</f>
        <v>ukryj</v>
      </c>
    </row>
    <row r="1906" spans="1:4" x14ac:dyDescent="0.3">
      <c r="A1906" t="s">
        <v>5067</v>
      </c>
      <c r="B1906" t="s">
        <v>5514</v>
      </c>
      <c r="C1906" s="22" t="s">
        <v>6261</v>
      </c>
      <c r="D1906" t="str">
        <f>IF(Noty!K748="n/a","ukryj","odkryj")</f>
        <v>ukryj</v>
      </c>
    </row>
    <row r="1907" spans="1:4" x14ac:dyDescent="0.3">
      <c r="A1907" t="s">
        <v>5067</v>
      </c>
      <c r="B1907" t="s">
        <v>5514</v>
      </c>
      <c r="C1907" s="22" t="s">
        <v>6262</v>
      </c>
      <c r="D1907" t="str">
        <f>Noty!J748</f>
        <v>ukryj</v>
      </c>
    </row>
    <row r="1908" spans="1:4" x14ac:dyDescent="0.3">
      <c r="A1908" t="s">
        <v>5067</v>
      </c>
      <c r="B1908" t="s">
        <v>5514</v>
      </c>
      <c r="C1908" s="22" t="s">
        <v>6263</v>
      </c>
      <c r="D1908" t="str">
        <f>Noty!J757</f>
        <v>ukryj</v>
      </c>
    </row>
    <row r="1909" spans="1:4" x14ac:dyDescent="0.3">
      <c r="A1909" t="s">
        <v>5067</v>
      </c>
      <c r="B1909" t="s">
        <v>5514</v>
      </c>
      <c r="C1909" s="22" t="s">
        <v>6264</v>
      </c>
      <c r="D1909" t="str">
        <f>Noty!J750</f>
        <v>ukryj</v>
      </c>
    </row>
    <row r="1910" spans="1:4" x14ac:dyDescent="0.3">
      <c r="A1910" t="s">
        <v>5067</v>
      </c>
      <c r="B1910" t="s">
        <v>5514</v>
      </c>
      <c r="C1910" s="22" t="s">
        <v>6265</v>
      </c>
      <c r="D1910" t="str">
        <f>Noty!J751</f>
        <v>ukryj</v>
      </c>
    </row>
    <row r="1911" spans="1:4" x14ac:dyDescent="0.3">
      <c r="A1911" t="s">
        <v>5067</v>
      </c>
      <c r="B1911" t="s">
        <v>5514</v>
      </c>
      <c r="C1911" s="22" t="s">
        <v>6266</v>
      </c>
      <c r="D1911" t="str">
        <f>Noty!J752</f>
        <v>ukryj</v>
      </c>
    </row>
    <row r="1912" spans="1:4" x14ac:dyDescent="0.3">
      <c r="A1912" t="s">
        <v>5067</v>
      </c>
      <c r="B1912" t="s">
        <v>5514</v>
      </c>
      <c r="C1912" s="22" t="s">
        <v>6267</v>
      </c>
      <c r="D1912" t="str">
        <f>Noty!J757</f>
        <v>ukryj</v>
      </c>
    </row>
    <row r="1913" spans="1:4" x14ac:dyDescent="0.3">
      <c r="A1913" t="s">
        <v>5067</v>
      </c>
      <c r="B1913" t="s">
        <v>5514</v>
      </c>
      <c r="C1913" s="22" t="s">
        <v>6268</v>
      </c>
      <c r="D1913" t="str">
        <f>IF(AND(Noty!H755=0,Noty!I755=0),"ukryj","odkryj")</f>
        <v>ukryj</v>
      </c>
    </row>
    <row r="1914" spans="1:4" x14ac:dyDescent="0.3">
      <c r="A1914" t="s">
        <v>5067</v>
      </c>
      <c r="B1914" t="s">
        <v>5514</v>
      </c>
      <c r="C1914" s="22" t="s">
        <v>6269</v>
      </c>
      <c r="D1914" t="str">
        <f>IF(AND(Noty!H756=0,Noty!I756=0),"ukryj","odkryj")</f>
        <v>ukryj</v>
      </c>
    </row>
    <row r="1915" spans="1:4" x14ac:dyDescent="0.3">
      <c r="A1915" t="s">
        <v>5067</v>
      </c>
      <c r="B1915" t="s">
        <v>5514</v>
      </c>
      <c r="C1915" s="22" t="s">
        <v>6270</v>
      </c>
      <c r="D1915" t="str">
        <f>IF(AND(Noty!H757=0,Noty!I757=0),"ukryj","odkryj")</f>
        <v>ukryj</v>
      </c>
    </row>
    <row r="1916" spans="1:4" x14ac:dyDescent="0.3">
      <c r="A1916" t="s">
        <v>5067</v>
      </c>
      <c r="B1916" t="s">
        <v>5514</v>
      </c>
      <c r="C1916" s="22" t="s">
        <v>6271</v>
      </c>
      <c r="D1916" t="str">
        <f>Noty!J757</f>
        <v>ukryj</v>
      </c>
    </row>
    <row r="1917" spans="1:4" x14ac:dyDescent="0.3">
      <c r="A1917" t="s">
        <v>5067</v>
      </c>
      <c r="B1917" t="s">
        <v>5514</v>
      </c>
      <c r="C1917" s="22" t="s">
        <v>6272</v>
      </c>
      <c r="D1917" t="str">
        <f>Noty!J766</f>
        <v>ukryj</v>
      </c>
    </row>
    <row r="1918" spans="1:4" x14ac:dyDescent="0.3">
      <c r="A1918" t="s">
        <v>5067</v>
      </c>
      <c r="B1918" t="s">
        <v>5514</v>
      </c>
      <c r="C1918" s="22" t="s">
        <v>6273</v>
      </c>
      <c r="D1918" t="str">
        <f>Noty!J759</f>
        <v>ukryj</v>
      </c>
    </row>
    <row r="1919" spans="1:4" x14ac:dyDescent="0.3">
      <c r="A1919" t="s">
        <v>5067</v>
      </c>
      <c r="B1919" t="s">
        <v>5514</v>
      </c>
      <c r="C1919" s="22" t="s">
        <v>6274</v>
      </c>
      <c r="D1919" t="str">
        <f>Noty!J760</f>
        <v>ukryj</v>
      </c>
    </row>
    <row r="1920" spans="1:4" x14ac:dyDescent="0.3">
      <c r="A1920" t="s">
        <v>5067</v>
      </c>
      <c r="B1920" t="s">
        <v>5514</v>
      </c>
      <c r="C1920" s="22" t="s">
        <v>6275</v>
      </c>
      <c r="D1920" t="str">
        <f>Noty!J761</f>
        <v>ukryj</v>
      </c>
    </row>
    <row r="1921" spans="1:4" x14ac:dyDescent="0.3">
      <c r="A1921" t="s">
        <v>5067</v>
      </c>
      <c r="B1921" t="s">
        <v>5514</v>
      </c>
      <c r="C1921" s="22" t="s">
        <v>6276</v>
      </c>
      <c r="D1921" t="str">
        <f>Noty!J766</f>
        <v>ukryj</v>
      </c>
    </row>
    <row r="1922" spans="1:4" x14ac:dyDescent="0.3">
      <c r="A1922" t="s">
        <v>5067</v>
      </c>
      <c r="B1922" t="s">
        <v>5514</v>
      </c>
      <c r="C1922" s="22" t="s">
        <v>6277</v>
      </c>
      <c r="D1922" t="str">
        <f>IF(AND(Noty!H764=0,Noty!I764=0),"ukryj","odkryj")</f>
        <v>ukryj</v>
      </c>
    </row>
    <row r="1923" spans="1:4" x14ac:dyDescent="0.3">
      <c r="A1923" t="s">
        <v>5067</v>
      </c>
      <c r="B1923" t="s">
        <v>5514</v>
      </c>
      <c r="C1923" s="22" t="s">
        <v>6278</v>
      </c>
      <c r="D1923" t="str">
        <f>IF(AND(Noty!H765=0,Noty!I765=0),"ukryj","odkryj")</f>
        <v>ukryj</v>
      </c>
    </row>
    <row r="1924" spans="1:4" x14ac:dyDescent="0.3">
      <c r="A1924" t="s">
        <v>5067</v>
      </c>
      <c r="B1924" t="s">
        <v>5514</v>
      </c>
      <c r="C1924" s="22" t="s">
        <v>6279</v>
      </c>
      <c r="D1924" t="str">
        <f>IF(AND(Noty!H766=0,Noty!I766=0),"ukryj","odkryj")</f>
        <v>ukryj</v>
      </c>
    </row>
    <row r="1925" spans="1:4" x14ac:dyDescent="0.3">
      <c r="A1925" t="s">
        <v>5067</v>
      </c>
      <c r="B1925" t="s">
        <v>5514</v>
      </c>
      <c r="C1925" s="22" t="s">
        <v>6280</v>
      </c>
      <c r="D1925" t="str">
        <f>Noty!J766</f>
        <v>ukryj</v>
      </c>
    </row>
    <row r="1926" spans="1:4" x14ac:dyDescent="0.3">
      <c r="A1926" t="s">
        <v>5067</v>
      </c>
      <c r="B1926" t="s">
        <v>5514</v>
      </c>
      <c r="C1926" s="22" t="s">
        <v>6281</v>
      </c>
      <c r="D1926" t="str">
        <f>IF(Noty!K768="n/a","ukryj","odkryj")</f>
        <v>ukryj</v>
      </c>
    </row>
    <row r="1927" spans="1:4" x14ac:dyDescent="0.3">
      <c r="A1927" t="s">
        <v>5067</v>
      </c>
      <c r="B1927" t="s">
        <v>5514</v>
      </c>
      <c r="C1927" s="22" t="s">
        <v>6282</v>
      </c>
      <c r="D1927" t="str">
        <f>Noty!J768</f>
        <v>ukryj</v>
      </c>
    </row>
    <row r="1928" spans="1:4" x14ac:dyDescent="0.3">
      <c r="A1928" t="s">
        <v>5067</v>
      </c>
      <c r="B1928" t="s">
        <v>5514</v>
      </c>
      <c r="C1928" s="22" t="s">
        <v>6283</v>
      </c>
      <c r="D1928" t="str">
        <f>IF(Noty!K770="n/a","ukryj","odkryj")</f>
        <v>ukryj</v>
      </c>
    </row>
    <row r="1929" spans="1:4" x14ac:dyDescent="0.3">
      <c r="A1929" t="s">
        <v>5067</v>
      </c>
      <c r="B1929" t="s">
        <v>5514</v>
      </c>
      <c r="C1929" s="22" t="s">
        <v>6284</v>
      </c>
      <c r="D1929" t="str">
        <f>Noty!J770</f>
        <v>ukryj</v>
      </c>
    </row>
    <row r="1930" spans="1:4" x14ac:dyDescent="0.3">
      <c r="A1930" t="s">
        <v>5067</v>
      </c>
      <c r="B1930" t="s">
        <v>5514</v>
      </c>
      <c r="C1930" s="22" t="s">
        <v>6285</v>
      </c>
      <c r="D1930" t="str">
        <f>Noty!J771</f>
        <v>ukryj</v>
      </c>
    </row>
    <row r="1931" spans="1:4" x14ac:dyDescent="0.3">
      <c r="A1931" t="s">
        <v>5067</v>
      </c>
      <c r="B1931" t="s">
        <v>5514</v>
      </c>
      <c r="C1931" s="22" t="s">
        <v>6286</v>
      </c>
      <c r="D1931" t="str">
        <f>IF(AND(Noty!H773=0,Noty!I773=0),"ukryj","odkryj")</f>
        <v>ukryj</v>
      </c>
    </row>
    <row r="1932" spans="1:4" x14ac:dyDescent="0.3">
      <c r="A1932" t="s">
        <v>5067</v>
      </c>
      <c r="B1932" t="s">
        <v>5514</v>
      </c>
      <c r="C1932" s="22" t="s">
        <v>6287</v>
      </c>
      <c r="D1932" t="str">
        <f>IF(AND(Noty!H774=0,Noty!I774=0),"ukryj","odkryj")</f>
        <v>ukryj</v>
      </c>
    </row>
    <row r="1933" spans="1:4" x14ac:dyDescent="0.3">
      <c r="A1933" t="s">
        <v>5067</v>
      </c>
      <c r="B1933" t="s">
        <v>5514</v>
      </c>
      <c r="C1933" s="22" t="s">
        <v>6288</v>
      </c>
      <c r="D1933" t="str">
        <f>IF(AND(Noty!H775=0,Noty!I775=0),"ukryj","odkryj")</f>
        <v>ukryj</v>
      </c>
    </row>
    <row r="1934" spans="1:4" x14ac:dyDescent="0.3">
      <c r="A1934" t="s">
        <v>5067</v>
      </c>
      <c r="B1934" t="s">
        <v>5514</v>
      </c>
      <c r="C1934" s="22" t="s">
        <v>6289</v>
      </c>
      <c r="D1934" t="str">
        <f>IF(AND(Noty!H776=0,Noty!I776=0),"ukryj","odkryj")</f>
        <v>ukryj</v>
      </c>
    </row>
    <row r="1935" spans="1:4" x14ac:dyDescent="0.3">
      <c r="A1935" t="s">
        <v>5067</v>
      </c>
      <c r="B1935" t="s">
        <v>5514</v>
      </c>
      <c r="C1935" s="22" t="s">
        <v>6290</v>
      </c>
      <c r="D1935" t="str">
        <f>IF(AND(Noty!H777=0,Noty!I777=0),"ukryj","odkryj")</f>
        <v>ukryj</v>
      </c>
    </row>
    <row r="1936" spans="1:4" x14ac:dyDescent="0.3">
      <c r="A1936" t="s">
        <v>5067</v>
      </c>
      <c r="B1936" t="s">
        <v>5514</v>
      </c>
      <c r="C1936" s="22" t="s">
        <v>6291</v>
      </c>
      <c r="D1936" t="str">
        <f>IF(AND(Noty!H778=0,Noty!I778=0),"ukryj","odkryj")</f>
        <v>ukryj</v>
      </c>
    </row>
    <row r="1937" spans="1:4" x14ac:dyDescent="0.3">
      <c r="A1937" t="s">
        <v>5067</v>
      </c>
      <c r="B1937" t="s">
        <v>5514</v>
      </c>
      <c r="C1937" s="22" t="s">
        <v>6292</v>
      </c>
      <c r="D1937" t="str">
        <f>Noty!J778</f>
        <v>ukryj</v>
      </c>
    </row>
    <row r="1938" spans="1:4" x14ac:dyDescent="0.3">
      <c r="A1938" t="s">
        <v>5067</v>
      </c>
      <c r="B1938" t="s">
        <v>5514</v>
      </c>
      <c r="C1938" s="22" t="s">
        <v>6293</v>
      </c>
      <c r="D1938" t="str">
        <f>IF(Noty!K780="n/a","ukryj","odkryj")</f>
        <v>ukryj</v>
      </c>
    </row>
    <row r="1939" spans="1:4" x14ac:dyDescent="0.3">
      <c r="A1939" t="s">
        <v>5067</v>
      </c>
      <c r="B1939" t="s">
        <v>5514</v>
      </c>
      <c r="C1939" s="22" t="s">
        <v>6294</v>
      </c>
      <c r="D1939" t="str">
        <f>Noty!J780</f>
        <v>ukryj</v>
      </c>
    </row>
    <row r="1940" spans="1:4" x14ac:dyDescent="0.3">
      <c r="A1940" t="s">
        <v>5067</v>
      </c>
      <c r="B1940" t="s">
        <v>5514</v>
      </c>
      <c r="C1940" s="22" t="s">
        <v>6295</v>
      </c>
      <c r="D1940" t="str">
        <f>Noty!J781</f>
        <v>ukryj</v>
      </c>
    </row>
    <row r="1941" spans="1:4" x14ac:dyDescent="0.3">
      <c r="A1941" t="s">
        <v>5067</v>
      </c>
      <c r="B1941" t="s">
        <v>5514</v>
      </c>
      <c r="C1941" s="22" t="s">
        <v>6296</v>
      </c>
      <c r="D1941" t="str">
        <f>IF(AND(Noty!H783=0,Noty!I783=0),"ukryj","odkryj")</f>
        <v>ukryj</v>
      </c>
    </row>
    <row r="1942" spans="1:4" x14ac:dyDescent="0.3">
      <c r="A1942" t="s">
        <v>5067</v>
      </c>
      <c r="B1942" t="s">
        <v>5514</v>
      </c>
      <c r="C1942" s="22" t="s">
        <v>6297</v>
      </c>
      <c r="D1942" t="str">
        <f>IF(AND(Noty!H784=0,Noty!I784=0),"ukryj","odkryj")</f>
        <v>ukryj</v>
      </c>
    </row>
    <row r="1943" spans="1:4" x14ac:dyDescent="0.3">
      <c r="A1943" t="s">
        <v>5067</v>
      </c>
      <c r="B1943" t="s">
        <v>5514</v>
      </c>
      <c r="C1943" s="22" t="s">
        <v>6298</v>
      </c>
      <c r="D1943" t="str">
        <f>IF(AND(Noty!H785=0,Noty!I785=0),"ukryj","odkryj")</f>
        <v>ukryj</v>
      </c>
    </row>
    <row r="1944" spans="1:4" x14ac:dyDescent="0.3">
      <c r="A1944" t="s">
        <v>5067</v>
      </c>
      <c r="B1944" t="s">
        <v>5514</v>
      </c>
      <c r="C1944" s="22" t="s">
        <v>6299</v>
      </c>
      <c r="D1944" t="str">
        <f>IF(AND(Noty!H786=0,Noty!I786=0),"ukryj","odkryj")</f>
        <v>ukryj</v>
      </c>
    </row>
    <row r="1945" spans="1:4" x14ac:dyDescent="0.3">
      <c r="A1945" t="s">
        <v>5067</v>
      </c>
      <c r="B1945" t="s">
        <v>5514</v>
      </c>
      <c r="C1945" s="22" t="s">
        <v>6300</v>
      </c>
      <c r="D1945" t="str">
        <f>IF(AND(Noty!H787=0,Noty!I787=0),"ukryj","odkryj")</f>
        <v>ukryj</v>
      </c>
    </row>
    <row r="1946" spans="1:4" x14ac:dyDescent="0.3">
      <c r="A1946" t="s">
        <v>5067</v>
      </c>
      <c r="B1946" t="s">
        <v>5514</v>
      </c>
      <c r="C1946" s="22" t="s">
        <v>6301</v>
      </c>
      <c r="D1946" t="str">
        <f>IF(AND(Noty!H788=0,Noty!I788=0),"ukryj","odkryj")</f>
        <v>ukryj</v>
      </c>
    </row>
    <row r="1947" spans="1:4" x14ac:dyDescent="0.3">
      <c r="A1947" t="s">
        <v>5067</v>
      </c>
      <c r="B1947" t="s">
        <v>5514</v>
      </c>
      <c r="C1947" s="22" t="s">
        <v>6302</v>
      </c>
      <c r="D1947" t="str">
        <f>IF(AND(Noty!H789=0,Noty!I789=0),"ukryj","odkryj")</f>
        <v>ukryj</v>
      </c>
    </row>
    <row r="1948" spans="1:4" x14ac:dyDescent="0.3">
      <c r="A1948" t="s">
        <v>5067</v>
      </c>
      <c r="B1948" t="s">
        <v>5514</v>
      </c>
      <c r="C1948" s="22" t="s">
        <v>6303</v>
      </c>
      <c r="D1948" t="str">
        <f>Noty!J788</f>
        <v>ukryj</v>
      </c>
    </row>
    <row r="1949" spans="1:4" x14ac:dyDescent="0.3">
      <c r="A1949" t="s">
        <v>5067</v>
      </c>
      <c r="B1949" t="s">
        <v>5514</v>
      </c>
      <c r="C1949" s="22" t="s">
        <v>6304</v>
      </c>
      <c r="D1949" t="str">
        <f>Noty!J790</f>
        <v>ukryj</v>
      </c>
    </row>
    <row r="1950" spans="1:4" x14ac:dyDescent="0.3">
      <c r="A1950" t="s">
        <v>5067</v>
      </c>
      <c r="B1950" t="s">
        <v>5514</v>
      </c>
      <c r="C1950" s="22" t="s">
        <v>6305</v>
      </c>
      <c r="D1950" t="str">
        <f>IF(Noty!K792="n/a","ukryj","odkryj")</f>
        <v>ukryj</v>
      </c>
    </row>
    <row r="1951" spans="1:4" x14ac:dyDescent="0.3">
      <c r="A1951" t="s">
        <v>5067</v>
      </c>
      <c r="B1951" t="s">
        <v>5514</v>
      </c>
      <c r="C1951" s="22" t="s">
        <v>6306</v>
      </c>
      <c r="D1951" t="str">
        <f>Noty!J792</f>
        <v>ukryj</v>
      </c>
    </row>
    <row r="1952" spans="1:4" x14ac:dyDescent="0.3">
      <c r="A1952" t="s">
        <v>5067</v>
      </c>
      <c r="B1952" t="s">
        <v>5514</v>
      </c>
      <c r="C1952" s="22" t="s">
        <v>6307</v>
      </c>
      <c r="D1952" t="str">
        <f>IF(Noty!K794="n/a","ukryj","odkryj")</f>
        <v>ukryj</v>
      </c>
    </row>
    <row r="1953" spans="1:4" x14ac:dyDescent="0.3">
      <c r="A1953" t="s">
        <v>5067</v>
      </c>
      <c r="B1953" t="s">
        <v>5514</v>
      </c>
      <c r="C1953" s="22" t="s">
        <v>6308</v>
      </c>
      <c r="D1953" t="str">
        <f>Noty!J794</f>
        <v>ukryj</v>
      </c>
    </row>
    <row r="1954" spans="1:4" x14ac:dyDescent="0.3">
      <c r="A1954" t="s">
        <v>5067</v>
      </c>
      <c r="B1954" t="s">
        <v>5514</v>
      </c>
      <c r="C1954" s="22" t="s">
        <v>6309</v>
      </c>
      <c r="D1954" t="s">
        <v>5125</v>
      </c>
    </row>
    <row r="1955" spans="1:4" x14ac:dyDescent="0.3">
      <c r="A1955" t="s">
        <v>5067</v>
      </c>
      <c r="B1955" t="s">
        <v>5514</v>
      </c>
      <c r="C1955" s="22" t="s">
        <v>6310</v>
      </c>
      <c r="D1955" t="str">
        <f>Noty!J796</f>
        <v>ukryj</v>
      </c>
    </row>
    <row r="1956" spans="1:4" x14ac:dyDescent="0.3">
      <c r="A1956" t="s">
        <v>5067</v>
      </c>
      <c r="B1956" t="s">
        <v>5514</v>
      </c>
      <c r="C1956" s="22" t="s">
        <v>6311</v>
      </c>
      <c r="D1956" t="str">
        <f>IF(Noty!K798="n/a","ukryj","odkryj")</f>
        <v>ukryj</v>
      </c>
    </row>
    <row r="1957" spans="1:4" x14ac:dyDescent="0.3">
      <c r="A1957" t="s">
        <v>5067</v>
      </c>
      <c r="B1957" t="s">
        <v>5514</v>
      </c>
      <c r="C1957" s="22" t="s">
        <v>6312</v>
      </c>
      <c r="D1957" t="str">
        <f>Noty!J798</f>
        <v>ukryj</v>
      </c>
    </row>
    <row r="1958" spans="1:4" x14ac:dyDescent="0.3">
      <c r="A1958" t="s">
        <v>5067</v>
      </c>
      <c r="B1958" t="s">
        <v>5514</v>
      </c>
      <c r="C1958" s="22" t="s">
        <v>6313</v>
      </c>
      <c r="D1958" t="str">
        <f>Noty!J799</f>
        <v>ukryj</v>
      </c>
    </row>
    <row r="1959" spans="1:4" x14ac:dyDescent="0.3">
      <c r="A1959" t="s">
        <v>5067</v>
      </c>
      <c r="B1959" t="s">
        <v>5514</v>
      </c>
      <c r="C1959" s="22" t="s">
        <v>6314</v>
      </c>
      <c r="D1959" t="str">
        <f>Noty!J800</f>
        <v>ukryj</v>
      </c>
    </row>
    <row r="1960" spans="1:4" x14ac:dyDescent="0.3">
      <c r="A1960" t="s">
        <v>5067</v>
      </c>
      <c r="B1960" t="s">
        <v>5514</v>
      </c>
      <c r="C1960" s="22" t="s">
        <v>6315</v>
      </c>
      <c r="D1960" t="str">
        <f>IF(AND(Noty!E802=0,Noty!F802=0,Noty!H802=0),"ukryj","odkryj")</f>
        <v>ukryj</v>
      </c>
    </row>
    <row r="1961" spans="1:4" x14ac:dyDescent="0.3">
      <c r="A1961" t="s">
        <v>5067</v>
      </c>
      <c r="B1961" t="s">
        <v>5514</v>
      </c>
      <c r="C1961" s="22" t="s">
        <v>6316</v>
      </c>
      <c r="D1961" t="str">
        <f>IF(AND(Noty!E803=0,Noty!F803=0,Noty!H803=0),"ukryj","odkryj")</f>
        <v>ukryj</v>
      </c>
    </row>
    <row r="1962" spans="1:4" x14ac:dyDescent="0.3">
      <c r="A1962" t="s">
        <v>5067</v>
      </c>
      <c r="B1962" t="s">
        <v>5514</v>
      </c>
      <c r="C1962" s="22" t="s">
        <v>6317</v>
      </c>
      <c r="D1962" t="str">
        <f>IF(AND(Noty!E804=0,Noty!F804=0,Noty!H804=0),"ukryj","odkryj")</f>
        <v>ukryj</v>
      </c>
    </row>
    <row r="1963" spans="1:4" x14ac:dyDescent="0.3">
      <c r="A1963" t="s">
        <v>5067</v>
      </c>
      <c r="B1963" t="s">
        <v>5514</v>
      </c>
      <c r="C1963" s="22" t="s">
        <v>6318</v>
      </c>
      <c r="D1963" t="str">
        <f>IF(AND(Noty!E805=0,Noty!F805=0,Noty!H805=0),"ukryj","odkryj")</f>
        <v>ukryj</v>
      </c>
    </row>
    <row r="1964" spans="1:4" x14ac:dyDescent="0.3">
      <c r="A1964" t="s">
        <v>5067</v>
      </c>
      <c r="B1964" t="s">
        <v>5514</v>
      </c>
      <c r="C1964" s="22" t="s">
        <v>6319</v>
      </c>
      <c r="D1964" t="str">
        <f>IF(AND(Noty!E806=0,Noty!F806=0,Noty!H806=0),"ukryj","odkryj")</f>
        <v>ukryj</v>
      </c>
    </row>
    <row r="1965" spans="1:4" x14ac:dyDescent="0.3">
      <c r="A1965" t="s">
        <v>5067</v>
      </c>
      <c r="B1965" t="s">
        <v>5514</v>
      </c>
      <c r="C1965" s="22" t="s">
        <v>6320</v>
      </c>
      <c r="D1965" t="str">
        <f>IF(AND(Noty!E807=0,Noty!F807=0,Noty!H807=0),"ukryj","odkryj")</f>
        <v>ukryj</v>
      </c>
    </row>
    <row r="1966" spans="1:4" x14ac:dyDescent="0.3">
      <c r="A1966" t="s">
        <v>5067</v>
      </c>
      <c r="B1966" t="s">
        <v>5514</v>
      </c>
      <c r="C1966" s="22" t="s">
        <v>6321</v>
      </c>
      <c r="D1966" t="str">
        <f>Noty!J807</f>
        <v>ukryj</v>
      </c>
    </row>
    <row r="1967" spans="1:4" x14ac:dyDescent="0.3">
      <c r="A1967" t="s">
        <v>5067</v>
      </c>
      <c r="B1967" t="s">
        <v>5514</v>
      </c>
      <c r="C1967" s="22" t="s">
        <v>6322</v>
      </c>
      <c r="D1967" t="str">
        <f>IF(Noty!K809="n/a","ukryj","odkryj")</f>
        <v>ukryj</v>
      </c>
    </row>
    <row r="1968" spans="1:4" x14ac:dyDescent="0.3">
      <c r="A1968" t="s">
        <v>5067</v>
      </c>
      <c r="B1968" t="s">
        <v>5514</v>
      </c>
      <c r="C1968" s="22" t="s">
        <v>6323</v>
      </c>
      <c r="D1968" t="str">
        <f>Noty!J809</f>
        <v>ukryj</v>
      </c>
    </row>
    <row r="1969" spans="1:4" x14ac:dyDescent="0.3">
      <c r="A1969" t="s">
        <v>5067</v>
      </c>
      <c r="B1969" t="s">
        <v>5514</v>
      </c>
      <c r="C1969" s="22" t="s">
        <v>6324</v>
      </c>
      <c r="D1969" t="str">
        <f>Noty!J810</f>
        <v>ukryj</v>
      </c>
    </row>
    <row r="1970" spans="1:4" x14ac:dyDescent="0.3">
      <c r="A1970" t="s">
        <v>5067</v>
      </c>
      <c r="B1970" t="s">
        <v>5514</v>
      </c>
      <c r="C1970" s="22" t="s">
        <v>6325</v>
      </c>
      <c r="D1970" t="str">
        <f>IF(AND(Noty!H812=0,Noty!I812=0),"ukryj","odkryj")</f>
        <v>ukryj</v>
      </c>
    </row>
    <row r="1971" spans="1:4" x14ac:dyDescent="0.3">
      <c r="A1971" t="s">
        <v>5067</v>
      </c>
      <c r="B1971" t="s">
        <v>5514</v>
      </c>
      <c r="C1971" s="22" t="s">
        <v>6326</v>
      </c>
      <c r="D1971" t="str">
        <f>Noty!J812</f>
        <v>ukryj</v>
      </c>
    </row>
    <row r="1972" spans="1:4" x14ac:dyDescent="0.3">
      <c r="A1972" t="s">
        <v>5067</v>
      </c>
      <c r="B1972" t="s">
        <v>5514</v>
      </c>
      <c r="C1972" s="22" t="s">
        <v>6327</v>
      </c>
      <c r="D1972" t="str">
        <f>IF(AND(Noty!H814=0,Noty!I814=0),"ukryj","odkryj")</f>
        <v>ukryj</v>
      </c>
    </row>
    <row r="1973" spans="1:4" x14ac:dyDescent="0.3">
      <c r="A1973" t="s">
        <v>5067</v>
      </c>
      <c r="B1973" t="s">
        <v>5514</v>
      </c>
      <c r="C1973" s="22" t="s">
        <v>6328</v>
      </c>
      <c r="D1973" t="str">
        <f>IF(AND(Noty!H815=0,Noty!I815=0),"ukryj","odkryj")</f>
        <v>ukryj</v>
      </c>
    </row>
    <row r="1974" spans="1:4" x14ac:dyDescent="0.3">
      <c r="A1974" t="s">
        <v>5067</v>
      </c>
      <c r="B1974" t="s">
        <v>5514</v>
      </c>
      <c r="C1974" s="22" t="s">
        <v>6329</v>
      </c>
      <c r="D1974" t="str">
        <f>IF(AND(Noty!H816=0,Noty!I816=0),"ukryj","odkryj")</f>
        <v>ukryj</v>
      </c>
    </row>
    <row r="1975" spans="1:4" x14ac:dyDescent="0.3">
      <c r="A1975" t="s">
        <v>5067</v>
      </c>
      <c r="B1975" t="s">
        <v>5514</v>
      </c>
      <c r="C1975" s="22" t="s">
        <v>6330</v>
      </c>
      <c r="D1975" t="str">
        <f>IF(AND(Noty!H817=0,Noty!I817=0),"ukryj","odkryj")</f>
        <v>ukryj</v>
      </c>
    </row>
    <row r="1976" spans="1:4" x14ac:dyDescent="0.3">
      <c r="A1976" t="s">
        <v>5067</v>
      </c>
      <c r="B1976" t="s">
        <v>5514</v>
      </c>
      <c r="C1976" s="22" t="s">
        <v>6331</v>
      </c>
      <c r="D1976" t="str">
        <f>IF(AND(Noty!H818=0,Noty!I818=0),"ukryj","odkryj")</f>
        <v>ukryj</v>
      </c>
    </row>
    <row r="1977" spans="1:4" x14ac:dyDescent="0.3">
      <c r="A1977" t="s">
        <v>5067</v>
      </c>
      <c r="B1977" t="s">
        <v>5514</v>
      </c>
      <c r="C1977" s="22" t="s">
        <v>6332</v>
      </c>
      <c r="D1977" t="str">
        <f>Noty!J818</f>
        <v>ukryj</v>
      </c>
    </row>
    <row r="1978" spans="1:4" x14ac:dyDescent="0.3">
      <c r="A1978" t="s">
        <v>5067</v>
      </c>
      <c r="B1978" t="s">
        <v>5514</v>
      </c>
      <c r="C1978" s="22" t="s">
        <v>6333</v>
      </c>
      <c r="D1978" t="str">
        <f>IF(Noty!K820="n/a","ukryj","odkryj")</f>
        <v>ukryj</v>
      </c>
    </row>
    <row r="1979" spans="1:4" x14ac:dyDescent="0.3">
      <c r="A1979" t="s">
        <v>5067</v>
      </c>
      <c r="B1979" t="s">
        <v>5514</v>
      </c>
      <c r="C1979" s="22" t="s">
        <v>6334</v>
      </c>
      <c r="D1979" t="str">
        <f>Noty!J820</f>
        <v>ukryj</v>
      </c>
    </row>
    <row r="1980" spans="1:4" x14ac:dyDescent="0.3">
      <c r="A1980" t="s">
        <v>5067</v>
      </c>
      <c r="B1980" t="s">
        <v>5514</v>
      </c>
      <c r="C1980" s="22" t="s">
        <v>6335</v>
      </c>
      <c r="D1980" t="str">
        <f>IF(Noty!K822="n/a","ukryj","odkryj")</f>
        <v>ukryj</v>
      </c>
    </row>
    <row r="1981" spans="1:4" x14ac:dyDescent="0.3">
      <c r="A1981" t="s">
        <v>5067</v>
      </c>
      <c r="B1981" t="s">
        <v>5514</v>
      </c>
      <c r="C1981" s="22" t="s">
        <v>6336</v>
      </c>
      <c r="D1981" t="str">
        <f>Noty!J822</f>
        <v>ukryj</v>
      </c>
    </row>
    <row r="1982" spans="1:4" x14ac:dyDescent="0.3">
      <c r="A1982" t="s">
        <v>5067</v>
      </c>
      <c r="B1982" t="s">
        <v>5514</v>
      </c>
      <c r="C1982" s="22" t="s">
        <v>6337</v>
      </c>
      <c r="D1982" t="str">
        <f>Noty!J823</f>
        <v>ukryj</v>
      </c>
    </row>
    <row r="1983" spans="1:4" x14ac:dyDescent="0.3">
      <c r="A1983" t="s">
        <v>5067</v>
      </c>
      <c r="B1983" t="s">
        <v>5514</v>
      </c>
      <c r="C1983" s="22" t="s">
        <v>6338</v>
      </c>
      <c r="D1983" t="str">
        <f>IF(AND(Noty!H825=0,Noty!I825=0),"ukryj","odkryj")</f>
        <v>ukryj</v>
      </c>
    </row>
    <row r="1984" spans="1:4" x14ac:dyDescent="0.3">
      <c r="A1984" t="s">
        <v>5067</v>
      </c>
      <c r="B1984" t="s">
        <v>5514</v>
      </c>
      <c r="C1984" s="22" t="s">
        <v>6339</v>
      </c>
      <c r="D1984" t="str">
        <f>IF(AND(Noty!H826=0,Noty!I826=0),"ukryj","odkryj")</f>
        <v>ukryj</v>
      </c>
    </row>
    <row r="1985" spans="1:4" x14ac:dyDescent="0.3">
      <c r="A1985" t="s">
        <v>5067</v>
      </c>
      <c r="B1985" t="s">
        <v>5514</v>
      </c>
      <c r="C1985" s="22" t="s">
        <v>6340</v>
      </c>
      <c r="D1985" t="str">
        <f>IF(AND(Noty!H827=0,Noty!I827=0),"ukryj","odkryj")</f>
        <v>ukryj</v>
      </c>
    </row>
    <row r="1986" spans="1:4" x14ac:dyDescent="0.3">
      <c r="A1986" t="s">
        <v>5067</v>
      </c>
      <c r="B1986" t="s">
        <v>5514</v>
      </c>
      <c r="C1986" s="22" t="s">
        <v>6341</v>
      </c>
      <c r="D1986" t="str">
        <f>IF(AND(Noty!H828=0,Noty!I828=0),"ukryj","odkryj")</f>
        <v>ukryj</v>
      </c>
    </row>
    <row r="1987" spans="1:4" x14ac:dyDescent="0.3">
      <c r="A1987" t="s">
        <v>5067</v>
      </c>
      <c r="B1987" t="s">
        <v>5514</v>
      </c>
      <c r="C1987" s="22" t="s">
        <v>6342</v>
      </c>
      <c r="D1987" t="str">
        <f>IF(AND(Noty!H829=0,Noty!I829=0),"ukryj","odkryj")</f>
        <v>ukryj</v>
      </c>
    </row>
    <row r="1988" spans="1:4" x14ac:dyDescent="0.3">
      <c r="A1988" t="s">
        <v>5067</v>
      </c>
      <c r="B1988" t="s">
        <v>5514</v>
      </c>
      <c r="C1988" s="22" t="s">
        <v>6343</v>
      </c>
      <c r="D1988" t="str">
        <f>IF(AND(Noty!H830=0,Noty!I830=0),"ukryj","odkryj")</f>
        <v>ukryj</v>
      </c>
    </row>
    <row r="1989" spans="1:4" x14ac:dyDescent="0.3">
      <c r="A1989" t="s">
        <v>5067</v>
      </c>
      <c r="B1989" t="s">
        <v>5514</v>
      </c>
      <c r="C1989" s="22" t="s">
        <v>6344</v>
      </c>
      <c r="D1989" t="str">
        <f>IF(AND(Noty!H831=0,Noty!I831=0),"ukryj","odkryj")</f>
        <v>ukryj</v>
      </c>
    </row>
    <row r="1990" spans="1:4" x14ac:dyDescent="0.3">
      <c r="A1990" t="s">
        <v>5067</v>
      </c>
      <c r="B1990" t="s">
        <v>5514</v>
      </c>
      <c r="C1990" s="22" t="s">
        <v>6345</v>
      </c>
      <c r="D1990" t="str">
        <f>IF(AND(Noty!H832=0,Noty!I832=0),"ukryj","odkryj")</f>
        <v>ukryj</v>
      </c>
    </row>
    <row r="1991" spans="1:4" x14ac:dyDescent="0.3">
      <c r="A1991" t="s">
        <v>5067</v>
      </c>
      <c r="B1991" t="s">
        <v>5514</v>
      </c>
      <c r="C1991" s="22" t="s">
        <v>6346</v>
      </c>
      <c r="D1991" t="str">
        <f>IF(AND(Noty!H833=0,Noty!I833=0),"ukryj","odkryj")</f>
        <v>ukryj</v>
      </c>
    </row>
    <row r="1992" spans="1:4" x14ac:dyDescent="0.3">
      <c r="A1992" t="s">
        <v>5067</v>
      </c>
      <c r="B1992" t="s">
        <v>5514</v>
      </c>
      <c r="C1992" s="22" t="s">
        <v>6347</v>
      </c>
      <c r="D1992" t="str">
        <f>IF(AND(Noty!H834=0,Noty!I834=0),"ukryj","odkryj")</f>
        <v>ukryj</v>
      </c>
    </row>
    <row r="1993" spans="1:4" x14ac:dyDescent="0.3">
      <c r="A1993" t="s">
        <v>5067</v>
      </c>
      <c r="B1993" t="s">
        <v>5514</v>
      </c>
      <c r="C1993" s="22" t="s">
        <v>6348</v>
      </c>
      <c r="D1993" t="str">
        <f>IF(AND(Noty!H835=0,Noty!I835=0),"ukryj","odkryj")</f>
        <v>ukryj</v>
      </c>
    </row>
    <row r="1994" spans="1:4" x14ac:dyDescent="0.3">
      <c r="A1994" t="s">
        <v>5067</v>
      </c>
      <c r="B1994" t="s">
        <v>5514</v>
      </c>
      <c r="C1994" s="22" t="s">
        <v>6349</v>
      </c>
      <c r="D1994" t="str">
        <f>IF(AND(Noty!H836=0,Noty!I836=0),"ukryj","odkryj")</f>
        <v>ukryj</v>
      </c>
    </row>
    <row r="1995" spans="1:4" x14ac:dyDescent="0.3">
      <c r="A1995" t="s">
        <v>5067</v>
      </c>
      <c r="B1995" t="s">
        <v>5514</v>
      </c>
      <c r="C1995" s="22" t="s">
        <v>6350</v>
      </c>
      <c r="D1995" t="str">
        <f>IF(AND(Noty!H837=0,Noty!I837=0),"ukryj","odkryj")</f>
        <v>ukryj</v>
      </c>
    </row>
    <row r="1996" spans="1:4" x14ac:dyDescent="0.3">
      <c r="A1996" t="s">
        <v>5067</v>
      </c>
      <c r="B1996" t="s">
        <v>5514</v>
      </c>
      <c r="C1996" s="22" t="s">
        <v>6351</v>
      </c>
      <c r="D1996" t="str">
        <f>IF(AND(Noty!H838=0,Noty!I838=0),"ukryj","odkryj")</f>
        <v>ukryj</v>
      </c>
    </row>
    <row r="1997" spans="1:4" x14ac:dyDescent="0.3">
      <c r="A1997" t="s">
        <v>5067</v>
      </c>
      <c r="B1997" t="s">
        <v>5514</v>
      </c>
      <c r="C1997" s="22" t="s">
        <v>6352</v>
      </c>
      <c r="D1997" t="str">
        <f>IF(AND(Noty!H839=0,Noty!I839=0),"ukryj","odkryj")</f>
        <v>ukryj</v>
      </c>
    </row>
    <row r="1998" spans="1:4" x14ac:dyDescent="0.3">
      <c r="A1998" t="s">
        <v>5067</v>
      </c>
      <c r="B1998" t="s">
        <v>5514</v>
      </c>
      <c r="C1998" s="22" t="s">
        <v>6353</v>
      </c>
      <c r="D1998" t="str">
        <f>IF(AND(Noty!H840=0,Noty!I840=0),"ukryj","odkryj")</f>
        <v>ukryj</v>
      </c>
    </row>
    <row r="1999" spans="1:4" x14ac:dyDescent="0.3">
      <c r="A1999" t="s">
        <v>5067</v>
      </c>
      <c r="B1999" t="s">
        <v>5514</v>
      </c>
      <c r="C1999" s="22" t="s">
        <v>6354</v>
      </c>
      <c r="D1999" t="str">
        <f>IF(AND(Noty!H841=0,Noty!I841=0),"ukryj","odkryj")</f>
        <v>ukryj</v>
      </c>
    </row>
    <row r="2000" spans="1:4" x14ac:dyDescent="0.3">
      <c r="A2000" t="s">
        <v>5067</v>
      </c>
      <c r="B2000" t="s">
        <v>5514</v>
      </c>
      <c r="C2000" s="22" t="s">
        <v>6355</v>
      </c>
      <c r="D2000" t="str">
        <f>IF(AND(Noty!H842=0,Noty!I842=0),"ukryj","odkryj")</f>
        <v>ukryj</v>
      </c>
    </row>
    <row r="2001" spans="1:4" x14ac:dyDescent="0.3">
      <c r="A2001" t="s">
        <v>5067</v>
      </c>
      <c r="B2001" t="s">
        <v>5514</v>
      </c>
      <c r="C2001" s="22" t="s">
        <v>6356</v>
      </c>
      <c r="D2001" t="str">
        <f>IF(AND(Noty!H843=0,Noty!I843=0),"ukryj","odkryj")</f>
        <v>ukryj</v>
      </c>
    </row>
    <row r="2002" spans="1:4" x14ac:dyDescent="0.3">
      <c r="A2002" t="s">
        <v>5067</v>
      </c>
      <c r="B2002" t="s">
        <v>5514</v>
      </c>
      <c r="C2002" s="22" t="s">
        <v>6357</v>
      </c>
      <c r="D2002" t="str">
        <f>IF(AND(Noty!H844=0,Noty!I844=0),"ukryj","odkryj")</f>
        <v>ukryj</v>
      </c>
    </row>
    <row r="2003" spans="1:4" x14ac:dyDescent="0.3">
      <c r="A2003" t="s">
        <v>5067</v>
      </c>
      <c r="B2003" t="s">
        <v>5514</v>
      </c>
      <c r="C2003" s="22" t="s">
        <v>6358</v>
      </c>
      <c r="D2003" t="str">
        <f>IF(AND(Noty!H845=0,Noty!I845=0),"ukryj","odkryj")</f>
        <v>ukryj</v>
      </c>
    </row>
    <row r="2004" spans="1:4" x14ac:dyDescent="0.3">
      <c r="A2004" t="s">
        <v>5067</v>
      </c>
      <c r="B2004" t="s">
        <v>5514</v>
      </c>
      <c r="C2004" s="22" t="s">
        <v>6359</v>
      </c>
      <c r="D2004" t="str">
        <f>Noty!J845</f>
        <v>ukryj</v>
      </c>
    </row>
    <row r="2005" spans="1:4" x14ac:dyDescent="0.3">
      <c r="A2005" t="s">
        <v>5067</v>
      </c>
      <c r="B2005" t="s">
        <v>5514</v>
      </c>
      <c r="C2005" s="22" t="s">
        <v>6360</v>
      </c>
      <c r="D2005" t="str">
        <f>IF(Noty!K847="n/a","ukryj","odkryj")</f>
        <v>ukryj</v>
      </c>
    </row>
    <row r="2006" spans="1:4" x14ac:dyDescent="0.3">
      <c r="A2006" t="s">
        <v>5067</v>
      </c>
      <c r="B2006" t="s">
        <v>5514</v>
      </c>
      <c r="C2006" s="22" t="s">
        <v>6361</v>
      </c>
      <c r="D2006" t="str">
        <f>Noty!J847</f>
        <v>ukryj</v>
      </c>
    </row>
    <row r="2007" spans="1:4" x14ac:dyDescent="0.3">
      <c r="A2007" t="s">
        <v>5067</v>
      </c>
      <c r="B2007" t="s">
        <v>5514</v>
      </c>
      <c r="C2007" s="22" t="s">
        <v>6362</v>
      </c>
      <c r="D2007" t="str">
        <f>Noty!J848</f>
        <v>ukryj</v>
      </c>
    </row>
    <row r="2008" spans="1:4" x14ac:dyDescent="0.3">
      <c r="A2008" t="s">
        <v>5067</v>
      </c>
      <c r="B2008" t="s">
        <v>5514</v>
      </c>
      <c r="C2008" s="22" t="s">
        <v>6363</v>
      </c>
      <c r="D2008" t="str">
        <f>IF(Noty!E850=0,"ukryj","odkryj")</f>
        <v>ukryj</v>
      </c>
    </row>
    <row r="2009" spans="1:4" x14ac:dyDescent="0.3">
      <c r="A2009" t="s">
        <v>5067</v>
      </c>
      <c r="B2009" t="s">
        <v>5514</v>
      </c>
      <c r="C2009" s="22" t="s">
        <v>6364</v>
      </c>
      <c r="D2009" t="str">
        <f>IF(Noty!E851=0,"ukryj","odkryj")</f>
        <v>ukryj</v>
      </c>
    </row>
    <row r="2010" spans="1:4" x14ac:dyDescent="0.3">
      <c r="A2010" t="s">
        <v>5067</v>
      </c>
      <c r="B2010" t="s">
        <v>5514</v>
      </c>
      <c r="C2010" s="22" t="s">
        <v>6365</v>
      </c>
      <c r="D2010" t="str">
        <f>IF(Noty!E852=0,"ukryj","odkryj")</f>
        <v>ukryj</v>
      </c>
    </row>
    <row r="2011" spans="1:4" x14ac:dyDescent="0.3">
      <c r="A2011" t="s">
        <v>5067</v>
      </c>
      <c r="B2011" t="s">
        <v>5514</v>
      </c>
      <c r="C2011" s="22" t="s">
        <v>6366</v>
      </c>
      <c r="D2011" t="str">
        <f>IF(Noty!E853=0,"ukryj","odkryj")</f>
        <v>ukryj</v>
      </c>
    </row>
    <row r="2012" spans="1:4" x14ac:dyDescent="0.3">
      <c r="A2012" t="s">
        <v>5067</v>
      </c>
      <c r="B2012" t="s">
        <v>5514</v>
      </c>
      <c r="C2012" s="22" t="s">
        <v>6367</v>
      </c>
      <c r="D2012" t="str">
        <f>IF(Noty!E854=0,"ukryj","odkryj")</f>
        <v>ukryj</v>
      </c>
    </row>
    <row r="2013" spans="1:4" x14ac:dyDescent="0.3">
      <c r="A2013" t="s">
        <v>5067</v>
      </c>
      <c r="B2013" t="s">
        <v>5514</v>
      </c>
      <c r="C2013" s="22" t="s">
        <v>6368</v>
      </c>
      <c r="D2013" t="str">
        <f>IF(Noty!E855=0,"ukryj","odkryj")</f>
        <v>ukryj</v>
      </c>
    </row>
    <row r="2014" spans="1:4" x14ac:dyDescent="0.3">
      <c r="A2014" t="s">
        <v>5067</v>
      </c>
      <c r="B2014" t="s">
        <v>5514</v>
      </c>
      <c r="C2014" s="22" t="s">
        <v>6369</v>
      </c>
      <c r="D2014" t="str">
        <f>IF(Noty!E856=0,"ukryj","odkryj")</f>
        <v>ukryj</v>
      </c>
    </row>
    <row r="2015" spans="1:4" x14ac:dyDescent="0.3">
      <c r="A2015" t="s">
        <v>5067</v>
      </c>
      <c r="B2015" t="s">
        <v>5514</v>
      </c>
      <c r="C2015" s="22" t="s">
        <v>6370</v>
      </c>
      <c r="D2015" t="str">
        <f>IF(Noty!E857=0,"ukryj","odkryj")</f>
        <v>ukryj</v>
      </c>
    </row>
    <row r="2016" spans="1:4" x14ac:dyDescent="0.3">
      <c r="A2016" t="s">
        <v>5067</v>
      </c>
      <c r="B2016" t="s">
        <v>5514</v>
      </c>
      <c r="C2016" s="22" t="s">
        <v>6371</v>
      </c>
      <c r="D2016" t="str">
        <f>IF(Noty!E858=0,"ukryj","odkryj")</f>
        <v>ukryj</v>
      </c>
    </row>
    <row r="2017" spans="1:4" x14ac:dyDescent="0.3">
      <c r="A2017" t="s">
        <v>5067</v>
      </c>
      <c r="B2017" t="s">
        <v>5514</v>
      </c>
      <c r="C2017" s="22" t="s">
        <v>6372</v>
      </c>
      <c r="D2017" t="str">
        <f>IF(Noty!E859=0,"ukryj","odkryj")</f>
        <v>ukryj</v>
      </c>
    </row>
    <row r="2018" spans="1:4" x14ac:dyDescent="0.3">
      <c r="A2018" t="s">
        <v>5067</v>
      </c>
      <c r="B2018" t="s">
        <v>5514</v>
      </c>
      <c r="C2018" s="22" t="s">
        <v>6373</v>
      </c>
      <c r="D2018" t="str">
        <f>IF(Noty!E860=0,"ukryj","odkryj")</f>
        <v>ukryj</v>
      </c>
    </row>
    <row r="2019" spans="1:4" x14ac:dyDescent="0.3">
      <c r="A2019" t="s">
        <v>5067</v>
      </c>
      <c r="B2019" t="s">
        <v>5514</v>
      </c>
      <c r="C2019" s="22" t="s">
        <v>6374</v>
      </c>
      <c r="D2019" t="str">
        <f>IF(Noty!E861=0,"ukryj","odkryj")</f>
        <v>ukryj</v>
      </c>
    </row>
    <row r="2020" spans="1:4" x14ac:dyDescent="0.3">
      <c r="A2020" t="s">
        <v>5067</v>
      </c>
      <c r="B2020" t="s">
        <v>5514</v>
      </c>
      <c r="C2020" s="22" t="s">
        <v>6375</v>
      </c>
      <c r="D2020" t="str">
        <f>IF(Noty!E862=0,"ukryj","odkryj")</f>
        <v>ukryj</v>
      </c>
    </row>
    <row r="2021" spans="1:4" x14ac:dyDescent="0.3">
      <c r="A2021" t="s">
        <v>5067</v>
      </c>
      <c r="B2021" t="s">
        <v>5514</v>
      </c>
      <c r="C2021" s="22" t="s">
        <v>6376</v>
      </c>
      <c r="D2021" t="str">
        <f>IF(Noty!E863=0,"ukryj","odkryj")</f>
        <v>ukryj</v>
      </c>
    </row>
    <row r="2022" spans="1:4" x14ac:dyDescent="0.3">
      <c r="A2022" t="s">
        <v>5067</v>
      </c>
      <c r="B2022" t="s">
        <v>5514</v>
      </c>
      <c r="C2022" s="22" t="s">
        <v>6377</v>
      </c>
      <c r="D2022" t="str">
        <f>IF(Noty!E864=0,"ukryj","odkryj")</f>
        <v>ukryj</v>
      </c>
    </row>
    <row r="2023" spans="1:4" x14ac:dyDescent="0.3">
      <c r="A2023" t="s">
        <v>5067</v>
      </c>
      <c r="B2023" t="s">
        <v>5514</v>
      </c>
      <c r="C2023" s="22" t="s">
        <v>6378</v>
      </c>
      <c r="D2023" t="str">
        <f>IF(Noty!E865=0,"ukryj","odkryj")</f>
        <v>ukryj</v>
      </c>
    </row>
    <row r="2024" spans="1:4" x14ac:dyDescent="0.3">
      <c r="A2024" t="s">
        <v>5067</v>
      </c>
      <c r="B2024" t="s">
        <v>5514</v>
      </c>
      <c r="C2024" s="22" t="s">
        <v>6379</v>
      </c>
      <c r="D2024" t="str">
        <f>IF(Noty!E866=0,"ukryj","odkryj")</f>
        <v>ukryj</v>
      </c>
    </row>
    <row r="2025" spans="1:4" x14ac:dyDescent="0.3">
      <c r="A2025" t="s">
        <v>5067</v>
      </c>
      <c r="B2025" t="s">
        <v>5514</v>
      </c>
      <c r="C2025" s="22" t="s">
        <v>6380</v>
      </c>
      <c r="D2025" t="str">
        <f>IF(Noty!E867=0,"ukryj","odkryj")</f>
        <v>ukryj</v>
      </c>
    </row>
    <row r="2026" spans="1:4" x14ac:dyDescent="0.3">
      <c r="A2026" t="s">
        <v>5067</v>
      </c>
      <c r="B2026" t="s">
        <v>5514</v>
      </c>
      <c r="C2026" s="22" t="s">
        <v>6381</v>
      </c>
      <c r="D2026" t="str">
        <f>IF(Noty!E868=0,"ukryj","odkryj")</f>
        <v>ukryj</v>
      </c>
    </row>
    <row r="2027" spans="1:4" x14ac:dyDescent="0.3">
      <c r="A2027" t="s">
        <v>5067</v>
      </c>
      <c r="B2027" t="s">
        <v>5514</v>
      </c>
      <c r="C2027" s="22" t="s">
        <v>6382</v>
      </c>
      <c r="D2027" t="str">
        <f>IF(Noty!E869=0,"ukryj","odkryj")</f>
        <v>ukryj</v>
      </c>
    </row>
    <row r="2028" spans="1:4" x14ac:dyDescent="0.3">
      <c r="A2028" t="s">
        <v>5067</v>
      </c>
      <c r="B2028" t="s">
        <v>5514</v>
      </c>
      <c r="C2028" s="22" t="s">
        <v>6383</v>
      </c>
      <c r="D2028" t="str">
        <f>IF(Noty!E870=0,"ukryj","odkryj")</f>
        <v>ukryj</v>
      </c>
    </row>
    <row r="2029" spans="1:4" x14ac:dyDescent="0.3">
      <c r="A2029" t="s">
        <v>5067</v>
      </c>
      <c r="B2029" t="s">
        <v>5514</v>
      </c>
      <c r="C2029" s="22" t="s">
        <v>6384</v>
      </c>
      <c r="D2029" t="str">
        <f>Noty!J870</f>
        <v>ukryj</v>
      </c>
    </row>
    <row r="2030" spans="1:4" x14ac:dyDescent="0.3">
      <c r="A2030" t="s">
        <v>5067</v>
      </c>
      <c r="B2030" t="s">
        <v>5514</v>
      </c>
      <c r="C2030" s="22" t="s">
        <v>6385</v>
      </c>
      <c r="D2030" t="str">
        <f>IF(Noty!K872="n/a","ukryj","odkryj")</f>
        <v>ukryj</v>
      </c>
    </row>
    <row r="2031" spans="1:4" x14ac:dyDescent="0.3">
      <c r="A2031" t="s">
        <v>5067</v>
      </c>
      <c r="B2031" t="s">
        <v>5514</v>
      </c>
      <c r="C2031" s="22" t="s">
        <v>6386</v>
      </c>
      <c r="D2031" t="str">
        <f>Noty!J872</f>
        <v>ukryj</v>
      </c>
    </row>
    <row r="2032" spans="1:4" x14ac:dyDescent="0.3">
      <c r="A2032" t="s">
        <v>5067</v>
      </c>
      <c r="B2032" t="s">
        <v>5514</v>
      </c>
      <c r="C2032" s="22" t="s">
        <v>6387</v>
      </c>
      <c r="D2032" t="str">
        <f>Noty!J873</f>
        <v>ukryj</v>
      </c>
    </row>
    <row r="2033" spans="1:4" x14ac:dyDescent="0.3">
      <c r="A2033" t="s">
        <v>5067</v>
      </c>
      <c r="B2033" t="s">
        <v>5514</v>
      </c>
      <c r="C2033" s="22" t="s">
        <v>6388</v>
      </c>
      <c r="D2033" t="str">
        <f>Noty!J874</f>
        <v>ukryj</v>
      </c>
    </row>
    <row r="2034" spans="1:4" x14ac:dyDescent="0.3">
      <c r="A2034" t="s">
        <v>5067</v>
      </c>
      <c r="B2034" t="s">
        <v>5514</v>
      </c>
      <c r="C2034" s="22" t="s">
        <v>6389</v>
      </c>
      <c r="D2034" t="str">
        <f>IF(AND(Noty!F876=0,Noty!G876=0),"ukryj","odkryj")</f>
        <v>ukryj</v>
      </c>
    </row>
    <row r="2035" spans="1:4" x14ac:dyDescent="0.3">
      <c r="A2035" t="s">
        <v>5067</v>
      </c>
      <c r="B2035" t="s">
        <v>5514</v>
      </c>
      <c r="C2035" s="22" t="s">
        <v>6390</v>
      </c>
      <c r="D2035" t="str">
        <f>IF(AND(Noty!F877=0,Noty!G877=0),"ukryj","odkryj")</f>
        <v>ukryj</v>
      </c>
    </row>
    <row r="2036" spans="1:4" x14ac:dyDescent="0.3">
      <c r="A2036" t="s">
        <v>5067</v>
      </c>
      <c r="B2036" t="s">
        <v>5514</v>
      </c>
      <c r="C2036" s="22" t="s">
        <v>6391</v>
      </c>
      <c r="D2036" t="str">
        <f>IF(AND(Noty!F878=0,Noty!G878=0),"ukryj","odkryj")</f>
        <v>ukryj</v>
      </c>
    </row>
    <row r="2037" spans="1:4" x14ac:dyDescent="0.3">
      <c r="A2037" t="s">
        <v>5067</v>
      </c>
      <c r="B2037" t="s">
        <v>5514</v>
      </c>
      <c r="C2037" s="22" t="s">
        <v>6392</v>
      </c>
      <c r="D2037" t="str">
        <f>IF(AND(Noty!F879=0,Noty!G879=0),"ukryj","odkryj")</f>
        <v>ukryj</v>
      </c>
    </row>
    <row r="2038" spans="1:4" x14ac:dyDescent="0.3">
      <c r="A2038" t="s">
        <v>5067</v>
      </c>
      <c r="B2038" t="s">
        <v>5514</v>
      </c>
      <c r="C2038" s="22" t="s">
        <v>6393</v>
      </c>
      <c r="D2038" t="str">
        <f>IF(AND(Noty!F880=0,Noty!G880=0),"ukryj","odkryj")</f>
        <v>ukryj</v>
      </c>
    </row>
    <row r="2039" spans="1:4" x14ac:dyDescent="0.3">
      <c r="A2039" t="s">
        <v>5067</v>
      </c>
      <c r="B2039" t="s">
        <v>5514</v>
      </c>
      <c r="C2039" s="22" t="s">
        <v>6394</v>
      </c>
      <c r="D2039" t="str">
        <f>IF(AND(Noty!F881=0,Noty!G881=0),"ukryj","odkryj")</f>
        <v>ukryj</v>
      </c>
    </row>
    <row r="2040" spans="1:4" x14ac:dyDescent="0.3">
      <c r="A2040" t="s">
        <v>5067</v>
      </c>
      <c r="B2040" t="s">
        <v>5514</v>
      </c>
      <c r="C2040" s="22" t="s">
        <v>6395</v>
      </c>
      <c r="D2040" t="str">
        <f>IF(AND(Noty!F882=0,Noty!G882=0),"ukryj","odkryj")</f>
        <v>ukryj</v>
      </c>
    </row>
    <row r="2041" spans="1:4" x14ac:dyDescent="0.3">
      <c r="A2041" t="s">
        <v>5067</v>
      </c>
      <c r="B2041" t="s">
        <v>5514</v>
      </c>
      <c r="C2041" s="22" t="s">
        <v>6396</v>
      </c>
      <c r="D2041" t="str">
        <f>IF(AND(Noty!F883=0,Noty!G883=0),"ukryj","odkryj")</f>
        <v>ukryj</v>
      </c>
    </row>
    <row r="2042" spans="1:4" x14ac:dyDescent="0.3">
      <c r="A2042" t="s">
        <v>5067</v>
      </c>
      <c r="B2042" t="s">
        <v>5514</v>
      </c>
      <c r="C2042" s="22" t="s">
        <v>6397</v>
      </c>
      <c r="D2042" t="str">
        <f>IF(AND(Noty!F884=0,Noty!G884=0),"ukryj","odkryj")</f>
        <v>ukryj</v>
      </c>
    </row>
    <row r="2043" spans="1:4" x14ac:dyDescent="0.3">
      <c r="A2043" t="s">
        <v>5067</v>
      </c>
      <c r="B2043" t="s">
        <v>5514</v>
      </c>
      <c r="C2043" s="22" t="s">
        <v>6398</v>
      </c>
      <c r="D2043" t="str">
        <f>IF(AND(Noty!F885=0,Noty!G885=0),"ukryj","odkryj")</f>
        <v>ukryj</v>
      </c>
    </row>
    <row r="2044" spans="1:4" x14ac:dyDescent="0.3">
      <c r="A2044" t="s">
        <v>5067</v>
      </c>
      <c r="B2044" t="s">
        <v>5514</v>
      </c>
      <c r="C2044" s="22" t="s">
        <v>6399</v>
      </c>
      <c r="D2044" t="str">
        <f>IF(AND(Noty!F886=0,Noty!G886=0),"ukryj","odkryj")</f>
        <v>ukryj</v>
      </c>
    </row>
    <row r="2045" spans="1:4" x14ac:dyDescent="0.3">
      <c r="A2045" t="s">
        <v>5067</v>
      </c>
      <c r="B2045" t="s">
        <v>5514</v>
      </c>
      <c r="C2045" s="22" t="s">
        <v>6400</v>
      </c>
      <c r="D2045" t="str">
        <f>IF(AND(Noty!F887=0,Noty!G887=0),"ukryj","odkryj")</f>
        <v>ukryj</v>
      </c>
    </row>
    <row r="2046" spans="1:4" x14ac:dyDescent="0.3">
      <c r="A2046" t="s">
        <v>5067</v>
      </c>
      <c r="B2046" t="s">
        <v>5514</v>
      </c>
      <c r="C2046" s="22" t="s">
        <v>6401</v>
      </c>
      <c r="D2046" t="str">
        <f>Noty!J875</f>
        <v>ukryj</v>
      </c>
    </row>
    <row r="2047" spans="1:4" x14ac:dyDescent="0.3">
      <c r="A2047" t="s">
        <v>5067</v>
      </c>
      <c r="B2047" t="s">
        <v>5514</v>
      </c>
      <c r="C2047" s="22" t="s">
        <v>6402</v>
      </c>
      <c r="D2047" t="str">
        <f>IF(Noty!K889="n/a","ukryj","odkryj")</f>
        <v>ukryj</v>
      </c>
    </row>
    <row r="2048" spans="1:4" x14ac:dyDescent="0.3">
      <c r="A2048" t="s">
        <v>5067</v>
      </c>
      <c r="B2048" t="s">
        <v>5514</v>
      </c>
      <c r="C2048" s="22" t="s">
        <v>6403</v>
      </c>
      <c r="D2048" t="str">
        <f>Noty!J889</f>
        <v>ukryj</v>
      </c>
    </row>
    <row r="2049" spans="1:4" x14ac:dyDescent="0.3">
      <c r="A2049" t="s">
        <v>5067</v>
      </c>
      <c r="B2049" t="s">
        <v>5514</v>
      </c>
      <c r="C2049" s="22" t="s">
        <v>6404</v>
      </c>
      <c r="D2049" t="str">
        <f>Noty!J890</f>
        <v>ukryj</v>
      </c>
    </row>
    <row r="2050" spans="1:4" x14ac:dyDescent="0.3">
      <c r="A2050" t="s">
        <v>5067</v>
      </c>
      <c r="B2050" t="s">
        <v>5514</v>
      </c>
      <c r="C2050" s="22" t="s">
        <v>6405</v>
      </c>
      <c r="D2050" t="str">
        <f>Noty!J891</f>
        <v>ukryj</v>
      </c>
    </row>
    <row r="2051" spans="1:4" x14ac:dyDescent="0.3">
      <c r="A2051" t="s">
        <v>5067</v>
      </c>
      <c r="B2051" t="s">
        <v>5514</v>
      </c>
      <c r="C2051" s="22" t="s">
        <v>6406</v>
      </c>
      <c r="D2051" t="str">
        <f>Noty!J892</f>
        <v>ukryj</v>
      </c>
    </row>
    <row r="2052" spans="1:4" x14ac:dyDescent="0.3">
      <c r="A2052" t="s">
        <v>5067</v>
      </c>
      <c r="B2052" t="s">
        <v>5514</v>
      </c>
      <c r="C2052" s="22" t="s">
        <v>6407</v>
      </c>
      <c r="D2052" t="str">
        <f>Noty!J893</f>
        <v>ukryj</v>
      </c>
    </row>
    <row r="2053" spans="1:4" x14ac:dyDescent="0.3">
      <c r="A2053" t="s">
        <v>5067</v>
      </c>
      <c r="B2053" t="s">
        <v>5514</v>
      </c>
      <c r="C2053" s="22" t="s">
        <v>6408</v>
      </c>
      <c r="D2053" t="str">
        <f>Noty!J894</f>
        <v>ukryj</v>
      </c>
    </row>
    <row r="2054" spans="1:4" x14ac:dyDescent="0.3">
      <c r="A2054" t="s">
        <v>5067</v>
      </c>
      <c r="B2054" t="s">
        <v>5514</v>
      </c>
      <c r="C2054" s="22" t="s">
        <v>6409</v>
      </c>
      <c r="D2054" t="str">
        <f>Noty!J895</f>
        <v>ukryj</v>
      </c>
    </row>
    <row r="2055" spans="1:4" x14ac:dyDescent="0.3">
      <c r="A2055" t="s">
        <v>5067</v>
      </c>
      <c r="B2055" t="s">
        <v>5514</v>
      </c>
      <c r="C2055" s="22" t="s">
        <v>6410</v>
      </c>
      <c r="D2055" t="str">
        <f>Noty!J896</f>
        <v>ukryj</v>
      </c>
    </row>
    <row r="2056" spans="1:4" x14ac:dyDescent="0.3">
      <c r="A2056" t="s">
        <v>5067</v>
      </c>
      <c r="B2056" t="s">
        <v>5514</v>
      </c>
      <c r="C2056" s="22" t="s">
        <v>6411</v>
      </c>
      <c r="D2056" t="str">
        <f>Noty!J897</f>
        <v>ukryj</v>
      </c>
    </row>
    <row r="2057" spans="1:4" x14ac:dyDescent="0.3">
      <c r="A2057" t="s">
        <v>5067</v>
      </c>
      <c r="B2057" t="s">
        <v>5514</v>
      </c>
      <c r="C2057" s="22" t="s">
        <v>6412</v>
      </c>
      <c r="D2057" t="str">
        <f>Noty!J898</f>
        <v>ukryj</v>
      </c>
    </row>
    <row r="2058" spans="1:4" x14ac:dyDescent="0.3">
      <c r="A2058" t="s">
        <v>5067</v>
      </c>
      <c r="B2058" t="s">
        <v>5514</v>
      </c>
      <c r="C2058" s="22" t="s">
        <v>6413</v>
      </c>
      <c r="D2058" t="str">
        <f>Noty!J899</f>
        <v>ukryj</v>
      </c>
    </row>
    <row r="2059" spans="1:4" x14ac:dyDescent="0.3">
      <c r="A2059" t="s">
        <v>5067</v>
      </c>
      <c r="B2059" t="s">
        <v>5514</v>
      </c>
      <c r="C2059" s="22" t="s">
        <v>6414</v>
      </c>
      <c r="D2059" t="str">
        <f>Noty!J900</f>
        <v>ukryj</v>
      </c>
    </row>
    <row r="2060" spans="1:4" x14ac:dyDescent="0.3">
      <c r="A2060" t="s">
        <v>5067</v>
      </c>
      <c r="B2060" t="s">
        <v>5514</v>
      </c>
      <c r="C2060" s="22" t="s">
        <v>6415</v>
      </c>
      <c r="D2060" t="str">
        <f>Noty!J901</f>
        <v>ukryj</v>
      </c>
    </row>
    <row r="2061" spans="1:4" x14ac:dyDescent="0.3">
      <c r="A2061" t="s">
        <v>5067</v>
      </c>
      <c r="B2061" t="s">
        <v>5514</v>
      </c>
      <c r="C2061" s="22" t="s">
        <v>6416</v>
      </c>
      <c r="D2061" t="str">
        <f>Noty!J902</f>
        <v>ukryj</v>
      </c>
    </row>
    <row r="2062" spans="1:4" x14ac:dyDescent="0.3">
      <c r="A2062" t="s">
        <v>5067</v>
      </c>
      <c r="B2062" t="s">
        <v>5514</v>
      </c>
      <c r="C2062" s="22" t="s">
        <v>6417</v>
      </c>
      <c r="D2062" t="str">
        <f>Noty!J903</f>
        <v>ukryj</v>
      </c>
    </row>
    <row r="2063" spans="1:4" x14ac:dyDescent="0.3">
      <c r="A2063" t="s">
        <v>5067</v>
      </c>
      <c r="B2063" t="s">
        <v>5514</v>
      </c>
      <c r="C2063" s="22" t="s">
        <v>6418</v>
      </c>
      <c r="D2063" t="str">
        <f>Noty!J904</f>
        <v>ukryj</v>
      </c>
    </row>
    <row r="2064" spans="1:4" x14ac:dyDescent="0.3">
      <c r="A2064" t="s">
        <v>5067</v>
      </c>
      <c r="B2064" t="s">
        <v>5514</v>
      </c>
      <c r="C2064" s="22" t="s">
        <v>6419</v>
      </c>
      <c r="D2064" t="str">
        <f>Noty!J905</f>
        <v>ukryj</v>
      </c>
    </row>
    <row r="2065" spans="1:4" x14ac:dyDescent="0.3">
      <c r="A2065" t="s">
        <v>5067</v>
      </c>
      <c r="B2065" t="s">
        <v>5514</v>
      </c>
      <c r="C2065" s="22" t="s">
        <v>6420</v>
      </c>
      <c r="D2065" t="str">
        <f>Noty!J906</f>
        <v>ukryj</v>
      </c>
    </row>
    <row r="2066" spans="1:4" x14ac:dyDescent="0.3">
      <c r="A2066" t="s">
        <v>5067</v>
      </c>
      <c r="B2066" t="s">
        <v>5514</v>
      </c>
      <c r="C2066" s="22" t="s">
        <v>6421</v>
      </c>
      <c r="D2066" t="str">
        <f>Noty!J907</f>
        <v>ukryj</v>
      </c>
    </row>
    <row r="2067" spans="1:4" x14ac:dyDescent="0.3">
      <c r="A2067" t="s">
        <v>5067</v>
      </c>
      <c r="B2067" t="s">
        <v>5514</v>
      </c>
      <c r="C2067" s="22" t="s">
        <v>6422</v>
      </c>
      <c r="D2067" t="str">
        <f>Noty!J908</f>
        <v>ukryj</v>
      </c>
    </row>
    <row r="2068" spans="1:4" x14ac:dyDescent="0.3">
      <c r="A2068" t="s">
        <v>5067</v>
      </c>
      <c r="B2068" t="s">
        <v>5514</v>
      </c>
      <c r="C2068" s="22" t="s">
        <v>6423</v>
      </c>
      <c r="D2068" t="str">
        <f>Noty!J909</f>
        <v>ukryj</v>
      </c>
    </row>
    <row r="2069" spans="1:4" x14ac:dyDescent="0.3">
      <c r="A2069" t="s">
        <v>5067</v>
      </c>
      <c r="B2069" t="s">
        <v>5514</v>
      </c>
      <c r="C2069" s="22" t="s">
        <v>6424</v>
      </c>
      <c r="D2069" t="str">
        <f>Noty!J910</f>
        <v>ukryj</v>
      </c>
    </row>
    <row r="2070" spans="1:4" x14ac:dyDescent="0.3">
      <c r="A2070" t="s">
        <v>5067</v>
      </c>
      <c r="B2070" t="s">
        <v>5514</v>
      </c>
      <c r="C2070" s="22" t="s">
        <v>6425</v>
      </c>
      <c r="D2070" t="str">
        <f>Noty!J911</f>
        <v>ukryj</v>
      </c>
    </row>
    <row r="2071" spans="1:4" x14ac:dyDescent="0.3">
      <c r="A2071" t="s">
        <v>5067</v>
      </c>
      <c r="B2071" t="s">
        <v>5514</v>
      </c>
      <c r="C2071" s="22" t="s">
        <v>6426</v>
      </c>
      <c r="D2071" t="str">
        <f>Noty!J912</f>
        <v>ukryj</v>
      </c>
    </row>
    <row r="2072" spans="1:4" x14ac:dyDescent="0.3">
      <c r="A2072" t="s">
        <v>5067</v>
      </c>
      <c r="B2072" t="s">
        <v>5514</v>
      </c>
      <c r="C2072" s="22" t="s">
        <v>6427</v>
      </c>
      <c r="D2072" t="str">
        <f>Noty!J913</f>
        <v>ukryj</v>
      </c>
    </row>
    <row r="2073" spans="1:4" x14ac:dyDescent="0.3">
      <c r="A2073" t="s">
        <v>5067</v>
      </c>
      <c r="B2073" t="s">
        <v>5514</v>
      </c>
      <c r="C2073" s="22" t="s">
        <v>6428</v>
      </c>
      <c r="D2073" t="str">
        <f>IF(Noty!K915="n/a","ukryj","odkryj")</f>
        <v>ukryj</v>
      </c>
    </row>
    <row r="2074" spans="1:4" x14ac:dyDescent="0.3">
      <c r="A2074" t="s">
        <v>5067</v>
      </c>
      <c r="B2074" t="s">
        <v>5514</v>
      </c>
      <c r="C2074" s="22" t="s">
        <v>6429</v>
      </c>
      <c r="D2074" t="str">
        <f>Noty!J915</f>
        <v>ukryj</v>
      </c>
    </row>
    <row r="2075" spans="1:4" x14ac:dyDescent="0.3">
      <c r="A2075" t="s">
        <v>5067</v>
      </c>
      <c r="B2075" t="s">
        <v>5514</v>
      </c>
      <c r="C2075" s="22" t="s">
        <v>6430</v>
      </c>
      <c r="D2075" t="str">
        <f>IF(Noty!K917="n/a","ukryj","odkryj")</f>
        <v>ukryj</v>
      </c>
    </row>
    <row r="2076" spans="1:4" x14ac:dyDescent="0.3">
      <c r="A2076" t="s">
        <v>5067</v>
      </c>
      <c r="B2076" t="s">
        <v>5514</v>
      </c>
      <c r="C2076" s="22" t="s">
        <v>6431</v>
      </c>
      <c r="D2076" t="str">
        <f>Noty!J917</f>
        <v>ukryj</v>
      </c>
    </row>
    <row r="2077" spans="1:4" x14ac:dyDescent="0.3">
      <c r="A2077" t="s">
        <v>5067</v>
      </c>
      <c r="B2077" t="s">
        <v>5514</v>
      </c>
      <c r="C2077" s="22" t="s">
        <v>6432</v>
      </c>
      <c r="D2077" t="str">
        <f>Noty!J918</f>
        <v>ukryj</v>
      </c>
    </row>
    <row r="2078" spans="1:4" x14ac:dyDescent="0.3">
      <c r="A2078" t="s">
        <v>5067</v>
      </c>
      <c r="B2078" t="s">
        <v>5514</v>
      </c>
      <c r="C2078" s="22" t="s">
        <v>6433</v>
      </c>
      <c r="D2078" t="str">
        <f>Noty!J919</f>
        <v>ukryj</v>
      </c>
    </row>
    <row r="2079" spans="1:4" x14ac:dyDescent="0.3">
      <c r="A2079" t="s">
        <v>5067</v>
      </c>
      <c r="B2079" t="s">
        <v>5514</v>
      </c>
      <c r="C2079" s="22" t="s">
        <v>6434</v>
      </c>
      <c r="D2079" t="str">
        <f>IF(AND(Noty!H921=0,Noty!I921=0),"ukryj","odkryj")</f>
        <v>ukryj</v>
      </c>
    </row>
    <row r="2080" spans="1:4" x14ac:dyDescent="0.3">
      <c r="A2080" t="s">
        <v>5067</v>
      </c>
      <c r="B2080" t="s">
        <v>5514</v>
      </c>
      <c r="C2080" s="22" t="s">
        <v>6435</v>
      </c>
      <c r="D2080" t="str">
        <f>IF(AND(Noty!H922=0,Noty!I922=0),"ukryj","odkryj")</f>
        <v>ukryj</v>
      </c>
    </row>
    <row r="2081" spans="1:4" x14ac:dyDescent="0.3">
      <c r="A2081" t="s">
        <v>5067</v>
      </c>
      <c r="B2081" t="s">
        <v>5514</v>
      </c>
      <c r="C2081" s="22" t="s">
        <v>6436</v>
      </c>
      <c r="D2081" t="str">
        <f>IF(AND(Noty!H923=0,Noty!I923=0),"ukryj","odkryj")</f>
        <v>ukryj</v>
      </c>
    </row>
    <row r="2082" spans="1:4" x14ac:dyDescent="0.3">
      <c r="A2082" t="s">
        <v>5067</v>
      </c>
      <c r="B2082" t="s">
        <v>5514</v>
      </c>
      <c r="C2082" s="22" t="s">
        <v>6437</v>
      </c>
      <c r="D2082" t="str">
        <f>Noty!J923</f>
        <v>ukryj</v>
      </c>
    </row>
    <row r="2083" spans="1:4" x14ac:dyDescent="0.3">
      <c r="A2083" t="s">
        <v>5067</v>
      </c>
      <c r="B2083" t="s">
        <v>5514</v>
      </c>
      <c r="C2083" s="22" t="s">
        <v>6438</v>
      </c>
      <c r="D2083" t="str">
        <f>IF(AND(Noty!H925=0,Noty!I925=0),"ukryj","odkryj")</f>
        <v>ukryj</v>
      </c>
    </row>
    <row r="2084" spans="1:4" x14ac:dyDescent="0.3">
      <c r="A2084" t="s">
        <v>5067</v>
      </c>
      <c r="B2084" t="s">
        <v>5514</v>
      </c>
      <c r="C2084" s="22" t="s">
        <v>6439</v>
      </c>
      <c r="D2084" t="str">
        <f>IF(AND(Noty!H926=0,Noty!I926=0),"ukryj","odkryj")</f>
        <v>ukryj</v>
      </c>
    </row>
    <row r="2085" spans="1:4" x14ac:dyDescent="0.3">
      <c r="A2085" t="s">
        <v>5067</v>
      </c>
      <c r="B2085" t="s">
        <v>5514</v>
      </c>
      <c r="C2085" s="22" t="s">
        <v>6440</v>
      </c>
      <c r="D2085" t="str">
        <f>IF(AND(Noty!H927=0,Noty!I927=0),"ukryj","odkryj")</f>
        <v>ukryj</v>
      </c>
    </row>
    <row r="2086" spans="1:4" x14ac:dyDescent="0.3">
      <c r="A2086" t="s">
        <v>5067</v>
      </c>
      <c r="B2086" t="s">
        <v>5514</v>
      </c>
      <c r="C2086" s="22" t="s">
        <v>6441</v>
      </c>
      <c r="D2086" t="str">
        <f>Noty!J927</f>
        <v>ukryj</v>
      </c>
    </row>
    <row r="2087" spans="1:4" x14ac:dyDescent="0.3">
      <c r="A2087" t="s">
        <v>5067</v>
      </c>
      <c r="B2087" t="s">
        <v>5514</v>
      </c>
      <c r="C2087" s="22" t="s">
        <v>6442</v>
      </c>
      <c r="D2087" t="s">
        <v>5125</v>
      </c>
    </row>
    <row r="2088" spans="1:4" x14ac:dyDescent="0.3">
      <c r="A2088" t="s">
        <v>5067</v>
      </c>
      <c r="B2088" t="s">
        <v>5514</v>
      </c>
      <c r="C2088" s="22" t="s">
        <v>6443</v>
      </c>
      <c r="D2088" t="str">
        <f>Noty!J929</f>
        <v>ukryj</v>
      </c>
    </row>
    <row r="2089" spans="1:4" x14ac:dyDescent="0.3">
      <c r="A2089" t="s">
        <v>5067</v>
      </c>
      <c r="B2089" t="s">
        <v>5514</v>
      </c>
      <c r="C2089" s="22" t="s">
        <v>6444</v>
      </c>
      <c r="D2089" t="str">
        <f>IF(Noty!K931="n/a","ukryj","odkryj")</f>
        <v>ukryj</v>
      </c>
    </row>
    <row r="2090" spans="1:4" x14ac:dyDescent="0.3">
      <c r="A2090" t="s">
        <v>5067</v>
      </c>
      <c r="B2090" t="s">
        <v>5514</v>
      </c>
      <c r="C2090" s="22" t="s">
        <v>6445</v>
      </c>
      <c r="D2090" t="str">
        <f>Noty!J931</f>
        <v>ukryj</v>
      </c>
    </row>
    <row r="2091" spans="1:4" x14ac:dyDescent="0.3">
      <c r="A2091" t="s">
        <v>5067</v>
      </c>
      <c r="B2091" t="s">
        <v>5514</v>
      </c>
      <c r="C2091" s="22" t="s">
        <v>6446</v>
      </c>
      <c r="D2091" t="str">
        <f>Noty!J932</f>
        <v>ukryj</v>
      </c>
    </row>
    <row r="2092" spans="1:4" x14ac:dyDescent="0.3">
      <c r="A2092" t="s">
        <v>5067</v>
      </c>
      <c r="B2092" t="s">
        <v>5514</v>
      </c>
      <c r="C2092" s="22" t="s">
        <v>6447</v>
      </c>
      <c r="D2092" t="str">
        <f>Noty!J933</f>
        <v>ukryj</v>
      </c>
    </row>
    <row r="2093" spans="1:4" x14ac:dyDescent="0.3">
      <c r="A2093" t="s">
        <v>5067</v>
      </c>
      <c r="B2093" t="s">
        <v>5514</v>
      </c>
      <c r="C2093" s="22" t="s">
        <v>6448</v>
      </c>
      <c r="D2093" t="str">
        <f>Noty!J934</f>
        <v>ukryj</v>
      </c>
    </row>
    <row r="2094" spans="1:4" x14ac:dyDescent="0.3">
      <c r="A2094" t="s">
        <v>5067</v>
      </c>
      <c r="B2094" t="s">
        <v>5514</v>
      </c>
      <c r="C2094" s="22" t="s">
        <v>6449</v>
      </c>
      <c r="D2094" t="str">
        <f>IF(AND(Noty!H936=0,Noty!I936=0),"ukryj","odkryj")</f>
        <v>ukryj</v>
      </c>
    </row>
    <row r="2095" spans="1:4" x14ac:dyDescent="0.3">
      <c r="A2095" t="s">
        <v>5067</v>
      </c>
      <c r="B2095" t="s">
        <v>5514</v>
      </c>
      <c r="C2095" s="22" t="s">
        <v>6450</v>
      </c>
      <c r="D2095" t="str">
        <f>IF(AND(Noty!H937=0,Noty!I937=0),"ukryj","odkryj")</f>
        <v>ukryj</v>
      </c>
    </row>
    <row r="2096" spans="1:4" x14ac:dyDescent="0.3">
      <c r="A2096" t="s">
        <v>5067</v>
      </c>
      <c r="B2096" t="s">
        <v>5514</v>
      </c>
      <c r="C2096" s="22" t="s">
        <v>6451</v>
      </c>
      <c r="D2096" t="str">
        <f>IF(AND(Noty!H938=0,Noty!I938=0),"ukryj","odkryj")</f>
        <v>ukryj</v>
      </c>
    </row>
    <row r="2097" spans="1:4" x14ac:dyDescent="0.3">
      <c r="A2097" t="s">
        <v>5067</v>
      </c>
      <c r="B2097" t="s">
        <v>5514</v>
      </c>
      <c r="C2097" s="22" t="s">
        <v>6452</v>
      </c>
      <c r="D2097" t="str">
        <f>Noty!J938</f>
        <v>ukryj</v>
      </c>
    </row>
    <row r="2098" spans="1:4" x14ac:dyDescent="0.3">
      <c r="A2098" t="s">
        <v>5067</v>
      </c>
      <c r="B2098" t="s">
        <v>5514</v>
      </c>
      <c r="C2098" s="22" t="s">
        <v>6453</v>
      </c>
      <c r="D2098" t="str">
        <f>IF(AND(Noty!H940=0,Noty!I940=0),"ukryj","odkryj")</f>
        <v>ukryj</v>
      </c>
    </row>
    <row r="2099" spans="1:4" x14ac:dyDescent="0.3">
      <c r="A2099" t="s">
        <v>5067</v>
      </c>
      <c r="B2099" t="s">
        <v>5514</v>
      </c>
      <c r="C2099" s="22" t="s">
        <v>6454</v>
      </c>
      <c r="D2099" t="str">
        <f>IF(AND(Noty!H941=0,Noty!I941=0),"ukryj","odkryj")</f>
        <v>ukryj</v>
      </c>
    </row>
    <row r="2100" spans="1:4" x14ac:dyDescent="0.3">
      <c r="A2100" t="s">
        <v>5067</v>
      </c>
      <c r="B2100" t="s">
        <v>5514</v>
      </c>
      <c r="C2100" s="22" t="s">
        <v>6455</v>
      </c>
      <c r="D2100" t="str">
        <f>IF(AND(Noty!H942=0,Noty!I942=0),"ukryj","odkryj")</f>
        <v>ukryj</v>
      </c>
    </row>
    <row r="2101" spans="1:4" x14ac:dyDescent="0.3">
      <c r="A2101" t="s">
        <v>5067</v>
      </c>
      <c r="B2101" t="s">
        <v>5514</v>
      </c>
      <c r="C2101" s="22" t="s">
        <v>6456</v>
      </c>
      <c r="D2101" t="str">
        <f>Noty!J942</f>
        <v>ukryj</v>
      </c>
    </row>
    <row r="2102" spans="1:4" x14ac:dyDescent="0.3">
      <c r="A2102" t="s">
        <v>5067</v>
      </c>
      <c r="B2102" t="s">
        <v>5514</v>
      </c>
      <c r="C2102" s="22" t="s">
        <v>6457</v>
      </c>
      <c r="D2102" t="s">
        <v>5125</v>
      </c>
    </row>
    <row r="2103" spans="1:4" x14ac:dyDescent="0.3">
      <c r="A2103" t="s">
        <v>5067</v>
      </c>
      <c r="B2103" t="s">
        <v>5514</v>
      </c>
      <c r="C2103" s="22" t="s">
        <v>6458</v>
      </c>
      <c r="D2103" t="str">
        <f>Noty!J944</f>
        <v>ukryj</v>
      </c>
    </row>
    <row r="2104" spans="1:4" x14ac:dyDescent="0.3">
      <c r="A2104" t="s">
        <v>5067</v>
      </c>
      <c r="B2104" t="s">
        <v>5514</v>
      </c>
      <c r="C2104" s="22" t="s">
        <v>6459</v>
      </c>
      <c r="D2104" t="str">
        <f>IF(Noty!K946="n/a","ukryj","odkryj")</f>
        <v>ukryj</v>
      </c>
    </row>
    <row r="2105" spans="1:4" x14ac:dyDescent="0.3">
      <c r="A2105" t="s">
        <v>5067</v>
      </c>
      <c r="B2105" t="s">
        <v>5514</v>
      </c>
      <c r="C2105" s="22" t="s">
        <v>6460</v>
      </c>
      <c r="D2105" t="str">
        <f>Noty!J946</f>
        <v>ukryj</v>
      </c>
    </row>
    <row r="2106" spans="1:4" x14ac:dyDescent="0.3">
      <c r="A2106" t="s">
        <v>5067</v>
      </c>
      <c r="B2106" t="s">
        <v>5514</v>
      </c>
      <c r="C2106" s="22" t="s">
        <v>6461</v>
      </c>
      <c r="D2106" t="str">
        <f>Noty!J947</f>
        <v>ukryj</v>
      </c>
    </row>
    <row r="2107" spans="1:4" x14ac:dyDescent="0.3">
      <c r="A2107" t="s">
        <v>5067</v>
      </c>
      <c r="B2107" t="s">
        <v>5514</v>
      </c>
      <c r="C2107" s="22" t="s">
        <v>6462</v>
      </c>
      <c r="D2107" t="str">
        <f>Noty!J949</f>
        <v>ukryj</v>
      </c>
    </row>
    <row r="2108" spans="1:4" x14ac:dyDescent="0.3">
      <c r="A2108" t="s">
        <v>5067</v>
      </c>
      <c r="B2108" t="s">
        <v>5514</v>
      </c>
      <c r="C2108" s="22" t="s">
        <v>6463</v>
      </c>
      <c r="D2108" t="str">
        <f>Noty!J950</f>
        <v>ukryj</v>
      </c>
    </row>
    <row r="2109" spans="1:4" x14ac:dyDescent="0.3">
      <c r="A2109" t="s">
        <v>5067</v>
      </c>
      <c r="B2109" t="s">
        <v>5514</v>
      </c>
      <c r="C2109" s="22" t="s">
        <v>6464</v>
      </c>
      <c r="D2109" t="str">
        <f>IF(AND(Noty!H951=0,Noty!I951=0),"ukryj","odkryj")</f>
        <v>ukryj</v>
      </c>
    </row>
    <row r="2110" spans="1:4" x14ac:dyDescent="0.3">
      <c r="A2110" t="s">
        <v>5067</v>
      </c>
      <c r="B2110" t="s">
        <v>5514</v>
      </c>
      <c r="C2110" s="22" t="s">
        <v>6465</v>
      </c>
      <c r="D2110" t="str">
        <f>IF(AND(Noty!H952=0,Noty!I952=0),"ukryj","odkryj")</f>
        <v>ukryj</v>
      </c>
    </row>
    <row r="2111" spans="1:4" x14ac:dyDescent="0.3">
      <c r="A2111" t="s">
        <v>5067</v>
      </c>
      <c r="B2111" t="s">
        <v>5514</v>
      </c>
      <c r="C2111" s="22" t="s">
        <v>6466</v>
      </c>
      <c r="D2111" t="str">
        <f>IF(AND(Noty!H953=0,Noty!I953=0),"ukryj","odkryj")</f>
        <v>ukryj</v>
      </c>
    </row>
    <row r="2112" spans="1:4" x14ac:dyDescent="0.3">
      <c r="A2112" t="s">
        <v>5067</v>
      </c>
      <c r="B2112" t="s">
        <v>5514</v>
      </c>
      <c r="C2112" s="22" t="s">
        <v>6467</v>
      </c>
      <c r="D2112" t="str">
        <f>IF(AND(Noty!H954=0,Noty!I954=0),"ukryj","odkryj")</f>
        <v>ukryj</v>
      </c>
    </row>
    <row r="2113" spans="1:4" x14ac:dyDescent="0.3">
      <c r="A2113" t="s">
        <v>5067</v>
      </c>
      <c r="B2113" t="s">
        <v>5514</v>
      </c>
      <c r="C2113" s="22" t="s">
        <v>6468</v>
      </c>
      <c r="D2113" t="str">
        <f>IF(AND(Noty!H955=0,Noty!I955=0),"ukryj","odkryj")</f>
        <v>ukryj</v>
      </c>
    </row>
    <row r="2114" spans="1:4" x14ac:dyDescent="0.3">
      <c r="A2114" t="s">
        <v>5067</v>
      </c>
      <c r="B2114" t="s">
        <v>5514</v>
      </c>
      <c r="C2114" s="22" t="s">
        <v>6469</v>
      </c>
      <c r="D2114" t="str">
        <f>IF(AND(Noty!H956=0,Noty!I956=0),"ukryj","odkryj")</f>
        <v>ukryj</v>
      </c>
    </row>
    <row r="2115" spans="1:4" x14ac:dyDescent="0.3">
      <c r="A2115" t="s">
        <v>5067</v>
      </c>
      <c r="B2115" t="s">
        <v>5514</v>
      </c>
      <c r="C2115" s="22" t="s">
        <v>6470</v>
      </c>
      <c r="D2115" t="str">
        <f>IF(AND(Noty!H957=0,Noty!I957=0),"ukryj","odkryj")</f>
        <v>ukryj</v>
      </c>
    </row>
    <row r="2116" spans="1:4" x14ac:dyDescent="0.3">
      <c r="A2116" t="s">
        <v>5067</v>
      </c>
      <c r="B2116" t="s">
        <v>5514</v>
      </c>
      <c r="C2116" s="22" t="s">
        <v>6471</v>
      </c>
      <c r="D2116" t="str">
        <f>IF(AND(Noty!H958=0,Noty!I958=0),"ukryj","odkryj")</f>
        <v>ukryj</v>
      </c>
    </row>
    <row r="2117" spans="1:4" x14ac:dyDescent="0.3">
      <c r="A2117" t="s">
        <v>5067</v>
      </c>
      <c r="B2117" t="s">
        <v>5514</v>
      </c>
      <c r="C2117" s="22" t="s">
        <v>6472</v>
      </c>
      <c r="D2117" t="str">
        <f>Noty!J958</f>
        <v>ukryj</v>
      </c>
    </row>
    <row r="2118" spans="1:4" x14ac:dyDescent="0.3">
      <c r="A2118" t="s">
        <v>5067</v>
      </c>
      <c r="B2118" t="s">
        <v>5514</v>
      </c>
      <c r="C2118" s="22" t="s">
        <v>6473</v>
      </c>
      <c r="D2118" t="str">
        <f>Noty!J960</f>
        <v>ukryj</v>
      </c>
    </row>
    <row r="2119" spans="1:4" x14ac:dyDescent="0.3">
      <c r="A2119" t="s">
        <v>5067</v>
      </c>
      <c r="B2119" t="s">
        <v>5514</v>
      </c>
      <c r="C2119" s="22" t="s">
        <v>6474</v>
      </c>
      <c r="D2119" t="str">
        <f>Noty!J961</f>
        <v>ukryj</v>
      </c>
    </row>
    <row r="2120" spans="1:4" x14ac:dyDescent="0.3">
      <c r="A2120" t="s">
        <v>5067</v>
      </c>
      <c r="B2120" t="s">
        <v>5514</v>
      </c>
      <c r="C2120" s="22" t="s">
        <v>6475</v>
      </c>
      <c r="D2120" t="str">
        <f>IF(Noty!K962="n/a","ukryj","odkryj")</f>
        <v>ukryj</v>
      </c>
    </row>
    <row r="2121" spans="1:4" x14ac:dyDescent="0.3">
      <c r="A2121" t="s">
        <v>5067</v>
      </c>
      <c r="B2121" t="s">
        <v>5514</v>
      </c>
      <c r="C2121" s="22" t="s">
        <v>6476</v>
      </c>
      <c r="D2121" t="str">
        <f>Noty!J962</f>
        <v>ukryj</v>
      </c>
    </row>
    <row r="2122" spans="1:4" x14ac:dyDescent="0.3">
      <c r="A2122" t="s">
        <v>5067</v>
      </c>
      <c r="B2122" t="s">
        <v>5514</v>
      </c>
      <c r="C2122" s="22" t="s">
        <v>6477</v>
      </c>
      <c r="D2122" t="str">
        <f>Noty!J963</f>
        <v>ukryj</v>
      </c>
    </row>
    <row r="2123" spans="1:4" x14ac:dyDescent="0.3">
      <c r="A2123" t="s">
        <v>5067</v>
      </c>
      <c r="B2123" t="s">
        <v>5514</v>
      </c>
      <c r="C2123" s="22" t="s">
        <v>6478</v>
      </c>
      <c r="D2123" t="str">
        <f>Noty!J964</f>
        <v>ukryj</v>
      </c>
    </row>
    <row r="2124" spans="1:4" x14ac:dyDescent="0.3">
      <c r="A2124" t="s">
        <v>5067</v>
      </c>
      <c r="B2124" t="s">
        <v>5514</v>
      </c>
      <c r="C2124" s="22" t="s">
        <v>6479</v>
      </c>
      <c r="D2124" t="str">
        <f>Noty!J970</f>
        <v>ukryj</v>
      </c>
    </row>
    <row r="2125" spans="1:4" x14ac:dyDescent="0.3">
      <c r="A2125" t="s">
        <v>5067</v>
      </c>
      <c r="B2125" t="s">
        <v>5514</v>
      </c>
      <c r="C2125" s="22" t="s">
        <v>6480</v>
      </c>
      <c r="D2125" t="str">
        <f>IF(AND(Noty!H967=0,Noty!I967=0),"ukryj","odkryj")</f>
        <v>ukryj</v>
      </c>
    </row>
    <row r="2126" spans="1:4" x14ac:dyDescent="0.3">
      <c r="A2126" t="s">
        <v>5067</v>
      </c>
      <c r="B2126" t="s">
        <v>5514</v>
      </c>
      <c r="C2126" s="22" t="s">
        <v>6481</v>
      </c>
      <c r="D2126" t="str">
        <f>IF(AND(Noty!H968=0,Noty!I968=0),"ukryj","odkryj")</f>
        <v>ukryj</v>
      </c>
    </row>
    <row r="2127" spans="1:4" x14ac:dyDescent="0.3">
      <c r="A2127" t="s">
        <v>5067</v>
      </c>
      <c r="B2127" t="s">
        <v>5514</v>
      </c>
      <c r="C2127" s="22" t="s">
        <v>6482</v>
      </c>
      <c r="D2127" t="str">
        <f>IF(AND(Noty!H969=0,Noty!I969=0),"ukryj","odkryj")</f>
        <v>ukryj</v>
      </c>
    </row>
    <row r="2128" spans="1:4" x14ac:dyDescent="0.3">
      <c r="A2128" t="s">
        <v>5067</v>
      </c>
      <c r="B2128" t="s">
        <v>5514</v>
      </c>
      <c r="C2128" s="22" t="s">
        <v>6483</v>
      </c>
      <c r="D2128" t="str">
        <f>IF(AND(Noty!H970=0,Noty!I970=0),"ukryj","odkryj")</f>
        <v>ukryj</v>
      </c>
    </row>
    <row r="2129" spans="1:4" x14ac:dyDescent="0.3">
      <c r="A2129" t="s">
        <v>5067</v>
      </c>
      <c r="B2129" t="s">
        <v>5514</v>
      </c>
      <c r="C2129" s="22" t="s">
        <v>6484</v>
      </c>
      <c r="D2129" t="str">
        <f>Noty!J970</f>
        <v>ukryj</v>
      </c>
    </row>
    <row r="2130" spans="1:4" x14ac:dyDescent="0.3">
      <c r="A2130" t="s">
        <v>5067</v>
      </c>
      <c r="B2130" t="s">
        <v>5514</v>
      </c>
      <c r="C2130" s="22" t="s">
        <v>6485</v>
      </c>
      <c r="D2130" t="str">
        <f>Noty!J979</f>
        <v>ukryj</v>
      </c>
    </row>
    <row r="2131" spans="1:4" x14ac:dyDescent="0.3">
      <c r="A2131" t="s">
        <v>5067</v>
      </c>
      <c r="B2131" t="s">
        <v>5514</v>
      </c>
      <c r="C2131" s="22" t="s">
        <v>6486</v>
      </c>
      <c r="D2131" t="str">
        <f>IF(AND(Noty!H973=0,Noty!I973=0),"ukryj","odkryj")</f>
        <v>ukryj</v>
      </c>
    </row>
    <row r="2132" spans="1:4" x14ac:dyDescent="0.3">
      <c r="A2132" t="s">
        <v>5067</v>
      </c>
      <c r="B2132" t="s">
        <v>5514</v>
      </c>
      <c r="C2132" s="22" t="s">
        <v>6487</v>
      </c>
      <c r="D2132" t="str">
        <f>IF(AND(Noty!H974=0,Noty!I974=0),"ukryj","odkryj")</f>
        <v>ukryj</v>
      </c>
    </row>
    <row r="2133" spans="1:4" x14ac:dyDescent="0.3">
      <c r="A2133" t="s">
        <v>5067</v>
      </c>
      <c r="B2133" t="s">
        <v>5514</v>
      </c>
      <c r="C2133" s="22" t="s">
        <v>6488</v>
      </c>
      <c r="D2133" t="str">
        <f>IF(AND(Noty!H975=0,Noty!I975=0),"ukryj","odkryj")</f>
        <v>ukryj</v>
      </c>
    </row>
    <row r="2134" spans="1:4" x14ac:dyDescent="0.3">
      <c r="A2134" t="s">
        <v>5067</v>
      </c>
      <c r="B2134" t="s">
        <v>5514</v>
      </c>
      <c r="C2134" s="22" t="s">
        <v>6489</v>
      </c>
      <c r="D2134" t="str">
        <f>IF(AND(Noty!H976=0,Noty!I976=0),"ukryj","odkryj")</f>
        <v>ukryj</v>
      </c>
    </row>
    <row r="2135" spans="1:4" x14ac:dyDescent="0.3">
      <c r="A2135" t="s">
        <v>5067</v>
      </c>
      <c r="B2135" t="s">
        <v>5514</v>
      </c>
      <c r="C2135" s="22" t="s">
        <v>6490</v>
      </c>
      <c r="D2135" t="str">
        <f>IF(AND(Noty!H977=0,Noty!I977=0),"ukryj","odkryj")</f>
        <v>ukryj</v>
      </c>
    </row>
    <row r="2136" spans="1:4" x14ac:dyDescent="0.3">
      <c r="A2136" t="s">
        <v>5067</v>
      </c>
      <c r="B2136" t="s">
        <v>5514</v>
      </c>
      <c r="C2136" s="22" t="s">
        <v>6491</v>
      </c>
      <c r="D2136" t="str">
        <f>IF(AND(Noty!H978=0,Noty!I978=0),"ukryj","odkryj")</f>
        <v>ukryj</v>
      </c>
    </row>
    <row r="2137" spans="1:4" x14ac:dyDescent="0.3">
      <c r="A2137" t="s">
        <v>5067</v>
      </c>
      <c r="B2137" t="s">
        <v>5514</v>
      </c>
      <c r="C2137" s="22" t="s">
        <v>6492</v>
      </c>
      <c r="D2137" t="str">
        <f>IF(AND(Noty!H979=0,Noty!I979=0),"ukryj","odkryj")</f>
        <v>ukryj</v>
      </c>
    </row>
    <row r="2138" spans="1:4" x14ac:dyDescent="0.3">
      <c r="A2138" t="s">
        <v>5067</v>
      </c>
      <c r="B2138" t="s">
        <v>5514</v>
      </c>
      <c r="C2138" s="22" t="s">
        <v>6493</v>
      </c>
      <c r="D2138" t="str">
        <f>Noty!J979</f>
        <v>ukryj</v>
      </c>
    </row>
    <row r="2139" spans="1:4" x14ac:dyDescent="0.3">
      <c r="A2139" t="s">
        <v>5067</v>
      </c>
      <c r="B2139" t="s">
        <v>5514</v>
      </c>
      <c r="C2139" s="22" t="s">
        <v>6494</v>
      </c>
      <c r="D2139" t="str">
        <f>IF(AND(Noty!H981=0,Noty!I981=0),"ukryj","odkryj")</f>
        <v>ukryj</v>
      </c>
    </row>
    <row r="2140" spans="1:4" x14ac:dyDescent="0.3">
      <c r="A2140" t="s">
        <v>5067</v>
      </c>
      <c r="B2140" t="s">
        <v>5514</v>
      </c>
      <c r="C2140" s="22" t="s">
        <v>6495</v>
      </c>
      <c r="D2140" t="str">
        <f>Noty!J981</f>
        <v>ukryj</v>
      </c>
    </row>
    <row r="2141" spans="1:4" x14ac:dyDescent="0.3">
      <c r="A2141" t="s">
        <v>5067</v>
      </c>
      <c r="B2141" t="s">
        <v>5514</v>
      </c>
      <c r="C2141" s="22" t="s">
        <v>6496</v>
      </c>
      <c r="D2141" t="str">
        <f>Noty!J986</f>
        <v>ukryj</v>
      </c>
    </row>
    <row r="2142" spans="1:4" x14ac:dyDescent="0.3">
      <c r="A2142" t="s">
        <v>5067</v>
      </c>
      <c r="B2142" t="s">
        <v>5514</v>
      </c>
      <c r="C2142" s="22" t="s">
        <v>6497</v>
      </c>
      <c r="D2142" t="str">
        <f>IF(AND(Noty!H984=0,Noty!I984=0),"ukryj","odkryj")</f>
        <v>ukryj</v>
      </c>
    </row>
    <row r="2143" spans="1:4" x14ac:dyDescent="0.3">
      <c r="A2143" t="s">
        <v>5067</v>
      </c>
      <c r="B2143" t="s">
        <v>5514</v>
      </c>
      <c r="C2143" s="22" t="s">
        <v>6498</v>
      </c>
      <c r="D2143" t="str">
        <f>IF(AND(Noty!H985=0,Noty!I985=0),"ukryj","odkryj")</f>
        <v>ukryj</v>
      </c>
    </row>
    <row r="2144" spans="1:4" x14ac:dyDescent="0.3">
      <c r="A2144" t="s">
        <v>5067</v>
      </c>
      <c r="B2144" t="s">
        <v>5514</v>
      </c>
      <c r="C2144" s="22" t="s">
        <v>6499</v>
      </c>
      <c r="D2144" t="str">
        <f>IF(AND(Noty!H986=0,Noty!I986=0),"ukryj","odkryj")</f>
        <v>ukryj</v>
      </c>
    </row>
    <row r="2145" spans="1:4" x14ac:dyDescent="0.3">
      <c r="A2145" t="s">
        <v>5067</v>
      </c>
      <c r="B2145" t="s">
        <v>5514</v>
      </c>
      <c r="C2145" s="22" t="s">
        <v>6500</v>
      </c>
      <c r="D2145" t="str">
        <f>Noty!J986</f>
        <v>ukryj</v>
      </c>
    </row>
    <row r="2146" spans="1:4" x14ac:dyDescent="0.3">
      <c r="A2146" t="s">
        <v>5067</v>
      </c>
      <c r="B2146" t="s">
        <v>5514</v>
      </c>
      <c r="C2146" s="22" t="s">
        <v>6501</v>
      </c>
      <c r="D2146" t="str">
        <f>IF(AND(Noty!H988=0,Noty!I988=0),"ukryj","odkryj")</f>
        <v>ukryj</v>
      </c>
    </row>
    <row r="2147" spans="1:4" x14ac:dyDescent="0.3">
      <c r="A2147" t="s">
        <v>5067</v>
      </c>
      <c r="B2147" t="s">
        <v>5514</v>
      </c>
      <c r="C2147" s="22" t="s">
        <v>6502</v>
      </c>
      <c r="D2147" t="str">
        <f>Noty!J988</f>
        <v>ukryj</v>
      </c>
    </row>
    <row r="2148" spans="1:4" x14ac:dyDescent="0.3">
      <c r="A2148" t="s">
        <v>5067</v>
      </c>
      <c r="B2148" t="s">
        <v>5514</v>
      </c>
      <c r="C2148" s="22" t="s">
        <v>6503</v>
      </c>
      <c r="D2148" t="str">
        <f>IF(Noty!K990="n/a","ukryj","odkryj")</f>
        <v>ukryj</v>
      </c>
    </row>
    <row r="2149" spans="1:4" x14ac:dyDescent="0.3">
      <c r="A2149" t="s">
        <v>5067</v>
      </c>
      <c r="B2149" t="s">
        <v>5514</v>
      </c>
      <c r="C2149" s="22" t="s">
        <v>6504</v>
      </c>
      <c r="D2149" t="str">
        <f>Noty!J990</f>
        <v>ukryj</v>
      </c>
    </row>
    <row r="2150" spans="1:4" x14ac:dyDescent="0.3">
      <c r="A2150" t="s">
        <v>5067</v>
      </c>
      <c r="B2150" t="s">
        <v>5514</v>
      </c>
      <c r="C2150" s="22" t="s">
        <v>6505</v>
      </c>
      <c r="D2150" t="str">
        <f>Noty!J991</f>
        <v>ukryj</v>
      </c>
    </row>
    <row r="2151" spans="1:4" x14ac:dyDescent="0.3">
      <c r="A2151" t="s">
        <v>5067</v>
      </c>
      <c r="B2151" t="s">
        <v>5514</v>
      </c>
      <c r="C2151" s="22" t="s">
        <v>6506</v>
      </c>
      <c r="D2151" t="str">
        <f>Noty!J992</f>
        <v>ukryj</v>
      </c>
    </row>
    <row r="2152" spans="1:4" x14ac:dyDescent="0.3">
      <c r="A2152" t="s">
        <v>5067</v>
      </c>
      <c r="B2152" t="s">
        <v>5514</v>
      </c>
      <c r="C2152" s="22" t="s">
        <v>6507</v>
      </c>
      <c r="D2152" t="str">
        <f>Noty!J998</f>
        <v>ukryj</v>
      </c>
    </row>
    <row r="2153" spans="1:4" x14ac:dyDescent="0.3">
      <c r="A2153" t="s">
        <v>5067</v>
      </c>
      <c r="B2153" t="s">
        <v>5514</v>
      </c>
      <c r="C2153" s="22" t="s">
        <v>6508</v>
      </c>
      <c r="D2153" t="str">
        <f>IF(AND(Noty!H995=0,Noty!I995=0),"ukryj","odkryj")</f>
        <v>ukryj</v>
      </c>
    </row>
    <row r="2154" spans="1:4" x14ac:dyDescent="0.3">
      <c r="A2154" t="s">
        <v>5067</v>
      </c>
      <c r="B2154" t="s">
        <v>5514</v>
      </c>
      <c r="C2154" s="22" t="s">
        <v>6509</v>
      </c>
      <c r="D2154" t="str">
        <f>IF(AND(Noty!H996=0,Noty!I996=0),"ukryj","odkryj")</f>
        <v>ukryj</v>
      </c>
    </row>
    <row r="2155" spans="1:4" x14ac:dyDescent="0.3">
      <c r="A2155" t="s">
        <v>5067</v>
      </c>
      <c r="B2155" t="s">
        <v>5514</v>
      </c>
      <c r="C2155" s="22" t="s">
        <v>6510</v>
      </c>
      <c r="D2155" t="str">
        <f>IF(AND(Noty!H997=0,Noty!I997=0),"ukryj","odkryj")</f>
        <v>ukryj</v>
      </c>
    </row>
    <row r="2156" spans="1:4" x14ac:dyDescent="0.3">
      <c r="A2156" t="s">
        <v>5067</v>
      </c>
      <c r="B2156" t="s">
        <v>5514</v>
      </c>
      <c r="C2156" s="22" t="s">
        <v>6511</v>
      </c>
      <c r="D2156" t="str">
        <f>IF(AND(Noty!H998=0,Noty!I998=0),"ukryj","odkryj")</f>
        <v>ukryj</v>
      </c>
    </row>
    <row r="2157" spans="1:4" x14ac:dyDescent="0.3">
      <c r="A2157" t="s">
        <v>5067</v>
      </c>
      <c r="B2157" t="s">
        <v>5514</v>
      </c>
      <c r="C2157" s="22" t="s">
        <v>6512</v>
      </c>
      <c r="D2157" t="str">
        <f>Noty!J998</f>
        <v>ukryj</v>
      </c>
    </row>
    <row r="2158" spans="1:4" x14ac:dyDescent="0.3">
      <c r="A2158" t="s">
        <v>5067</v>
      </c>
      <c r="B2158" t="s">
        <v>5514</v>
      </c>
      <c r="C2158" s="22" t="s">
        <v>6513</v>
      </c>
      <c r="D2158" t="str">
        <f>Noty!J1007</f>
        <v>ukryj</v>
      </c>
    </row>
    <row r="2159" spans="1:4" x14ac:dyDescent="0.3">
      <c r="A2159" t="s">
        <v>5067</v>
      </c>
      <c r="B2159" t="s">
        <v>5514</v>
      </c>
      <c r="C2159" s="22" t="s">
        <v>6514</v>
      </c>
      <c r="D2159" t="str">
        <f>IF(AND(Noty!H1001=0,Noty!I1001=0),"ukryj","odkryj")</f>
        <v>ukryj</v>
      </c>
    </row>
    <row r="2160" spans="1:4" x14ac:dyDescent="0.3">
      <c r="A2160" t="s">
        <v>5067</v>
      </c>
      <c r="B2160" t="s">
        <v>5514</v>
      </c>
      <c r="C2160" s="22" t="s">
        <v>6515</v>
      </c>
      <c r="D2160" t="str">
        <f>IF(AND(Noty!H1002=0,Noty!I1002=0),"ukryj","odkryj")</f>
        <v>ukryj</v>
      </c>
    </row>
    <row r="2161" spans="1:4" x14ac:dyDescent="0.3">
      <c r="A2161" t="s">
        <v>5067</v>
      </c>
      <c r="B2161" t="s">
        <v>5514</v>
      </c>
      <c r="C2161" s="22" t="s">
        <v>6516</v>
      </c>
      <c r="D2161" t="str">
        <f>IF(AND(Noty!H1003=0,Noty!I1003=0),"ukryj","odkryj")</f>
        <v>ukryj</v>
      </c>
    </row>
    <row r="2162" spans="1:4" x14ac:dyDescent="0.3">
      <c r="A2162" t="s">
        <v>5067</v>
      </c>
      <c r="B2162" t="s">
        <v>5514</v>
      </c>
      <c r="C2162" s="22" t="s">
        <v>6517</v>
      </c>
      <c r="D2162" t="str">
        <f>IF(AND(Noty!H1004=0,Noty!I1004=0),"ukryj","odkryj")</f>
        <v>ukryj</v>
      </c>
    </row>
    <row r="2163" spans="1:4" x14ac:dyDescent="0.3">
      <c r="A2163" t="s">
        <v>5067</v>
      </c>
      <c r="B2163" t="s">
        <v>5514</v>
      </c>
      <c r="C2163" s="22" t="s">
        <v>6518</v>
      </c>
      <c r="D2163" t="str">
        <f>IF(AND(Noty!H1005=0,Noty!I1005=0),"ukryj","odkryj")</f>
        <v>ukryj</v>
      </c>
    </row>
    <row r="2164" spans="1:4" x14ac:dyDescent="0.3">
      <c r="A2164" t="s">
        <v>5067</v>
      </c>
      <c r="B2164" t="s">
        <v>5514</v>
      </c>
      <c r="C2164" s="22" t="s">
        <v>6519</v>
      </c>
      <c r="D2164" t="str">
        <f>IF(AND(Noty!H1006=0,Noty!I1006=0),"ukryj","odkryj")</f>
        <v>ukryj</v>
      </c>
    </row>
    <row r="2165" spans="1:4" x14ac:dyDescent="0.3">
      <c r="A2165" t="s">
        <v>5067</v>
      </c>
      <c r="B2165" t="s">
        <v>5514</v>
      </c>
      <c r="C2165" s="22" t="s">
        <v>6520</v>
      </c>
      <c r="D2165" t="str">
        <f>IF(AND(Noty!H1007=0,Noty!I1007=0),"ukryj","odkryj")</f>
        <v>ukryj</v>
      </c>
    </row>
    <row r="2166" spans="1:4" x14ac:dyDescent="0.3">
      <c r="A2166" t="s">
        <v>5067</v>
      </c>
      <c r="B2166" t="s">
        <v>5514</v>
      </c>
      <c r="C2166" s="22" t="s">
        <v>6521</v>
      </c>
      <c r="D2166" t="str">
        <f>Noty!J1012</f>
        <v>ukryj</v>
      </c>
    </row>
    <row r="2167" spans="1:4" x14ac:dyDescent="0.3">
      <c r="A2167" t="s">
        <v>5067</v>
      </c>
      <c r="B2167" t="s">
        <v>5514</v>
      </c>
      <c r="C2167" s="22" t="s">
        <v>6522</v>
      </c>
      <c r="D2167" t="str">
        <f>IF(AND(Noty!H1009=0,Noty!I1009=0),"ukryj","odkryj")</f>
        <v>ukryj</v>
      </c>
    </row>
    <row r="2168" spans="1:4" x14ac:dyDescent="0.3">
      <c r="A2168" t="s">
        <v>5067</v>
      </c>
      <c r="B2168" t="s">
        <v>5514</v>
      </c>
      <c r="C2168" s="22" t="s">
        <v>6523</v>
      </c>
      <c r="D2168" t="str">
        <f>IF(AND(Noty!H1010=0,Noty!I1010=0),"ukryj","odkryj")</f>
        <v>ukryj</v>
      </c>
    </row>
    <row r="2169" spans="1:4" x14ac:dyDescent="0.3">
      <c r="A2169" t="s">
        <v>5067</v>
      </c>
      <c r="B2169" t="s">
        <v>5514</v>
      </c>
      <c r="C2169" s="22" t="s">
        <v>6524</v>
      </c>
      <c r="D2169" t="str">
        <f>IF(AND(Noty!H1011=0,Noty!I1011=0),"ukryj","odkryj")</f>
        <v>ukryj</v>
      </c>
    </row>
    <row r="2170" spans="1:4" x14ac:dyDescent="0.3">
      <c r="A2170" t="s">
        <v>5067</v>
      </c>
      <c r="B2170" t="s">
        <v>5514</v>
      </c>
      <c r="C2170" s="22" t="s">
        <v>6525</v>
      </c>
      <c r="D2170" t="str">
        <f>IF(AND(Noty!H1012=0,Noty!I1012=0),"ukryj","odkryj")</f>
        <v>ukryj</v>
      </c>
    </row>
    <row r="2171" spans="1:4" x14ac:dyDescent="0.3">
      <c r="A2171" t="s">
        <v>5067</v>
      </c>
      <c r="B2171" t="s">
        <v>5514</v>
      </c>
      <c r="C2171" s="22" t="s">
        <v>6526</v>
      </c>
      <c r="D2171" t="str">
        <f>Noty!J1012</f>
        <v>ukryj</v>
      </c>
    </row>
    <row r="2172" spans="1:4" x14ac:dyDescent="0.3">
      <c r="A2172" t="s">
        <v>5067</v>
      </c>
      <c r="B2172" t="s">
        <v>5514</v>
      </c>
      <c r="C2172" s="22" t="s">
        <v>6527</v>
      </c>
      <c r="D2172" t="str">
        <f>IF(AND(Noty!H1014=0,Noty!I1014=0),"ukryj","odkryj")</f>
        <v>ukryj</v>
      </c>
    </row>
    <row r="2173" spans="1:4" x14ac:dyDescent="0.3">
      <c r="A2173" t="s">
        <v>5067</v>
      </c>
      <c r="B2173" t="s">
        <v>5514</v>
      </c>
      <c r="C2173" s="22" t="s">
        <v>6528</v>
      </c>
      <c r="D2173" t="str">
        <f>Noty!J1014</f>
        <v>ukryj</v>
      </c>
    </row>
    <row r="2174" spans="1:4" x14ac:dyDescent="0.3">
      <c r="A2174" t="s">
        <v>5067</v>
      </c>
      <c r="B2174" t="s">
        <v>5514</v>
      </c>
      <c r="C2174" s="22" t="s">
        <v>6529</v>
      </c>
      <c r="D2174" t="str">
        <f>IF(Noty!K1016="n/a","ukryj","odkryj")</f>
        <v>ukryj</v>
      </c>
    </row>
    <row r="2175" spans="1:4" x14ac:dyDescent="0.3">
      <c r="A2175" t="s">
        <v>5067</v>
      </c>
      <c r="B2175" t="s">
        <v>5514</v>
      </c>
      <c r="C2175" s="22" t="s">
        <v>6530</v>
      </c>
      <c r="D2175" t="str">
        <f>Noty!J1016</f>
        <v>ukryj</v>
      </c>
    </row>
    <row r="2176" spans="1:4" x14ac:dyDescent="0.3">
      <c r="A2176" t="s">
        <v>5067</v>
      </c>
      <c r="B2176" t="s">
        <v>5514</v>
      </c>
      <c r="C2176" s="22" t="s">
        <v>6531</v>
      </c>
      <c r="D2176" t="str">
        <f>IF(Noty!K1018="n/a","ukryj","odkryj")</f>
        <v>ukryj</v>
      </c>
    </row>
    <row r="2177" spans="1:4" x14ac:dyDescent="0.3">
      <c r="A2177" t="s">
        <v>5067</v>
      </c>
      <c r="B2177" t="s">
        <v>5514</v>
      </c>
      <c r="C2177" s="22" t="s">
        <v>6532</v>
      </c>
      <c r="D2177" t="str">
        <f>Noty!J1018</f>
        <v>ukryj</v>
      </c>
    </row>
    <row r="2178" spans="1:4" x14ac:dyDescent="0.3">
      <c r="A2178" t="s">
        <v>5067</v>
      </c>
      <c r="B2178" t="s">
        <v>5514</v>
      </c>
      <c r="C2178" s="22" t="s">
        <v>6533</v>
      </c>
      <c r="D2178" t="str">
        <f>Noty!J1019</f>
        <v>ukryj</v>
      </c>
    </row>
    <row r="2179" spans="1:4" x14ac:dyDescent="0.3">
      <c r="A2179" t="s">
        <v>5067</v>
      </c>
      <c r="B2179" t="s">
        <v>5514</v>
      </c>
      <c r="C2179" s="22" t="s">
        <v>6534</v>
      </c>
      <c r="D2179" t="str">
        <f>Noty!J1020</f>
        <v>ukryj</v>
      </c>
    </row>
    <row r="2180" spans="1:4" x14ac:dyDescent="0.3">
      <c r="A2180" t="s">
        <v>5067</v>
      </c>
      <c r="B2180" t="s">
        <v>5514</v>
      </c>
      <c r="C2180" s="22" t="s">
        <v>6535</v>
      </c>
      <c r="D2180" t="str">
        <f>Noty!J1021</f>
        <v>ukryj</v>
      </c>
    </row>
    <row r="2181" spans="1:4" x14ac:dyDescent="0.3">
      <c r="A2181" t="s">
        <v>5067</v>
      </c>
      <c r="B2181" t="s">
        <v>5514</v>
      </c>
      <c r="C2181" s="22" t="s">
        <v>6536</v>
      </c>
      <c r="D2181" t="str">
        <f>IF(AND(Noty!D1023=0,Noty!F1023=0,Noty!H1023=0),"ukryj","odkryj")</f>
        <v>ukryj</v>
      </c>
    </row>
    <row r="2182" spans="1:4" x14ac:dyDescent="0.3">
      <c r="A2182" t="s">
        <v>5067</v>
      </c>
      <c r="B2182" t="s">
        <v>5514</v>
      </c>
      <c r="C2182" s="22" t="s">
        <v>6537</v>
      </c>
      <c r="D2182" t="str">
        <f>IF(AND(Noty!D1024=0,Noty!F1024=0,Noty!H1024=0),"ukryj","odkryj")</f>
        <v>ukryj</v>
      </c>
    </row>
    <row r="2183" spans="1:4" x14ac:dyDescent="0.3">
      <c r="A2183" t="s">
        <v>5067</v>
      </c>
      <c r="B2183" t="s">
        <v>5514</v>
      </c>
      <c r="C2183" s="22" t="s">
        <v>6538</v>
      </c>
      <c r="D2183" t="str">
        <f>IF(AND(Noty!D1025=0,Noty!F1025=0,Noty!H1025=0),"ukryj","odkryj")</f>
        <v>ukryj</v>
      </c>
    </row>
    <row r="2184" spans="1:4" x14ac:dyDescent="0.3">
      <c r="A2184" t="s">
        <v>5067</v>
      </c>
      <c r="B2184" t="s">
        <v>5514</v>
      </c>
      <c r="C2184" s="22" t="s">
        <v>6539</v>
      </c>
      <c r="D2184" t="str">
        <f>IF(AND(Noty!D1026=0,Noty!F1026=0,Noty!H1026=0),"ukryj","odkryj")</f>
        <v>ukryj</v>
      </c>
    </row>
    <row r="2185" spans="1:4" x14ac:dyDescent="0.3">
      <c r="A2185" t="s">
        <v>5067</v>
      </c>
      <c r="B2185" t="s">
        <v>5514</v>
      </c>
      <c r="C2185" s="22" t="s">
        <v>6540</v>
      </c>
      <c r="D2185" t="str">
        <f>IF(AND(Noty!D1027=0,Noty!F1027=0,Noty!H1027=0),"ukryj","odkryj")</f>
        <v>ukryj</v>
      </c>
    </row>
    <row r="2186" spans="1:4" x14ac:dyDescent="0.3">
      <c r="A2186" t="s">
        <v>5067</v>
      </c>
      <c r="B2186" t="s">
        <v>5514</v>
      </c>
      <c r="C2186" s="22" t="s">
        <v>6541</v>
      </c>
      <c r="D2186" t="str">
        <f>IF(AND(Noty!D1028=0,Noty!F1028=0,Noty!H1028=0),"ukryj","odkryj")</f>
        <v>ukryj</v>
      </c>
    </row>
    <row r="2187" spans="1:4" x14ac:dyDescent="0.3">
      <c r="A2187" t="s">
        <v>5067</v>
      </c>
      <c r="B2187" t="s">
        <v>5514</v>
      </c>
      <c r="C2187" s="22" t="s">
        <v>6542</v>
      </c>
      <c r="D2187" t="str">
        <f>IF(AND(Noty!D1029=0,Noty!F1029=0,Noty!H1029=0),"ukryj","odkryj")</f>
        <v>ukryj</v>
      </c>
    </row>
    <row r="2188" spans="1:4" x14ac:dyDescent="0.3">
      <c r="A2188" t="s">
        <v>5067</v>
      </c>
      <c r="B2188" t="s">
        <v>5514</v>
      </c>
      <c r="C2188" s="22" t="s">
        <v>6543</v>
      </c>
      <c r="D2188" t="str">
        <f>IF(AND(Noty!D1030=0,Noty!F1030=0,Noty!H1030=0),"ukryj","odkryj")</f>
        <v>ukryj</v>
      </c>
    </row>
    <row r="2189" spans="1:4" x14ac:dyDescent="0.3">
      <c r="A2189" t="s">
        <v>5067</v>
      </c>
      <c r="B2189" t="s">
        <v>5514</v>
      </c>
      <c r="C2189" s="22" t="s">
        <v>6544</v>
      </c>
      <c r="D2189" t="str">
        <f>IF(AND(Noty!D1031=0,Noty!F1031=0,Noty!H1031=0),"ukryj","odkryj")</f>
        <v>ukryj</v>
      </c>
    </row>
    <row r="2190" spans="1:4" x14ac:dyDescent="0.3">
      <c r="A2190" t="s">
        <v>5067</v>
      </c>
      <c r="B2190" t="s">
        <v>5514</v>
      </c>
      <c r="C2190" s="22" t="s">
        <v>6545</v>
      </c>
      <c r="D2190" t="str">
        <f>IF(AND(Noty!D1032=0,Noty!F1032=0,Noty!H1032=0),"ukryj","odkryj")</f>
        <v>ukryj</v>
      </c>
    </row>
    <row r="2191" spans="1:4" x14ac:dyDescent="0.3">
      <c r="A2191" t="s">
        <v>5067</v>
      </c>
      <c r="B2191" t="s">
        <v>5514</v>
      </c>
      <c r="C2191" s="22" t="s">
        <v>6546</v>
      </c>
      <c r="D2191" t="str">
        <f>IF(AND(Noty!D1033=0,Noty!F1033=0,Noty!H1033=0),"ukryj","odkryj")</f>
        <v>ukryj</v>
      </c>
    </row>
    <row r="2192" spans="1:4" x14ac:dyDescent="0.3">
      <c r="A2192" t="s">
        <v>5067</v>
      </c>
      <c r="B2192" t="s">
        <v>5514</v>
      </c>
      <c r="C2192" s="22" t="s">
        <v>6547</v>
      </c>
      <c r="D2192" t="str">
        <f>Noty!J1033</f>
        <v>ukryj</v>
      </c>
    </row>
    <row r="2193" spans="1:4" x14ac:dyDescent="0.3">
      <c r="A2193" t="s">
        <v>5067</v>
      </c>
      <c r="B2193" t="s">
        <v>5514</v>
      </c>
      <c r="C2193" s="22" t="s">
        <v>6548</v>
      </c>
      <c r="D2193" t="str">
        <f>IF(Noty!K1035="n/a","ukryj","odkryj")</f>
        <v>ukryj</v>
      </c>
    </row>
    <row r="2194" spans="1:4" x14ac:dyDescent="0.3">
      <c r="A2194" t="s">
        <v>5067</v>
      </c>
      <c r="B2194" t="s">
        <v>5514</v>
      </c>
      <c r="C2194" s="22" t="s">
        <v>6549</v>
      </c>
      <c r="D2194" t="str">
        <f>Noty!J1035</f>
        <v>ukryj</v>
      </c>
    </row>
    <row r="2195" spans="1:4" x14ac:dyDescent="0.3">
      <c r="A2195" t="s">
        <v>5067</v>
      </c>
      <c r="B2195" t="s">
        <v>5514</v>
      </c>
      <c r="C2195" s="22" t="s">
        <v>6550</v>
      </c>
      <c r="D2195" t="str">
        <f>Noty!J1036</f>
        <v>ukryj</v>
      </c>
    </row>
    <row r="2196" spans="1:4" x14ac:dyDescent="0.3">
      <c r="A2196" t="s">
        <v>5067</v>
      </c>
      <c r="B2196" t="s">
        <v>5514</v>
      </c>
      <c r="C2196" s="22" t="s">
        <v>6551</v>
      </c>
      <c r="D2196" t="str">
        <f>Noty!J1045</f>
        <v>ukryj</v>
      </c>
    </row>
    <row r="2197" spans="1:4" x14ac:dyDescent="0.3">
      <c r="A2197" t="s">
        <v>5067</v>
      </c>
      <c r="B2197" t="s">
        <v>5514</v>
      </c>
      <c r="C2197" s="22" t="s">
        <v>6552</v>
      </c>
      <c r="D2197" t="str">
        <f>IF(AND(Noty!H1039=0,Noty!I1039=0),"ukryj","odkryj")</f>
        <v>ukryj</v>
      </c>
    </row>
    <row r="2198" spans="1:4" x14ac:dyDescent="0.3">
      <c r="A2198" t="s">
        <v>5067</v>
      </c>
      <c r="B2198" t="s">
        <v>5514</v>
      </c>
      <c r="C2198" s="22" t="s">
        <v>6553</v>
      </c>
      <c r="D2198" t="str">
        <f>IF(AND(Noty!H1040=0,Noty!I1040=0),"ukryj","odkryj")</f>
        <v>ukryj</v>
      </c>
    </row>
    <row r="2199" spans="1:4" x14ac:dyDescent="0.3">
      <c r="A2199" t="s">
        <v>5067</v>
      </c>
      <c r="B2199" t="s">
        <v>5514</v>
      </c>
      <c r="C2199" s="22" t="s">
        <v>6554</v>
      </c>
      <c r="D2199" t="str">
        <f>IF(AND(Noty!H1041=0,Noty!I1041=0),"ukryj","odkryj")</f>
        <v>ukryj</v>
      </c>
    </row>
    <row r="2200" spans="1:4" x14ac:dyDescent="0.3">
      <c r="A2200" t="s">
        <v>5067</v>
      </c>
      <c r="B2200" t="s">
        <v>5514</v>
      </c>
      <c r="C2200" s="22" t="s">
        <v>6555</v>
      </c>
      <c r="D2200" t="str">
        <f>IF(AND(Noty!H1042=0,Noty!I1042=0),"ukryj","odkryj")</f>
        <v>ukryj</v>
      </c>
    </row>
    <row r="2201" spans="1:4" x14ac:dyDescent="0.3">
      <c r="A2201" t="s">
        <v>5067</v>
      </c>
      <c r="B2201" t="s">
        <v>5514</v>
      </c>
      <c r="C2201" s="22" t="s">
        <v>6556</v>
      </c>
      <c r="D2201" t="str">
        <f>IF(AND(Noty!H1043=0,Noty!I1043=0),"ukryj","odkryj")</f>
        <v>ukryj</v>
      </c>
    </row>
    <row r="2202" spans="1:4" x14ac:dyDescent="0.3">
      <c r="A2202" t="s">
        <v>5067</v>
      </c>
      <c r="B2202" t="s">
        <v>5514</v>
      </c>
      <c r="C2202" s="22" t="s">
        <v>6557</v>
      </c>
      <c r="D2202" t="str">
        <f>IF(AND(Noty!H1044=0,Noty!I1044=0),"ukryj","odkryj")</f>
        <v>ukryj</v>
      </c>
    </row>
    <row r="2203" spans="1:4" x14ac:dyDescent="0.3">
      <c r="A2203" t="s">
        <v>5067</v>
      </c>
      <c r="B2203" t="s">
        <v>5514</v>
      </c>
      <c r="C2203" s="22" t="s">
        <v>6558</v>
      </c>
      <c r="D2203" t="str">
        <f>IF(AND(Noty!H1045=0,Noty!I1045=0),"ukryj","odkryj")</f>
        <v>ukryj</v>
      </c>
    </row>
    <row r="2204" spans="1:4" x14ac:dyDescent="0.3">
      <c r="A2204" t="s">
        <v>5067</v>
      </c>
      <c r="B2204" t="s">
        <v>5514</v>
      </c>
      <c r="C2204" s="22" t="s">
        <v>6559</v>
      </c>
      <c r="D2204" t="str">
        <f>Noty!J1045</f>
        <v>ukryj</v>
      </c>
    </row>
    <row r="2205" spans="1:4" x14ac:dyDescent="0.3">
      <c r="A2205" t="s">
        <v>5067</v>
      </c>
      <c r="B2205" t="s">
        <v>5514</v>
      </c>
      <c r="C2205" s="22" t="s">
        <v>6560</v>
      </c>
      <c r="D2205" t="str">
        <f>Noty!J1065</f>
        <v>ukryj</v>
      </c>
    </row>
    <row r="2206" spans="1:4" x14ac:dyDescent="0.3">
      <c r="A2206" t="s">
        <v>5067</v>
      </c>
      <c r="B2206" t="s">
        <v>5514</v>
      </c>
      <c r="C2206" s="22" t="s">
        <v>6561</v>
      </c>
      <c r="D2206" t="str">
        <f>Noty!J1055</f>
        <v>ukryj</v>
      </c>
    </row>
    <row r="2207" spans="1:4" x14ac:dyDescent="0.3">
      <c r="A2207" t="s">
        <v>5067</v>
      </c>
      <c r="B2207" t="s">
        <v>5514</v>
      </c>
      <c r="C2207" s="22" t="s">
        <v>6562</v>
      </c>
      <c r="D2207" t="str">
        <f>IF(AND(Noty!H1049=0,Noty!I1049=0),"ukryj","odkryj")</f>
        <v>ukryj</v>
      </c>
    </row>
    <row r="2208" spans="1:4" x14ac:dyDescent="0.3">
      <c r="A2208" t="s">
        <v>5067</v>
      </c>
      <c r="B2208" t="s">
        <v>5514</v>
      </c>
      <c r="C2208" s="22" t="s">
        <v>6563</v>
      </c>
      <c r="D2208" t="str">
        <f>IF(AND(Noty!H1050=0,Noty!I1050=0),"ukryj","odkryj")</f>
        <v>ukryj</v>
      </c>
    </row>
    <row r="2209" spans="1:4" x14ac:dyDescent="0.3">
      <c r="A2209" t="s">
        <v>5067</v>
      </c>
      <c r="B2209" t="s">
        <v>5514</v>
      </c>
      <c r="C2209" s="22" t="s">
        <v>6564</v>
      </c>
      <c r="D2209" t="str">
        <f>IF(AND(Noty!H1051=0,Noty!I1051=0),"ukryj","odkryj")</f>
        <v>ukryj</v>
      </c>
    </row>
    <row r="2210" spans="1:4" x14ac:dyDescent="0.3">
      <c r="A2210" t="s">
        <v>5067</v>
      </c>
      <c r="B2210" t="s">
        <v>5514</v>
      </c>
      <c r="C2210" s="22" t="s">
        <v>6565</v>
      </c>
      <c r="D2210" t="str">
        <f>IF(AND(Noty!H1052=0,Noty!I1052=0),"ukryj","odkryj")</f>
        <v>ukryj</v>
      </c>
    </row>
    <row r="2211" spans="1:4" x14ac:dyDescent="0.3">
      <c r="A2211" t="s">
        <v>5067</v>
      </c>
      <c r="B2211" t="s">
        <v>5514</v>
      </c>
      <c r="C2211" s="22" t="s">
        <v>6566</v>
      </c>
      <c r="D2211" t="str">
        <f>IF(AND(Noty!H1053=0,Noty!I1053=0),"ukryj","odkryj")</f>
        <v>ukryj</v>
      </c>
    </row>
    <row r="2212" spans="1:4" x14ac:dyDescent="0.3">
      <c r="A2212" t="s">
        <v>5067</v>
      </c>
      <c r="B2212" t="s">
        <v>5514</v>
      </c>
      <c r="C2212" s="22" t="s">
        <v>6567</v>
      </c>
      <c r="D2212" t="str">
        <f>IF(AND(Noty!H1054=0,Noty!I1054=0),"ukryj","odkryj")</f>
        <v>ukryj</v>
      </c>
    </row>
    <row r="2213" spans="1:4" x14ac:dyDescent="0.3">
      <c r="A2213" t="s">
        <v>5067</v>
      </c>
      <c r="B2213" t="s">
        <v>5514</v>
      </c>
      <c r="C2213" s="22" t="s">
        <v>6568</v>
      </c>
      <c r="D2213" t="str">
        <f>IF(AND(Noty!H1055=0,Noty!I1055=0),"ukryj","odkryj")</f>
        <v>ukryj</v>
      </c>
    </row>
    <row r="2214" spans="1:4" x14ac:dyDescent="0.3">
      <c r="A2214" t="s">
        <v>5067</v>
      </c>
      <c r="B2214" t="s">
        <v>5514</v>
      </c>
      <c r="C2214" s="22" t="s">
        <v>6569</v>
      </c>
      <c r="D2214" t="str">
        <f>Noty!J1055</f>
        <v>ukryj</v>
      </c>
    </row>
    <row r="2215" spans="1:4" x14ac:dyDescent="0.3">
      <c r="A2215" t="s">
        <v>5067</v>
      </c>
      <c r="B2215" t="s">
        <v>5514</v>
      </c>
      <c r="C2215" s="22" t="s">
        <v>6570</v>
      </c>
      <c r="D2215" t="str">
        <f>Noty!J1063</f>
        <v>ukryj</v>
      </c>
    </row>
    <row r="2216" spans="1:4" x14ac:dyDescent="0.3">
      <c r="A2216" t="s">
        <v>5067</v>
      </c>
      <c r="B2216" t="s">
        <v>5514</v>
      </c>
      <c r="C2216" s="22" t="s">
        <v>6571</v>
      </c>
      <c r="D2216" t="str">
        <f>IF(AND(Noty!H1058=0,Noty!I1058=0),"ukryj","odkryj")</f>
        <v>ukryj</v>
      </c>
    </row>
    <row r="2217" spans="1:4" x14ac:dyDescent="0.3">
      <c r="A2217" t="s">
        <v>5067</v>
      </c>
      <c r="B2217" t="s">
        <v>5514</v>
      </c>
      <c r="C2217" s="22" t="s">
        <v>6572</v>
      </c>
      <c r="D2217" t="str">
        <f>IF(AND(Noty!H1059=0,Noty!I1059=0),"ukryj","odkryj")</f>
        <v>ukryj</v>
      </c>
    </row>
    <row r="2218" spans="1:4" x14ac:dyDescent="0.3">
      <c r="A2218" t="s">
        <v>5067</v>
      </c>
      <c r="B2218" t="s">
        <v>5514</v>
      </c>
      <c r="C2218" s="22" t="s">
        <v>6573</v>
      </c>
      <c r="D2218" t="str">
        <f>IF(AND(Noty!H1060=0,Noty!I1060=0),"ukryj","odkryj")</f>
        <v>ukryj</v>
      </c>
    </row>
    <row r="2219" spans="1:4" x14ac:dyDescent="0.3">
      <c r="A2219" t="s">
        <v>5067</v>
      </c>
      <c r="B2219" t="s">
        <v>5514</v>
      </c>
      <c r="C2219" s="22" t="s">
        <v>6574</v>
      </c>
      <c r="D2219" t="str">
        <f>IF(AND(Noty!H1061=0,Noty!I1061=0),"ukryj","odkryj")</f>
        <v>ukryj</v>
      </c>
    </row>
    <row r="2220" spans="1:4" x14ac:dyDescent="0.3">
      <c r="A2220" t="s">
        <v>5067</v>
      </c>
      <c r="B2220" t="s">
        <v>5514</v>
      </c>
      <c r="C2220" s="22" t="s">
        <v>6575</v>
      </c>
      <c r="D2220" t="str">
        <f>IF(AND(Noty!H1062=0,Noty!I1062=0),"ukryj","odkryj")</f>
        <v>ukryj</v>
      </c>
    </row>
    <row r="2221" spans="1:4" x14ac:dyDescent="0.3">
      <c r="A2221" t="s">
        <v>5067</v>
      </c>
      <c r="B2221" t="s">
        <v>5514</v>
      </c>
      <c r="C2221" s="22" t="s">
        <v>6576</v>
      </c>
      <c r="D2221" t="str">
        <f>IF(AND(Noty!H1063=0,Noty!I1063=0),"ukryj","odkryj")</f>
        <v>ukryj</v>
      </c>
    </row>
    <row r="2222" spans="1:4" x14ac:dyDescent="0.3">
      <c r="A2222" t="s">
        <v>5067</v>
      </c>
      <c r="B2222" t="s">
        <v>5514</v>
      </c>
      <c r="C2222" s="22" t="s">
        <v>6577</v>
      </c>
      <c r="D2222" t="str">
        <f>Noty!J1063</f>
        <v>ukryj</v>
      </c>
    </row>
    <row r="2223" spans="1:4" x14ac:dyDescent="0.3">
      <c r="A2223" t="s">
        <v>5067</v>
      </c>
      <c r="B2223" t="s">
        <v>5514</v>
      </c>
      <c r="C2223" s="22" t="s">
        <v>6578</v>
      </c>
      <c r="D2223" t="str">
        <f>IF(AND(Noty!H1065=0,Noty!I1065=0),"ukryj","odkryj")</f>
        <v>ukryj</v>
      </c>
    </row>
    <row r="2224" spans="1:4" x14ac:dyDescent="0.3">
      <c r="A2224" t="s">
        <v>5067</v>
      </c>
      <c r="B2224" t="s">
        <v>5514</v>
      </c>
      <c r="C2224" s="22" t="s">
        <v>6579</v>
      </c>
      <c r="D2224" t="str">
        <f>Noty!J1065</f>
        <v>ukryj</v>
      </c>
    </row>
    <row r="2225" spans="1:4" x14ac:dyDescent="0.3">
      <c r="A2225" t="s">
        <v>5067</v>
      </c>
      <c r="B2225" t="s">
        <v>5514</v>
      </c>
      <c r="C2225" s="22" t="s">
        <v>6580</v>
      </c>
      <c r="D2225" t="str">
        <f>IF(Noty!K1067="n/a","ukryj","odkryj")</f>
        <v>ukryj</v>
      </c>
    </row>
    <row r="2226" spans="1:4" x14ac:dyDescent="0.3">
      <c r="A2226" t="s">
        <v>5067</v>
      </c>
      <c r="B2226" t="s">
        <v>5514</v>
      </c>
      <c r="C2226" s="22" t="s">
        <v>6581</v>
      </c>
      <c r="D2226" t="s">
        <v>5125</v>
      </c>
    </row>
    <row r="2227" spans="1:4" x14ac:dyDescent="0.3">
      <c r="A2227" t="s">
        <v>5067</v>
      </c>
      <c r="B2227" t="s">
        <v>5514</v>
      </c>
      <c r="C2227" s="22" t="s">
        <v>6582</v>
      </c>
      <c r="D2227" t="str">
        <f>Noty!J1067</f>
        <v>ukryj</v>
      </c>
    </row>
    <row r="2228" spans="1:4" x14ac:dyDescent="0.3">
      <c r="A2228" t="s">
        <v>5067</v>
      </c>
      <c r="B2228" t="s">
        <v>5514</v>
      </c>
      <c r="C2228" s="22" t="s">
        <v>6583</v>
      </c>
      <c r="D2228" t="str">
        <f>Noty!J1074</f>
        <v>ukryj</v>
      </c>
    </row>
    <row r="2229" spans="1:4" x14ac:dyDescent="0.3">
      <c r="A2229" t="s">
        <v>5067</v>
      </c>
      <c r="B2229" t="s">
        <v>5514</v>
      </c>
      <c r="C2229" s="22" t="s">
        <v>6584</v>
      </c>
      <c r="D2229" t="str">
        <f>IF(AND(Noty!H1071=0,Noty!I1071=0),"ukryj","odkryj")</f>
        <v>ukryj</v>
      </c>
    </row>
    <row r="2230" spans="1:4" x14ac:dyDescent="0.3">
      <c r="A2230" t="s">
        <v>5067</v>
      </c>
      <c r="B2230" t="s">
        <v>5514</v>
      </c>
      <c r="C2230" s="22" t="s">
        <v>6585</v>
      </c>
      <c r="D2230" t="str">
        <f>IF(AND(Noty!H1072=0,Noty!I1072=0),"ukryj","odkryj")</f>
        <v>ukryj</v>
      </c>
    </row>
    <row r="2231" spans="1:4" x14ac:dyDescent="0.3">
      <c r="A2231" t="s">
        <v>5067</v>
      </c>
      <c r="B2231" t="s">
        <v>5514</v>
      </c>
      <c r="C2231" s="22" t="s">
        <v>6586</v>
      </c>
      <c r="D2231" t="str">
        <f>IF(AND(Noty!H1073=0,Noty!I1073=0),"ukryj","odkryj")</f>
        <v>ukryj</v>
      </c>
    </row>
    <row r="2232" spans="1:4" x14ac:dyDescent="0.3">
      <c r="A2232" t="s">
        <v>5067</v>
      </c>
      <c r="B2232" t="s">
        <v>5514</v>
      </c>
      <c r="C2232" s="22" t="s">
        <v>6587</v>
      </c>
      <c r="D2232" t="str">
        <f>IF(AND(Noty!H1074=0,Noty!I1074=0),"ukryj","odkryj")</f>
        <v>ukryj</v>
      </c>
    </row>
    <row r="2233" spans="1:4" x14ac:dyDescent="0.3">
      <c r="A2233" t="s">
        <v>5067</v>
      </c>
      <c r="B2233" t="s">
        <v>5514</v>
      </c>
      <c r="C2233" s="22" t="s">
        <v>6588</v>
      </c>
      <c r="D2233" t="str">
        <f>Noty!J1074</f>
        <v>ukryj</v>
      </c>
    </row>
    <row r="2234" spans="1:4" x14ac:dyDescent="0.3">
      <c r="A2234" t="s">
        <v>5067</v>
      </c>
      <c r="B2234" t="s">
        <v>5514</v>
      </c>
      <c r="C2234" s="22" t="s">
        <v>6589</v>
      </c>
      <c r="D2234" t="str">
        <f>Noty!J1083</f>
        <v>ukryj</v>
      </c>
    </row>
    <row r="2235" spans="1:4" x14ac:dyDescent="0.3">
      <c r="A2235" t="s">
        <v>5067</v>
      </c>
      <c r="B2235" t="s">
        <v>5514</v>
      </c>
      <c r="C2235" s="22" t="s">
        <v>6590</v>
      </c>
      <c r="D2235" t="str">
        <f>IF(AND(Noty!H1077=0,Noty!I1077=0),"ukryj","odkryj")</f>
        <v>ukryj</v>
      </c>
    </row>
    <row r="2236" spans="1:4" x14ac:dyDescent="0.3">
      <c r="A2236" t="s">
        <v>5067</v>
      </c>
      <c r="B2236" t="s">
        <v>5514</v>
      </c>
      <c r="C2236" s="22" t="s">
        <v>6591</v>
      </c>
      <c r="D2236" t="str">
        <f>IF(AND(Noty!H1078=0,Noty!I1078=0),"ukryj","odkryj")</f>
        <v>ukryj</v>
      </c>
    </row>
    <row r="2237" spans="1:4" x14ac:dyDescent="0.3">
      <c r="A2237" t="s">
        <v>5067</v>
      </c>
      <c r="B2237" t="s">
        <v>5514</v>
      </c>
      <c r="C2237" s="22" t="s">
        <v>6592</v>
      </c>
      <c r="D2237" t="str">
        <f>IF(AND(Noty!H1079=0,Noty!I1079=0),"ukryj","odkryj")</f>
        <v>ukryj</v>
      </c>
    </row>
    <row r="2238" spans="1:4" x14ac:dyDescent="0.3">
      <c r="A2238" t="s">
        <v>5067</v>
      </c>
      <c r="B2238" t="s">
        <v>5514</v>
      </c>
      <c r="C2238" s="22" t="s">
        <v>6593</v>
      </c>
      <c r="D2238" t="str">
        <f>IF(AND(Noty!H1080=0,Noty!I1080=0),"ukryj","odkryj")</f>
        <v>ukryj</v>
      </c>
    </row>
    <row r="2239" spans="1:4" x14ac:dyDescent="0.3">
      <c r="A2239" t="s">
        <v>5067</v>
      </c>
      <c r="B2239" t="s">
        <v>5514</v>
      </c>
      <c r="C2239" s="22" t="s">
        <v>6594</v>
      </c>
      <c r="D2239" t="str">
        <f>IF(AND(Noty!H1081=0,Noty!I1081=0),"ukryj","odkryj")</f>
        <v>ukryj</v>
      </c>
    </row>
    <row r="2240" spans="1:4" x14ac:dyDescent="0.3">
      <c r="A2240" t="s">
        <v>5067</v>
      </c>
      <c r="B2240" t="s">
        <v>5514</v>
      </c>
      <c r="C2240" s="22" t="s">
        <v>6595</v>
      </c>
      <c r="D2240" t="str">
        <f>IF(AND(Noty!H1082=0,Noty!I1082=0),"ukryj","odkryj")</f>
        <v>ukryj</v>
      </c>
    </row>
    <row r="2241" spans="1:4" x14ac:dyDescent="0.3">
      <c r="A2241" t="s">
        <v>5067</v>
      </c>
      <c r="B2241" t="s">
        <v>5514</v>
      </c>
      <c r="C2241" s="22" t="s">
        <v>6596</v>
      </c>
      <c r="D2241" t="str">
        <f>IF(AND(Noty!H1083=0,Noty!I1083=0),"ukryj","odkryj")</f>
        <v>ukryj</v>
      </c>
    </row>
    <row r="2242" spans="1:4" x14ac:dyDescent="0.3">
      <c r="A2242" t="s">
        <v>5067</v>
      </c>
      <c r="B2242" t="s">
        <v>5514</v>
      </c>
      <c r="C2242" s="22" t="s">
        <v>6597</v>
      </c>
      <c r="D2242" t="str">
        <f>Noty!J1083</f>
        <v>ukryj</v>
      </c>
    </row>
    <row r="2243" spans="1:4" x14ac:dyDescent="0.3">
      <c r="A2243" t="s">
        <v>5067</v>
      </c>
      <c r="B2243" t="s">
        <v>5514</v>
      </c>
      <c r="C2243" s="22" t="s">
        <v>6598</v>
      </c>
      <c r="D2243" t="str">
        <f>IF(AND(Noty!H1085=0,Noty!I1085=0),"ukryj","odkryj")</f>
        <v>ukryj</v>
      </c>
    </row>
    <row r="2244" spans="1:4" x14ac:dyDescent="0.3">
      <c r="A2244" t="s">
        <v>5067</v>
      </c>
      <c r="B2244" t="s">
        <v>5514</v>
      </c>
      <c r="C2244" s="22" t="s">
        <v>6599</v>
      </c>
      <c r="D2244" t="str">
        <f>Noty!J1085</f>
        <v>ukryj</v>
      </c>
    </row>
    <row r="2245" spans="1:4" x14ac:dyDescent="0.3">
      <c r="A2245" t="s">
        <v>5067</v>
      </c>
      <c r="B2245" t="s">
        <v>5514</v>
      </c>
      <c r="C2245" s="22" t="s">
        <v>6600</v>
      </c>
      <c r="D2245" t="str">
        <f>IF(Noty!K1087="n/a","ukryj","odkryj")</f>
        <v>ukryj</v>
      </c>
    </row>
    <row r="2246" spans="1:4" x14ac:dyDescent="0.3">
      <c r="A2246" t="s">
        <v>5067</v>
      </c>
      <c r="B2246" t="s">
        <v>5514</v>
      </c>
      <c r="C2246" s="22" t="s">
        <v>6601</v>
      </c>
      <c r="D2246" t="str">
        <f>Noty!J1087</f>
        <v>ukryj</v>
      </c>
    </row>
    <row r="2247" spans="1:4" x14ac:dyDescent="0.3">
      <c r="A2247" t="s">
        <v>5067</v>
      </c>
      <c r="B2247" t="s">
        <v>5514</v>
      </c>
      <c r="C2247" s="22" t="s">
        <v>6602</v>
      </c>
      <c r="D2247" t="str">
        <f>IF(Noty!K1089="n/a","ukryj","odkryj")</f>
        <v>ukryj</v>
      </c>
    </row>
    <row r="2248" spans="1:4" x14ac:dyDescent="0.3">
      <c r="A2248" t="s">
        <v>5067</v>
      </c>
      <c r="B2248" t="s">
        <v>5514</v>
      </c>
      <c r="C2248" s="22" t="s">
        <v>6603</v>
      </c>
      <c r="D2248" t="s">
        <v>5125</v>
      </c>
    </row>
    <row r="2249" spans="1:4" x14ac:dyDescent="0.3">
      <c r="A2249" t="s">
        <v>5067</v>
      </c>
      <c r="B2249" t="s">
        <v>5514</v>
      </c>
      <c r="C2249" s="22" t="s">
        <v>6604</v>
      </c>
      <c r="D2249" t="str">
        <f>Noty!J1089</f>
        <v>ukryj</v>
      </c>
    </row>
    <row r="2250" spans="1:4" x14ac:dyDescent="0.3">
      <c r="A2250" t="s">
        <v>5067</v>
      </c>
      <c r="B2250" t="s">
        <v>5514</v>
      </c>
      <c r="C2250" s="22" t="s">
        <v>6605</v>
      </c>
      <c r="D2250" t="str">
        <f>Noty!J1091</f>
        <v>ukryj</v>
      </c>
    </row>
    <row r="2251" spans="1:4" x14ac:dyDescent="0.3">
      <c r="A2251" t="s">
        <v>5067</v>
      </c>
      <c r="B2251" t="s">
        <v>5514</v>
      </c>
      <c r="C2251" s="22" t="s">
        <v>6606</v>
      </c>
      <c r="D2251" t="str">
        <f>Noty!J1092</f>
        <v>ukryj</v>
      </c>
    </row>
    <row r="2252" spans="1:4" x14ac:dyDescent="0.3">
      <c r="A2252" t="s">
        <v>5067</v>
      </c>
      <c r="B2252" t="s">
        <v>5514</v>
      </c>
      <c r="C2252" s="22" t="s">
        <v>6607</v>
      </c>
      <c r="D2252" t="str">
        <f>IF(AND(Noty!D1094=0,Noty!F1094=0,Noty!H1094=0),"ukryj","odkryj")</f>
        <v>ukryj</v>
      </c>
    </row>
    <row r="2253" spans="1:4" x14ac:dyDescent="0.3">
      <c r="A2253" t="s">
        <v>5067</v>
      </c>
      <c r="B2253" t="s">
        <v>5514</v>
      </c>
      <c r="C2253" s="22" t="s">
        <v>6608</v>
      </c>
      <c r="D2253" t="str">
        <f>IF(AND(Noty!D1095=0,Noty!F1095=0,Noty!H1095=0),"ukryj","odkryj")</f>
        <v>ukryj</v>
      </c>
    </row>
    <row r="2254" spans="1:4" x14ac:dyDescent="0.3">
      <c r="A2254" t="s">
        <v>5067</v>
      </c>
      <c r="B2254" t="s">
        <v>5514</v>
      </c>
      <c r="C2254" s="22" t="s">
        <v>6609</v>
      </c>
      <c r="D2254" t="str">
        <f>IF(AND(Noty!D1096=0,Noty!F1096=0,Noty!H1096=0),"ukryj","odkryj")</f>
        <v>ukryj</v>
      </c>
    </row>
    <row r="2255" spans="1:4" x14ac:dyDescent="0.3">
      <c r="A2255" t="s">
        <v>5067</v>
      </c>
      <c r="B2255" t="s">
        <v>5514</v>
      </c>
      <c r="C2255" s="22" t="s">
        <v>6610</v>
      </c>
      <c r="D2255" t="str">
        <f>IF(AND(Noty!D1097=0,Noty!F1097=0,Noty!H1097=0),"ukryj","odkryj")</f>
        <v>ukryj</v>
      </c>
    </row>
    <row r="2256" spans="1:4" x14ac:dyDescent="0.3">
      <c r="A2256" t="s">
        <v>5067</v>
      </c>
      <c r="B2256" t="s">
        <v>5514</v>
      </c>
      <c r="C2256" s="22" t="s">
        <v>6611</v>
      </c>
      <c r="D2256" t="str">
        <f>IF(AND(Noty!D1098=0,Noty!F1098=0,Noty!H1098=0),"ukryj","odkryj")</f>
        <v>ukryj</v>
      </c>
    </row>
    <row r="2257" spans="1:4" x14ac:dyDescent="0.3">
      <c r="A2257" t="s">
        <v>5067</v>
      </c>
      <c r="B2257" t="s">
        <v>5514</v>
      </c>
      <c r="C2257" s="22" t="s">
        <v>6612</v>
      </c>
      <c r="D2257" t="str">
        <f>IF(AND(Noty!D1099=0,Noty!F1099=0,Noty!H1099=0),"ukryj","odkryj")</f>
        <v>ukryj</v>
      </c>
    </row>
    <row r="2258" spans="1:4" x14ac:dyDescent="0.3">
      <c r="A2258" t="s">
        <v>5067</v>
      </c>
      <c r="B2258" t="s">
        <v>5514</v>
      </c>
      <c r="C2258" s="22" t="s">
        <v>6613</v>
      </c>
      <c r="D2258" t="str">
        <f>IF(AND(Noty!D1100=0,Noty!F1100=0,Noty!H1100=0),"ukryj","odkryj")</f>
        <v>ukryj</v>
      </c>
    </row>
    <row r="2259" spans="1:4" x14ac:dyDescent="0.3">
      <c r="A2259" t="s">
        <v>5067</v>
      </c>
      <c r="B2259" t="s">
        <v>5514</v>
      </c>
      <c r="C2259" s="22" t="s">
        <v>6614</v>
      </c>
      <c r="D2259" t="str">
        <f>IF(AND(Noty!D1101=0,Noty!F1101=0,Noty!H1101=0),"ukryj","odkryj")</f>
        <v>ukryj</v>
      </c>
    </row>
    <row r="2260" spans="1:4" x14ac:dyDescent="0.3">
      <c r="A2260" t="s">
        <v>5067</v>
      </c>
      <c r="B2260" t="s">
        <v>5514</v>
      </c>
      <c r="C2260" s="22" t="s">
        <v>6615</v>
      </c>
      <c r="D2260" t="str">
        <f>IF(AND(Noty!D1102=0,Noty!F1102=0,Noty!H1102=0),"ukryj","odkryj")</f>
        <v>ukryj</v>
      </c>
    </row>
    <row r="2261" spans="1:4" x14ac:dyDescent="0.3">
      <c r="A2261" t="s">
        <v>5067</v>
      </c>
      <c r="B2261" t="s">
        <v>5514</v>
      </c>
      <c r="C2261" s="22" t="s">
        <v>6616</v>
      </c>
      <c r="D2261" t="str">
        <f>IF(AND(Noty!D1103=0,Noty!F1103=0,Noty!H1103=0),"ukryj","odkryj")</f>
        <v>ukryj</v>
      </c>
    </row>
    <row r="2262" spans="1:4" x14ac:dyDescent="0.3">
      <c r="A2262" t="s">
        <v>5067</v>
      </c>
      <c r="B2262" t="s">
        <v>5514</v>
      </c>
      <c r="C2262" s="22" t="s">
        <v>6617</v>
      </c>
      <c r="D2262" t="str">
        <f>IF(AND(Noty!D1104=0,Noty!F1104=0,Noty!H1104=0),"ukryj","odkryj")</f>
        <v>ukryj</v>
      </c>
    </row>
    <row r="2263" spans="1:4" x14ac:dyDescent="0.3">
      <c r="A2263" t="s">
        <v>5067</v>
      </c>
      <c r="B2263" t="s">
        <v>5514</v>
      </c>
      <c r="C2263" s="22" t="s">
        <v>6618</v>
      </c>
      <c r="D2263" t="str">
        <f>IF(AND(Noty!D1105=0,Noty!F1105=0,Noty!H1105=0),"ukryj","odkryj")</f>
        <v>ukryj</v>
      </c>
    </row>
    <row r="2264" spans="1:4" x14ac:dyDescent="0.3">
      <c r="A2264" t="s">
        <v>5067</v>
      </c>
      <c r="B2264" t="s">
        <v>5514</v>
      </c>
      <c r="C2264" s="22" t="s">
        <v>6619</v>
      </c>
      <c r="D2264" t="str">
        <f>IF(AND(Noty!D1106=0,Noty!F1106=0,Noty!H1106=0),"ukryj","odkryj")</f>
        <v>ukryj</v>
      </c>
    </row>
    <row r="2265" spans="1:4" x14ac:dyDescent="0.3">
      <c r="A2265" t="s">
        <v>5067</v>
      </c>
      <c r="B2265" t="s">
        <v>5514</v>
      </c>
      <c r="C2265" s="22" t="s">
        <v>6620</v>
      </c>
      <c r="D2265" t="str">
        <f>Noty!J1106</f>
        <v>ukryj</v>
      </c>
    </row>
    <row r="2266" spans="1:4" x14ac:dyDescent="0.3">
      <c r="A2266" t="s">
        <v>5067</v>
      </c>
      <c r="B2266" t="s">
        <v>5514</v>
      </c>
      <c r="C2266" s="22" t="s">
        <v>6621</v>
      </c>
      <c r="D2266" t="str">
        <f>IF(Noty!K1108="n/a","ukryj","odkryj")</f>
        <v>ukryj</v>
      </c>
    </row>
    <row r="2267" spans="1:4" x14ac:dyDescent="0.3">
      <c r="A2267" t="s">
        <v>5067</v>
      </c>
      <c r="B2267" t="s">
        <v>5514</v>
      </c>
      <c r="C2267" s="22" t="s">
        <v>6622</v>
      </c>
      <c r="D2267" t="s">
        <v>5125</v>
      </c>
    </row>
    <row r="2268" spans="1:4" x14ac:dyDescent="0.3">
      <c r="A2268" t="s">
        <v>5067</v>
      </c>
      <c r="B2268" t="s">
        <v>5514</v>
      </c>
      <c r="C2268" s="22" t="s">
        <v>6623</v>
      </c>
      <c r="D2268" t="str">
        <f>Noty!J1108</f>
        <v>ukryj</v>
      </c>
    </row>
    <row r="2269" spans="1:4" x14ac:dyDescent="0.3">
      <c r="A2269" t="s">
        <v>5067</v>
      </c>
      <c r="B2269" t="s">
        <v>5514</v>
      </c>
      <c r="C2269" s="22" t="s">
        <v>6624</v>
      </c>
      <c r="D2269" t="str">
        <f>Noty!J1119</f>
        <v>ukryj</v>
      </c>
    </row>
    <row r="2270" spans="1:4" x14ac:dyDescent="0.3">
      <c r="A2270" t="s">
        <v>5067</v>
      </c>
      <c r="B2270" t="s">
        <v>5514</v>
      </c>
      <c r="C2270" s="22" t="s">
        <v>6625</v>
      </c>
      <c r="D2270" t="str">
        <f>Noty!J1119</f>
        <v>ukryj</v>
      </c>
    </row>
    <row r="2271" spans="1:4" x14ac:dyDescent="0.3">
      <c r="A2271" t="s">
        <v>5067</v>
      </c>
      <c r="B2271" t="s">
        <v>5514</v>
      </c>
      <c r="C2271" s="22" t="s">
        <v>6626</v>
      </c>
      <c r="D2271" t="str">
        <f>IF(AND(Noty!H1113=0,Noty!I1113=0),"ukryj","odkryj")</f>
        <v>ukryj</v>
      </c>
    </row>
    <row r="2272" spans="1:4" x14ac:dyDescent="0.3">
      <c r="A2272" t="s">
        <v>5067</v>
      </c>
      <c r="B2272" t="s">
        <v>5514</v>
      </c>
      <c r="C2272" s="22" t="s">
        <v>6627</v>
      </c>
      <c r="D2272" t="str">
        <f>IF(AND(Noty!H1114=0,Noty!I1114=0),"ukryj","odkryj")</f>
        <v>ukryj</v>
      </c>
    </row>
    <row r="2273" spans="1:4" x14ac:dyDescent="0.3">
      <c r="A2273" t="s">
        <v>5067</v>
      </c>
      <c r="B2273" t="s">
        <v>5514</v>
      </c>
      <c r="C2273" s="22" t="s">
        <v>6628</v>
      </c>
      <c r="D2273" t="str">
        <f>IF(AND(Noty!H1115=0,Noty!I1115=0),"ukryj","odkryj")</f>
        <v>ukryj</v>
      </c>
    </row>
    <row r="2274" spans="1:4" x14ac:dyDescent="0.3">
      <c r="A2274" t="s">
        <v>5067</v>
      </c>
      <c r="B2274" t="s">
        <v>5514</v>
      </c>
      <c r="C2274" s="22" t="s">
        <v>6629</v>
      </c>
      <c r="D2274" t="str">
        <f>IF(AND(Noty!H1116=0,Noty!I1116=0),"ukryj","odkryj")</f>
        <v>ukryj</v>
      </c>
    </row>
    <row r="2275" spans="1:4" x14ac:dyDescent="0.3">
      <c r="A2275" t="s">
        <v>5067</v>
      </c>
      <c r="B2275" t="s">
        <v>5514</v>
      </c>
      <c r="C2275" s="22" t="s">
        <v>6630</v>
      </c>
      <c r="D2275" t="str">
        <f>IF(AND(Noty!H1117=0,Noty!I1117=0),"ukryj","odkryj")</f>
        <v>ukryj</v>
      </c>
    </row>
    <row r="2276" spans="1:4" x14ac:dyDescent="0.3">
      <c r="A2276" t="s">
        <v>5067</v>
      </c>
      <c r="B2276" t="s">
        <v>5514</v>
      </c>
      <c r="C2276" s="22" t="s">
        <v>6631</v>
      </c>
      <c r="D2276" t="str">
        <f>IF(AND(Noty!H1118=0,Noty!I1118=0),"ukryj","odkryj")</f>
        <v>ukryj</v>
      </c>
    </row>
    <row r="2277" spans="1:4" x14ac:dyDescent="0.3">
      <c r="A2277" t="s">
        <v>5067</v>
      </c>
      <c r="B2277" t="s">
        <v>5514</v>
      </c>
      <c r="C2277" s="22" t="s">
        <v>6632</v>
      </c>
      <c r="D2277" t="str">
        <f>IF(AND(Noty!H1119=0,Noty!I1119=0),"ukryj","odkryj")</f>
        <v>ukryj</v>
      </c>
    </row>
    <row r="2278" spans="1:4" x14ac:dyDescent="0.3">
      <c r="A2278" t="s">
        <v>5067</v>
      </c>
      <c r="B2278" t="s">
        <v>5514</v>
      </c>
      <c r="C2278" s="22" t="s">
        <v>6633</v>
      </c>
      <c r="D2278" t="str">
        <f>Noty!J1119</f>
        <v>ukryj</v>
      </c>
    </row>
    <row r="2279" spans="1:4" x14ac:dyDescent="0.3">
      <c r="A2279" t="s">
        <v>5067</v>
      </c>
      <c r="B2279" t="s">
        <v>5514</v>
      </c>
      <c r="C2279" s="22" t="s">
        <v>6634</v>
      </c>
      <c r="D2279" t="str">
        <f>Noty!J1127</f>
        <v>ukryj</v>
      </c>
    </row>
    <row r="2280" spans="1:4" x14ac:dyDescent="0.3">
      <c r="A2280" t="s">
        <v>5067</v>
      </c>
      <c r="B2280" t="s">
        <v>5514</v>
      </c>
      <c r="C2280" s="22" t="s">
        <v>6635</v>
      </c>
      <c r="D2280" t="str">
        <f>IF(AND(Noty!H1122=0,Noty!I1122=0),"ukryj","odkryj")</f>
        <v>ukryj</v>
      </c>
    </row>
    <row r="2281" spans="1:4" x14ac:dyDescent="0.3">
      <c r="A2281" t="s">
        <v>5067</v>
      </c>
      <c r="B2281" t="s">
        <v>5514</v>
      </c>
      <c r="C2281" s="22" t="s">
        <v>6636</v>
      </c>
      <c r="D2281" t="str">
        <f>IF(AND(Noty!H1123=0,Noty!I1123=0),"ukryj","odkryj")</f>
        <v>ukryj</v>
      </c>
    </row>
    <row r="2282" spans="1:4" x14ac:dyDescent="0.3">
      <c r="A2282" t="s">
        <v>5067</v>
      </c>
      <c r="B2282" t="s">
        <v>5514</v>
      </c>
      <c r="C2282" s="22" t="s">
        <v>6637</v>
      </c>
      <c r="D2282" t="str">
        <f>IF(AND(Noty!H1124=0,Noty!I1124=0),"ukryj","odkryj")</f>
        <v>ukryj</v>
      </c>
    </row>
    <row r="2283" spans="1:4" x14ac:dyDescent="0.3">
      <c r="A2283" t="s">
        <v>5067</v>
      </c>
      <c r="B2283" t="s">
        <v>5514</v>
      </c>
      <c r="C2283" s="22" t="s">
        <v>6638</v>
      </c>
      <c r="D2283" t="str">
        <f>IF(AND(Noty!H1125=0,Noty!I1125=0),"ukryj","odkryj")</f>
        <v>ukryj</v>
      </c>
    </row>
    <row r="2284" spans="1:4" x14ac:dyDescent="0.3">
      <c r="A2284" t="s">
        <v>5067</v>
      </c>
      <c r="B2284" t="s">
        <v>5514</v>
      </c>
      <c r="C2284" s="22" t="s">
        <v>6639</v>
      </c>
      <c r="D2284" t="str">
        <f>IF(AND(Noty!H1126=0,Noty!I1126=0),"ukryj","odkryj")</f>
        <v>ukryj</v>
      </c>
    </row>
    <row r="2285" spans="1:4" x14ac:dyDescent="0.3">
      <c r="A2285" t="s">
        <v>5067</v>
      </c>
      <c r="B2285" t="s">
        <v>5514</v>
      </c>
      <c r="C2285" s="22" t="s">
        <v>6640</v>
      </c>
      <c r="D2285" t="str">
        <f>IF(AND(Noty!H1127=0,Noty!I1127=0),"ukryj","odkryj")</f>
        <v>ukryj</v>
      </c>
    </row>
    <row r="2286" spans="1:4" x14ac:dyDescent="0.3">
      <c r="A2286" t="s">
        <v>5067</v>
      </c>
      <c r="B2286" t="s">
        <v>5514</v>
      </c>
      <c r="C2286" s="22" t="s">
        <v>6641</v>
      </c>
      <c r="D2286" t="str">
        <f>Noty!J1127</f>
        <v>ukryj</v>
      </c>
    </row>
    <row r="2287" spans="1:4" x14ac:dyDescent="0.3">
      <c r="A2287" t="s">
        <v>5067</v>
      </c>
      <c r="B2287" t="s">
        <v>5514</v>
      </c>
      <c r="C2287" s="22" t="s">
        <v>6642</v>
      </c>
      <c r="D2287" t="str">
        <f>IF(AND(Noty!H1129=0,Noty!I1129=0),"ukryj","odkryj")</f>
        <v>ukryj</v>
      </c>
    </row>
    <row r="2288" spans="1:4" x14ac:dyDescent="0.3">
      <c r="A2288" t="s">
        <v>5067</v>
      </c>
      <c r="B2288" t="s">
        <v>5514</v>
      </c>
      <c r="C2288" s="22" t="s">
        <v>6643</v>
      </c>
      <c r="D2288" t="str">
        <f>Noty!J1129</f>
        <v>ukryj</v>
      </c>
    </row>
    <row r="2289" spans="1:4" x14ac:dyDescent="0.3">
      <c r="A2289" t="s">
        <v>5067</v>
      </c>
      <c r="B2289" t="s">
        <v>5514</v>
      </c>
      <c r="C2289" s="22" t="s">
        <v>6644</v>
      </c>
      <c r="D2289" t="str">
        <f>IF(Noty!K1131="n/a","ukryj","odkryj")</f>
        <v>ukryj</v>
      </c>
    </row>
    <row r="2290" spans="1:4" x14ac:dyDescent="0.3">
      <c r="A2290" t="s">
        <v>5067</v>
      </c>
      <c r="B2290" t="s">
        <v>5514</v>
      </c>
      <c r="C2290" s="22" t="s">
        <v>6645</v>
      </c>
      <c r="D2290" t="str">
        <f>Noty!J1131</f>
        <v>ukryj</v>
      </c>
    </row>
    <row r="2291" spans="1:4" x14ac:dyDescent="0.3">
      <c r="A2291" t="s">
        <v>5067</v>
      </c>
      <c r="B2291" t="s">
        <v>5514</v>
      </c>
      <c r="C2291" s="22" t="s">
        <v>6646</v>
      </c>
      <c r="D2291" t="str">
        <f>Noty!J1132</f>
        <v>ukryj</v>
      </c>
    </row>
    <row r="2292" spans="1:4" x14ac:dyDescent="0.3">
      <c r="A2292" t="s">
        <v>5067</v>
      </c>
      <c r="B2292" t="s">
        <v>5514</v>
      </c>
      <c r="C2292" s="22" t="s">
        <v>6647</v>
      </c>
      <c r="D2292" t="str">
        <f>Noty!J1137</f>
        <v>ukryj</v>
      </c>
    </row>
    <row r="2293" spans="1:4" x14ac:dyDescent="0.3">
      <c r="A2293" t="s">
        <v>5067</v>
      </c>
      <c r="B2293" t="s">
        <v>5514</v>
      </c>
      <c r="C2293" s="22" t="s">
        <v>6648</v>
      </c>
      <c r="D2293" t="str">
        <f>IF(AND(Noty!H1135=0,Noty!I1135=0),"ukryj","odkryj")</f>
        <v>ukryj</v>
      </c>
    </row>
    <row r="2294" spans="1:4" x14ac:dyDescent="0.3">
      <c r="A2294" t="s">
        <v>5067</v>
      </c>
      <c r="B2294" t="s">
        <v>5514</v>
      </c>
      <c r="C2294" s="22" t="s">
        <v>6649</v>
      </c>
      <c r="D2294" t="str">
        <f>IF(AND(Noty!H1136=0,Noty!I1136=0),"ukryj","odkryj")</f>
        <v>ukryj</v>
      </c>
    </row>
    <row r="2295" spans="1:4" x14ac:dyDescent="0.3">
      <c r="A2295" t="s">
        <v>5067</v>
      </c>
      <c r="B2295" t="s">
        <v>5514</v>
      </c>
      <c r="C2295" s="22" t="s">
        <v>6650</v>
      </c>
      <c r="D2295" t="str">
        <f>IF(AND(Noty!H1137=0,Noty!I1137=0),"ukryj","odkryj")</f>
        <v>ukryj</v>
      </c>
    </row>
    <row r="2296" spans="1:4" x14ac:dyDescent="0.3">
      <c r="A2296" t="s">
        <v>5067</v>
      </c>
      <c r="B2296" t="s">
        <v>5514</v>
      </c>
      <c r="C2296" s="22" t="s">
        <v>6651</v>
      </c>
      <c r="D2296" t="str">
        <f>Noty!J1137</f>
        <v>ukryj</v>
      </c>
    </row>
    <row r="2297" spans="1:4" x14ac:dyDescent="0.3">
      <c r="A2297" t="s">
        <v>5067</v>
      </c>
      <c r="B2297" t="s">
        <v>5514</v>
      </c>
      <c r="C2297" s="22" t="s">
        <v>6652</v>
      </c>
      <c r="D2297" t="str">
        <f>Noty!J1146</f>
        <v>ukryj</v>
      </c>
    </row>
    <row r="2298" spans="1:4" x14ac:dyDescent="0.3">
      <c r="A2298" t="s">
        <v>5067</v>
      </c>
      <c r="B2298" t="s">
        <v>5514</v>
      </c>
      <c r="C2298" s="22" t="s">
        <v>6653</v>
      </c>
      <c r="D2298" t="str">
        <f>IF(AND(Noty!H1140=0,Noty!I1140=0),"ukryj","odkryj")</f>
        <v>ukryj</v>
      </c>
    </row>
    <row r="2299" spans="1:4" x14ac:dyDescent="0.3">
      <c r="A2299" t="s">
        <v>5067</v>
      </c>
      <c r="B2299" t="s">
        <v>5514</v>
      </c>
      <c r="C2299" s="22" t="s">
        <v>6654</v>
      </c>
      <c r="D2299" t="str">
        <f>IF(AND(Noty!H1141=0,Noty!I1141=0),"ukryj","odkryj")</f>
        <v>ukryj</v>
      </c>
    </row>
    <row r="2300" spans="1:4" x14ac:dyDescent="0.3">
      <c r="A2300" t="s">
        <v>5067</v>
      </c>
      <c r="B2300" t="s">
        <v>5514</v>
      </c>
      <c r="C2300" s="22" t="s">
        <v>6655</v>
      </c>
      <c r="D2300" t="str">
        <f>IF(AND(Noty!H1142=0,Noty!I1142=0),"ukryj","odkryj")</f>
        <v>ukryj</v>
      </c>
    </row>
    <row r="2301" spans="1:4" x14ac:dyDescent="0.3">
      <c r="A2301" t="s">
        <v>5067</v>
      </c>
      <c r="B2301" t="s">
        <v>5514</v>
      </c>
      <c r="C2301" s="22" t="s">
        <v>6656</v>
      </c>
      <c r="D2301" t="str">
        <f>IF(AND(Noty!H1143=0,Noty!I1143=0),"ukryj","odkryj")</f>
        <v>ukryj</v>
      </c>
    </row>
    <row r="2302" spans="1:4" x14ac:dyDescent="0.3">
      <c r="A2302" t="s">
        <v>5067</v>
      </c>
      <c r="B2302" t="s">
        <v>5514</v>
      </c>
      <c r="C2302" s="22" t="s">
        <v>6657</v>
      </c>
      <c r="D2302" t="str">
        <f>IF(AND(Noty!H1144=0,Noty!I1144=0),"ukryj","odkryj")</f>
        <v>ukryj</v>
      </c>
    </row>
    <row r="2303" spans="1:4" x14ac:dyDescent="0.3">
      <c r="A2303" t="s">
        <v>5067</v>
      </c>
      <c r="B2303" t="s">
        <v>5514</v>
      </c>
      <c r="C2303" s="22" t="s">
        <v>6658</v>
      </c>
      <c r="D2303" t="str">
        <f>IF(AND(Noty!H1145=0,Noty!I1145=0),"ukryj","odkryj")</f>
        <v>ukryj</v>
      </c>
    </row>
    <row r="2304" spans="1:4" x14ac:dyDescent="0.3">
      <c r="A2304" t="s">
        <v>5067</v>
      </c>
      <c r="B2304" t="s">
        <v>5514</v>
      </c>
      <c r="C2304" s="22" t="s">
        <v>6659</v>
      </c>
      <c r="D2304" t="str">
        <f>IF(AND(Noty!H1146=0,Noty!I1146=0),"ukryj","odkryj")</f>
        <v>ukryj</v>
      </c>
    </row>
    <row r="2305" spans="1:4" x14ac:dyDescent="0.3">
      <c r="A2305" t="s">
        <v>5067</v>
      </c>
      <c r="B2305" t="s">
        <v>5514</v>
      </c>
      <c r="C2305" s="22" t="s">
        <v>6660</v>
      </c>
      <c r="D2305" t="str">
        <f>Noty!J1146</f>
        <v>ukryj</v>
      </c>
    </row>
    <row r="2306" spans="1:4" x14ac:dyDescent="0.3">
      <c r="A2306" t="s">
        <v>5067</v>
      </c>
      <c r="B2306" t="s">
        <v>5514</v>
      </c>
      <c r="C2306" s="22" t="s">
        <v>6661</v>
      </c>
      <c r="D2306" t="str">
        <f>IF(AND(Noty!H1148=0,Noty!I1148=0),"ukryj","odkryj")</f>
        <v>ukryj</v>
      </c>
    </row>
    <row r="2307" spans="1:4" x14ac:dyDescent="0.3">
      <c r="A2307" t="s">
        <v>5067</v>
      </c>
      <c r="B2307" t="s">
        <v>5514</v>
      </c>
      <c r="C2307" s="22" t="s">
        <v>6662</v>
      </c>
      <c r="D2307" t="str">
        <f>Noty!J1148</f>
        <v>ukryj</v>
      </c>
    </row>
    <row r="2308" spans="1:4" x14ac:dyDescent="0.3">
      <c r="A2308" t="s">
        <v>5067</v>
      </c>
      <c r="B2308" t="s">
        <v>5514</v>
      </c>
      <c r="C2308" s="22" t="s">
        <v>6663</v>
      </c>
      <c r="D2308" t="str">
        <f>IF(Noty!K1150="n/a","ukryj","odkryj")</f>
        <v>odkryj</v>
      </c>
    </row>
    <row r="2309" spans="1:4" x14ac:dyDescent="0.3">
      <c r="A2309" t="s">
        <v>5067</v>
      </c>
      <c r="B2309" t="s">
        <v>5514</v>
      </c>
      <c r="C2309" s="22" t="s">
        <v>6664</v>
      </c>
      <c r="D2309" t="str">
        <f>Noty!J1150</f>
        <v>odkryj</v>
      </c>
    </row>
    <row r="2310" spans="1:4" x14ac:dyDescent="0.3">
      <c r="A2310" t="s">
        <v>5067</v>
      </c>
      <c r="B2310" t="s">
        <v>5514</v>
      </c>
      <c r="C2310" s="22" t="s">
        <v>6665</v>
      </c>
      <c r="D2310" t="str">
        <f>IF(Noty!K1152="n/a","ukryj","odkryj")</f>
        <v>odkryj</v>
      </c>
    </row>
    <row r="2311" spans="1:4" x14ac:dyDescent="0.3">
      <c r="A2311" t="s">
        <v>5067</v>
      </c>
      <c r="B2311" t="s">
        <v>5514</v>
      </c>
      <c r="C2311" s="22" t="s">
        <v>6666</v>
      </c>
      <c r="D2311" t="s">
        <v>5125</v>
      </c>
    </row>
    <row r="2312" spans="1:4" x14ac:dyDescent="0.3">
      <c r="A2312" t="s">
        <v>5067</v>
      </c>
      <c r="B2312" t="s">
        <v>5514</v>
      </c>
      <c r="C2312" s="22" t="s">
        <v>6667</v>
      </c>
      <c r="D2312" t="str">
        <f>IF(Noty!K1154="n/a","ukryj","odkryj")</f>
        <v>ukryj</v>
      </c>
    </row>
    <row r="2313" spans="1:4" x14ac:dyDescent="0.3">
      <c r="A2313" t="s">
        <v>5067</v>
      </c>
      <c r="B2313" t="s">
        <v>5514</v>
      </c>
      <c r="C2313" s="22" t="s">
        <v>6668</v>
      </c>
      <c r="D2313" t="str">
        <f>Noty!J1154</f>
        <v>ukryj</v>
      </c>
    </row>
    <row r="2314" spans="1:4" x14ac:dyDescent="0.3">
      <c r="A2314" t="s">
        <v>5067</v>
      </c>
      <c r="B2314" t="s">
        <v>5514</v>
      </c>
      <c r="C2314" s="22" t="s">
        <v>6669</v>
      </c>
      <c r="D2314" t="str">
        <f>IF(AND(Noty!H1156=0,Noty!I1156=0),"ukryj","odkryj")</f>
        <v>ukryj</v>
      </c>
    </row>
    <row r="2315" spans="1:4" x14ac:dyDescent="0.3">
      <c r="A2315" t="s">
        <v>5067</v>
      </c>
      <c r="B2315" t="s">
        <v>5514</v>
      </c>
      <c r="C2315" s="22" t="s">
        <v>6670</v>
      </c>
      <c r="D2315" t="str">
        <f>IF(AND(Noty!H1157=0,Noty!I1157=0),"ukryj","odkryj")</f>
        <v>ukryj</v>
      </c>
    </row>
    <row r="2316" spans="1:4" x14ac:dyDescent="0.3">
      <c r="A2316" t="s">
        <v>5067</v>
      </c>
      <c r="B2316" t="s">
        <v>5514</v>
      </c>
      <c r="C2316" s="22" t="s">
        <v>6671</v>
      </c>
      <c r="D2316" t="str">
        <f>IF(AND(Noty!H1158=0,Noty!I1158=0),"ukryj","odkryj")</f>
        <v>ukryj</v>
      </c>
    </row>
    <row r="2317" spans="1:4" x14ac:dyDescent="0.3">
      <c r="A2317" t="s">
        <v>5067</v>
      </c>
      <c r="B2317" t="s">
        <v>5514</v>
      </c>
      <c r="C2317" s="22" t="s">
        <v>6672</v>
      </c>
      <c r="D2317" t="str">
        <f>IF(AND(Noty!H1159=0,Noty!I1159=0),"ukryj","odkryj")</f>
        <v>ukryj</v>
      </c>
    </row>
    <row r="2318" spans="1:4" x14ac:dyDescent="0.3">
      <c r="A2318" t="s">
        <v>5067</v>
      </c>
      <c r="B2318" t="s">
        <v>5514</v>
      </c>
      <c r="C2318" s="22" t="s">
        <v>6673</v>
      </c>
      <c r="D2318" t="s">
        <v>5125</v>
      </c>
    </row>
    <row r="2319" spans="1:4" x14ac:dyDescent="0.3">
      <c r="A2319" t="s">
        <v>5067</v>
      </c>
      <c r="B2319" t="s">
        <v>5514</v>
      </c>
      <c r="C2319" s="22" t="s">
        <v>6674</v>
      </c>
      <c r="D2319" t="str">
        <f>Noty!J1150</f>
        <v>odkryj</v>
      </c>
    </row>
    <row r="2320" spans="1:4" x14ac:dyDescent="0.3">
      <c r="A2320" t="s">
        <v>5067</v>
      </c>
      <c r="B2320" t="s">
        <v>5514</v>
      </c>
      <c r="C2320" s="22" t="s">
        <v>6675</v>
      </c>
      <c r="D2320" t="str">
        <f>IF(Noty!K1162="n/a","ukryj","odkryj")</f>
        <v>ukryj</v>
      </c>
    </row>
    <row r="2321" spans="1:4" x14ac:dyDescent="0.3">
      <c r="A2321" t="s">
        <v>5067</v>
      </c>
      <c r="B2321" t="s">
        <v>5514</v>
      </c>
      <c r="C2321" s="22" t="s">
        <v>6676</v>
      </c>
      <c r="D2321" t="str">
        <f>Noty!J1162</f>
        <v>ukryj</v>
      </c>
    </row>
    <row r="2322" spans="1:4" x14ac:dyDescent="0.3">
      <c r="A2322" t="s">
        <v>5067</v>
      </c>
      <c r="B2322" t="s">
        <v>5514</v>
      </c>
      <c r="C2322" s="22" t="s">
        <v>6677</v>
      </c>
      <c r="D2322" t="str">
        <f>Noty!J1163</f>
        <v>ukryj</v>
      </c>
    </row>
    <row r="2323" spans="1:4" x14ac:dyDescent="0.3">
      <c r="A2323" t="s">
        <v>5067</v>
      </c>
      <c r="B2323" t="s">
        <v>5514</v>
      </c>
      <c r="C2323" s="22" t="s">
        <v>6678</v>
      </c>
      <c r="D2323" t="str">
        <f>IF(AND(Noty!H1165=0,Noty!I1165=0),"ukryj","odkryj")</f>
        <v>ukryj</v>
      </c>
    </row>
    <row r="2324" spans="1:4" x14ac:dyDescent="0.3">
      <c r="A2324" t="s">
        <v>5067</v>
      </c>
      <c r="B2324" t="s">
        <v>5514</v>
      </c>
      <c r="C2324" s="22" t="s">
        <v>6679</v>
      </c>
      <c r="D2324" t="str">
        <f>IF(AND(Noty!H1166=0,Noty!I1166=0),"ukryj","odkryj")</f>
        <v>ukryj</v>
      </c>
    </row>
    <row r="2325" spans="1:4" x14ac:dyDescent="0.3">
      <c r="A2325" t="s">
        <v>5067</v>
      </c>
      <c r="B2325" t="s">
        <v>5514</v>
      </c>
      <c r="C2325" s="22" t="s">
        <v>6680</v>
      </c>
      <c r="D2325" t="str">
        <f>IF(AND(Noty!H1167=0,Noty!I1167=0),"ukryj","odkryj")</f>
        <v>ukryj</v>
      </c>
    </row>
    <row r="2326" spans="1:4" x14ac:dyDescent="0.3">
      <c r="A2326" t="s">
        <v>5067</v>
      </c>
      <c r="B2326" t="s">
        <v>5514</v>
      </c>
      <c r="C2326" s="22" t="s">
        <v>6681</v>
      </c>
      <c r="D2326" t="str">
        <f>Noty!J1167</f>
        <v>ukryj</v>
      </c>
    </row>
    <row r="2327" spans="1:4" x14ac:dyDescent="0.3">
      <c r="A2327" t="s">
        <v>5067</v>
      </c>
      <c r="B2327" t="s">
        <v>5514</v>
      </c>
      <c r="C2327" s="22" t="s">
        <v>6682</v>
      </c>
      <c r="D2327" t="str">
        <f>Noty!J1168</f>
        <v>ukryj</v>
      </c>
    </row>
    <row r="2328" spans="1:4" x14ac:dyDescent="0.3">
      <c r="A2328" t="s">
        <v>5067</v>
      </c>
      <c r="B2328" t="s">
        <v>5514</v>
      </c>
      <c r="C2328" s="22" t="s">
        <v>6683</v>
      </c>
      <c r="D2328" t="str">
        <f>Noty!J1169</f>
        <v>ukryj</v>
      </c>
    </row>
    <row r="2329" spans="1:4" x14ac:dyDescent="0.3">
      <c r="A2329" t="s">
        <v>5067</v>
      </c>
      <c r="B2329" t="s">
        <v>5514</v>
      </c>
      <c r="C2329" s="22" t="s">
        <v>6684</v>
      </c>
      <c r="D2329" t="str">
        <f>IF(AND(Noty!H1171=0,Noty!I1171=0),"ukryj","odkryj")</f>
        <v>ukryj</v>
      </c>
    </row>
    <row r="2330" spans="1:4" x14ac:dyDescent="0.3">
      <c r="A2330" t="s">
        <v>5067</v>
      </c>
      <c r="B2330" t="s">
        <v>5514</v>
      </c>
      <c r="C2330" s="22" t="s">
        <v>6685</v>
      </c>
      <c r="D2330" t="str">
        <f>IF(AND(Noty!H1172=0,Noty!I1172=0),"ukryj","odkryj")</f>
        <v>ukryj</v>
      </c>
    </row>
    <row r="2331" spans="1:4" x14ac:dyDescent="0.3">
      <c r="A2331" t="s">
        <v>5067</v>
      </c>
      <c r="B2331" t="s">
        <v>5514</v>
      </c>
      <c r="C2331" s="22" t="s">
        <v>6686</v>
      </c>
      <c r="D2331" t="str">
        <f>IF(AND(Noty!H1173=0,Noty!I1173=0),"ukryj","odkryj")</f>
        <v>ukryj</v>
      </c>
    </row>
    <row r="2332" spans="1:4" x14ac:dyDescent="0.3">
      <c r="A2332" t="s">
        <v>5067</v>
      </c>
      <c r="B2332" t="s">
        <v>5514</v>
      </c>
      <c r="C2332" s="22" t="s">
        <v>6687</v>
      </c>
      <c r="D2332" t="str">
        <f>Noty!J1173</f>
        <v>ukryj</v>
      </c>
    </row>
    <row r="2333" spans="1:4" x14ac:dyDescent="0.3">
      <c r="A2333" t="s">
        <v>5067</v>
      </c>
      <c r="B2333" t="s">
        <v>5514</v>
      </c>
      <c r="C2333" s="22" t="s">
        <v>6688</v>
      </c>
      <c r="D2333" t="str">
        <f>IF(Noty!K1183="n/a","ukryj","odkryj")</f>
        <v>ukryj</v>
      </c>
    </row>
    <row r="2334" spans="1:4" x14ac:dyDescent="0.3">
      <c r="A2334" t="s">
        <v>5067</v>
      </c>
      <c r="B2334" t="s">
        <v>5514</v>
      </c>
      <c r="C2334" s="22" t="s">
        <v>6689</v>
      </c>
      <c r="D2334" t="str">
        <f>Noty!J1183</f>
        <v>ukryj</v>
      </c>
    </row>
    <row r="2335" spans="1:4" x14ac:dyDescent="0.3">
      <c r="A2335" t="s">
        <v>5067</v>
      </c>
      <c r="B2335" t="s">
        <v>5514</v>
      </c>
      <c r="C2335" s="22" t="s">
        <v>6690</v>
      </c>
      <c r="D2335" t="str">
        <f>Noty!J1184</f>
        <v>ukryj</v>
      </c>
    </row>
    <row r="2336" spans="1:4" x14ac:dyDescent="0.3">
      <c r="A2336" t="s">
        <v>5067</v>
      </c>
      <c r="B2336" t="s">
        <v>5514</v>
      </c>
      <c r="C2336" s="22" t="s">
        <v>6691</v>
      </c>
      <c r="D2336" t="str">
        <f>Noty!J1193</f>
        <v>ukryj</v>
      </c>
    </row>
    <row r="2337" spans="1:4" x14ac:dyDescent="0.3">
      <c r="A2337" t="s">
        <v>5067</v>
      </c>
      <c r="B2337" t="s">
        <v>5514</v>
      </c>
      <c r="C2337" s="22" t="s">
        <v>6692</v>
      </c>
      <c r="D2337" t="str">
        <f>IF(AND(Noty!H1187=0,Noty!I1187=0),"ukryj","odkryj")</f>
        <v>ukryj</v>
      </c>
    </row>
    <row r="2338" spans="1:4" x14ac:dyDescent="0.3">
      <c r="A2338" t="s">
        <v>5067</v>
      </c>
      <c r="B2338" t="s">
        <v>5514</v>
      </c>
      <c r="C2338" s="22" t="s">
        <v>6693</v>
      </c>
      <c r="D2338" t="str">
        <f>IF(AND(Noty!H1188=0,Noty!I1188=0),"ukryj","odkryj")</f>
        <v>ukryj</v>
      </c>
    </row>
    <row r="2339" spans="1:4" x14ac:dyDescent="0.3">
      <c r="A2339" t="s">
        <v>5067</v>
      </c>
      <c r="B2339" t="s">
        <v>5514</v>
      </c>
      <c r="C2339" s="22" t="s">
        <v>6694</v>
      </c>
      <c r="D2339" t="str">
        <f>IF(Noty!K1175="n/a","ukryj","odkryj")</f>
        <v>ukryj</v>
      </c>
    </row>
    <row r="2340" spans="1:4" x14ac:dyDescent="0.3">
      <c r="A2340" t="s">
        <v>5067</v>
      </c>
      <c r="B2340" t="s">
        <v>5514</v>
      </c>
      <c r="C2340" s="22" t="s">
        <v>6695</v>
      </c>
      <c r="D2340" t="str">
        <f>Noty!J1175</f>
        <v>ukryj</v>
      </c>
    </row>
    <row r="2341" spans="1:4" x14ac:dyDescent="0.3">
      <c r="A2341" t="s">
        <v>5067</v>
      </c>
      <c r="B2341" t="s">
        <v>5514</v>
      </c>
      <c r="C2341" s="22" t="s">
        <v>6696</v>
      </c>
      <c r="D2341" t="s">
        <v>5125</v>
      </c>
    </row>
    <row r="2342" spans="1:4" x14ac:dyDescent="0.3">
      <c r="A2342" t="s">
        <v>5067</v>
      </c>
      <c r="B2342" t="s">
        <v>5514</v>
      </c>
      <c r="C2342" s="22" t="s">
        <v>6697</v>
      </c>
      <c r="D2342" t="str">
        <f>Noty!J1177</f>
        <v>ukryj</v>
      </c>
    </row>
    <row r="2343" spans="1:4" x14ac:dyDescent="0.3">
      <c r="A2343" t="s">
        <v>5067</v>
      </c>
      <c r="B2343" t="s">
        <v>5514</v>
      </c>
      <c r="C2343" s="22" t="s">
        <v>6698</v>
      </c>
      <c r="D2343" t="str">
        <f>IF(AND(Noty!H1177=0,Noty!I1177=0),"ukryj","odkryj")</f>
        <v>ukryj</v>
      </c>
    </row>
    <row r="2344" spans="1:4" x14ac:dyDescent="0.3">
      <c r="A2344" t="s">
        <v>5067</v>
      </c>
      <c r="B2344" t="s">
        <v>5514</v>
      </c>
      <c r="C2344" s="22" t="s">
        <v>6699</v>
      </c>
      <c r="D2344" t="str">
        <f>Noty!J1179</f>
        <v>ukryj</v>
      </c>
    </row>
    <row r="2345" spans="1:4" x14ac:dyDescent="0.3">
      <c r="A2345" t="s">
        <v>5067</v>
      </c>
      <c r="B2345" t="s">
        <v>5514</v>
      </c>
      <c r="C2345" s="22" t="s">
        <v>6700</v>
      </c>
      <c r="D2345" t="str">
        <f>Noty!J1180</f>
        <v>ukryj</v>
      </c>
    </row>
    <row r="2346" spans="1:4" x14ac:dyDescent="0.3">
      <c r="A2346" t="s">
        <v>5067</v>
      </c>
      <c r="B2346" t="s">
        <v>5514</v>
      </c>
      <c r="C2346" s="22" t="s">
        <v>6701</v>
      </c>
      <c r="D2346" t="str">
        <f>IF(AND(Noty!H1189=0,Noty!I1189=0),"ukryj","odkryj")</f>
        <v>ukryj</v>
      </c>
    </row>
    <row r="2347" spans="1:4" x14ac:dyDescent="0.3">
      <c r="A2347" t="s">
        <v>5067</v>
      </c>
      <c r="B2347" t="s">
        <v>5514</v>
      </c>
      <c r="C2347" s="22" t="s">
        <v>6702</v>
      </c>
      <c r="D2347" t="str">
        <f>IF(AND(Noty!H1190=0,Noty!I1190=0),"ukryj","odkryj")</f>
        <v>ukryj</v>
      </c>
    </row>
    <row r="2348" spans="1:4" x14ac:dyDescent="0.3">
      <c r="A2348" t="s">
        <v>5067</v>
      </c>
      <c r="B2348" t="s">
        <v>5514</v>
      </c>
      <c r="C2348" s="22" t="s">
        <v>6703</v>
      </c>
      <c r="D2348" t="str">
        <f>IF(AND(Noty!H1191=0,Noty!I1191=0),"ukryj","odkryj")</f>
        <v>ukryj</v>
      </c>
    </row>
    <row r="2349" spans="1:4" x14ac:dyDescent="0.3">
      <c r="A2349" t="s">
        <v>5067</v>
      </c>
      <c r="B2349" t="s">
        <v>5514</v>
      </c>
      <c r="C2349" s="22" t="s">
        <v>6704</v>
      </c>
      <c r="D2349" t="str">
        <f>IF(AND(Noty!H1192=0,Noty!I1192=0),"ukryj","odkryj")</f>
        <v>ukryj</v>
      </c>
    </row>
    <row r="2350" spans="1:4" x14ac:dyDescent="0.3">
      <c r="A2350" t="s">
        <v>5067</v>
      </c>
      <c r="B2350" t="s">
        <v>5514</v>
      </c>
      <c r="C2350" s="22" t="s">
        <v>6705</v>
      </c>
      <c r="D2350" t="str">
        <f>IF(AND(Noty!H1193=0,Noty!I1193=0),"ukryj","odkryj")</f>
        <v>ukryj</v>
      </c>
    </row>
    <row r="2351" spans="1:4" x14ac:dyDescent="0.3">
      <c r="A2351" t="s">
        <v>5067</v>
      </c>
      <c r="B2351" t="s">
        <v>5514</v>
      </c>
      <c r="C2351" s="22" t="s">
        <v>6706</v>
      </c>
      <c r="D2351" t="str">
        <f>Noty!J1193</f>
        <v>ukryj</v>
      </c>
    </row>
    <row r="2352" spans="1:4" x14ac:dyDescent="0.3">
      <c r="A2352" t="s">
        <v>5067</v>
      </c>
      <c r="B2352" t="s">
        <v>5514</v>
      </c>
      <c r="C2352" s="22" t="s">
        <v>6707</v>
      </c>
      <c r="D2352" t="str">
        <f>Noty!J1198</f>
        <v>ukryj</v>
      </c>
    </row>
    <row r="2353" spans="1:4" x14ac:dyDescent="0.3">
      <c r="A2353" t="s">
        <v>5067</v>
      </c>
      <c r="B2353" t="s">
        <v>5514</v>
      </c>
      <c r="C2353" s="22" t="s">
        <v>6708</v>
      </c>
      <c r="D2353" t="str">
        <f>IF(AND(Noty!H1196=0,Noty!I1196=0),"ukryj","odkryj")</f>
        <v>ukryj</v>
      </c>
    </row>
    <row r="2354" spans="1:4" x14ac:dyDescent="0.3">
      <c r="A2354" t="s">
        <v>5067</v>
      </c>
      <c r="B2354" t="s">
        <v>5514</v>
      </c>
      <c r="C2354" s="22" t="s">
        <v>6709</v>
      </c>
      <c r="D2354" t="str">
        <f>IF(AND(Noty!H1197=0,Noty!I1197=0),"ukryj","odkryj")</f>
        <v>ukryj</v>
      </c>
    </row>
    <row r="2355" spans="1:4" x14ac:dyDescent="0.3">
      <c r="A2355" t="s">
        <v>5067</v>
      </c>
      <c r="B2355" t="s">
        <v>5514</v>
      </c>
      <c r="C2355" s="22" t="s">
        <v>6710</v>
      </c>
      <c r="D2355" t="str">
        <f>IF(AND(Noty!H1198=0,Noty!I1198=0),"ukryj","odkryj")</f>
        <v>ukryj</v>
      </c>
    </row>
    <row r="2356" spans="1:4" x14ac:dyDescent="0.3">
      <c r="A2356" t="s">
        <v>5067</v>
      </c>
      <c r="B2356" t="s">
        <v>5514</v>
      </c>
      <c r="C2356" s="22" t="s">
        <v>6711</v>
      </c>
      <c r="D2356" t="str">
        <f>Noty!J1198</f>
        <v>ukryj</v>
      </c>
    </row>
    <row r="2357" spans="1:4" x14ac:dyDescent="0.3">
      <c r="A2357" t="s">
        <v>5067</v>
      </c>
      <c r="B2357" t="s">
        <v>5514</v>
      </c>
      <c r="C2357" s="22" t="s">
        <v>6712</v>
      </c>
      <c r="D2357" t="str">
        <f>IF(AND(Noty!H1200=0,Noty!I1200=0),"ukryj","odkryj")</f>
        <v>ukryj</v>
      </c>
    </row>
    <row r="2358" spans="1:4" x14ac:dyDescent="0.3">
      <c r="A2358" t="s">
        <v>5067</v>
      </c>
      <c r="B2358" t="s">
        <v>5514</v>
      </c>
      <c r="C2358" s="22" t="s">
        <v>6713</v>
      </c>
      <c r="D2358" t="str">
        <f>Noty!J1200</f>
        <v>ukryj</v>
      </c>
    </row>
    <row r="2359" spans="1:4" x14ac:dyDescent="0.3">
      <c r="A2359" t="s">
        <v>5067</v>
      </c>
      <c r="B2359" t="s">
        <v>5514</v>
      </c>
      <c r="C2359" s="22" t="s">
        <v>6714</v>
      </c>
      <c r="D2359" t="str">
        <f>Noty!J1227</f>
        <v>ukryj</v>
      </c>
    </row>
    <row r="2360" spans="1:4" x14ac:dyDescent="0.3">
      <c r="A2360" t="s">
        <v>5067</v>
      </c>
      <c r="B2360" t="s">
        <v>5514</v>
      </c>
      <c r="C2360" s="22" t="s">
        <v>6715</v>
      </c>
      <c r="D2360" t="str">
        <f>Noty!J1202</f>
        <v>ukryj</v>
      </c>
    </row>
    <row r="2361" spans="1:4" x14ac:dyDescent="0.3">
      <c r="A2361" t="s">
        <v>5067</v>
      </c>
      <c r="B2361" t="s">
        <v>5514</v>
      </c>
      <c r="C2361" s="22" t="s">
        <v>6716</v>
      </c>
      <c r="D2361" t="str">
        <f>IF(AND(Noty!H1204=0,Noty!I1204=0),"ukryj","odkryj")</f>
        <v>ukryj</v>
      </c>
    </row>
    <row r="2362" spans="1:4" x14ac:dyDescent="0.3">
      <c r="A2362" t="s">
        <v>5067</v>
      </c>
      <c r="B2362" t="s">
        <v>5514</v>
      </c>
      <c r="C2362" s="22" t="s">
        <v>6717</v>
      </c>
      <c r="D2362" t="str">
        <f>IF(AND(Noty!H1205=0,Noty!I1205=0),"ukryj","odkryj")</f>
        <v>ukryj</v>
      </c>
    </row>
    <row r="2363" spans="1:4" x14ac:dyDescent="0.3">
      <c r="A2363" t="s">
        <v>5067</v>
      </c>
      <c r="B2363" t="s">
        <v>5514</v>
      </c>
      <c r="C2363" s="22" t="s">
        <v>6718</v>
      </c>
      <c r="D2363" t="str">
        <f>IF(AND(Noty!H1206=0,Noty!I1206=0),"ukryj","odkryj")</f>
        <v>ukryj</v>
      </c>
    </row>
    <row r="2364" spans="1:4" x14ac:dyDescent="0.3">
      <c r="A2364" t="s">
        <v>5067</v>
      </c>
      <c r="B2364" t="s">
        <v>5514</v>
      </c>
      <c r="C2364" s="22" t="s">
        <v>6719</v>
      </c>
      <c r="D2364" t="str">
        <f>IF(AND(Noty!H1207=0,Noty!I1207=0),"ukryj","odkryj")</f>
        <v>ukryj</v>
      </c>
    </row>
    <row r="2365" spans="1:4" x14ac:dyDescent="0.3">
      <c r="A2365" t="s">
        <v>5067</v>
      </c>
      <c r="B2365" t="s">
        <v>5514</v>
      </c>
      <c r="C2365" s="22" t="s">
        <v>6720</v>
      </c>
      <c r="D2365" t="str">
        <f>Noty!J1207</f>
        <v>ukryj</v>
      </c>
    </row>
    <row r="2366" spans="1:4" x14ac:dyDescent="0.3">
      <c r="A2366" t="s">
        <v>5067</v>
      </c>
      <c r="B2366" t="s">
        <v>5514</v>
      </c>
      <c r="C2366" s="22" t="s">
        <v>6721</v>
      </c>
      <c r="D2366" t="str">
        <f>IF(AND(Noty!H1209=0,Noty!I1209=0),"ukryj","odkryj")</f>
        <v>ukryj</v>
      </c>
    </row>
    <row r="2367" spans="1:4" x14ac:dyDescent="0.3">
      <c r="A2367" t="s">
        <v>5067</v>
      </c>
      <c r="B2367" t="s">
        <v>5514</v>
      </c>
      <c r="C2367" s="22" t="s">
        <v>6722</v>
      </c>
      <c r="D2367" t="str">
        <f>IF(AND(Noty!H1210=0,Noty!I1210=0),"ukryj","odkryj")</f>
        <v>ukryj</v>
      </c>
    </row>
    <row r="2368" spans="1:4" x14ac:dyDescent="0.3">
      <c r="A2368" t="s">
        <v>5067</v>
      </c>
      <c r="B2368" t="s">
        <v>5514</v>
      </c>
      <c r="C2368" s="22" t="s">
        <v>6723</v>
      </c>
      <c r="D2368" t="str">
        <f>IF(AND(Noty!H1211=0,Noty!I1211=0),"ukryj","odkryj")</f>
        <v>ukryj</v>
      </c>
    </row>
    <row r="2369" spans="1:4" x14ac:dyDescent="0.3">
      <c r="A2369" t="s">
        <v>5067</v>
      </c>
      <c r="B2369" t="s">
        <v>5514</v>
      </c>
      <c r="C2369" s="22" t="s">
        <v>6724</v>
      </c>
      <c r="D2369" t="str">
        <f>Noty!J1211</f>
        <v>ukryj</v>
      </c>
    </row>
    <row r="2370" spans="1:4" x14ac:dyDescent="0.3">
      <c r="A2370" t="s">
        <v>5067</v>
      </c>
      <c r="B2370" t="s">
        <v>5514</v>
      </c>
      <c r="C2370" s="22" t="s">
        <v>6725</v>
      </c>
      <c r="D2370" t="str">
        <f>IF(AND(Noty!H1213=0,Noty!I1213=0),"ukryj","odkryj")</f>
        <v>ukryj</v>
      </c>
    </row>
    <row r="2371" spans="1:4" x14ac:dyDescent="0.3">
      <c r="A2371" t="s">
        <v>5067</v>
      </c>
      <c r="B2371" t="s">
        <v>5514</v>
      </c>
      <c r="C2371" s="22" t="s">
        <v>6726</v>
      </c>
      <c r="D2371" t="str">
        <f>IF(AND(Noty!H1214=0,Noty!I1214=0),"ukryj","odkryj")</f>
        <v>ukryj</v>
      </c>
    </row>
    <row r="2372" spans="1:4" x14ac:dyDescent="0.3">
      <c r="A2372" t="s">
        <v>5067</v>
      </c>
      <c r="B2372" t="s">
        <v>5514</v>
      </c>
      <c r="C2372" s="22" t="s">
        <v>6727</v>
      </c>
      <c r="D2372" t="str">
        <f>IF(AND(Noty!H1215=0,Noty!I1215=0),"ukryj","odkryj")</f>
        <v>ukryj</v>
      </c>
    </row>
    <row r="2373" spans="1:4" x14ac:dyDescent="0.3">
      <c r="A2373" t="s">
        <v>5067</v>
      </c>
      <c r="B2373" t="s">
        <v>5514</v>
      </c>
      <c r="C2373" s="22" t="s">
        <v>6728</v>
      </c>
      <c r="D2373" t="str">
        <f>Noty!J1215</f>
        <v>ukryj</v>
      </c>
    </row>
    <row r="2374" spans="1:4" x14ac:dyDescent="0.3">
      <c r="A2374" t="s">
        <v>5067</v>
      </c>
      <c r="B2374" t="s">
        <v>5514</v>
      </c>
      <c r="C2374" s="22" t="s">
        <v>6729</v>
      </c>
      <c r="D2374" t="str">
        <f>IF(AND(Noty!H1217=0,Noty!I1217=0),"ukryj","odkryj")</f>
        <v>ukryj</v>
      </c>
    </row>
    <row r="2375" spans="1:4" x14ac:dyDescent="0.3">
      <c r="A2375" t="s">
        <v>5067</v>
      </c>
      <c r="B2375" t="s">
        <v>5514</v>
      </c>
      <c r="C2375" s="22" t="s">
        <v>6730</v>
      </c>
      <c r="D2375" t="str">
        <f>IF(AND(Noty!H1218=0,Noty!I1218=0),"ukryj","odkryj")</f>
        <v>ukryj</v>
      </c>
    </row>
    <row r="2376" spans="1:4" x14ac:dyDescent="0.3">
      <c r="A2376" t="s">
        <v>5067</v>
      </c>
      <c r="B2376" t="s">
        <v>5514</v>
      </c>
      <c r="C2376" s="22" t="s">
        <v>6731</v>
      </c>
      <c r="D2376" t="str">
        <f>IF(AND(Noty!H1219=0,Noty!I1219=0),"ukryj","odkryj")</f>
        <v>ukryj</v>
      </c>
    </row>
    <row r="2377" spans="1:4" x14ac:dyDescent="0.3">
      <c r="A2377" t="s">
        <v>5067</v>
      </c>
      <c r="B2377" t="s">
        <v>5514</v>
      </c>
      <c r="C2377" s="22" t="s">
        <v>6732</v>
      </c>
      <c r="D2377" t="str">
        <f>Noty!J1219</f>
        <v>ukryj</v>
      </c>
    </row>
    <row r="2378" spans="1:4" x14ac:dyDescent="0.3">
      <c r="A2378" t="s">
        <v>5067</v>
      </c>
      <c r="B2378" t="s">
        <v>5514</v>
      </c>
      <c r="C2378" s="22" t="s">
        <v>6733</v>
      </c>
      <c r="D2378" t="str">
        <f>IF(AND(Noty!H1221=0,Noty!I1221=0),"ukryj","odkryj")</f>
        <v>ukryj</v>
      </c>
    </row>
    <row r="2379" spans="1:4" x14ac:dyDescent="0.3">
      <c r="A2379" t="s">
        <v>5067</v>
      </c>
      <c r="B2379" t="s">
        <v>5514</v>
      </c>
      <c r="C2379" s="22" t="s">
        <v>6734</v>
      </c>
      <c r="D2379" t="str">
        <f>IF(AND(Noty!H1222=0,Noty!I1222=0),"ukryj","odkryj")</f>
        <v>ukryj</v>
      </c>
    </row>
    <row r="2380" spans="1:4" x14ac:dyDescent="0.3">
      <c r="A2380" t="s">
        <v>5067</v>
      </c>
      <c r="B2380" t="s">
        <v>5514</v>
      </c>
      <c r="C2380" s="22" t="s">
        <v>6735</v>
      </c>
      <c r="D2380" t="str">
        <f>IF(AND(Noty!H1223=0,Noty!I1223=0),"ukryj","odkryj")</f>
        <v>ukryj</v>
      </c>
    </row>
    <row r="2381" spans="1:4" x14ac:dyDescent="0.3">
      <c r="A2381" t="s">
        <v>5067</v>
      </c>
      <c r="B2381" t="s">
        <v>5514</v>
      </c>
      <c r="C2381" s="22" t="s">
        <v>6736</v>
      </c>
      <c r="D2381" t="str">
        <f>Noty!J1221</f>
        <v>ukryj</v>
      </c>
    </row>
    <row r="2382" spans="1:4" x14ac:dyDescent="0.3">
      <c r="A2382" t="s">
        <v>5067</v>
      </c>
      <c r="B2382" t="s">
        <v>5514</v>
      </c>
      <c r="C2382" s="22" t="s">
        <v>6737</v>
      </c>
      <c r="D2382" t="str">
        <f>IF(AND(Noty!H1225=0),"ukryj","odkryj")</f>
        <v>ukryj</v>
      </c>
    </row>
    <row r="2383" spans="1:4" x14ac:dyDescent="0.3">
      <c r="A2383" t="s">
        <v>5067</v>
      </c>
      <c r="B2383" t="s">
        <v>5514</v>
      </c>
      <c r="C2383" s="22" t="s">
        <v>6738</v>
      </c>
      <c r="D2383" t="str">
        <f>Noty!J1225</f>
        <v>ukryj</v>
      </c>
    </row>
    <row r="2384" spans="1:4" x14ac:dyDescent="0.3">
      <c r="A2384" t="s">
        <v>5067</v>
      </c>
      <c r="B2384" t="s">
        <v>5514</v>
      </c>
      <c r="C2384" s="22" t="s">
        <v>6739</v>
      </c>
      <c r="D2384" t="str">
        <f>IF(AND(Noty!H1227=0,Noty!I1227=0),"ukryj","odkryj")</f>
        <v>ukryj</v>
      </c>
    </row>
    <row r="2385" spans="1:4" x14ac:dyDescent="0.3">
      <c r="A2385" t="s">
        <v>5067</v>
      </c>
      <c r="B2385" t="s">
        <v>5514</v>
      </c>
      <c r="C2385" s="22" t="s">
        <v>6740</v>
      </c>
      <c r="D2385" t="str">
        <f>Noty!J1227</f>
        <v>ukryj</v>
      </c>
    </row>
    <row r="2386" spans="1:4" x14ac:dyDescent="0.3">
      <c r="A2386" t="s">
        <v>5067</v>
      </c>
      <c r="B2386" t="s">
        <v>5514</v>
      </c>
      <c r="C2386" s="22" t="s">
        <v>6741</v>
      </c>
      <c r="D2386" t="str">
        <f>IF(AND(Noty!H1229=0,Noty!I1229=0),"ukryj","odkryj")</f>
        <v>ukryj</v>
      </c>
    </row>
    <row r="2387" spans="1:4" x14ac:dyDescent="0.3">
      <c r="A2387" t="s">
        <v>5067</v>
      </c>
      <c r="B2387" t="s">
        <v>5514</v>
      </c>
      <c r="C2387" s="22" t="s">
        <v>6742</v>
      </c>
      <c r="D2387" t="str">
        <f>Noty!J1229</f>
        <v>ukryj</v>
      </c>
    </row>
    <row r="2388" spans="1:4" x14ac:dyDescent="0.3">
      <c r="A2388" t="s">
        <v>5067</v>
      </c>
      <c r="B2388" t="s">
        <v>5514</v>
      </c>
      <c r="C2388" s="22" t="s">
        <v>6743</v>
      </c>
      <c r="D2388" t="str">
        <f>IF(AND(Noty!H1231=0,Noty!I1231=0),"ukryj","odkryj")</f>
        <v>ukryj</v>
      </c>
    </row>
    <row r="2389" spans="1:4" x14ac:dyDescent="0.3">
      <c r="A2389" t="s">
        <v>5067</v>
      </c>
      <c r="B2389" t="s">
        <v>5514</v>
      </c>
      <c r="C2389" s="22" t="s">
        <v>6744</v>
      </c>
      <c r="D2389" t="str">
        <f>IF(AND(Noty!H1232=0,Noty!I1232=0),"ukryj","odkryj")</f>
        <v>ukryj</v>
      </c>
    </row>
    <row r="2390" spans="1:4" x14ac:dyDescent="0.3">
      <c r="A2390" t="s">
        <v>5067</v>
      </c>
      <c r="B2390" t="s">
        <v>5514</v>
      </c>
      <c r="C2390" s="22" t="s">
        <v>6745</v>
      </c>
      <c r="D2390" t="str">
        <f>IF(AND(Noty!H1233=0,Noty!I1233=0),"ukryj","odkryj")</f>
        <v>ukryj</v>
      </c>
    </row>
    <row r="2391" spans="1:4" x14ac:dyDescent="0.3">
      <c r="A2391" t="s">
        <v>5067</v>
      </c>
      <c r="B2391" t="s">
        <v>5514</v>
      </c>
      <c r="C2391" s="22" t="s">
        <v>6746</v>
      </c>
      <c r="D2391" t="str">
        <f>Noty!J1233</f>
        <v>ukryj</v>
      </c>
    </row>
    <row r="2392" spans="1:4" x14ac:dyDescent="0.3">
      <c r="A2392" t="s">
        <v>5067</v>
      </c>
      <c r="B2392" t="s">
        <v>5514</v>
      </c>
      <c r="C2392" s="22" t="s">
        <v>6747</v>
      </c>
      <c r="D2392" t="str">
        <f>Noty!J1234</f>
        <v>ukryj</v>
      </c>
    </row>
    <row r="2393" spans="1:4" x14ac:dyDescent="0.3">
      <c r="A2393" t="s">
        <v>5067</v>
      </c>
      <c r="B2393" t="s">
        <v>5514</v>
      </c>
      <c r="C2393" s="22" t="s">
        <v>6748</v>
      </c>
      <c r="D2393" t="str">
        <f>Noty!J1240</f>
        <v>ukryj</v>
      </c>
    </row>
    <row r="2394" spans="1:4" x14ac:dyDescent="0.3">
      <c r="A2394" t="s">
        <v>5067</v>
      </c>
      <c r="B2394" t="s">
        <v>5514</v>
      </c>
      <c r="C2394" s="22" t="s">
        <v>6749</v>
      </c>
      <c r="D2394" t="str">
        <f>IF(AND(Noty!H1237=0,Noty!I1237=0),"ukryj","odkryj")</f>
        <v>ukryj</v>
      </c>
    </row>
    <row r="2395" spans="1:4" x14ac:dyDescent="0.3">
      <c r="A2395" t="s">
        <v>5067</v>
      </c>
      <c r="B2395" t="s">
        <v>5514</v>
      </c>
      <c r="C2395" s="22" t="s">
        <v>6750</v>
      </c>
      <c r="D2395" t="str">
        <f>IF(AND(Noty!H1238=0,Noty!I1238=0),"ukryj","odkryj")</f>
        <v>ukryj</v>
      </c>
    </row>
    <row r="2396" spans="1:4" x14ac:dyDescent="0.3">
      <c r="A2396" t="s">
        <v>5067</v>
      </c>
      <c r="B2396" t="s">
        <v>5514</v>
      </c>
      <c r="C2396" s="22" t="s">
        <v>6751</v>
      </c>
      <c r="D2396" t="str">
        <f>IF(AND(Noty!H1239=0,Noty!I1239=0),"ukryj","odkryj")</f>
        <v>ukryj</v>
      </c>
    </row>
    <row r="2397" spans="1:4" x14ac:dyDescent="0.3">
      <c r="A2397" t="s">
        <v>5067</v>
      </c>
      <c r="B2397" t="s">
        <v>5514</v>
      </c>
      <c r="C2397" s="22" t="s">
        <v>6752</v>
      </c>
      <c r="D2397" t="str">
        <f>IF(AND(Noty!H1240=0,Noty!I1240=0),"ukryj","odkryj")</f>
        <v>ukryj</v>
      </c>
    </row>
    <row r="2398" spans="1:4" x14ac:dyDescent="0.3">
      <c r="A2398" t="s">
        <v>5067</v>
      </c>
      <c r="B2398" t="s">
        <v>5514</v>
      </c>
      <c r="C2398" s="22" t="s">
        <v>6753</v>
      </c>
      <c r="D2398" t="str">
        <f>Noty!J1240</f>
        <v>ukryj</v>
      </c>
    </row>
    <row r="2399" spans="1:4" x14ac:dyDescent="0.3">
      <c r="A2399" t="s">
        <v>5067</v>
      </c>
      <c r="B2399" t="s">
        <v>5514</v>
      </c>
      <c r="C2399" s="22" t="s">
        <v>6754</v>
      </c>
      <c r="D2399" t="str">
        <f>Noty!J1246</f>
        <v>ukryj</v>
      </c>
    </row>
    <row r="2400" spans="1:4" x14ac:dyDescent="0.3">
      <c r="A2400" t="s">
        <v>5067</v>
      </c>
      <c r="B2400" t="s">
        <v>5514</v>
      </c>
      <c r="C2400" s="22" t="s">
        <v>6755</v>
      </c>
      <c r="D2400" t="str">
        <f>IF(AND(Noty!H1243=0,Noty!I1243=0),"ukryj","odkryj")</f>
        <v>ukryj</v>
      </c>
    </row>
    <row r="2401" spans="1:4" x14ac:dyDescent="0.3">
      <c r="A2401" t="s">
        <v>5067</v>
      </c>
      <c r="B2401" t="s">
        <v>5514</v>
      </c>
      <c r="C2401" s="22" t="s">
        <v>6756</v>
      </c>
      <c r="D2401" t="str">
        <f>IF(AND(Noty!H1244=0,Noty!I1244=0),"ukryj","odkryj")</f>
        <v>ukryj</v>
      </c>
    </row>
    <row r="2402" spans="1:4" x14ac:dyDescent="0.3">
      <c r="A2402" t="s">
        <v>5067</v>
      </c>
      <c r="B2402" t="s">
        <v>5514</v>
      </c>
      <c r="C2402" s="22" t="s">
        <v>6757</v>
      </c>
      <c r="D2402" t="str">
        <f>IF(AND(Noty!H1245=0,Noty!I1245=0),"ukryj","odkryj")</f>
        <v>ukryj</v>
      </c>
    </row>
    <row r="2403" spans="1:4" x14ac:dyDescent="0.3">
      <c r="A2403" t="s">
        <v>5067</v>
      </c>
      <c r="B2403" t="s">
        <v>5514</v>
      </c>
      <c r="C2403" s="22" t="s">
        <v>6758</v>
      </c>
      <c r="D2403" t="str">
        <f>IF(AND(Noty!H1246=0,Noty!I1246=0),"ukryj","odkryj")</f>
        <v>ukryj</v>
      </c>
    </row>
    <row r="2404" spans="1:4" x14ac:dyDescent="0.3">
      <c r="A2404" t="s">
        <v>5067</v>
      </c>
      <c r="B2404" t="s">
        <v>5514</v>
      </c>
      <c r="C2404" s="22" t="s">
        <v>6759</v>
      </c>
      <c r="D2404" t="str">
        <f>Noty!J1246</f>
        <v>ukryj</v>
      </c>
    </row>
    <row r="2405" spans="1:4" x14ac:dyDescent="0.3">
      <c r="A2405" t="s">
        <v>5067</v>
      </c>
      <c r="B2405" t="s">
        <v>5514</v>
      </c>
      <c r="C2405" s="22" t="s">
        <v>6760</v>
      </c>
      <c r="D2405" t="str">
        <f>IF(AND(Noty!H1248=0,Noty!I1248=0),"ukryj","odkryj")</f>
        <v>ukryj</v>
      </c>
    </row>
    <row r="2406" spans="1:4" x14ac:dyDescent="0.3">
      <c r="A2406" t="s">
        <v>5067</v>
      </c>
      <c r="B2406" t="s">
        <v>5514</v>
      </c>
      <c r="C2406" s="22" t="s">
        <v>6761</v>
      </c>
      <c r="D2406" t="str">
        <f>Noty!J1248</f>
        <v>ukryj</v>
      </c>
    </row>
    <row r="2407" spans="1:4" x14ac:dyDescent="0.3">
      <c r="A2407" t="s">
        <v>5067</v>
      </c>
      <c r="B2407" t="s">
        <v>5514</v>
      </c>
      <c r="C2407" s="22" t="s">
        <v>6762</v>
      </c>
      <c r="D2407" t="str">
        <f>IF(AND(Noty!H1250=0,Noty!I1250=0),"ukryj","odkryj")</f>
        <v>ukryj</v>
      </c>
    </row>
    <row r="2408" spans="1:4" x14ac:dyDescent="0.3">
      <c r="A2408" t="s">
        <v>5067</v>
      </c>
      <c r="B2408" t="s">
        <v>5514</v>
      </c>
      <c r="C2408" s="22" t="s">
        <v>6763</v>
      </c>
      <c r="D2408" t="str">
        <f>Noty!J1250</f>
        <v>ukryj</v>
      </c>
    </row>
    <row r="2409" spans="1:4" x14ac:dyDescent="0.3">
      <c r="A2409" t="s">
        <v>5067</v>
      </c>
      <c r="B2409" t="s">
        <v>5514</v>
      </c>
      <c r="C2409" s="22" t="s">
        <v>6764</v>
      </c>
      <c r="D2409" t="str">
        <f>IF(AND(Noty!I1252=0),"ukryj","odkryj")</f>
        <v>ukryj</v>
      </c>
    </row>
    <row r="2410" spans="1:4" x14ac:dyDescent="0.3">
      <c r="A2410" t="s">
        <v>5067</v>
      </c>
      <c r="B2410" t="s">
        <v>5514</v>
      </c>
      <c r="C2410" s="22" t="s">
        <v>6765</v>
      </c>
      <c r="D2410" t="str">
        <f>Noty!J1252</f>
        <v>ukryj</v>
      </c>
    </row>
    <row r="2411" spans="1:4" x14ac:dyDescent="0.3">
      <c r="A2411" t="s">
        <v>5067</v>
      </c>
      <c r="B2411" t="s">
        <v>5514</v>
      </c>
      <c r="C2411" s="22" t="s">
        <v>6766</v>
      </c>
      <c r="D2411" t="str">
        <f>Noty!J1253</f>
        <v>ukryj</v>
      </c>
    </row>
    <row r="2412" spans="1:4" x14ac:dyDescent="0.3">
      <c r="A2412" t="s">
        <v>5067</v>
      </c>
      <c r="B2412" t="s">
        <v>5514</v>
      </c>
      <c r="C2412" s="22" t="s">
        <v>6767</v>
      </c>
      <c r="D2412" t="str">
        <f>Noty!J1254</f>
        <v>ukryj</v>
      </c>
    </row>
    <row r="2413" spans="1:4" x14ac:dyDescent="0.3">
      <c r="A2413" t="s">
        <v>5067</v>
      </c>
      <c r="B2413" t="s">
        <v>5514</v>
      </c>
      <c r="C2413" s="22" t="s">
        <v>6768</v>
      </c>
      <c r="D2413" t="str">
        <f>Noty!J1255</f>
        <v>ukryj</v>
      </c>
    </row>
    <row r="2414" spans="1:4" x14ac:dyDescent="0.3">
      <c r="A2414" t="s">
        <v>5067</v>
      </c>
      <c r="B2414" t="s">
        <v>5514</v>
      </c>
      <c r="C2414" s="22" t="s">
        <v>6769</v>
      </c>
      <c r="D2414" t="str">
        <f>IF(AND(Noty!H1232=0),"ukryj","odkryj")</f>
        <v>ukryj</v>
      </c>
    </row>
    <row r="2415" spans="1:4" x14ac:dyDescent="0.3">
      <c r="A2415" t="s">
        <v>5067</v>
      </c>
      <c r="B2415" t="s">
        <v>5514</v>
      </c>
      <c r="C2415" s="22" t="s">
        <v>6770</v>
      </c>
      <c r="D2415" t="str">
        <f>Noty!J1257</f>
        <v>ukryj</v>
      </c>
    </row>
    <row r="2416" spans="1:4" x14ac:dyDescent="0.3">
      <c r="A2416" t="s">
        <v>5067</v>
      </c>
      <c r="B2416" t="s">
        <v>5514</v>
      </c>
      <c r="C2416" s="22" t="s">
        <v>6771</v>
      </c>
      <c r="D2416" t="str">
        <f>Noty!J1258</f>
        <v>ukryj</v>
      </c>
    </row>
    <row r="2417" spans="1:4" x14ac:dyDescent="0.3">
      <c r="A2417" t="s">
        <v>5067</v>
      </c>
      <c r="B2417" t="s">
        <v>5514</v>
      </c>
      <c r="C2417" s="22" t="s">
        <v>6772</v>
      </c>
      <c r="D2417" t="str">
        <f>IF(Noty!K1260="n/a","ukryj","odkryj")</f>
        <v>ukryj</v>
      </c>
    </row>
    <row r="2418" spans="1:4" x14ac:dyDescent="0.3">
      <c r="A2418" t="s">
        <v>5067</v>
      </c>
      <c r="B2418" t="s">
        <v>5514</v>
      </c>
      <c r="C2418" s="22" t="s">
        <v>6773</v>
      </c>
      <c r="D2418" t="str">
        <f>Noty!J1260</f>
        <v>ukryj</v>
      </c>
    </row>
    <row r="2419" spans="1:4" x14ac:dyDescent="0.3">
      <c r="A2419" t="s">
        <v>5067</v>
      </c>
      <c r="B2419" t="s">
        <v>5514</v>
      </c>
      <c r="C2419" s="22" t="s">
        <v>6774</v>
      </c>
      <c r="D2419" t="str">
        <f>Noty!J1261</f>
        <v>ukryj</v>
      </c>
    </row>
    <row r="2420" spans="1:4" x14ac:dyDescent="0.3">
      <c r="A2420" t="s">
        <v>5067</v>
      </c>
      <c r="B2420" t="s">
        <v>5514</v>
      </c>
      <c r="C2420" s="22" t="s">
        <v>6775</v>
      </c>
      <c r="D2420" t="str">
        <f>Noty!J1262</f>
        <v>ukryj</v>
      </c>
    </row>
    <row r="2421" spans="1:4" x14ac:dyDescent="0.3">
      <c r="A2421" t="s">
        <v>5067</v>
      </c>
      <c r="B2421" t="s">
        <v>5514</v>
      </c>
      <c r="C2421" s="22" t="s">
        <v>6776</v>
      </c>
      <c r="D2421" t="str">
        <f>Noty!J1263</f>
        <v>ukryj</v>
      </c>
    </row>
    <row r="2422" spans="1:4" x14ac:dyDescent="0.3">
      <c r="A2422" t="s">
        <v>5067</v>
      </c>
      <c r="B2422" t="s">
        <v>5514</v>
      </c>
      <c r="C2422" s="22" t="s">
        <v>6777</v>
      </c>
      <c r="D2422" t="str">
        <f>Noty!J1275</f>
        <v>ukryj</v>
      </c>
    </row>
    <row r="2423" spans="1:4" x14ac:dyDescent="0.3">
      <c r="A2423" t="s">
        <v>5067</v>
      </c>
      <c r="B2423" t="s">
        <v>5514</v>
      </c>
      <c r="C2423" s="22" t="s">
        <v>6778</v>
      </c>
      <c r="D2423" t="str">
        <f>IF(Noty!K1266="n/a","ukryj","odkryj")</f>
        <v>odkryj</v>
      </c>
    </row>
    <row r="2424" spans="1:4" x14ac:dyDescent="0.3">
      <c r="A2424" t="s">
        <v>5067</v>
      </c>
      <c r="B2424" t="s">
        <v>5514</v>
      </c>
      <c r="C2424" s="22" t="s">
        <v>6779</v>
      </c>
      <c r="D2424" t="str">
        <f>Noty!J1266</f>
        <v>odkryj</v>
      </c>
    </row>
    <row r="2425" spans="1:4" x14ac:dyDescent="0.3">
      <c r="A2425" t="s">
        <v>5067</v>
      </c>
      <c r="B2425" t="s">
        <v>5514</v>
      </c>
      <c r="C2425" s="22" t="s">
        <v>6780</v>
      </c>
      <c r="D2425" t="str">
        <f>Noty!J1267</f>
        <v>odkryj</v>
      </c>
    </row>
    <row r="2426" spans="1:4" x14ac:dyDescent="0.3">
      <c r="A2426" t="s">
        <v>5067</v>
      </c>
      <c r="B2426" t="s">
        <v>5514</v>
      </c>
      <c r="C2426" s="22" t="s">
        <v>6781</v>
      </c>
      <c r="D2426" t="str">
        <f>Noty!J1268</f>
        <v>odkryj</v>
      </c>
    </row>
    <row r="2427" spans="1:4" x14ac:dyDescent="0.3">
      <c r="A2427" t="s">
        <v>5067</v>
      </c>
      <c r="B2427" t="s">
        <v>5514</v>
      </c>
      <c r="C2427" s="22" t="s">
        <v>6782</v>
      </c>
      <c r="D2427" t="str">
        <f>Noty!J1269</f>
        <v>odkryj</v>
      </c>
    </row>
    <row r="2428" spans="1:4" x14ac:dyDescent="0.3">
      <c r="A2428" t="s">
        <v>5067</v>
      </c>
      <c r="B2428" t="s">
        <v>5514</v>
      </c>
      <c r="C2428" s="22" t="s">
        <v>6783</v>
      </c>
      <c r="D2428" t="str">
        <f>IF(AND(Noty!H1271=0,Noty!I1271=0),"ukryj","odkryj")</f>
        <v>ukryj</v>
      </c>
    </row>
    <row r="2429" spans="1:4" x14ac:dyDescent="0.3">
      <c r="A2429" t="s">
        <v>5067</v>
      </c>
      <c r="B2429" t="s">
        <v>5514</v>
      </c>
      <c r="C2429" s="22" t="s">
        <v>6784</v>
      </c>
      <c r="D2429" t="str">
        <f>IF(AND(Noty!H1272=0,Noty!I1272=0),"ukryj","odkryj")</f>
        <v>ukryj</v>
      </c>
    </row>
    <row r="2430" spans="1:4" x14ac:dyDescent="0.3">
      <c r="A2430" t="s">
        <v>5067</v>
      </c>
      <c r="B2430" t="s">
        <v>5514</v>
      </c>
      <c r="C2430" s="22" t="s">
        <v>6785</v>
      </c>
      <c r="D2430" t="str">
        <f>Noty!J1272</f>
        <v>ukryj</v>
      </c>
    </row>
    <row r="2431" spans="1:4" x14ac:dyDescent="0.3">
      <c r="A2431" t="s">
        <v>5067</v>
      </c>
      <c r="B2431" t="s">
        <v>5514</v>
      </c>
      <c r="C2431" s="22" t="s">
        <v>6786</v>
      </c>
      <c r="D2431" t="str">
        <f>IF(AND(Noty!H1274=0,Noty!I1274=0),"ukryj","odkryj")</f>
        <v>ukryj</v>
      </c>
    </row>
    <row r="2432" spans="1:4" x14ac:dyDescent="0.3">
      <c r="A2432" t="s">
        <v>5067</v>
      </c>
      <c r="B2432" t="s">
        <v>5514</v>
      </c>
      <c r="C2432" s="22" t="s">
        <v>6787</v>
      </c>
      <c r="D2432" t="str">
        <f>IF(AND(Noty!H1275=0,Noty!I1275=0),"ukryj","odkryj")</f>
        <v>ukryj</v>
      </c>
    </row>
    <row r="2433" spans="1:4" x14ac:dyDescent="0.3">
      <c r="A2433" t="s">
        <v>5067</v>
      </c>
      <c r="B2433" t="s">
        <v>5514</v>
      </c>
      <c r="C2433" s="22" t="s">
        <v>6788</v>
      </c>
      <c r="D2433" t="str">
        <f>Noty!J1270</f>
        <v>odkryj</v>
      </c>
    </row>
    <row r="2434" spans="1:4" x14ac:dyDescent="0.3">
      <c r="A2434" t="s">
        <v>5067</v>
      </c>
      <c r="B2434" t="s">
        <v>5514</v>
      </c>
      <c r="C2434" s="22" t="s">
        <v>6789</v>
      </c>
      <c r="D2434" t="str">
        <f>IF(Noty!K1277="n/a","ukryj","odkryj")</f>
        <v>odkryj</v>
      </c>
    </row>
    <row r="2435" spans="1:4" x14ac:dyDescent="0.3">
      <c r="A2435" t="s">
        <v>5067</v>
      </c>
      <c r="B2435" t="s">
        <v>5514</v>
      </c>
      <c r="C2435" s="22" t="s">
        <v>6790</v>
      </c>
      <c r="D2435" t="str">
        <f>Noty!J1277</f>
        <v>odkryj</v>
      </c>
    </row>
    <row r="2436" spans="1:4" x14ac:dyDescent="0.3">
      <c r="A2436" t="s">
        <v>5067</v>
      </c>
      <c r="B2436" t="s">
        <v>5514</v>
      </c>
      <c r="C2436" s="22" t="s">
        <v>6791</v>
      </c>
      <c r="D2436" t="str">
        <f>IF(Noty!K1279="n/a","ukryj","odkryj")</f>
        <v>odkryj</v>
      </c>
    </row>
    <row r="2437" spans="1:4" x14ac:dyDescent="0.3">
      <c r="A2437" t="s">
        <v>5067</v>
      </c>
      <c r="B2437" t="s">
        <v>5514</v>
      </c>
      <c r="C2437" s="22" t="s">
        <v>6792</v>
      </c>
      <c r="D2437" t="str">
        <f>IF(Noty!K1280="n/a","ukryj","odkryj")</f>
        <v>ukryj</v>
      </c>
    </row>
    <row r="2438" spans="1:4" x14ac:dyDescent="0.3">
      <c r="A2438" t="s">
        <v>5067</v>
      </c>
      <c r="B2438" t="s">
        <v>5514</v>
      </c>
      <c r="C2438" s="22" t="s">
        <v>6793</v>
      </c>
      <c r="D2438" t="str">
        <f>Noty!J1278</f>
        <v>odkryj</v>
      </c>
    </row>
    <row r="2439" spans="1:4" x14ac:dyDescent="0.3">
      <c r="A2439" t="s">
        <v>5067</v>
      </c>
      <c r="B2439" t="s">
        <v>5514</v>
      </c>
      <c r="C2439" s="22" t="s">
        <v>6794</v>
      </c>
      <c r="D2439" t="str">
        <f>IF(Noty!K1282="n/a","ukryj","odkryj")</f>
        <v>odkryj</v>
      </c>
    </row>
    <row r="2440" spans="1:4" x14ac:dyDescent="0.3">
      <c r="A2440" t="s">
        <v>5067</v>
      </c>
      <c r="B2440" t="s">
        <v>5514</v>
      </c>
      <c r="C2440" s="22" t="s">
        <v>6795</v>
      </c>
      <c r="D2440" t="str">
        <f>Noty!J1282</f>
        <v>odkryj</v>
      </c>
    </row>
    <row r="2441" spans="1:4" x14ac:dyDescent="0.3">
      <c r="A2441" t="s">
        <v>5067</v>
      </c>
      <c r="B2441" t="s">
        <v>5514</v>
      </c>
      <c r="C2441" s="22" t="s">
        <v>6796</v>
      </c>
      <c r="D2441" t="str">
        <f>Noty!J1283</f>
        <v>odkryj</v>
      </c>
    </row>
    <row r="2442" spans="1:4" x14ac:dyDescent="0.3">
      <c r="A2442" t="s">
        <v>5067</v>
      </c>
      <c r="B2442" t="s">
        <v>5514</v>
      </c>
      <c r="C2442" s="22" t="s">
        <v>6797</v>
      </c>
      <c r="D2442" t="str">
        <f>Noty!J1284</f>
        <v>odkryj</v>
      </c>
    </row>
    <row r="2443" spans="1:4" x14ac:dyDescent="0.3">
      <c r="A2443" t="s">
        <v>5067</v>
      </c>
      <c r="B2443" t="s">
        <v>5514</v>
      </c>
      <c r="C2443" s="22" t="s">
        <v>6798</v>
      </c>
      <c r="D2443" t="str">
        <f>Noty!J1287</f>
        <v>ukryj</v>
      </c>
    </row>
    <row r="2444" spans="1:4" x14ac:dyDescent="0.3">
      <c r="A2444" t="s">
        <v>5067</v>
      </c>
      <c r="B2444" t="s">
        <v>5514</v>
      </c>
      <c r="C2444" s="22" t="s">
        <v>6799</v>
      </c>
      <c r="D2444" t="str">
        <f>Noty!J1292</f>
        <v>ukryj</v>
      </c>
    </row>
    <row r="2445" spans="1:4" x14ac:dyDescent="0.3">
      <c r="A2445" t="s">
        <v>5067</v>
      </c>
      <c r="B2445" t="s">
        <v>5514</v>
      </c>
      <c r="C2445" s="22" t="s">
        <v>6800</v>
      </c>
      <c r="D2445" t="str">
        <f>IF(Noty!K1282="n/a","ukryj",IF(AND(Noty!H1288=0,Noty!I1288=0),"ukryj","odkryj"))</f>
        <v>ukryj</v>
      </c>
    </row>
    <row r="2446" spans="1:4" x14ac:dyDescent="0.3">
      <c r="A2446" t="s">
        <v>5067</v>
      </c>
      <c r="B2446" t="s">
        <v>5514</v>
      </c>
      <c r="C2446" s="22" t="s">
        <v>6801</v>
      </c>
      <c r="D2446" t="str">
        <f>IF(Noty!K1282="n/a","ukryj",IF(AND(Noty!H1289=0,Noty!I1289=0),"ukryj","odkryj"))</f>
        <v>ukryj</v>
      </c>
    </row>
    <row r="2447" spans="1:4" x14ac:dyDescent="0.3">
      <c r="A2447" t="s">
        <v>5067</v>
      </c>
      <c r="B2447" t="s">
        <v>5514</v>
      </c>
      <c r="C2447" s="22" t="s">
        <v>6802</v>
      </c>
      <c r="D2447" t="str">
        <f>IF(Noty!K1282="n/a","ukryj",IF(AND(Noty!H1290=0,Noty!I1290=0),"ukryj","odkryj"))</f>
        <v>ukryj</v>
      </c>
    </row>
    <row r="2448" spans="1:4" x14ac:dyDescent="0.3">
      <c r="A2448" t="s">
        <v>5067</v>
      </c>
      <c r="B2448" t="s">
        <v>5514</v>
      </c>
      <c r="C2448" s="22" t="s">
        <v>6803</v>
      </c>
      <c r="D2448" t="str">
        <f>IF(Noty!K1282="n/a","ukryj",IF(AND(Noty!H1291=0,Noty!I1291=0),"ukryj","odkryj"))</f>
        <v>ukryj</v>
      </c>
    </row>
    <row r="2449" spans="1:4" x14ac:dyDescent="0.3">
      <c r="A2449" t="s">
        <v>5067</v>
      </c>
      <c r="B2449" t="s">
        <v>5514</v>
      </c>
      <c r="C2449" s="22" t="s">
        <v>6804</v>
      </c>
      <c r="D2449" t="str">
        <f>IF(Noty!K1282="n/a","ukryj",IF(AND(Noty!H1292=0,Noty!I1292=0),"ukryj","odkryj"))</f>
        <v>ukryj</v>
      </c>
    </row>
    <row r="2450" spans="1:4" x14ac:dyDescent="0.3">
      <c r="A2450" t="s">
        <v>5067</v>
      </c>
      <c r="B2450" t="s">
        <v>5514</v>
      </c>
      <c r="C2450" s="22" t="s">
        <v>6805</v>
      </c>
      <c r="D2450" t="str">
        <f>Noty!J1292</f>
        <v>ukryj</v>
      </c>
    </row>
    <row r="2451" spans="1:4" x14ac:dyDescent="0.3">
      <c r="A2451" t="s">
        <v>5067</v>
      </c>
      <c r="B2451" t="s">
        <v>5514</v>
      </c>
      <c r="C2451" s="22" t="s">
        <v>6806</v>
      </c>
      <c r="D2451" t="str">
        <f>Noty!J1298</f>
        <v>ukryj</v>
      </c>
    </row>
    <row r="2452" spans="1:4" x14ac:dyDescent="0.3">
      <c r="A2452" t="s">
        <v>5067</v>
      </c>
      <c r="B2452" t="s">
        <v>5514</v>
      </c>
      <c r="C2452" s="22" t="s">
        <v>6807</v>
      </c>
      <c r="D2452" t="str">
        <f>IF(Noty!K1282="n/a","ukryj",IF(AND(Noty!H1295=0,Noty!I1295=0),"ukryj","odkryj"))</f>
        <v>ukryj</v>
      </c>
    </row>
    <row r="2453" spans="1:4" x14ac:dyDescent="0.3">
      <c r="A2453" t="s">
        <v>5067</v>
      </c>
      <c r="B2453" t="s">
        <v>5514</v>
      </c>
      <c r="C2453" s="22" t="s">
        <v>6808</v>
      </c>
      <c r="D2453" t="str">
        <f>IF(Noty!K1282="n/a","ukryj",IF(AND(Noty!H1296=0,Noty!I1296=0),"ukryj","odkryj"))</f>
        <v>ukryj</v>
      </c>
    </row>
    <row r="2454" spans="1:4" x14ac:dyDescent="0.3">
      <c r="A2454" t="s">
        <v>5067</v>
      </c>
      <c r="B2454" t="s">
        <v>5514</v>
      </c>
      <c r="C2454" s="22" t="s">
        <v>6809</v>
      </c>
      <c r="D2454" t="str">
        <f>IF(Noty!K1282="n/a","ukryj",IF(AND(Noty!H1297=0,Noty!I1297=0),"ukryj","odkryj"))</f>
        <v>ukryj</v>
      </c>
    </row>
    <row r="2455" spans="1:4" x14ac:dyDescent="0.3">
      <c r="A2455" t="s">
        <v>5067</v>
      </c>
      <c r="B2455" t="s">
        <v>5514</v>
      </c>
      <c r="C2455" s="22" t="s">
        <v>6810</v>
      </c>
      <c r="D2455" t="str">
        <f>IF(Noty!K1282="n/a","ukryj",IF(AND(Noty!H1298=0,Noty!I1298=0),"ukryj","odkryj"))</f>
        <v>ukryj</v>
      </c>
    </row>
    <row r="2456" spans="1:4" x14ac:dyDescent="0.3">
      <c r="A2456" t="s">
        <v>5067</v>
      </c>
      <c r="B2456" t="s">
        <v>5514</v>
      </c>
      <c r="C2456" s="22" t="s">
        <v>6811</v>
      </c>
      <c r="D2456" t="str">
        <f>Noty!J1298</f>
        <v>ukryj</v>
      </c>
    </row>
    <row r="2457" spans="1:4" x14ac:dyDescent="0.3">
      <c r="A2457" t="s">
        <v>5067</v>
      </c>
      <c r="B2457" t="s">
        <v>5514</v>
      </c>
      <c r="C2457" s="22" t="s">
        <v>6812</v>
      </c>
      <c r="D2457" t="str">
        <f>Noty!J1299</f>
        <v>ukryj</v>
      </c>
    </row>
    <row r="2458" spans="1:4" x14ac:dyDescent="0.3">
      <c r="A2458" t="s">
        <v>5067</v>
      </c>
      <c r="B2458" t="s">
        <v>5514</v>
      </c>
      <c r="C2458" s="22" t="s">
        <v>6813</v>
      </c>
      <c r="D2458" t="str">
        <f>Noty!J1300</f>
        <v>ukryj</v>
      </c>
    </row>
    <row r="2459" spans="1:4" x14ac:dyDescent="0.3">
      <c r="A2459" t="s">
        <v>5067</v>
      </c>
      <c r="B2459" t="s">
        <v>5514</v>
      </c>
      <c r="C2459" s="22" t="s">
        <v>6814</v>
      </c>
      <c r="D2459" t="str">
        <f>Noty!J1301</f>
        <v>ukryj</v>
      </c>
    </row>
    <row r="2460" spans="1:4" x14ac:dyDescent="0.3">
      <c r="A2460" t="s">
        <v>5067</v>
      </c>
      <c r="B2460" t="s">
        <v>5514</v>
      </c>
      <c r="C2460" s="22" t="s">
        <v>6815</v>
      </c>
      <c r="D2460" t="str">
        <f>Noty!J1302</f>
        <v>ukryj</v>
      </c>
    </row>
    <row r="2461" spans="1:4" x14ac:dyDescent="0.3">
      <c r="A2461" t="s">
        <v>5067</v>
      </c>
      <c r="B2461" t="s">
        <v>5514</v>
      </c>
      <c r="C2461" s="22" t="s">
        <v>6816</v>
      </c>
      <c r="D2461" t="str">
        <f>Noty!J1308</f>
        <v>ukryj</v>
      </c>
    </row>
    <row r="2462" spans="1:4" x14ac:dyDescent="0.3">
      <c r="A2462" t="s">
        <v>5067</v>
      </c>
      <c r="B2462" t="s">
        <v>5514</v>
      </c>
      <c r="C2462" s="22" t="s">
        <v>6817</v>
      </c>
      <c r="D2462" t="str">
        <f>IF(Noty!K1282="n/a","ukryj",IF(AND(Noty!H1305=0,Noty!I1305=0),"ukryj","odkryj"))</f>
        <v>ukryj</v>
      </c>
    </row>
    <row r="2463" spans="1:4" x14ac:dyDescent="0.3">
      <c r="A2463" t="s">
        <v>5067</v>
      </c>
      <c r="B2463" t="s">
        <v>5514</v>
      </c>
      <c r="C2463" s="22" t="s">
        <v>6818</v>
      </c>
      <c r="D2463" t="str">
        <f>IF(Noty!K1282="n/a","ukryj",IF(AND(Noty!H1306=0,Noty!I1306=0),"ukryj","odkryj"))</f>
        <v>ukryj</v>
      </c>
    </row>
    <row r="2464" spans="1:4" x14ac:dyDescent="0.3">
      <c r="A2464" t="s">
        <v>5067</v>
      </c>
      <c r="B2464" t="s">
        <v>5514</v>
      </c>
      <c r="C2464" s="22" t="s">
        <v>6819</v>
      </c>
      <c r="D2464" t="str">
        <f>IF(Noty!K1282="n/a","ukryj",IF(AND(Noty!H1307=0,Noty!I1307=0),"ukryj","odkryj"))</f>
        <v>ukryj</v>
      </c>
    </row>
    <row r="2465" spans="1:4" x14ac:dyDescent="0.3">
      <c r="A2465" t="s">
        <v>5067</v>
      </c>
      <c r="B2465" t="s">
        <v>5514</v>
      </c>
      <c r="C2465" s="22" t="s">
        <v>6820</v>
      </c>
      <c r="D2465" t="str">
        <f>IF(Noty!K1282="n/a","ukryj",IF(AND(Noty!H1308=0,Noty!I1308=0),"ukryj","odkryj"))</f>
        <v>ukryj</v>
      </c>
    </row>
    <row r="2466" spans="1:4" x14ac:dyDescent="0.3">
      <c r="A2466" t="s">
        <v>5067</v>
      </c>
      <c r="B2466" t="s">
        <v>5514</v>
      </c>
      <c r="C2466" s="22" t="s">
        <v>6821</v>
      </c>
      <c r="D2466" t="str">
        <f>Noty!J1308</f>
        <v>ukryj</v>
      </c>
    </row>
    <row r="2467" spans="1:4" x14ac:dyDescent="0.3">
      <c r="A2467" t="s">
        <v>5067</v>
      </c>
      <c r="B2467" t="s">
        <v>5514</v>
      </c>
      <c r="C2467" s="22" t="s">
        <v>6822</v>
      </c>
      <c r="D2467" t="str">
        <f>Noty!J1317</f>
        <v>ukryj</v>
      </c>
    </row>
    <row r="2468" spans="1:4" x14ac:dyDescent="0.3">
      <c r="A2468" t="s">
        <v>5067</v>
      </c>
      <c r="B2468" t="s">
        <v>5514</v>
      </c>
      <c r="C2468" s="22" t="s">
        <v>6823</v>
      </c>
      <c r="D2468" t="str">
        <f>IF(Noty!K1282="n/a","ukryj",IF(AND(Noty!H1311=0,Noty!I1311=0),"ukryj","odkryj"))</f>
        <v>ukryj</v>
      </c>
    </row>
    <row r="2469" spans="1:4" x14ac:dyDescent="0.3">
      <c r="A2469" t="s">
        <v>5067</v>
      </c>
      <c r="B2469" t="s">
        <v>5514</v>
      </c>
      <c r="C2469" s="22" t="s">
        <v>6824</v>
      </c>
      <c r="D2469" t="str">
        <f>IF(Noty!K1282="n/a","ukryj",IF(AND(Noty!H1312=0,Noty!I1312=0),"ukryj","odkryj"))</f>
        <v>ukryj</v>
      </c>
    </row>
    <row r="2470" spans="1:4" x14ac:dyDescent="0.3">
      <c r="A2470" t="s">
        <v>5067</v>
      </c>
      <c r="B2470" t="s">
        <v>5514</v>
      </c>
      <c r="C2470" s="22" t="s">
        <v>6825</v>
      </c>
      <c r="D2470" t="str">
        <f>IF(Noty!K1282="n/a","ukryj",IF(AND(Noty!H1313=0,Noty!I1313=0),"ukryj","odkryj"))</f>
        <v>ukryj</v>
      </c>
    </row>
    <row r="2471" spans="1:4" x14ac:dyDescent="0.3">
      <c r="A2471" t="s">
        <v>5067</v>
      </c>
      <c r="B2471" t="s">
        <v>5514</v>
      </c>
      <c r="C2471" s="22" t="s">
        <v>6826</v>
      </c>
      <c r="D2471" t="str">
        <f>IF(Noty!K1282="n/a","ukryj",IF(AND(Noty!H1314=0,Noty!I1314=0),"ukryj","odkryj"))</f>
        <v>ukryj</v>
      </c>
    </row>
    <row r="2472" spans="1:4" x14ac:dyDescent="0.3">
      <c r="A2472" t="s">
        <v>5067</v>
      </c>
      <c r="B2472" t="s">
        <v>5514</v>
      </c>
      <c r="C2472" s="22" t="s">
        <v>6827</v>
      </c>
      <c r="D2472" t="str">
        <f>IF(Noty!K1282="n/a","ukryj",IF(AND(Noty!H1315=0,Noty!I1315=0),"ukryj","odkryj"))</f>
        <v>ukryj</v>
      </c>
    </row>
    <row r="2473" spans="1:4" x14ac:dyDescent="0.3">
      <c r="A2473" t="s">
        <v>5067</v>
      </c>
      <c r="B2473" t="s">
        <v>5514</v>
      </c>
      <c r="C2473" s="22" t="s">
        <v>6828</v>
      </c>
      <c r="D2473" t="str">
        <f>IF(Noty!K1282="n/a","ukryj",IF(AND(Noty!H1316=0,Noty!I1316=0),"ukryj","odkryj"))</f>
        <v>ukryj</v>
      </c>
    </row>
    <row r="2474" spans="1:4" x14ac:dyDescent="0.3">
      <c r="A2474" t="s">
        <v>5067</v>
      </c>
      <c r="B2474" t="s">
        <v>5514</v>
      </c>
      <c r="C2474" s="22" t="s">
        <v>6829</v>
      </c>
      <c r="D2474" t="str">
        <f>IF(Noty!K1282="n/a","ukryj",IF(AND(Noty!H1317=0,Noty!I1317=0),"ukryj","odkryj"))</f>
        <v>ukryj</v>
      </c>
    </row>
    <row r="2475" spans="1:4" x14ac:dyDescent="0.3">
      <c r="A2475" t="s">
        <v>5067</v>
      </c>
      <c r="B2475" t="s">
        <v>5514</v>
      </c>
      <c r="C2475" s="22" t="s">
        <v>6830</v>
      </c>
      <c r="D2475" t="str">
        <f>Noty!J1317</f>
        <v>ukryj</v>
      </c>
    </row>
    <row r="2476" spans="1:4" x14ac:dyDescent="0.3">
      <c r="A2476" t="s">
        <v>5067</v>
      </c>
      <c r="B2476" t="s">
        <v>5514</v>
      </c>
      <c r="C2476" s="22" t="s">
        <v>6831</v>
      </c>
      <c r="D2476" t="str">
        <f>Noty!J1325</f>
        <v>ukryj</v>
      </c>
    </row>
    <row r="2477" spans="1:4" x14ac:dyDescent="0.3">
      <c r="A2477" t="s">
        <v>5067</v>
      </c>
      <c r="B2477" t="s">
        <v>5514</v>
      </c>
      <c r="C2477" s="22" t="s">
        <v>6832</v>
      </c>
      <c r="D2477" t="str">
        <f>IF(Noty!K1282="n/a","ukryj",IF(AND(Noty!H1320=0,Noty!I1320=0),"ukryj","odkryj"))</f>
        <v>ukryj</v>
      </c>
    </row>
    <row r="2478" spans="1:4" x14ac:dyDescent="0.3">
      <c r="A2478" t="s">
        <v>5067</v>
      </c>
      <c r="B2478" t="s">
        <v>5514</v>
      </c>
      <c r="C2478" s="22" t="s">
        <v>6833</v>
      </c>
      <c r="D2478" t="str">
        <f>IF(Noty!K1282="n/a","ukryj",IF(AND(Noty!H1321=0,Noty!I1321=0),"ukryj","odkryj"))</f>
        <v>ukryj</v>
      </c>
    </row>
    <row r="2479" spans="1:4" x14ac:dyDescent="0.3">
      <c r="A2479" t="s">
        <v>5067</v>
      </c>
      <c r="B2479" t="s">
        <v>5514</v>
      </c>
      <c r="C2479" s="22" t="s">
        <v>6834</v>
      </c>
      <c r="D2479" t="str">
        <f>IF(Noty!K1282="n/a","ukryj",IF(AND(Noty!H1322=0,Noty!I1322=0),"ukryj","odkryj"))</f>
        <v>ukryj</v>
      </c>
    </row>
    <row r="2480" spans="1:4" x14ac:dyDescent="0.3">
      <c r="A2480" t="s">
        <v>5067</v>
      </c>
      <c r="B2480" t="s">
        <v>5514</v>
      </c>
      <c r="C2480" s="22" t="s">
        <v>6835</v>
      </c>
      <c r="D2480" t="str">
        <f>IF(Noty!K1282="n/a","ukryj",IF(AND(Noty!H1323=0,Noty!I1323=0),"ukryj","odkryj"))</f>
        <v>ukryj</v>
      </c>
    </row>
    <row r="2481" spans="1:4" x14ac:dyDescent="0.3">
      <c r="A2481" t="s">
        <v>5067</v>
      </c>
      <c r="B2481" t="s">
        <v>5514</v>
      </c>
      <c r="C2481" s="22" t="s">
        <v>6836</v>
      </c>
      <c r="D2481" t="str">
        <f>IF(Noty!K1282="n/a","ukryj",IF(AND(Noty!H1324=0,Noty!I1324=0),"ukryj","odkryj"))</f>
        <v>ukryj</v>
      </c>
    </row>
    <row r="2482" spans="1:4" x14ac:dyDescent="0.3">
      <c r="A2482" t="s">
        <v>5067</v>
      </c>
      <c r="B2482" t="s">
        <v>5514</v>
      </c>
      <c r="C2482" s="22" t="s">
        <v>6837</v>
      </c>
      <c r="D2482" t="str">
        <f>IF(Noty!K1282="n/a","ukryj",IF(AND(Noty!H1325=0,Noty!I1325=0),"ukryj","odkryj"))</f>
        <v>ukryj</v>
      </c>
    </row>
    <row r="2483" spans="1:4" x14ac:dyDescent="0.3">
      <c r="A2483" t="s">
        <v>5067</v>
      </c>
      <c r="B2483" t="s">
        <v>5514</v>
      </c>
      <c r="C2483" s="22" t="s">
        <v>6838</v>
      </c>
      <c r="D2483" t="str">
        <f>Noty!J1325</f>
        <v>ukryj</v>
      </c>
    </row>
    <row r="2484" spans="1:4" x14ac:dyDescent="0.3">
      <c r="A2484" t="s">
        <v>5067</v>
      </c>
      <c r="B2484" t="s">
        <v>5514</v>
      </c>
      <c r="C2484" s="22" t="s">
        <v>6839</v>
      </c>
      <c r="D2484" t="str">
        <f>Noty!J1334</f>
        <v>ukryj</v>
      </c>
    </row>
    <row r="2485" spans="1:4" x14ac:dyDescent="0.3">
      <c r="A2485" t="s">
        <v>5067</v>
      </c>
      <c r="B2485" t="s">
        <v>5514</v>
      </c>
      <c r="C2485" s="22" t="s">
        <v>6840</v>
      </c>
      <c r="D2485" t="str">
        <f>IF(Noty!K1282="n/a","ukryj",IF(AND(Noty!H1328=0,Noty!I1328=0),"ukryj","odkryj"))</f>
        <v>ukryj</v>
      </c>
    </row>
    <row r="2486" spans="1:4" x14ac:dyDescent="0.3">
      <c r="A2486" t="s">
        <v>5067</v>
      </c>
      <c r="B2486" t="s">
        <v>5514</v>
      </c>
      <c r="C2486" s="22" t="s">
        <v>6841</v>
      </c>
      <c r="D2486" t="str">
        <f>IF(Noty!K1282="n/a","ukryj",IF(AND(Noty!H1329=0,Noty!I1329=0),"ukryj","odkryj"))</f>
        <v>ukryj</v>
      </c>
    </row>
    <row r="2487" spans="1:4" x14ac:dyDescent="0.3">
      <c r="A2487" t="s">
        <v>5067</v>
      </c>
      <c r="B2487" t="s">
        <v>5514</v>
      </c>
      <c r="C2487" s="22" t="s">
        <v>6842</v>
      </c>
      <c r="D2487" t="str">
        <f>IF(Noty!K1282="n/a","ukryj",IF(AND(Noty!H1330=0,Noty!I1330=0),"ukryj","odkryj"))</f>
        <v>ukryj</v>
      </c>
    </row>
    <row r="2488" spans="1:4" x14ac:dyDescent="0.3">
      <c r="A2488" t="s">
        <v>5067</v>
      </c>
      <c r="B2488" t="s">
        <v>5514</v>
      </c>
      <c r="C2488" s="22" t="s">
        <v>6843</v>
      </c>
      <c r="D2488" t="str">
        <f>IF(Noty!K1282="n/a","ukryj",IF(AND(Noty!H1331=0,Noty!I1331=0),"ukryj","odkryj"))</f>
        <v>ukryj</v>
      </c>
    </row>
    <row r="2489" spans="1:4" x14ac:dyDescent="0.3">
      <c r="A2489" t="s">
        <v>5067</v>
      </c>
      <c r="B2489" t="s">
        <v>5514</v>
      </c>
      <c r="C2489" s="22" t="s">
        <v>6844</v>
      </c>
      <c r="D2489" t="str">
        <f>IF(Noty!K1282="n/a","ukryj",IF(AND(Noty!H1332=0,Noty!I1332=0),"ukryj","odkryj"))</f>
        <v>ukryj</v>
      </c>
    </row>
    <row r="2490" spans="1:4" x14ac:dyDescent="0.3">
      <c r="A2490" t="s">
        <v>5067</v>
      </c>
      <c r="B2490" t="s">
        <v>5514</v>
      </c>
      <c r="C2490" s="22" t="s">
        <v>6845</v>
      </c>
      <c r="D2490" t="str">
        <f>IF(Noty!K1282="n/a","ukryj",IF(AND(Noty!H1333=0,Noty!I1333=0),"ukryj","odkryj"))</f>
        <v>ukryj</v>
      </c>
    </row>
    <row r="2491" spans="1:4" x14ac:dyDescent="0.3">
      <c r="A2491" t="s">
        <v>5067</v>
      </c>
      <c r="B2491" t="s">
        <v>5514</v>
      </c>
      <c r="C2491" s="22" t="s">
        <v>6846</v>
      </c>
      <c r="D2491" t="str">
        <f>IF(Noty!K1282="n/a","ukryj",IF(AND(Noty!H1334=0,Noty!I1334=0),"ukryj","odkryj"))</f>
        <v>ukryj</v>
      </c>
    </row>
    <row r="2492" spans="1:4" x14ac:dyDescent="0.3">
      <c r="A2492" t="s">
        <v>5067</v>
      </c>
      <c r="B2492" t="s">
        <v>5514</v>
      </c>
      <c r="C2492" s="22" t="s">
        <v>6847</v>
      </c>
      <c r="D2492" t="str">
        <f>Noty!J1334</f>
        <v>ukryj</v>
      </c>
    </row>
    <row r="2493" spans="1:4" x14ac:dyDescent="0.3">
      <c r="A2493" t="s">
        <v>5067</v>
      </c>
      <c r="B2493" t="s">
        <v>5514</v>
      </c>
      <c r="C2493" s="22" t="s">
        <v>6848</v>
      </c>
      <c r="D2493" t="str">
        <f>Noty!J1345</f>
        <v>ukryj</v>
      </c>
    </row>
    <row r="2494" spans="1:4" x14ac:dyDescent="0.3">
      <c r="A2494" t="s">
        <v>5067</v>
      </c>
      <c r="B2494" t="s">
        <v>5514</v>
      </c>
      <c r="C2494" s="22" t="s">
        <v>6849</v>
      </c>
      <c r="D2494" t="str">
        <f>IF(Noty!K1282="n/a","ukryj",IF(AND(Noty!H1337=0,Noty!I1337=0),"ukryj","odkryj"))</f>
        <v>ukryj</v>
      </c>
    </row>
    <row r="2495" spans="1:4" x14ac:dyDescent="0.3">
      <c r="A2495" t="s">
        <v>5067</v>
      </c>
      <c r="B2495" t="s">
        <v>5514</v>
      </c>
      <c r="C2495" s="22" t="s">
        <v>6850</v>
      </c>
      <c r="D2495" t="str">
        <f>IF(Noty!K1282="n/a","ukryj",IF(AND(Noty!H1338=0,Noty!I1338=0),"ukryj","odkryj"))</f>
        <v>ukryj</v>
      </c>
    </row>
    <row r="2496" spans="1:4" x14ac:dyDescent="0.3">
      <c r="A2496" t="s">
        <v>5067</v>
      </c>
      <c r="B2496" t="s">
        <v>5514</v>
      </c>
      <c r="C2496" s="22" t="s">
        <v>6851</v>
      </c>
      <c r="D2496" t="str">
        <f>IF(Noty!K1282="n/a","ukryj",IF(AND(Noty!H1339=0,Noty!I1339=0),"ukryj","odkryj"))</f>
        <v>ukryj</v>
      </c>
    </row>
    <row r="2497" spans="1:4" x14ac:dyDescent="0.3">
      <c r="A2497" t="s">
        <v>5067</v>
      </c>
      <c r="B2497" t="s">
        <v>5514</v>
      </c>
      <c r="C2497" s="22" t="s">
        <v>6852</v>
      </c>
      <c r="D2497" t="str">
        <f>IF(Noty!K1282="n/a","ukryj",IF(AND(Noty!H1340=0,Noty!I1340=0),"ukryj","odkryj"))</f>
        <v>ukryj</v>
      </c>
    </row>
    <row r="2498" spans="1:4" x14ac:dyDescent="0.3">
      <c r="A2498" t="s">
        <v>5067</v>
      </c>
      <c r="B2498" t="s">
        <v>5514</v>
      </c>
      <c r="C2498" s="22" t="s">
        <v>6853</v>
      </c>
      <c r="D2498" t="str">
        <f>IF(Noty!K1282="n/a","ukryj",IF(AND(Noty!H1341=0,Noty!I1341=0),"ukryj","odkryj"))</f>
        <v>ukryj</v>
      </c>
    </row>
    <row r="2499" spans="1:4" x14ac:dyDescent="0.3">
      <c r="A2499" t="s">
        <v>5067</v>
      </c>
      <c r="B2499" t="s">
        <v>5514</v>
      </c>
      <c r="C2499" s="22" t="s">
        <v>6854</v>
      </c>
      <c r="D2499" t="str">
        <f>IF(Noty!K1282="n/a","ukryj",IF(AND(Noty!H1342=0,Noty!I1342=0),"ukryj","odkryj"))</f>
        <v>ukryj</v>
      </c>
    </row>
    <row r="2500" spans="1:4" x14ac:dyDescent="0.3">
      <c r="A2500" t="s">
        <v>5067</v>
      </c>
      <c r="B2500" t="s">
        <v>5514</v>
      </c>
      <c r="C2500" s="22" t="s">
        <v>6855</v>
      </c>
      <c r="D2500" t="str">
        <f>IF(Noty!K1282="n/a","ukryj",IF(AND(Noty!H1343=0,Noty!I1343=0),"ukryj","odkryj"))</f>
        <v>ukryj</v>
      </c>
    </row>
    <row r="2501" spans="1:4" x14ac:dyDescent="0.3">
      <c r="A2501" t="s">
        <v>5067</v>
      </c>
      <c r="B2501" t="s">
        <v>5514</v>
      </c>
      <c r="C2501" s="22" t="s">
        <v>6856</v>
      </c>
      <c r="D2501" t="str">
        <f>IF(Noty!K1282="n/a","ukryj",IF(AND(Noty!H1344=0,Noty!I1344=0),"ukryj","odkryj"))</f>
        <v>ukryj</v>
      </c>
    </row>
    <row r="2502" spans="1:4" x14ac:dyDescent="0.3">
      <c r="A2502" t="s">
        <v>5067</v>
      </c>
      <c r="B2502" t="s">
        <v>5514</v>
      </c>
      <c r="C2502" s="22" t="s">
        <v>6857</v>
      </c>
      <c r="D2502" t="str">
        <f>IF(Noty!K1282="n/a","ukryj",IF(AND(Noty!H1345=0,Noty!I1345=0),"ukryj","odkryj"))</f>
        <v>ukryj</v>
      </c>
    </row>
    <row r="2503" spans="1:4" x14ac:dyDescent="0.3">
      <c r="A2503" t="s">
        <v>5067</v>
      </c>
      <c r="B2503" t="s">
        <v>5514</v>
      </c>
      <c r="C2503" s="22" t="s">
        <v>6858</v>
      </c>
      <c r="D2503" t="str">
        <f>Noty!J1345</f>
        <v>ukryj</v>
      </c>
    </row>
    <row r="2504" spans="1:4" x14ac:dyDescent="0.3">
      <c r="A2504" t="s">
        <v>5067</v>
      </c>
      <c r="B2504" t="s">
        <v>5514</v>
      </c>
      <c r="C2504" s="22" t="s">
        <v>6859</v>
      </c>
      <c r="D2504" t="str">
        <f>Noty!J1354</f>
        <v>ukryj</v>
      </c>
    </row>
    <row r="2505" spans="1:4" x14ac:dyDescent="0.3">
      <c r="A2505" t="s">
        <v>5067</v>
      </c>
      <c r="B2505" t="s">
        <v>5514</v>
      </c>
      <c r="C2505" s="22" t="s">
        <v>6860</v>
      </c>
      <c r="D2505" t="str">
        <f>IF(Noty!K1282="n/a","ukryj",IF(AND(Noty!H1348=0,Noty!I1348=0),"ukryj","odkryj"))</f>
        <v>ukryj</v>
      </c>
    </row>
    <row r="2506" spans="1:4" x14ac:dyDescent="0.3">
      <c r="A2506" t="s">
        <v>5067</v>
      </c>
      <c r="B2506" t="s">
        <v>5514</v>
      </c>
      <c r="C2506" s="22" t="s">
        <v>6861</v>
      </c>
      <c r="D2506" t="str">
        <f>IF(Noty!K1282="n/a","ukryj",IF(AND(Noty!H1349=0,Noty!I1349=0),"ukryj","odkryj"))</f>
        <v>ukryj</v>
      </c>
    </row>
    <row r="2507" spans="1:4" x14ac:dyDescent="0.3">
      <c r="A2507" t="s">
        <v>5067</v>
      </c>
      <c r="B2507" t="s">
        <v>5514</v>
      </c>
      <c r="C2507" s="22" t="s">
        <v>6862</v>
      </c>
      <c r="D2507" t="str">
        <f>IF(Noty!K1282="n/a","ukryj",IF(AND(Noty!H1350=0,Noty!I1350=0),"ukryj","odkryj"))</f>
        <v>ukryj</v>
      </c>
    </row>
    <row r="2508" spans="1:4" x14ac:dyDescent="0.3">
      <c r="A2508" t="s">
        <v>5067</v>
      </c>
      <c r="B2508" t="s">
        <v>5514</v>
      </c>
      <c r="C2508" s="22" t="s">
        <v>6863</v>
      </c>
      <c r="D2508" t="str">
        <f>IF(Noty!K1282="n/a","ukryj",IF(AND(Noty!H1351=0,Noty!I1351=0),"ukryj","odkryj"))</f>
        <v>ukryj</v>
      </c>
    </row>
    <row r="2509" spans="1:4" x14ac:dyDescent="0.3">
      <c r="A2509" t="s">
        <v>5067</v>
      </c>
      <c r="B2509" t="s">
        <v>5514</v>
      </c>
      <c r="C2509" s="22" t="s">
        <v>6864</v>
      </c>
      <c r="D2509" t="str">
        <f>IF(Noty!K1282="n/a","ukryj",IF(AND(Noty!H1352=0,Noty!I1352=0),"ukryj","odkryj"))</f>
        <v>ukryj</v>
      </c>
    </row>
    <row r="2510" spans="1:4" x14ac:dyDescent="0.3">
      <c r="A2510" t="s">
        <v>5067</v>
      </c>
      <c r="B2510" t="s">
        <v>5514</v>
      </c>
      <c r="C2510" s="22" t="s">
        <v>6865</v>
      </c>
      <c r="D2510" t="str">
        <f>IF(Noty!K1282="n/a","ukryj",IF(AND(Noty!H1353=0,Noty!I1353=0),"ukryj","odkryj"))</f>
        <v>ukryj</v>
      </c>
    </row>
    <row r="2511" spans="1:4" x14ac:dyDescent="0.3">
      <c r="A2511" t="s">
        <v>5067</v>
      </c>
      <c r="B2511" t="s">
        <v>5514</v>
      </c>
      <c r="C2511" s="22" t="s">
        <v>6866</v>
      </c>
      <c r="D2511" t="str">
        <f>IF(Noty!K1282="n/a","ukryj",IF(AND(Noty!H1354=0,Noty!I1354=0),"ukryj","odkryj"))</f>
        <v>ukryj</v>
      </c>
    </row>
    <row r="2512" spans="1:4" x14ac:dyDescent="0.3">
      <c r="A2512" t="s">
        <v>5067</v>
      </c>
      <c r="B2512" t="s">
        <v>5514</v>
      </c>
      <c r="C2512" s="22" t="s">
        <v>6867</v>
      </c>
      <c r="D2512" t="str">
        <f>Noty!J1354</f>
        <v>ukryj</v>
      </c>
    </row>
    <row r="2513" spans="1:4" x14ac:dyDescent="0.3">
      <c r="A2513" t="s">
        <v>5067</v>
      </c>
      <c r="B2513" t="s">
        <v>5514</v>
      </c>
      <c r="C2513" s="22" t="s">
        <v>6868</v>
      </c>
      <c r="D2513" t="str">
        <f>Noty!J1359</f>
        <v>ukryj</v>
      </c>
    </row>
    <row r="2514" spans="1:4" x14ac:dyDescent="0.3">
      <c r="A2514" t="s">
        <v>5067</v>
      </c>
      <c r="B2514" t="s">
        <v>5514</v>
      </c>
      <c r="C2514" s="22" t="s">
        <v>6869</v>
      </c>
      <c r="D2514" t="str">
        <f>IF(Noty!K1282="n/a","ukryj",IF(AND(Noty!H1357=0,Noty!I1357=0),"ukryj","odkryj"))</f>
        <v>ukryj</v>
      </c>
    </row>
    <row r="2515" spans="1:4" x14ac:dyDescent="0.3">
      <c r="A2515" t="s">
        <v>5067</v>
      </c>
      <c r="B2515" t="s">
        <v>5514</v>
      </c>
      <c r="C2515" s="22" t="s">
        <v>6870</v>
      </c>
      <c r="D2515" t="str">
        <f>IF(Noty!K1282="n/a","ukryj",IF(AND(Noty!H1358=0,Noty!I1358=0),"ukryj","odkryj"))</f>
        <v>ukryj</v>
      </c>
    </row>
    <row r="2516" spans="1:4" x14ac:dyDescent="0.3">
      <c r="A2516" t="s">
        <v>5067</v>
      </c>
      <c r="B2516" t="s">
        <v>5514</v>
      </c>
      <c r="C2516" s="22" t="s">
        <v>6871</v>
      </c>
      <c r="D2516" t="str">
        <f>IF(Noty!K1282="n/a","ukryj",IF(AND(Noty!H1359=0,Noty!I1359=0),"ukryj","odkryj"))</f>
        <v>ukryj</v>
      </c>
    </row>
    <row r="2517" spans="1:4" x14ac:dyDescent="0.3">
      <c r="A2517" t="s">
        <v>5067</v>
      </c>
      <c r="B2517" t="s">
        <v>5514</v>
      </c>
      <c r="C2517" s="22" t="s">
        <v>6872</v>
      </c>
      <c r="D2517" t="str">
        <f>Noty!J1359</f>
        <v>ukryj</v>
      </c>
    </row>
    <row r="2518" spans="1:4" x14ac:dyDescent="0.3">
      <c r="A2518" t="s">
        <v>5067</v>
      </c>
      <c r="B2518" t="s">
        <v>5514</v>
      </c>
      <c r="C2518" s="22" t="s">
        <v>6873</v>
      </c>
      <c r="D2518" t="str">
        <f>IF(Noty!K1361="n/a","ukryj","odkryj")</f>
        <v>odkryj</v>
      </c>
    </row>
    <row r="2519" spans="1:4" x14ac:dyDescent="0.3">
      <c r="A2519" t="s">
        <v>5067</v>
      </c>
      <c r="B2519" t="s">
        <v>5514</v>
      </c>
      <c r="C2519" s="22" t="s">
        <v>6874</v>
      </c>
      <c r="D2519" t="str">
        <f>Noty!J1361</f>
        <v>odkryj</v>
      </c>
    </row>
    <row r="2520" spans="1:4" x14ac:dyDescent="0.3">
      <c r="A2520" t="s">
        <v>5067</v>
      </c>
      <c r="B2520" t="s">
        <v>5514</v>
      </c>
      <c r="C2520" s="22" t="s">
        <v>6875</v>
      </c>
      <c r="D2520" t="str">
        <f>IF(Noty!K1363="n/a","ukryj","odkryj")</f>
        <v>ukryj</v>
      </c>
    </row>
    <row r="2521" spans="1:4" x14ac:dyDescent="0.3">
      <c r="A2521" t="s">
        <v>5067</v>
      </c>
      <c r="B2521" t="s">
        <v>5514</v>
      </c>
      <c r="C2521" s="22" t="s">
        <v>6876</v>
      </c>
      <c r="D2521" t="str">
        <f>Noty!J1363</f>
        <v>ukryj</v>
      </c>
    </row>
    <row r="2522" spans="1:4" x14ac:dyDescent="0.3">
      <c r="A2522" t="s">
        <v>5067</v>
      </c>
      <c r="B2522" t="s">
        <v>5514</v>
      </c>
      <c r="C2522" s="22" t="s">
        <v>6877</v>
      </c>
      <c r="D2522" t="str">
        <f>Noty!J1364</f>
        <v>ukryj</v>
      </c>
    </row>
    <row r="2523" spans="1:4" x14ac:dyDescent="0.3">
      <c r="A2523" t="s">
        <v>5067</v>
      </c>
      <c r="B2523" t="s">
        <v>5514</v>
      </c>
      <c r="C2523" s="22" t="s">
        <v>6878</v>
      </c>
      <c r="D2523" t="str">
        <f>Noty!J1365</f>
        <v>ukryj</v>
      </c>
    </row>
    <row r="2524" spans="1:4" x14ac:dyDescent="0.3">
      <c r="A2524" t="s">
        <v>5067</v>
      </c>
      <c r="B2524" t="s">
        <v>5514</v>
      </c>
      <c r="C2524" s="22" t="s">
        <v>6879</v>
      </c>
      <c r="D2524" t="str">
        <f>Noty!J1366</f>
        <v>ukryj</v>
      </c>
    </row>
    <row r="2525" spans="1:4" x14ac:dyDescent="0.3">
      <c r="A2525" t="s">
        <v>5067</v>
      </c>
      <c r="B2525" t="s">
        <v>5514</v>
      </c>
      <c r="C2525" s="22" t="s">
        <v>6880</v>
      </c>
      <c r="D2525" t="str">
        <f>Noty!J1367</f>
        <v>ukryj</v>
      </c>
    </row>
    <row r="2526" spans="1:4" x14ac:dyDescent="0.3">
      <c r="A2526" t="s">
        <v>5067</v>
      </c>
      <c r="B2526" t="s">
        <v>5514</v>
      </c>
      <c r="C2526" s="22" t="s">
        <v>6881</v>
      </c>
      <c r="D2526" t="str">
        <f>Noty!J1368</f>
        <v>ukryj</v>
      </c>
    </row>
    <row r="2527" spans="1:4" x14ac:dyDescent="0.3">
      <c r="A2527" t="s">
        <v>5067</v>
      </c>
      <c r="B2527" t="s">
        <v>5514</v>
      </c>
      <c r="C2527" s="22" t="s">
        <v>6882</v>
      </c>
      <c r="D2527" t="str">
        <f>Noty!J1369</f>
        <v>ukryj</v>
      </c>
    </row>
    <row r="2528" spans="1:4" x14ac:dyDescent="0.3">
      <c r="A2528" t="s">
        <v>5067</v>
      </c>
      <c r="B2528" t="s">
        <v>5514</v>
      </c>
      <c r="C2528" s="22" t="s">
        <v>6883</v>
      </c>
      <c r="D2528" t="str">
        <f>Noty!J1370</f>
        <v>ukryj</v>
      </c>
    </row>
    <row r="2529" spans="1:4" x14ac:dyDescent="0.3">
      <c r="A2529" t="s">
        <v>5067</v>
      </c>
      <c r="B2529" t="s">
        <v>5514</v>
      </c>
      <c r="C2529" s="22" t="s">
        <v>6884</v>
      </c>
      <c r="D2529" t="str">
        <f>Noty!J1371</f>
        <v>ukryj</v>
      </c>
    </row>
    <row r="2530" spans="1:4" x14ac:dyDescent="0.3">
      <c r="A2530" t="s">
        <v>5067</v>
      </c>
      <c r="B2530" t="s">
        <v>5514</v>
      </c>
      <c r="C2530" s="22" t="s">
        <v>6885</v>
      </c>
      <c r="D2530" t="str">
        <f>Noty!J1372</f>
        <v>ukryj</v>
      </c>
    </row>
    <row r="2531" spans="1:4" x14ac:dyDescent="0.3">
      <c r="A2531" t="s">
        <v>5067</v>
      </c>
      <c r="B2531" t="s">
        <v>5514</v>
      </c>
      <c r="C2531" s="22" t="s">
        <v>6886</v>
      </c>
      <c r="D2531" t="str">
        <f>Noty!J1373</f>
        <v>ukryj</v>
      </c>
    </row>
    <row r="2532" spans="1:4" x14ac:dyDescent="0.3">
      <c r="A2532" t="s">
        <v>5067</v>
      </c>
      <c r="B2532" t="s">
        <v>5514</v>
      </c>
      <c r="C2532" s="22" t="s">
        <v>6887</v>
      </c>
      <c r="D2532" t="str">
        <f>Noty!J1374</f>
        <v>ukryj</v>
      </c>
    </row>
    <row r="2533" spans="1:4" x14ac:dyDescent="0.3">
      <c r="A2533" t="s">
        <v>5067</v>
      </c>
      <c r="B2533" t="s">
        <v>5514</v>
      </c>
      <c r="C2533" s="22" t="s">
        <v>6888</v>
      </c>
      <c r="D2533" t="str">
        <f>Noty!J1375</f>
        <v>ukryj</v>
      </c>
    </row>
    <row r="2534" spans="1:4" x14ac:dyDescent="0.3">
      <c r="A2534" t="s">
        <v>5067</v>
      </c>
      <c r="B2534" t="s">
        <v>5514</v>
      </c>
      <c r="C2534" s="22" t="s">
        <v>6889</v>
      </c>
      <c r="D2534" t="str">
        <f>Noty!J1376</f>
        <v>ukryj</v>
      </c>
    </row>
    <row r="2535" spans="1:4" x14ac:dyDescent="0.3">
      <c r="A2535" t="s">
        <v>5067</v>
      </c>
      <c r="B2535" t="s">
        <v>5514</v>
      </c>
      <c r="C2535" s="22" t="s">
        <v>6890</v>
      </c>
      <c r="D2535" t="str">
        <f>Noty!J1377</f>
        <v>ukryj</v>
      </c>
    </row>
    <row r="2536" spans="1:4" x14ac:dyDescent="0.3">
      <c r="A2536" t="s">
        <v>5067</v>
      </c>
      <c r="B2536" t="s">
        <v>5514</v>
      </c>
      <c r="C2536" s="22" t="s">
        <v>6891</v>
      </c>
      <c r="D2536" t="s">
        <v>5125</v>
      </c>
    </row>
    <row r="2537" spans="1:4" x14ac:dyDescent="0.3">
      <c r="A2537" t="s">
        <v>5067</v>
      </c>
      <c r="B2537" t="s">
        <v>5514</v>
      </c>
      <c r="C2537" s="22" t="s">
        <v>6892</v>
      </c>
      <c r="D2537" t="str">
        <f>IF(Noty!K1380="n/a","ukryj","odkryj")</f>
        <v>odkryj</v>
      </c>
    </row>
    <row r="2538" spans="1:4" x14ac:dyDescent="0.3">
      <c r="A2538" t="s">
        <v>5067</v>
      </c>
      <c r="B2538" t="s">
        <v>5514</v>
      </c>
      <c r="C2538" s="22" t="s">
        <v>6893</v>
      </c>
      <c r="D2538" t="str">
        <f>Noty!J1380</f>
        <v>odkryj</v>
      </c>
    </row>
    <row r="2539" spans="1:4" x14ac:dyDescent="0.3">
      <c r="A2539" t="s">
        <v>5067</v>
      </c>
      <c r="B2539" t="s">
        <v>5514</v>
      </c>
      <c r="C2539" s="22" t="s">
        <v>6894</v>
      </c>
      <c r="D2539" t="str">
        <f>IF(Noty!K1382="n/a","ukryj","odkryj")</f>
        <v>odkryj</v>
      </c>
    </row>
    <row r="2540" spans="1:4" x14ac:dyDescent="0.3">
      <c r="A2540" t="s">
        <v>5067</v>
      </c>
      <c r="B2540" t="s">
        <v>5514</v>
      </c>
      <c r="C2540" s="22" t="s">
        <v>6895</v>
      </c>
      <c r="D2540" t="str">
        <f>Noty!J1382</f>
        <v>odkryj</v>
      </c>
    </row>
    <row r="2541" spans="1:4" x14ac:dyDescent="0.3">
      <c r="A2541" t="s">
        <v>5067</v>
      </c>
      <c r="B2541" t="s">
        <v>5514</v>
      </c>
      <c r="C2541" s="22" t="s">
        <v>6896</v>
      </c>
      <c r="D2541" t="str">
        <f>IF(Noty!K1384="n/a","ukryj","odkryj")</f>
        <v>ukryj</v>
      </c>
    </row>
    <row r="2542" spans="1:4" x14ac:dyDescent="0.3">
      <c r="A2542" t="s">
        <v>5067</v>
      </c>
      <c r="B2542" t="s">
        <v>5514</v>
      </c>
      <c r="C2542" s="22" t="s">
        <v>6897</v>
      </c>
      <c r="D2542" t="str">
        <f>Noty!J1384</f>
        <v>ukryj</v>
      </c>
    </row>
    <row r="2543" spans="1:4" x14ac:dyDescent="0.3">
      <c r="A2543" t="s">
        <v>5067</v>
      </c>
      <c r="B2543" t="s">
        <v>5514</v>
      </c>
      <c r="C2543" s="22" t="s">
        <v>6898</v>
      </c>
      <c r="D2543" t="str">
        <f>"ukryj"</f>
        <v>ukryj</v>
      </c>
    </row>
    <row r="2544" spans="1:4" x14ac:dyDescent="0.3">
      <c r="A2544" t="s">
        <v>5067</v>
      </c>
      <c r="B2544" t="s">
        <v>5514</v>
      </c>
      <c r="C2544" s="22" t="s">
        <v>6899</v>
      </c>
      <c r="D2544" t="str">
        <f>IF(Noty!K1387="n/a","ukryj","odkryj")</f>
        <v>odkryj</v>
      </c>
    </row>
    <row r="2545" spans="1:4" x14ac:dyDescent="0.3">
      <c r="A2545" t="s">
        <v>5067</v>
      </c>
      <c r="B2545" t="s">
        <v>5514</v>
      </c>
      <c r="C2545" s="22" t="s">
        <v>6900</v>
      </c>
      <c r="D2545" t="str">
        <f>Noty!J1387</f>
        <v>odkryj</v>
      </c>
    </row>
    <row r="2546" spans="1:4" x14ac:dyDescent="0.3">
      <c r="A2546" t="s">
        <v>5067</v>
      </c>
      <c r="B2546" t="s">
        <v>5514</v>
      </c>
      <c r="C2546" s="22" t="s">
        <v>6901</v>
      </c>
      <c r="D2546" t="str">
        <f>IF(Noty!K1389="n/a","ukryj","odkryj")</f>
        <v>odkryj</v>
      </c>
    </row>
    <row r="2547" spans="1:4" x14ac:dyDescent="0.3">
      <c r="A2547" t="s">
        <v>5067</v>
      </c>
      <c r="B2547" t="s">
        <v>5514</v>
      </c>
      <c r="C2547" s="22" t="s">
        <v>6902</v>
      </c>
      <c r="D2547" t="str">
        <f>Noty!J1389</f>
        <v>odkryj</v>
      </c>
    </row>
    <row r="2548" spans="1:4" x14ac:dyDescent="0.3">
      <c r="A2548" t="s">
        <v>5067</v>
      </c>
      <c r="B2548" t="s">
        <v>5514</v>
      </c>
      <c r="C2548" s="22" t="s">
        <v>6903</v>
      </c>
      <c r="D2548" t="str">
        <f>IF(Noty!K1391="n/a","ukryj","odkryj")</f>
        <v>ukryj</v>
      </c>
    </row>
    <row r="2549" spans="1:4" x14ac:dyDescent="0.3">
      <c r="A2549" t="s">
        <v>5067</v>
      </c>
      <c r="B2549" t="s">
        <v>5514</v>
      </c>
      <c r="C2549" s="22" t="s">
        <v>6904</v>
      </c>
      <c r="D2549" t="str">
        <f>Noty!J1391</f>
        <v>ukryj</v>
      </c>
    </row>
    <row r="2550" spans="1:4" x14ac:dyDescent="0.3">
      <c r="A2550" t="s">
        <v>5067</v>
      </c>
      <c r="B2550" t="s">
        <v>5514</v>
      </c>
      <c r="C2550" s="22" t="s">
        <v>6905</v>
      </c>
      <c r="D2550" t="s">
        <v>5125</v>
      </c>
    </row>
    <row r="2551" spans="1:4" x14ac:dyDescent="0.3">
      <c r="A2551" t="s">
        <v>5067</v>
      </c>
      <c r="B2551" t="s">
        <v>5514</v>
      </c>
      <c r="C2551" s="22" t="s">
        <v>6906</v>
      </c>
      <c r="D2551" t="str">
        <f>IF(Noty!K1394="n/a","ukryj","odkryj")</f>
        <v>odkryj</v>
      </c>
    </row>
    <row r="2552" spans="1:4" x14ac:dyDescent="0.3">
      <c r="A2552" t="s">
        <v>5067</v>
      </c>
      <c r="B2552" t="s">
        <v>5514</v>
      </c>
      <c r="C2552" s="22" t="s">
        <v>6907</v>
      </c>
      <c r="D2552" t="str">
        <f>Noty!J1394</f>
        <v>odkryj</v>
      </c>
    </row>
    <row r="2553" spans="1:4" x14ac:dyDescent="0.3">
      <c r="A2553" t="s">
        <v>5067</v>
      </c>
      <c r="B2553" t="s">
        <v>5514</v>
      </c>
      <c r="C2553" s="22" t="s">
        <v>6908</v>
      </c>
      <c r="D2553" t="str">
        <f>IF(Noty!K1396="n/a","ukryj","odkryj")</f>
        <v>odkryj</v>
      </c>
    </row>
    <row r="2554" spans="1:4" x14ac:dyDescent="0.3">
      <c r="A2554" t="s">
        <v>5067</v>
      </c>
      <c r="B2554" t="s">
        <v>5514</v>
      </c>
      <c r="C2554" s="22" t="s">
        <v>6909</v>
      </c>
      <c r="D2554" t="str">
        <f>Noty!J1396</f>
        <v>odkryj</v>
      </c>
    </row>
    <row r="2555" spans="1:4" x14ac:dyDescent="0.3">
      <c r="A2555" t="s">
        <v>5067</v>
      </c>
      <c r="B2555" t="s">
        <v>5514</v>
      </c>
      <c r="C2555" s="22" t="s">
        <v>6910</v>
      </c>
      <c r="D2555" t="str">
        <f>IF(Noty!K1398="n/a","ukryj","odkryj")</f>
        <v>ukryj</v>
      </c>
    </row>
    <row r="2556" spans="1:4" x14ac:dyDescent="0.3">
      <c r="A2556" t="s">
        <v>5067</v>
      </c>
      <c r="B2556" t="s">
        <v>5514</v>
      </c>
      <c r="C2556" s="22" t="s">
        <v>6911</v>
      </c>
      <c r="D2556" t="str">
        <f>Noty!J1398</f>
        <v>ukryj</v>
      </c>
    </row>
    <row r="2557" spans="1:4" x14ac:dyDescent="0.3">
      <c r="A2557" t="s">
        <v>5067</v>
      </c>
      <c r="B2557" t="s">
        <v>5514</v>
      </c>
      <c r="C2557" s="22" t="s">
        <v>6912</v>
      </c>
      <c r="D2557" t="s">
        <v>5125</v>
      </c>
    </row>
    <row r="2558" spans="1:4" x14ac:dyDescent="0.3">
      <c r="A2558" t="s">
        <v>5067</v>
      </c>
      <c r="B2558" t="s">
        <v>5514</v>
      </c>
      <c r="C2558" s="22" t="s">
        <v>6913</v>
      </c>
      <c r="D2558" t="str">
        <f>IF(Noty!K1401="n/a","ukryj","odkryj")</f>
        <v>odkryj</v>
      </c>
    </row>
    <row r="2559" spans="1:4" x14ac:dyDescent="0.3">
      <c r="A2559" t="s">
        <v>5067</v>
      </c>
      <c r="B2559" t="s">
        <v>5514</v>
      </c>
      <c r="C2559" s="22" t="s">
        <v>6914</v>
      </c>
      <c r="D2559" t="str">
        <f>Noty!J1401</f>
        <v>odkryj</v>
      </c>
    </row>
    <row r="2560" spans="1:4" x14ac:dyDescent="0.3">
      <c r="A2560" t="s">
        <v>5067</v>
      </c>
      <c r="B2560" t="s">
        <v>5514</v>
      </c>
      <c r="C2560" s="22" t="s">
        <v>6915</v>
      </c>
      <c r="D2560" t="str">
        <f>IF(Noty!K1403="n/a","ukryj","odkryj")</f>
        <v>odkryj</v>
      </c>
    </row>
    <row r="2561" spans="1:4" x14ac:dyDescent="0.3">
      <c r="A2561" t="s">
        <v>5067</v>
      </c>
      <c r="B2561" t="s">
        <v>5514</v>
      </c>
      <c r="C2561" s="22" t="s">
        <v>6916</v>
      </c>
      <c r="D2561" t="str">
        <f>Noty!J1403</f>
        <v>odkryj</v>
      </c>
    </row>
    <row r="2562" spans="1:4" x14ac:dyDescent="0.3">
      <c r="A2562" t="s">
        <v>5067</v>
      </c>
      <c r="B2562" t="s">
        <v>5514</v>
      </c>
      <c r="C2562" s="22" t="s">
        <v>6917</v>
      </c>
      <c r="D2562" t="str">
        <f>IF(Noty!K1405="n/a","ukryj","odkryj")</f>
        <v>ukryj</v>
      </c>
    </row>
    <row r="2563" spans="1:4" x14ac:dyDescent="0.3">
      <c r="A2563" t="s">
        <v>5067</v>
      </c>
      <c r="B2563" t="s">
        <v>5514</v>
      </c>
      <c r="C2563" s="22" t="s">
        <v>6918</v>
      </c>
      <c r="D2563" t="str">
        <f>Noty!J1405</f>
        <v>ukryj</v>
      </c>
    </row>
    <row r="2564" spans="1:4" x14ac:dyDescent="0.3">
      <c r="A2564" t="s">
        <v>5067</v>
      </c>
      <c r="B2564" t="s">
        <v>5514</v>
      </c>
      <c r="C2564" s="22" t="s">
        <v>6919</v>
      </c>
      <c r="D2564" t="s">
        <v>5125</v>
      </c>
    </row>
    <row r="2565" spans="1:4" x14ac:dyDescent="0.3">
      <c r="A2565" t="s">
        <v>5067</v>
      </c>
      <c r="B2565" t="s">
        <v>5514</v>
      </c>
      <c r="C2565" s="22" t="s">
        <v>6920</v>
      </c>
      <c r="D2565" t="str">
        <f>IF(Noty!K1408="n/a","ukryj","odkryj")</f>
        <v>odkryj</v>
      </c>
    </row>
    <row r="2566" spans="1:4" x14ac:dyDescent="0.3">
      <c r="A2566" t="s">
        <v>5067</v>
      </c>
      <c r="B2566" t="s">
        <v>5514</v>
      </c>
      <c r="C2566" s="22" t="s">
        <v>6921</v>
      </c>
      <c r="D2566" t="str">
        <f>Noty!J1408</f>
        <v>odkryj</v>
      </c>
    </row>
    <row r="2567" spans="1:4" x14ac:dyDescent="0.3">
      <c r="A2567" t="s">
        <v>5067</v>
      </c>
      <c r="B2567" t="s">
        <v>5514</v>
      </c>
      <c r="C2567" s="22" t="s">
        <v>6922</v>
      </c>
      <c r="D2567" t="str">
        <f>IF(Noty!K1410="n/a","ukryj","odkryj")</f>
        <v>odkryj</v>
      </c>
    </row>
    <row r="2568" spans="1:4" x14ac:dyDescent="0.3">
      <c r="A2568" t="s">
        <v>5067</v>
      </c>
      <c r="B2568" t="s">
        <v>5514</v>
      </c>
      <c r="C2568" s="22" t="s">
        <v>6923</v>
      </c>
      <c r="D2568" t="str">
        <f>Noty!J1410</f>
        <v>odkryj</v>
      </c>
    </row>
    <row r="2569" spans="1:4" x14ac:dyDescent="0.3">
      <c r="A2569" t="s">
        <v>5067</v>
      </c>
      <c r="B2569" t="s">
        <v>5514</v>
      </c>
      <c r="C2569" s="22" t="s">
        <v>6924</v>
      </c>
      <c r="D2569" t="str">
        <f>IF(Noty!K1412="n/a","ukryj","odkryj")</f>
        <v>ukryj</v>
      </c>
    </row>
    <row r="2570" spans="1:4" x14ac:dyDescent="0.3">
      <c r="A2570" t="s">
        <v>5067</v>
      </c>
      <c r="B2570" t="s">
        <v>5514</v>
      </c>
      <c r="C2570" s="22" t="s">
        <v>6925</v>
      </c>
      <c r="D2570" t="str">
        <f>Noty!J1412</f>
        <v>ukryj</v>
      </c>
    </row>
    <row r="2571" spans="1:4" x14ac:dyDescent="0.3">
      <c r="A2571" t="s">
        <v>5067</v>
      </c>
      <c r="B2571" t="s">
        <v>5514</v>
      </c>
      <c r="C2571" s="22" t="s">
        <v>6926</v>
      </c>
      <c r="D2571" t="str">
        <f>Noty!J1413</f>
        <v>ukryj</v>
      </c>
    </row>
    <row r="2572" spans="1:4" x14ac:dyDescent="0.3">
      <c r="A2572" t="s">
        <v>5067</v>
      </c>
      <c r="B2572" t="s">
        <v>5514</v>
      </c>
      <c r="C2572" s="22" t="s">
        <v>6927</v>
      </c>
      <c r="D2572" t="str">
        <f>Noty!J1414</f>
        <v>ukryj</v>
      </c>
    </row>
    <row r="2573" spans="1:4" x14ac:dyDescent="0.3">
      <c r="A2573" t="s">
        <v>5067</v>
      </c>
      <c r="B2573" t="s">
        <v>5514</v>
      </c>
      <c r="C2573" s="22" t="s">
        <v>6928</v>
      </c>
      <c r="D2573" t="str">
        <f>Noty!J1414</f>
        <v>ukryj</v>
      </c>
    </row>
    <row r="2574" spans="1:4" x14ac:dyDescent="0.3">
      <c r="A2574" t="s">
        <v>5067</v>
      </c>
      <c r="B2574" t="s">
        <v>5514</v>
      </c>
      <c r="C2574" s="22" t="s">
        <v>6929</v>
      </c>
      <c r="D2574" t="str">
        <f>Noty!J1415</f>
        <v>ukryj</v>
      </c>
    </row>
    <row r="2575" spans="1:4" x14ac:dyDescent="0.3">
      <c r="A2575" t="s">
        <v>5067</v>
      </c>
      <c r="B2575" t="s">
        <v>5514</v>
      </c>
      <c r="C2575" s="22" t="s">
        <v>6930</v>
      </c>
      <c r="D2575" t="str">
        <f>Noty!J1417</f>
        <v>ukryj</v>
      </c>
    </row>
    <row r="2576" spans="1:4" x14ac:dyDescent="0.3">
      <c r="A2576" t="s">
        <v>5067</v>
      </c>
      <c r="B2576" t="s">
        <v>5514</v>
      </c>
      <c r="C2576" s="22" t="s">
        <v>6931</v>
      </c>
      <c r="D2576" t="s">
        <v>5125</v>
      </c>
    </row>
    <row r="2577" spans="1:4" x14ac:dyDescent="0.3">
      <c r="A2577" t="s">
        <v>5067</v>
      </c>
      <c r="B2577" t="s">
        <v>5514</v>
      </c>
      <c r="C2577" s="22" t="s">
        <v>6932</v>
      </c>
      <c r="D2577" t="str">
        <f>IF(Noty!K1420="n/a","ukryj","odkryj")</f>
        <v>odkryj</v>
      </c>
    </row>
    <row r="2578" spans="1:4" x14ac:dyDescent="0.3">
      <c r="A2578" t="s">
        <v>5067</v>
      </c>
      <c r="B2578" t="s">
        <v>5514</v>
      </c>
      <c r="C2578" s="22" t="s">
        <v>6933</v>
      </c>
      <c r="D2578" t="str">
        <f>Noty!J1420</f>
        <v>odkryj</v>
      </c>
    </row>
    <row r="2579" spans="1:4" x14ac:dyDescent="0.3">
      <c r="A2579" t="s">
        <v>5067</v>
      </c>
      <c r="B2579" t="s">
        <v>5514</v>
      </c>
      <c r="C2579" s="22" t="s">
        <v>6934</v>
      </c>
      <c r="D2579" t="str">
        <f>IF(Noty!K1422="n/a","ukryj","odkryj")</f>
        <v>odkryj</v>
      </c>
    </row>
    <row r="2580" spans="1:4" x14ac:dyDescent="0.3">
      <c r="A2580" t="s">
        <v>5067</v>
      </c>
      <c r="B2580" t="s">
        <v>5514</v>
      </c>
      <c r="C2580" s="22" t="s">
        <v>6935</v>
      </c>
      <c r="D2580" t="str">
        <f>Noty!J1422</f>
        <v>odkryj</v>
      </c>
    </row>
    <row r="2581" spans="1:4" x14ac:dyDescent="0.3">
      <c r="A2581" t="s">
        <v>5067</v>
      </c>
      <c r="B2581" t="s">
        <v>5514</v>
      </c>
      <c r="C2581" s="22" t="s">
        <v>6936</v>
      </c>
      <c r="D2581" t="str">
        <f>IF(Noty!K1424="n/a","ukryj","odkryj")</f>
        <v>ukryj</v>
      </c>
    </row>
    <row r="2582" spans="1:4" x14ac:dyDescent="0.3">
      <c r="A2582" t="s">
        <v>5067</v>
      </c>
      <c r="B2582" t="s">
        <v>5514</v>
      </c>
      <c r="C2582" s="22" t="s">
        <v>6937</v>
      </c>
      <c r="D2582" t="str">
        <f>Noty!J1424</f>
        <v>ukryj</v>
      </c>
    </row>
    <row r="2583" spans="1:4" x14ac:dyDescent="0.3">
      <c r="A2583" t="s">
        <v>5067</v>
      </c>
      <c r="B2583" t="s">
        <v>5514</v>
      </c>
      <c r="C2583" s="22" t="s">
        <v>6938</v>
      </c>
      <c r="D2583" t="str">
        <f>Noty!J1425</f>
        <v>ukryj</v>
      </c>
    </row>
    <row r="2584" spans="1:4" x14ac:dyDescent="0.3">
      <c r="A2584" t="s">
        <v>5067</v>
      </c>
      <c r="B2584" t="s">
        <v>5514</v>
      </c>
      <c r="C2584" s="22" t="s">
        <v>6939</v>
      </c>
      <c r="D2584" t="str">
        <f>IF(Noty!I1427=0,"ukryj","odkryj")</f>
        <v>ukryj</v>
      </c>
    </row>
    <row r="2585" spans="1:4" x14ac:dyDescent="0.3">
      <c r="A2585" t="s">
        <v>5067</v>
      </c>
      <c r="B2585" t="s">
        <v>5514</v>
      </c>
      <c r="C2585" s="22" t="s">
        <v>6940</v>
      </c>
      <c r="D2585" t="str">
        <f>IF(I1390=0,"ukryj","odkryj")</f>
        <v>ukryj</v>
      </c>
    </row>
    <row r="2586" spans="1:4" x14ac:dyDescent="0.3">
      <c r="A2586" t="s">
        <v>5067</v>
      </c>
      <c r="B2586" t="s">
        <v>5514</v>
      </c>
      <c r="C2586" s="22" t="s">
        <v>6941</v>
      </c>
      <c r="D2586" t="str">
        <f>IF(I1391=0,"ukryj","odkryj")</f>
        <v>ukryj</v>
      </c>
    </row>
    <row r="2587" spans="1:4" x14ac:dyDescent="0.3">
      <c r="A2587" t="s">
        <v>5067</v>
      </c>
      <c r="B2587" t="s">
        <v>5514</v>
      </c>
      <c r="C2587" s="22" t="s">
        <v>6942</v>
      </c>
      <c r="D2587" t="str">
        <f>Noty!J1429</f>
        <v>ukryj</v>
      </c>
    </row>
    <row r="2588" spans="1:4" x14ac:dyDescent="0.3">
      <c r="A2588" t="s">
        <v>5067</v>
      </c>
      <c r="B2588" t="s">
        <v>5514</v>
      </c>
      <c r="C2588" s="22" t="s">
        <v>6943</v>
      </c>
      <c r="D2588" t="str">
        <f>Noty!J1430</f>
        <v>ukryj</v>
      </c>
    </row>
    <row r="2589" spans="1:4" x14ac:dyDescent="0.3">
      <c r="A2589" t="s">
        <v>5067</v>
      </c>
      <c r="B2589" t="s">
        <v>5514</v>
      </c>
      <c r="C2589" s="22" t="s">
        <v>6944</v>
      </c>
      <c r="D2589" t="s">
        <v>5125</v>
      </c>
    </row>
    <row r="2590" spans="1:4" x14ac:dyDescent="0.3">
      <c r="A2590" t="s">
        <v>5067</v>
      </c>
      <c r="B2590" t="s">
        <v>5514</v>
      </c>
      <c r="C2590" s="22" t="s">
        <v>6945</v>
      </c>
      <c r="D2590" t="str">
        <f>IF(Noty!K1433="n/a","ukryj","odkryj")</f>
        <v>odkryj</v>
      </c>
    </row>
    <row r="2591" spans="1:4" x14ac:dyDescent="0.3">
      <c r="A2591" t="s">
        <v>5067</v>
      </c>
      <c r="B2591" t="s">
        <v>5514</v>
      </c>
      <c r="C2591" s="22" t="s">
        <v>6946</v>
      </c>
      <c r="D2591" t="str">
        <f>Noty!J1433</f>
        <v>odkryj</v>
      </c>
    </row>
    <row r="2592" spans="1:4" x14ac:dyDescent="0.3">
      <c r="A2592" t="s">
        <v>5067</v>
      </c>
      <c r="B2592" t="s">
        <v>5514</v>
      </c>
      <c r="C2592" s="22" t="s">
        <v>6947</v>
      </c>
      <c r="D2592" t="str">
        <f>IF(Noty!K1435="n/a","ukryj","odkryj")</f>
        <v>odkryj</v>
      </c>
    </row>
    <row r="2593" spans="1:4" x14ac:dyDescent="0.3">
      <c r="A2593" t="s">
        <v>5067</v>
      </c>
      <c r="B2593" t="s">
        <v>5514</v>
      </c>
      <c r="C2593" s="22" t="s">
        <v>6948</v>
      </c>
      <c r="D2593" t="str">
        <f>Noty!J1435</f>
        <v>odkryj</v>
      </c>
    </row>
    <row r="2594" spans="1:4" x14ac:dyDescent="0.3">
      <c r="A2594" t="s">
        <v>5067</v>
      </c>
      <c r="B2594" t="s">
        <v>5514</v>
      </c>
      <c r="C2594" s="22" t="s">
        <v>6949</v>
      </c>
      <c r="D2594" t="str">
        <f>IF(Noty!K1437="n/a","ukryj","odkryj")</f>
        <v>odkryj</v>
      </c>
    </row>
    <row r="2595" spans="1:4" x14ac:dyDescent="0.3">
      <c r="A2595" t="s">
        <v>5067</v>
      </c>
      <c r="B2595" t="s">
        <v>5514</v>
      </c>
      <c r="C2595" s="22" t="s">
        <v>6950</v>
      </c>
      <c r="D2595" t="str">
        <f>Noty!J1437</f>
        <v>odkryj</v>
      </c>
    </row>
    <row r="2596" spans="1:4" x14ac:dyDescent="0.3">
      <c r="A2596" t="s">
        <v>5067</v>
      </c>
      <c r="B2596" t="s">
        <v>5514</v>
      </c>
      <c r="C2596" s="22" t="s">
        <v>6951</v>
      </c>
      <c r="D2596" t="str">
        <f>Noty!J1438</f>
        <v>odkryj</v>
      </c>
    </row>
    <row r="2597" spans="1:4" x14ac:dyDescent="0.3">
      <c r="A2597" t="s">
        <v>5067</v>
      </c>
      <c r="B2597" t="s">
        <v>5514</v>
      </c>
      <c r="C2597" s="22" t="s">
        <v>6952</v>
      </c>
      <c r="D2597" t="str">
        <f>Noty!J1439</f>
        <v>odkryj</v>
      </c>
    </row>
    <row r="2598" spans="1:4" x14ac:dyDescent="0.3">
      <c r="A2598" t="s">
        <v>5067</v>
      </c>
      <c r="B2598" t="s">
        <v>5514</v>
      </c>
      <c r="C2598" s="22" t="s">
        <v>6953</v>
      </c>
      <c r="D2598" t="str">
        <f>IF(Noty!K1441="n/a","ukryj","odkryj")</f>
        <v>ukryj</v>
      </c>
    </row>
    <row r="2599" spans="1:4" x14ac:dyDescent="0.3">
      <c r="A2599" t="s">
        <v>5067</v>
      </c>
      <c r="B2599" t="s">
        <v>5514</v>
      </c>
      <c r="C2599" s="22" t="s">
        <v>6954</v>
      </c>
      <c r="D2599" t="str">
        <f>Noty!J1441</f>
        <v>ukryj</v>
      </c>
    </row>
    <row r="2600" spans="1:4" x14ac:dyDescent="0.3">
      <c r="A2600" t="s">
        <v>5067</v>
      </c>
      <c r="B2600" t="s">
        <v>5514</v>
      </c>
      <c r="C2600" s="22" t="s">
        <v>6955</v>
      </c>
      <c r="D2600" t="str">
        <f>Noty!J1442</f>
        <v>ukryj</v>
      </c>
    </row>
    <row r="2601" spans="1:4" x14ac:dyDescent="0.3">
      <c r="A2601" t="s">
        <v>5067</v>
      </c>
      <c r="B2601" t="s">
        <v>5514</v>
      </c>
      <c r="C2601" s="22" t="s">
        <v>6956</v>
      </c>
      <c r="D2601" t="str">
        <f>IF(AND(Noty!H1444=0,Noty!I1444=0),"ukryj","odkryj")</f>
        <v>ukryj</v>
      </c>
    </row>
    <row r="2602" spans="1:4" x14ac:dyDescent="0.3">
      <c r="A2602" t="s">
        <v>5067</v>
      </c>
      <c r="B2602" t="s">
        <v>5514</v>
      </c>
      <c r="C2602" s="22" t="s">
        <v>6957</v>
      </c>
      <c r="D2602" t="str">
        <f>IF(AND(Noty!H1445=0,Noty!I1445=0),"ukryj","odkryj")</f>
        <v>ukryj</v>
      </c>
    </row>
    <row r="2603" spans="1:4" x14ac:dyDescent="0.3">
      <c r="A2603" t="s">
        <v>5067</v>
      </c>
      <c r="B2603" t="s">
        <v>5514</v>
      </c>
      <c r="C2603" s="22" t="s">
        <v>6958</v>
      </c>
      <c r="D2603" t="str">
        <f>IF(AND(Noty!H1446=0,Noty!I1446=0),"ukryj","odkryj")</f>
        <v>ukryj</v>
      </c>
    </row>
    <row r="2604" spans="1:4" x14ac:dyDescent="0.3">
      <c r="A2604" t="s">
        <v>5067</v>
      </c>
      <c r="B2604" t="s">
        <v>5514</v>
      </c>
      <c r="C2604" s="22" t="s">
        <v>6959</v>
      </c>
      <c r="D2604" t="str">
        <f>IF(AND(Noty!H1447=0,Noty!I1447=0),"ukryj","odkryj")</f>
        <v>ukryj</v>
      </c>
    </row>
    <row r="2605" spans="1:4" x14ac:dyDescent="0.3">
      <c r="A2605" t="s">
        <v>5067</v>
      </c>
      <c r="B2605" t="s">
        <v>5514</v>
      </c>
      <c r="C2605" s="22" t="s">
        <v>6960</v>
      </c>
      <c r="D2605" t="str">
        <f>Noty!J1447</f>
        <v>ukryj</v>
      </c>
    </row>
    <row r="2606" spans="1:4" x14ac:dyDescent="0.3">
      <c r="A2606" t="s">
        <v>5067</v>
      </c>
      <c r="B2606" t="s">
        <v>5514</v>
      </c>
      <c r="C2606" s="22" t="s">
        <v>6961</v>
      </c>
      <c r="D2606" t="str">
        <f>IF(Noty!K1449="n/a","ukryj","odkryj")</f>
        <v>ukryj</v>
      </c>
    </row>
    <row r="2607" spans="1:4" x14ac:dyDescent="0.3">
      <c r="A2607" t="s">
        <v>5067</v>
      </c>
      <c r="B2607" t="s">
        <v>5514</v>
      </c>
      <c r="C2607" s="22" t="s">
        <v>6962</v>
      </c>
      <c r="D2607" t="str">
        <f>Noty!J1449</f>
        <v>ukryj</v>
      </c>
    </row>
    <row r="2608" spans="1:4" x14ac:dyDescent="0.3">
      <c r="A2608" t="s">
        <v>5067</v>
      </c>
      <c r="B2608" t="s">
        <v>5514</v>
      </c>
      <c r="C2608" s="22" t="s">
        <v>6963</v>
      </c>
      <c r="D2608" t="str">
        <f>Noty!J1450</f>
        <v>ukryj</v>
      </c>
    </row>
    <row r="2609" spans="1:4" x14ac:dyDescent="0.3">
      <c r="A2609" t="s">
        <v>5067</v>
      </c>
      <c r="B2609" t="s">
        <v>5514</v>
      </c>
      <c r="C2609" s="22" t="s">
        <v>6964</v>
      </c>
      <c r="D2609" t="str">
        <f>IF(AND(Noty!H1452=0,Noty!I1452=0),"ukryj","odkryj")</f>
        <v>ukryj</v>
      </c>
    </row>
    <row r="2610" spans="1:4" x14ac:dyDescent="0.3">
      <c r="A2610" t="s">
        <v>5067</v>
      </c>
      <c r="B2610" t="s">
        <v>5514</v>
      </c>
      <c r="C2610" s="22" t="s">
        <v>6965</v>
      </c>
      <c r="D2610" t="str">
        <f>IF(AND(Noty!H1453=0,Noty!I1453=0),"ukryj","odkryj")</f>
        <v>ukryj</v>
      </c>
    </row>
    <row r="2611" spans="1:4" x14ac:dyDescent="0.3">
      <c r="A2611" t="s">
        <v>5067</v>
      </c>
      <c r="B2611" t="s">
        <v>5514</v>
      </c>
      <c r="C2611" s="22" t="s">
        <v>6966</v>
      </c>
      <c r="D2611" t="str">
        <f>IF(AND(Noty!H1454=0,Noty!I1454=0),"ukryj","odkryj")</f>
        <v>ukryj</v>
      </c>
    </row>
    <row r="2612" spans="1:4" x14ac:dyDescent="0.3">
      <c r="A2612" t="s">
        <v>5067</v>
      </c>
      <c r="B2612" t="s">
        <v>5514</v>
      </c>
      <c r="C2612" s="22" t="s">
        <v>6967</v>
      </c>
      <c r="D2612" t="str">
        <f>IF(AND(Noty!H1455=0,Noty!I1455=0),"ukryj","odkryj")</f>
        <v>ukryj</v>
      </c>
    </row>
    <row r="2613" spans="1:4" x14ac:dyDescent="0.3">
      <c r="A2613" t="s">
        <v>5067</v>
      </c>
      <c r="B2613" t="s">
        <v>5514</v>
      </c>
      <c r="C2613" s="22" t="s">
        <v>6968</v>
      </c>
      <c r="D2613" t="str">
        <f>Noty!J1455</f>
        <v>ukryj</v>
      </c>
    </row>
    <row r="2614" spans="1:4" x14ac:dyDescent="0.3">
      <c r="A2614" t="s">
        <v>5067</v>
      </c>
      <c r="B2614" t="s">
        <v>5514</v>
      </c>
      <c r="C2614" s="22" t="s">
        <v>6969</v>
      </c>
      <c r="D2614" t="str">
        <f>IF(Noty!K1457="n/a","ukryj","odkryj")</f>
        <v>ukryj</v>
      </c>
    </row>
    <row r="2615" spans="1:4" x14ac:dyDescent="0.3">
      <c r="A2615" t="s">
        <v>5067</v>
      </c>
      <c r="B2615" t="s">
        <v>5514</v>
      </c>
      <c r="C2615" s="22" t="s">
        <v>6970</v>
      </c>
      <c r="D2615" t="str">
        <f>Noty!J1457</f>
        <v>ukryj</v>
      </c>
    </row>
    <row r="2616" spans="1:4" x14ac:dyDescent="0.3">
      <c r="A2616" t="s">
        <v>5067</v>
      </c>
      <c r="B2616" t="s">
        <v>5514</v>
      </c>
      <c r="C2616" s="22" t="s">
        <v>6971</v>
      </c>
      <c r="D2616" t="str">
        <f>Noty!J1458</f>
        <v>ukryj</v>
      </c>
    </row>
    <row r="2617" spans="1:4" x14ac:dyDescent="0.3">
      <c r="A2617" t="s">
        <v>5067</v>
      </c>
      <c r="B2617" t="s">
        <v>5514</v>
      </c>
      <c r="C2617" s="22" t="s">
        <v>6972</v>
      </c>
      <c r="D2617" t="str">
        <f>IF(AND(Noty!H1460=0,Noty!I1460=0),"ukryj","odkryj")</f>
        <v>ukryj</v>
      </c>
    </row>
    <row r="2618" spans="1:4" x14ac:dyDescent="0.3">
      <c r="A2618" t="s">
        <v>5067</v>
      </c>
      <c r="B2618" t="s">
        <v>5514</v>
      </c>
      <c r="C2618" s="22" t="s">
        <v>6973</v>
      </c>
      <c r="D2618" t="str">
        <f>IF(AND(Noty!H1461=0,Noty!I1461=0),"ukryj","odkryj")</f>
        <v>ukryj</v>
      </c>
    </row>
    <row r="2619" spans="1:4" x14ac:dyDescent="0.3">
      <c r="A2619" t="s">
        <v>5067</v>
      </c>
      <c r="B2619" t="s">
        <v>5514</v>
      </c>
      <c r="C2619" s="22" t="s">
        <v>6974</v>
      </c>
      <c r="D2619" t="str">
        <f>IF(AND(Noty!H1462=0,Noty!I1462=0),"ukryj","odkryj")</f>
        <v>ukryj</v>
      </c>
    </row>
    <row r="2620" spans="1:4" x14ac:dyDescent="0.3">
      <c r="A2620" t="s">
        <v>5067</v>
      </c>
      <c r="B2620" t="s">
        <v>5514</v>
      </c>
      <c r="C2620" s="22" t="s">
        <v>6975</v>
      </c>
      <c r="D2620" t="str">
        <f>IF(AND(Noty!H1463=0,Noty!I1463=0),"ukryj","odkryj")</f>
        <v>ukryj</v>
      </c>
    </row>
    <row r="2621" spans="1:4" x14ac:dyDescent="0.3">
      <c r="A2621" t="s">
        <v>5067</v>
      </c>
      <c r="B2621" t="s">
        <v>5514</v>
      </c>
      <c r="C2621" s="22" t="s">
        <v>6976</v>
      </c>
      <c r="D2621" t="str">
        <f>Noty!J1463</f>
        <v>ukryj</v>
      </c>
    </row>
    <row r="2622" spans="1:4" x14ac:dyDescent="0.3">
      <c r="A2622" t="s">
        <v>5067</v>
      </c>
      <c r="B2622" t="s">
        <v>5514</v>
      </c>
      <c r="C2622" s="22" t="s">
        <v>6977</v>
      </c>
      <c r="D2622" t="str">
        <f>IF(Noty!K1465="n/a","ukryj","odkryj")</f>
        <v>ukryj</v>
      </c>
    </row>
    <row r="2623" spans="1:4" x14ac:dyDescent="0.3">
      <c r="A2623" t="s">
        <v>5067</v>
      </c>
      <c r="B2623" t="s">
        <v>5514</v>
      </c>
      <c r="C2623" s="22" t="s">
        <v>6978</v>
      </c>
      <c r="D2623" t="str">
        <f>Noty!J1465</f>
        <v>ukryj</v>
      </c>
    </row>
    <row r="2624" spans="1:4" x14ac:dyDescent="0.3">
      <c r="A2624" t="s">
        <v>5067</v>
      </c>
      <c r="B2624" t="s">
        <v>5514</v>
      </c>
      <c r="C2624" s="22" t="s">
        <v>6979</v>
      </c>
      <c r="D2624" t="str">
        <f>Noty!J1466</f>
        <v>ukryj</v>
      </c>
    </row>
    <row r="2625" spans="1:4" x14ac:dyDescent="0.3">
      <c r="A2625" t="s">
        <v>5067</v>
      </c>
      <c r="B2625" t="s">
        <v>5514</v>
      </c>
      <c r="C2625" s="22" t="s">
        <v>6980</v>
      </c>
      <c r="D2625" t="str">
        <f>IF(AND(Noty!H1468=0,Noty!I1468=0),"ukryj","odkryj")</f>
        <v>ukryj</v>
      </c>
    </row>
    <row r="2626" spans="1:4" x14ac:dyDescent="0.3">
      <c r="A2626" t="s">
        <v>5067</v>
      </c>
      <c r="B2626" t="s">
        <v>5514</v>
      </c>
      <c r="C2626" s="22" t="s">
        <v>6981</v>
      </c>
      <c r="D2626" t="str">
        <f>IF(AND(Noty!H1469=0,Noty!I1469=0),"ukryj","odkryj")</f>
        <v>ukryj</v>
      </c>
    </row>
    <row r="2627" spans="1:4" x14ac:dyDescent="0.3">
      <c r="A2627" t="s">
        <v>5067</v>
      </c>
      <c r="B2627" t="s">
        <v>5514</v>
      </c>
      <c r="C2627" s="22" t="s">
        <v>6982</v>
      </c>
      <c r="D2627" t="str">
        <f>IF(AND(Noty!H1470=0,Noty!I1470=0),"ukryj","odkryj")</f>
        <v>ukryj</v>
      </c>
    </row>
    <row r="2628" spans="1:4" x14ac:dyDescent="0.3">
      <c r="A2628" t="s">
        <v>5067</v>
      </c>
      <c r="B2628" t="s">
        <v>5514</v>
      </c>
      <c r="C2628" s="22" t="s">
        <v>6983</v>
      </c>
      <c r="D2628" t="str">
        <f>IF(AND(Noty!H1471=0,Noty!I1471=0),"ukryj","odkryj")</f>
        <v>ukryj</v>
      </c>
    </row>
    <row r="2629" spans="1:4" x14ac:dyDescent="0.3">
      <c r="A2629" t="s">
        <v>5067</v>
      </c>
      <c r="B2629" t="s">
        <v>5514</v>
      </c>
      <c r="C2629" s="22" t="s">
        <v>6984</v>
      </c>
      <c r="D2629" t="str">
        <f>Noty!J1471</f>
        <v>ukryj</v>
      </c>
    </row>
    <row r="2630" spans="1:4" x14ac:dyDescent="0.3">
      <c r="A2630" t="s">
        <v>5067</v>
      </c>
      <c r="B2630" t="s">
        <v>5514</v>
      </c>
      <c r="C2630" s="22" t="s">
        <v>6985</v>
      </c>
      <c r="D2630" t="str">
        <f>IF(Noty!K1473="n/a","ukryj","odkryj")</f>
        <v>odkryj</v>
      </c>
    </row>
    <row r="2631" spans="1:4" x14ac:dyDescent="0.3">
      <c r="A2631" t="s">
        <v>5067</v>
      </c>
      <c r="B2631" t="s">
        <v>5514</v>
      </c>
      <c r="C2631" s="22" t="s">
        <v>6986</v>
      </c>
      <c r="D2631" t="str">
        <f>Noty!J1473</f>
        <v>odkryj</v>
      </c>
    </row>
    <row r="2632" spans="1:4" x14ac:dyDescent="0.3">
      <c r="A2632" t="s">
        <v>5067</v>
      </c>
      <c r="B2632" t="s">
        <v>5514</v>
      </c>
      <c r="C2632" s="22" t="s">
        <v>6987</v>
      </c>
      <c r="D2632" t="s">
        <v>5125</v>
      </c>
    </row>
    <row r="2633" spans="1:4" x14ac:dyDescent="0.3">
      <c r="A2633" t="s">
        <v>5067</v>
      </c>
      <c r="B2633" t="s">
        <v>5514</v>
      </c>
      <c r="C2633" s="22" t="s">
        <v>6988</v>
      </c>
      <c r="D2633" t="s">
        <v>5125</v>
      </c>
    </row>
    <row r="2634" spans="1:4" x14ac:dyDescent="0.3">
      <c r="A2634" t="s">
        <v>5067</v>
      </c>
      <c r="B2634" t="s">
        <v>5514</v>
      </c>
      <c r="C2634" s="22" t="s">
        <v>6989</v>
      </c>
      <c r="D2634" t="str">
        <f>IF(Noty!K1477="n/a","ukryj","odkryj")</f>
        <v>ukryj</v>
      </c>
    </row>
    <row r="2635" spans="1:4" x14ac:dyDescent="0.3">
      <c r="A2635" t="s">
        <v>5067</v>
      </c>
      <c r="B2635" t="s">
        <v>5514</v>
      </c>
      <c r="C2635" s="22" t="s">
        <v>6990</v>
      </c>
      <c r="D2635" t="str">
        <f>Noty!J1477</f>
        <v>ukryj</v>
      </c>
    </row>
    <row r="2636" spans="1:4" x14ac:dyDescent="0.3">
      <c r="A2636" t="s">
        <v>5067</v>
      </c>
      <c r="B2636" t="s">
        <v>5514</v>
      </c>
      <c r="C2636" s="22" t="s">
        <v>6991</v>
      </c>
      <c r="D2636" t="str">
        <f>IF(AND(Noty!F1479=0,Noty!G1479=0,Noty!H1479=0,Noty!I1479=0),"ukryj","odkryj")</f>
        <v>ukryj</v>
      </c>
    </row>
    <row r="2637" spans="1:4" x14ac:dyDescent="0.3">
      <c r="A2637" t="s">
        <v>5067</v>
      </c>
      <c r="B2637" t="s">
        <v>5514</v>
      </c>
      <c r="C2637" s="22" t="s">
        <v>6992</v>
      </c>
      <c r="D2637" t="str">
        <f>IF(AND(Noty!F1480=0,Noty!G1480=0,Noty!H1480=0,Noty!I1480=0),"ukryj","odkryj")</f>
        <v>ukryj</v>
      </c>
    </row>
    <row r="2638" spans="1:4" x14ac:dyDescent="0.3">
      <c r="A2638" t="s">
        <v>5067</v>
      </c>
      <c r="B2638" t="s">
        <v>5514</v>
      </c>
      <c r="C2638" s="22" t="s">
        <v>6993</v>
      </c>
      <c r="D2638" t="str">
        <f>IF(AND(Noty!F1481=0,Noty!G1481=0,Noty!H1481=0,Noty!I1481=0),"ukryj","odkryj")</f>
        <v>ukryj</v>
      </c>
    </row>
    <row r="2639" spans="1:4" x14ac:dyDescent="0.3">
      <c r="A2639" t="s">
        <v>5067</v>
      </c>
      <c r="B2639" t="s">
        <v>5514</v>
      </c>
      <c r="C2639" s="22" t="s">
        <v>6994</v>
      </c>
      <c r="D2639" t="str">
        <f>IF(AND(Noty!F1482=0,Noty!G1482=0,Noty!H1482=0,Noty!I1482=0),"ukryj","odkryj")</f>
        <v>ukryj</v>
      </c>
    </row>
    <row r="2640" spans="1:4" x14ac:dyDescent="0.3">
      <c r="A2640" t="s">
        <v>5067</v>
      </c>
      <c r="B2640" t="s">
        <v>5514</v>
      </c>
      <c r="C2640" s="22" t="s">
        <v>6995</v>
      </c>
      <c r="D2640" t="str">
        <f>IF(AND(Noty!F1483=0,Noty!G1483=0,Noty!H1483=0,Noty!I1483=0),"ukryj","odkryj")</f>
        <v>ukryj</v>
      </c>
    </row>
    <row r="2641" spans="1:4" x14ac:dyDescent="0.3">
      <c r="A2641" t="s">
        <v>5067</v>
      </c>
      <c r="B2641" t="s">
        <v>5514</v>
      </c>
      <c r="C2641" s="22" t="s">
        <v>6996</v>
      </c>
      <c r="D2641" t="str">
        <f>IF(AND(Noty!F1484=0,Noty!G1484=0,Noty!H1484=0,Noty!I1484=0),"ukryj","odkryj")</f>
        <v>ukryj</v>
      </c>
    </row>
    <row r="2642" spans="1:4" x14ac:dyDescent="0.3">
      <c r="A2642" t="s">
        <v>5067</v>
      </c>
      <c r="B2642" t="s">
        <v>5514</v>
      </c>
      <c r="C2642" s="22" t="s">
        <v>6997</v>
      </c>
      <c r="D2642" t="s">
        <v>5125</v>
      </c>
    </row>
    <row r="2643" spans="1:4" x14ac:dyDescent="0.3">
      <c r="A2643" t="s">
        <v>5067</v>
      </c>
      <c r="B2643" t="s">
        <v>5514</v>
      </c>
      <c r="C2643" s="22" t="s">
        <v>6998</v>
      </c>
      <c r="D2643" t="str">
        <f>IF(Noty!K1486="n/a","ukryj","odkryj")</f>
        <v>odkryj</v>
      </c>
    </row>
    <row r="2644" spans="1:4" x14ac:dyDescent="0.3">
      <c r="A2644" t="s">
        <v>5067</v>
      </c>
      <c r="B2644" t="s">
        <v>5514</v>
      </c>
      <c r="C2644" s="22" t="s">
        <v>6999</v>
      </c>
      <c r="D2644" t="s">
        <v>5070</v>
      </c>
    </row>
    <row r="2645" spans="1:4" x14ac:dyDescent="0.3">
      <c r="A2645" t="s">
        <v>5067</v>
      </c>
      <c r="B2645" t="s">
        <v>5514</v>
      </c>
      <c r="C2645" s="22" t="s">
        <v>7000</v>
      </c>
      <c r="D2645" t="str">
        <f>IF(Noty!K1488="n/a","ukryj","odkryj")</f>
        <v>odkryj</v>
      </c>
    </row>
    <row r="2646" spans="1:4" x14ac:dyDescent="0.3">
      <c r="A2646" t="s">
        <v>5067</v>
      </c>
      <c r="B2646" t="s">
        <v>5514</v>
      </c>
      <c r="C2646" s="22" t="s">
        <v>7001</v>
      </c>
      <c r="D2646" t="str">
        <f>Noty!J1488</f>
        <v>odkryj</v>
      </c>
    </row>
    <row r="2647" spans="1:4" x14ac:dyDescent="0.3">
      <c r="A2647" t="s">
        <v>5067</v>
      </c>
      <c r="B2647" t="s">
        <v>5514</v>
      </c>
      <c r="C2647" s="22" t="s">
        <v>7002</v>
      </c>
      <c r="D2647" t="str">
        <f>IF(Noty!K1490="n/a","ukryj","odkryj")</f>
        <v>ukryj</v>
      </c>
    </row>
    <row r="2648" spans="1:4" x14ac:dyDescent="0.3">
      <c r="A2648" t="s">
        <v>5067</v>
      </c>
      <c r="B2648" t="s">
        <v>5514</v>
      </c>
      <c r="C2648" s="22" t="s">
        <v>7003</v>
      </c>
      <c r="D2648" t="str">
        <f>Noty!J1490</f>
        <v>ukryj</v>
      </c>
    </row>
    <row r="2649" spans="1:4" x14ac:dyDescent="0.3">
      <c r="A2649" t="s">
        <v>5067</v>
      </c>
      <c r="B2649" t="s">
        <v>5514</v>
      </c>
      <c r="C2649" s="22" t="s">
        <v>7004</v>
      </c>
      <c r="D2649" t="s">
        <v>5125</v>
      </c>
    </row>
    <row r="2650" spans="1:4" x14ac:dyDescent="0.3">
      <c r="A2650" t="s">
        <v>5067</v>
      </c>
      <c r="B2650" t="s">
        <v>5514</v>
      </c>
      <c r="C2650" s="22" t="s">
        <v>7005</v>
      </c>
      <c r="D2650" t="str">
        <f>IF(Noty!K1493="n/a","ukryj","odkryj")</f>
        <v>odkryj</v>
      </c>
    </row>
    <row r="2651" spans="1:4" x14ac:dyDescent="0.3">
      <c r="A2651" t="s">
        <v>5067</v>
      </c>
      <c r="B2651" t="s">
        <v>5514</v>
      </c>
      <c r="C2651" s="22" t="s">
        <v>7006</v>
      </c>
      <c r="D2651" t="str">
        <f>Noty!J1493</f>
        <v>odkryj</v>
      </c>
    </row>
    <row r="2652" spans="1:4" x14ac:dyDescent="0.3">
      <c r="A2652" t="s">
        <v>5067</v>
      </c>
      <c r="B2652" t="s">
        <v>5514</v>
      </c>
      <c r="C2652" s="22" t="s">
        <v>7007</v>
      </c>
      <c r="D2652" t="str">
        <f>IF(Noty!K1495="n/a","ukryj","odkryj")</f>
        <v>ukryj</v>
      </c>
    </row>
    <row r="2653" spans="1:4" x14ac:dyDescent="0.3">
      <c r="A2653" t="s">
        <v>5067</v>
      </c>
      <c r="B2653" t="s">
        <v>5514</v>
      </c>
      <c r="C2653" s="22" t="s">
        <v>7008</v>
      </c>
      <c r="D2653" t="str">
        <f>Noty!J1495</f>
        <v>ukryj</v>
      </c>
    </row>
    <row r="2654" spans="1:4" x14ac:dyDescent="0.3">
      <c r="A2654" t="s">
        <v>5067</v>
      </c>
      <c r="B2654" t="s">
        <v>5514</v>
      </c>
      <c r="C2654" s="22" t="s">
        <v>7009</v>
      </c>
      <c r="D2654" t="str">
        <f>Noty!J1496</f>
        <v>ukryj</v>
      </c>
    </row>
    <row r="2655" spans="1:4" x14ac:dyDescent="0.3">
      <c r="A2655" t="s">
        <v>5067</v>
      </c>
      <c r="B2655" t="s">
        <v>5514</v>
      </c>
      <c r="C2655" s="22" t="s">
        <v>7010</v>
      </c>
      <c r="D2655" t="str">
        <f>Noty!J1497</f>
        <v>ukryj</v>
      </c>
    </row>
    <row r="2656" spans="1:4" x14ac:dyDescent="0.3">
      <c r="A2656" t="s">
        <v>5067</v>
      </c>
      <c r="B2656" t="s">
        <v>5514</v>
      </c>
      <c r="C2656" s="22" t="s">
        <v>7011</v>
      </c>
      <c r="D2656" t="str">
        <f>Noty!J1498</f>
        <v>ukryj</v>
      </c>
    </row>
    <row r="2657" spans="1:4" x14ac:dyDescent="0.3">
      <c r="A2657" t="s">
        <v>5067</v>
      </c>
      <c r="B2657" t="s">
        <v>5514</v>
      </c>
      <c r="C2657" s="22" t="s">
        <v>7012</v>
      </c>
      <c r="D2657" t="str">
        <f>IF(Noty!C1500="","ukryj","odkryj")</f>
        <v>ukryj</v>
      </c>
    </row>
    <row r="2658" spans="1:4" x14ac:dyDescent="0.3">
      <c r="A2658" t="s">
        <v>5067</v>
      </c>
      <c r="B2658" t="s">
        <v>5514</v>
      </c>
      <c r="C2658" s="22" t="s">
        <v>7013</v>
      </c>
      <c r="D2658" t="str">
        <f>IF(Noty!C1501="","ukryj","odkryj")</f>
        <v>ukryj</v>
      </c>
    </row>
    <row r="2659" spans="1:4" x14ac:dyDescent="0.3">
      <c r="A2659" t="s">
        <v>5067</v>
      </c>
      <c r="B2659" t="s">
        <v>5514</v>
      </c>
      <c r="C2659" s="22" t="s">
        <v>7014</v>
      </c>
      <c r="D2659" t="str">
        <f>IF(Noty!C1502="","ukryj","odkryj")</f>
        <v>ukryj</v>
      </c>
    </row>
    <row r="2660" spans="1:4" x14ac:dyDescent="0.3">
      <c r="A2660" t="s">
        <v>5067</v>
      </c>
      <c r="B2660" t="s">
        <v>5514</v>
      </c>
      <c r="C2660" s="22" t="s">
        <v>7015</v>
      </c>
      <c r="D2660" t="str">
        <f>IF(Noty!C1503="","ukryj","odkryj")</f>
        <v>ukryj</v>
      </c>
    </row>
    <row r="2661" spans="1:4" x14ac:dyDescent="0.3">
      <c r="A2661" t="s">
        <v>5067</v>
      </c>
      <c r="B2661" t="s">
        <v>5514</v>
      </c>
      <c r="C2661" s="22" t="s">
        <v>7016</v>
      </c>
      <c r="D2661" t="str">
        <f>IF(Noty!C1504="","ukryj","odkryj")</f>
        <v>ukryj</v>
      </c>
    </row>
    <row r="2662" spans="1:4" x14ac:dyDescent="0.3">
      <c r="A2662" t="s">
        <v>5067</v>
      </c>
      <c r="B2662" t="s">
        <v>5514</v>
      </c>
      <c r="C2662" s="22" t="s">
        <v>7017</v>
      </c>
      <c r="D2662" t="str">
        <f>IF(Noty!C1505="","ukryj","odkryj")</f>
        <v>ukryj</v>
      </c>
    </row>
    <row r="2663" spans="1:4" x14ac:dyDescent="0.3">
      <c r="A2663" t="s">
        <v>5067</v>
      </c>
      <c r="B2663" t="s">
        <v>5514</v>
      </c>
      <c r="C2663" s="22" t="s">
        <v>7018</v>
      </c>
      <c r="D2663" t="str">
        <f>IF(AND(I1468=0,H1468=0,F1468=0,E1468=0),"ukryj","odkryj")</f>
        <v>ukryj</v>
      </c>
    </row>
    <row r="2664" spans="1:4" x14ac:dyDescent="0.3">
      <c r="A2664" t="s">
        <v>5067</v>
      </c>
      <c r="B2664" t="s">
        <v>5514</v>
      </c>
      <c r="C2664" s="22" t="s">
        <v>7019</v>
      </c>
      <c r="D2664" t="str">
        <f>Noty!J1506</f>
        <v>ukryj</v>
      </c>
    </row>
    <row r="2665" spans="1:4" x14ac:dyDescent="0.3">
      <c r="A2665" t="s">
        <v>5067</v>
      </c>
      <c r="B2665" t="s">
        <v>5514</v>
      </c>
      <c r="C2665" s="22" t="s">
        <v>7020</v>
      </c>
      <c r="D2665" t="str">
        <f>IF(Noty!K1508="n/a","ukryj","odkryj")</f>
        <v>odkryj</v>
      </c>
    </row>
    <row r="2666" spans="1:4" x14ac:dyDescent="0.3">
      <c r="A2666" t="s">
        <v>5067</v>
      </c>
      <c r="B2666" t="s">
        <v>5514</v>
      </c>
      <c r="C2666" s="22" t="s">
        <v>7021</v>
      </c>
      <c r="D2666" t="str">
        <f>Noty!J1508</f>
        <v>odkryj</v>
      </c>
    </row>
    <row r="2667" spans="1:4" x14ac:dyDescent="0.3">
      <c r="A2667" t="s">
        <v>5067</v>
      </c>
      <c r="B2667" t="s">
        <v>5514</v>
      </c>
      <c r="C2667" s="22" t="s">
        <v>7022</v>
      </c>
      <c r="D2667" t="str">
        <f>IF(Noty!K1510="n/a","ukryj","odkryj")</f>
        <v>ukryj</v>
      </c>
    </row>
    <row r="2668" spans="1:4" x14ac:dyDescent="0.3">
      <c r="A2668" t="s">
        <v>5067</v>
      </c>
      <c r="B2668" t="s">
        <v>5514</v>
      </c>
      <c r="C2668" s="22" t="s">
        <v>7023</v>
      </c>
      <c r="D2668" t="str">
        <f>IF(Noty!C1511="","ukryj","odkryj")</f>
        <v>ukryj</v>
      </c>
    </row>
    <row r="2669" spans="1:4" x14ac:dyDescent="0.3">
      <c r="A2669" t="s">
        <v>5067</v>
      </c>
      <c r="B2669" t="s">
        <v>5514</v>
      </c>
      <c r="C2669" s="22" t="s">
        <v>7024</v>
      </c>
      <c r="D2669" t="str">
        <f>IF(Noty!C1512="","ukryj","odkryj")</f>
        <v>ukryj</v>
      </c>
    </row>
    <row r="2670" spans="1:4" x14ac:dyDescent="0.3">
      <c r="A2670" t="s">
        <v>5067</v>
      </c>
      <c r="B2670" t="s">
        <v>5514</v>
      </c>
      <c r="C2670" s="22" t="s">
        <v>7025</v>
      </c>
      <c r="D2670" t="str">
        <f>IF(Noty!C1513="","ukryj","odkryj")</f>
        <v>ukryj</v>
      </c>
    </row>
    <row r="2671" spans="1:4" x14ac:dyDescent="0.3">
      <c r="A2671" t="s">
        <v>5067</v>
      </c>
      <c r="B2671" t="s">
        <v>5514</v>
      </c>
      <c r="C2671" s="22" t="s">
        <v>7026</v>
      </c>
      <c r="D2671" t="str">
        <f>Noty!J1510</f>
        <v>ukryj</v>
      </c>
    </row>
    <row r="2672" spans="1:4" x14ac:dyDescent="0.3">
      <c r="A2672" t="s">
        <v>5067</v>
      </c>
      <c r="B2672" t="s">
        <v>5514</v>
      </c>
      <c r="C2672" s="22" t="s">
        <v>7027</v>
      </c>
      <c r="D2672" t="s">
        <v>5125</v>
      </c>
    </row>
    <row r="2673" spans="1:4" x14ac:dyDescent="0.3">
      <c r="A2673" t="s">
        <v>5067</v>
      </c>
      <c r="B2673" t="s">
        <v>5514</v>
      </c>
      <c r="C2673" s="22" t="s">
        <v>7028</v>
      </c>
      <c r="D2673" t="str">
        <f>IF(Noty!K1516="n/a","ukryj","odkryj")</f>
        <v>odkryj</v>
      </c>
    </row>
    <row r="2674" spans="1:4" x14ac:dyDescent="0.3">
      <c r="A2674" t="s">
        <v>5067</v>
      </c>
      <c r="B2674" t="s">
        <v>5514</v>
      </c>
      <c r="C2674" s="22" t="s">
        <v>7029</v>
      </c>
      <c r="D2674" t="str">
        <f>Noty!J1516</f>
        <v>odkryj</v>
      </c>
    </row>
    <row r="2675" spans="1:4" x14ac:dyDescent="0.3">
      <c r="A2675" t="s">
        <v>5067</v>
      </c>
      <c r="B2675" t="s">
        <v>5514</v>
      </c>
      <c r="C2675" s="22" t="s">
        <v>7030</v>
      </c>
      <c r="D2675" t="str">
        <f>IF(Noty!K1518="n/a","ukryj","odkryj")</f>
        <v>odkryj</v>
      </c>
    </row>
    <row r="2676" spans="1:4" x14ac:dyDescent="0.3">
      <c r="A2676" t="s">
        <v>5067</v>
      </c>
      <c r="B2676" t="s">
        <v>5514</v>
      </c>
      <c r="C2676" s="22" t="s">
        <v>7031</v>
      </c>
      <c r="D2676" t="str">
        <f>Noty!J1518</f>
        <v>odkryj</v>
      </c>
    </row>
    <row r="2677" spans="1:4" x14ac:dyDescent="0.3">
      <c r="A2677" t="s">
        <v>5067</v>
      </c>
      <c r="B2677" t="s">
        <v>5514</v>
      </c>
      <c r="C2677" s="22" t="s">
        <v>7032</v>
      </c>
      <c r="D2677" t="str">
        <f>IF(Noty!K1520="n/a","ukryj","odkryj")</f>
        <v>ukryj</v>
      </c>
    </row>
    <row r="2678" spans="1:4" x14ac:dyDescent="0.3">
      <c r="A2678" t="s">
        <v>5067</v>
      </c>
      <c r="B2678" t="s">
        <v>5514</v>
      </c>
      <c r="C2678" s="22" t="s">
        <v>7033</v>
      </c>
      <c r="D2678" t="str">
        <f>Noty!J1520</f>
        <v>ukryj</v>
      </c>
    </row>
    <row r="2679" spans="1:4" x14ac:dyDescent="0.3">
      <c r="A2679" t="s">
        <v>5067</v>
      </c>
      <c r="B2679" t="s">
        <v>5514</v>
      </c>
      <c r="C2679" s="22" t="s">
        <v>7034</v>
      </c>
      <c r="D2679" t="str">
        <f>Noty!J1521</f>
        <v>ukryj</v>
      </c>
    </row>
    <row r="2680" spans="1:4" x14ac:dyDescent="0.3">
      <c r="A2680" t="s">
        <v>5067</v>
      </c>
      <c r="B2680" t="s">
        <v>5514</v>
      </c>
      <c r="C2680" s="22" t="s">
        <v>7035</v>
      </c>
      <c r="D2680" t="str">
        <f>Noty!J1522</f>
        <v>ukryj</v>
      </c>
    </row>
    <row r="2681" spans="1:4" x14ac:dyDescent="0.3">
      <c r="A2681" t="s">
        <v>5067</v>
      </c>
      <c r="B2681" t="s">
        <v>5514</v>
      </c>
      <c r="C2681" s="22" t="s">
        <v>7036</v>
      </c>
      <c r="D2681" t="str">
        <f>Noty!J1523</f>
        <v>ukryj</v>
      </c>
    </row>
    <row r="2682" spans="1:4" x14ac:dyDescent="0.3">
      <c r="A2682" t="s">
        <v>5067</v>
      </c>
      <c r="B2682" t="s">
        <v>5514</v>
      </c>
      <c r="C2682" s="22" t="s">
        <v>7037</v>
      </c>
      <c r="D2682" t="str">
        <f>Noty!J1524</f>
        <v>ukryj</v>
      </c>
    </row>
    <row r="2683" spans="1:4" x14ac:dyDescent="0.3">
      <c r="A2683" t="s">
        <v>5067</v>
      </c>
      <c r="B2683" t="s">
        <v>5514</v>
      </c>
      <c r="C2683" s="22" t="s">
        <v>7038</v>
      </c>
      <c r="D2683" t="str">
        <f>Noty!J1525</f>
        <v>ukryj</v>
      </c>
    </row>
    <row r="2684" spans="1:4" x14ac:dyDescent="0.3">
      <c r="A2684" t="s">
        <v>5067</v>
      </c>
      <c r="B2684" t="s">
        <v>5514</v>
      </c>
      <c r="C2684" s="22" t="s">
        <v>7039</v>
      </c>
      <c r="D2684" t="str">
        <f>Noty!J1526</f>
        <v>ukryj</v>
      </c>
    </row>
    <row r="2685" spans="1:4" x14ac:dyDescent="0.3">
      <c r="A2685" t="s">
        <v>5067</v>
      </c>
      <c r="B2685" t="s">
        <v>5514</v>
      </c>
      <c r="C2685" s="22" t="s">
        <v>7040</v>
      </c>
      <c r="D2685" t="str">
        <f>Noty!J1527</f>
        <v>ukryj</v>
      </c>
    </row>
    <row r="2686" spans="1:4" x14ac:dyDescent="0.3">
      <c r="A2686" t="s">
        <v>5067</v>
      </c>
      <c r="B2686" t="s">
        <v>5514</v>
      </c>
      <c r="C2686" s="22" t="s">
        <v>7041</v>
      </c>
      <c r="D2686" t="str">
        <f>Noty!J1528</f>
        <v>ukryj</v>
      </c>
    </row>
    <row r="2687" spans="1:4" x14ac:dyDescent="0.3">
      <c r="A2687" t="s">
        <v>5067</v>
      </c>
      <c r="B2687" t="s">
        <v>5514</v>
      </c>
      <c r="C2687" s="22" t="s">
        <v>7042</v>
      </c>
      <c r="D2687" t="str">
        <f>Noty!J1529</f>
        <v>ukryj</v>
      </c>
    </row>
    <row r="2688" spans="1:4" x14ac:dyDescent="0.3">
      <c r="A2688" t="s">
        <v>5067</v>
      </c>
      <c r="B2688" t="s">
        <v>5514</v>
      </c>
      <c r="C2688" s="22" t="s">
        <v>7043</v>
      </c>
      <c r="D2688" t="str">
        <f>Noty!J1530</f>
        <v>ukryj</v>
      </c>
    </row>
    <row r="2689" spans="1:4" x14ac:dyDescent="0.3">
      <c r="A2689" t="s">
        <v>5067</v>
      </c>
      <c r="B2689" t="s">
        <v>5514</v>
      </c>
      <c r="C2689" s="22" t="s">
        <v>7044</v>
      </c>
      <c r="D2689" t="str">
        <f>Noty!J1531</f>
        <v>ukryj</v>
      </c>
    </row>
    <row r="2690" spans="1:4" x14ac:dyDescent="0.3">
      <c r="A2690" t="s">
        <v>5067</v>
      </c>
      <c r="B2690" t="s">
        <v>5514</v>
      </c>
      <c r="C2690" s="22" t="s">
        <v>7045</v>
      </c>
      <c r="D2690" t="str">
        <f>Noty!J1532</f>
        <v>ukryj</v>
      </c>
    </row>
    <row r="2691" spans="1:4" x14ac:dyDescent="0.3">
      <c r="A2691" t="s">
        <v>5067</v>
      </c>
      <c r="B2691" t="s">
        <v>5514</v>
      </c>
      <c r="C2691" s="22" t="s">
        <v>7046</v>
      </c>
      <c r="D2691" t="str">
        <f>Noty!J1533</f>
        <v>ukryj</v>
      </c>
    </row>
    <row r="2692" spans="1:4" x14ac:dyDescent="0.3">
      <c r="A2692" t="s">
        <v>5067</v>
      </c>
      <c r="B2692" t="s">
        <v>5514</v>
      </c>
      <c r="C2692" s="22" t="s">
        <v>7047</v>
      </c>
      <c r="D2692" t="str">
        <f>Noty!J1534</f>
        <v>ukryj</v>
      </c>
    </row>
    <row r="2693" spans="1:4" x14ac:dyDescent="0.3">
      <c r="A2693" t="s">
        <v>5067</v>
      </c>
      <c r="B2693" t="s">
        <v>5514</v>
      </c>
      <c r="C2693" s="22" t="s">
        <v>7048</v>
      </c>
      <c r="D2693" t="str">
        <f>Noty!J1535</f>
        <v>ukryj</v>
      </c>
    </row>
    <row r="2694" spans="1:4" x14ac:dyDescent="0.3">
      <c r="A2694" t="s">
        <v>5067</v>
      </c>
      <c r="B2694" t="s">
        <v>5514</v>
      </c>
      <c r="C2694" s="22" t="s">
        <v>7049</v>
      </c>
      <c r="D2694" t="str">
        <f>Noty!J1536</f>
        <v>ukryj</v>
      </c>
    </row>
    <row r="2695" spans="1:4" x14ac:dyDescent="0.3">
      <c r="A2695" t="s">
        <v>5067</v>
      </c>
      <c r="B2695" t="s">
        <v>5514</v>
      </c>
      <c r="C2695" s="22" t="s">
        <v>7050</v>
      </c>
      <c r="D2695" t="str">
        <f>Noty!J1537</f>
        <v>ukryj</v>
      </c>
    </row>
    <row r="2696" spans="1:4" x14ac:dyDescent="0.3">
      <c r="A2696" t="s">
        <v>5067</v>
      </c>
      <c r="B2696" t="s">
        <v>5514</v>
      </c>
      <c r="C2696" s="22" t="s">
        <v>7051</v>
      </c>
      <c r="D2696" t="str">
        <f>Noty!J1538</f>
        <v>ukryj</v>
      </c>
    </row>
    <row r="2697" spans="1:4" x14ac:dyDescent="0.3">
      <c r="A2697" t="s">
        <v>5067</v>
      </c>
      <c r="B2697" t="s">
        <v>5514</v>
      </c>
      <c r="C2697" s="22" t="s">
        <v>7052</v>
      </c>
      <c r="D2697" t="str">
        <f>Noty!J1539</f>
        <v>ukryj</v>
      </c>
    </row>
    <row r="2698" spans="1:4" x14ac:dyDescent="0.3">
      <c r="A2698" t="s">
        <v>5067</v>
      </c>
      <c r="B2698" t="s">
        <v>5514</v>
      </c>
      <c r="C2698" s="22" t="s">
        <v>7053</v>
      </c>
      <c r="D2698" t="str">
        <f>Noty!J1538</f>
        <v>ukryj</v>
      </c>
    </row>
    <row r="2699" spans="1:4" x14ac:dyDescent="0.3">
      <c r="A2699" t="s">
        <v>5067</v>
      </c>
      <c r="B2699" t="s">
        <v>5514</v>
      </c>
      <c r="C2699" s="22" t="s">
        <v>7054</v>
      </c>
      <c r="D2699" t="str">
        <f>IF(AND(Noty!J1543="ukryj",Noty!J1544="ukryj",Noty!J1545="ukryj",Noty!J1546="ukryj",Noty!J1547="ukryj",Noty!J1548="ukryj"),"ukryj","odkryj")</f>
        <v>ukryj</v>
      </c>
    </row>
    <row r="2700" spans="1:4" x14ac:dyDescent="0.3">
      <c r="A2700" t="s">
        <v>5067</v>
      </c>
      <c r="B2700" t="s">
        <v>5514</v>
      </c>
      <c r="C2700" s="22" t="s">
        <v>7055</v>
      </c>
      <c r="D2700" t="str">
        <f>IF(Noty!C1543="","ukryj","odkryj")</f>
        <v>ukryj</v>
      </c>
    </row>
    <row r="2701" spans="1:4" x14ac:dyDescent="0.3">
      <c r="A2701" t="s">
        <v>5067</v>
      </c>
      <c r="B2701" t="s">
        <v>5514</v>
      </c>
      <c r="C2701" s="22" t="s">
        <v>7056</v>
      </c>
      <c r="D2701" t="str">
        <f>IF(Noty!C1544="","ukryj","odkryj")</f>
        <v>ukryj</v>
      </c>
    </row>
    <row r="2702" spans="1:4" x14ac:dyDescent="0.3">
      <c r="A2702" t="s">
        <v>5067</v>
      </c>
      <c r="B2702" t="s">
        <v>5514</v>
      </c>
      <c r="C2702" s="22" t="s">
        <v>7057</v>
      </c>
      <c r="D2702" t="str">
        <f>IF(Noty!C1545="","ukryj","odkryj")</f>
        <v>ukryj</v>
      </c>
    </row>
    <row r="2703" spans="1:4" x14ac:dyDescent="0.3">
      <c r="A2703" t="s">
        <v>5067</v>
      </c>
      <c r="B2703" t="s">
        <v>5514</v>
      </c>
      <c r="C2703" s="22" t="s">
        <v>7058</v>
      </c>
      <c r="D2703" t="str">
        <f>IF(Noty!C1546="","ukryj","odkryj")</f>
        <v>ukryj</v>
      </c>
    </row>
    <row r="2704" spans="1:4" x14ac:dyDescent="0.3">
      <c r="A2704" t="s">
        <v>5067</v>
      </c>
      <c r="B2704" t="s">
        <v>5514</v>
      </c>
      <c r="C2704" s="22" t="s">
        <v>7059</v>
      </c>
      <c r="D2704" t="str">
        <f>IF(Noty!C1547="","ukryj","odkryj")</f>
        <v>ukryj</v>
      </c>
    </row>
    <row r="2705" spans="1:4" x14ac:dyDescent="0.3">
      <c r="A2705" t="s">
        <v>5067</v>
      </c>
      <c r="B2705" t="s">
        <v>5514</v>
      </c>
      <c r="C2705" s="22" t="s">
        <v>7060</v>
      </c>
      <c r="D2705" t="str">
        <f>IF(Noty!C1548="","ukryj","odkryj")</f>
        <v>ukryj</v>
      </c>
    </row>
    <row r="2706" spans="1:4" x14ac:dyDescent="0.3">
      <c r="A2706" t="s">
        <v>5067</v>
      </c>
      <c r="B2706" t="s">
        <v>5514</v>
      </c>
      <c r="C2706" s="22" t="s">
        <v>7061</v>
      </c>
      <c r="D2706" t="str">
        <f>Noty!J1542</f>
        <v>ukryj</v>
      </c>
    </row>
    <row r="2707" spans="1:4" x14ac:dyDescent="0.3">
      <c r="A2707" t="s">
        <v>5067</v>
      </c>
      <c r="B2707" t="s">
        <v>5514</v>
      </c>
      <c r="C2707" s="22" t="s">
        <v>7062</v>
      </c>
      <c r="D2707" t="str">
        <f>Noty!J1551</f>
        <v>ukryj</v>
      </c>
    </row>
    <row r="2708" spans="1:4" x14ac:dyDescent="0.3">
      <c r="A2708" t="s">
        <v>5067</v>
      </c>
      <c r="B2708" t="s">
        <v>5514</v>
      </c>
      <c r="C2708" s="22" t="s">
        <v>7063</v>
      </c>
      <c r="D2708" t="str">
        <f>IF(AND(Noty!J1552="ukryj",Noty!J1553="ukryj",Noty!J1554="ukryj",Noty!J1555="ukryj",Noty!J1556="ukryj",Noty!J1557="ukryj"),"ukryj","odkryj")</f>
        <v>ukryj</v>
      </c>
    </row>
    <row r="2709" spans="1:4" x14ac:dyDescent="0.3">
      <c r="A2709" t="s">
        <v>5067</v>
      </c>
      <c r="B2709" t="s">
        <v>5514</v>
      </c>
      <c r="C2709" s="22" t="s">
        <v>7064</v>
      </c>
      <c r="D2709" t="str">
        <f>IF(Noty!C1552="","ukryj","odkryj")</f>
        <v>ukryj</v>
      </c>
    </row>
    <row r="2710" spans="1:4" x14ac:dyDescent="0.3">
      <c r="A2710" t="s">
        <v>5067</v>
      </c>
      <c r="B2710" t="s">
        <v>5514</v>
      </c>
      <c r="C2710" s="22" t="s">
        <v>7065</v>
      </c>
      <c r="D2710" t="str">
        <f>IF(Noty!C1553="","ukryj","odkryj")</f>
        <v>ukryj</v>
      </c>
    </row>
    <row r="2711" spans="1:4" x14ac:dyDescent="0.3">
      <c r="A2711" t="s">
        <v>5067</v>
      </c>
      <c r="B2711" t="s">
        <v>5514</v>
      </c>
      <c r="C2711" s="22" t="s">
        <v>7066</v>
      </c>
      <c r="D2711" t="str">
        <f>IF(Noty!C1554="","ukryj","odkryj")</f>
        <v>ukryj</v>
      </c>
    </row>
    <row r="2712" spans="1:4" x14ac:dyDescent="0.3">
      <c r="A2712" t="s">
        <v>5067</v>
      </c>
      <c r="B2712" t="s">
        <v>5514</v>
      </c>
      <c r="C2712" s="22" t="s">
        <v>7067</v>
      </c>
      <c r="D2712" t="str">
        <f>IF(Noty!C1555="","ukryj","odkryj")</f>
        <v>ukryj</v>
      </c>
    </row>
    <row r="2713" spans="1:4" x14ac:dyDescent="0.3">
      <c r="A2713" t="s">
        <v>5067</v>
      </c>
      <c r="B2713" t="s">
        <v>5514</v>
      </c>
      <c r="C2713" s="22" t="s">
        <v>7068</v>
      </c>
      <c r="D2713" t="str">
        <f>IF(Noty!C1556="","ukryj","odkryj")</f>
        <v>ukryj</v>
      </c>
    </row>
    <row r="2714" spans="1:4" x14ac:dyDescent="0.3">
      <c r="A2714" t="s">
        <v>5067</v>
      </c>
      <c r="B2714" t="s">
        <v>5514</v>
      </c>
      <c r="C2714" s="22" t="s">
        <v>7069</v>
      </c>
      <c r="D2714" t="str">
        <f>IF(Noty!C1557="","ukryj","odkryj")</f>
        <v>ukryj</v>
      </c>
    </row>
    <row r="2715" spans="1:4" x14ac:dyDescent="0.3">
      <c r="A2715" t="s">
        <v>5067</v>
      </c>
      <c r="B2715" t="s">
        <v>5514</v>
      </c>
      <c r="C2715" s="22" t="s">
        <v>7070</v>
      </c>
      <c r="D2715" t="str">
        <f>Noty!J1551</f>
        <v>ukryj</v>
      </c>
    </row>
    <row r="2716" spans="1:4" x14ac:dyDescent="0.3">
      <c r="A2716" t="s">
        <v>5067</v>
      </c>
      <c r="B2716" t="s">
        <v>5514</v>
      </c>
      <c r="C2716" s="22" t="s">
        <v>7071</v>
      </c>
      <c r="D2716" t="str">
        <f>Noty!J1560</f>
        <v>ukryj</v>
      </c>
    </row>
    <row r="2717" spans="1:4" x14ac:dyDescent="0.3">
      <c r="A2717" t="s">
        <v>5067</v>
      </c>
      <c r="B2717" t="s">
        <v>5514</v>
      </c>
      <c r="C2717" s="22" t="s">
        <v>7072</v>
      </c>
      <c r="D2717" t="str">
        <f>IF(AND(Noty!J1561="ukryj",Noty!J1562="ukryj",Noty!J1563="ukryj",Noty!J1564="ukryj",Noty!J1565="ukryj",Noty!J1566="ukryj"),"ukryj","odkryj")</f>
        <v>ukryj</v>
      </c>
    </row>
    <row r="2718" spans="1:4" x14ac:dyDescent="0.3">
      <c r="A2718" t="s">
        <v>5067</v>
      </c>
      <c r="B2718" t="s">
        <v>5514</v>
      </c>
      <c r="C2718" s="22" t="s">
        <v>7073</v>
      </c>
      <c r="D2718" t="str">
        <f>IF(Noty!C1561="","ukryj","odkryj")</f>
        <v>ukryj</v>
      </c>
    </row>
    <row r="2719" spans="1:4" x14ac:dyDescent="0.3">
      <c r="A2719" t="s">
        <v>5067</v>
      </c>
      <c r="B2719" t="s">
        <v>5514</v>
      </c>
      <c r="C2719" s="22" t="s">
        <v>7074</v>
      </c>
      <c r="D2719" t="str">
        <f>IF(Noty!C1562="","ukryj","odkryj")</f>
        <v>ukryj</v>
      </c>
    </row>
    <row r="2720" spans="1:4" x14ac:dyDescent="0.3">
      <c r="A2720" t="s">
        <v>5067</v>
      </c>
      <c r="B2720" t="s">
        <v>5514</v>
      </c>
      <c r="C2720" s="22" t="s">
        <v>7075</v>
      </c>
      <c r="D2720" t="str">
        <f>IF(Noty!C1563="","ukryj","odkryj")</f>
        <v>ukryj</v>
      </c>
    </row>
    <row r="2721" spans="1:4" x14ac:dyDescent="0.3">
      <c r="A2721" t="s">
        <v>5067</v>
      </c>
      <c r="B2721" t="s">
        <v>5514</v>
      </c>
      <c r="C2721" s="22" t="s">
        <v>7076</v>
      </c>
      <c r="D2721" t="str">
        <f>IF(Noty!C1564="","ukryj","odkryj")</f>
        <v>ukryj</v>
      </c>
    </row>
    <row r="2722" spans="1:4" x14ac:dyDescent="0.3">
      <c r="A2722" t="s">
        <v>5067</v>
      </c>
      <c r="B2722" t="s">
        <v>5514</v>
      </c>
      <c r="C2722" s="22" t="s">
        <v>7077</v>
      </c>
      <c r="D2722" t="str">
        <f>IF(Noty!C1565="","ukryj","odkryj")</f>
        <v>ukryj</v>
      </c>
    </row>
    <row r="2723" spans="1:4" x14ac:dyDescent="0.3">
      <c r="A2723" t="s">
        <v>5067</v>
      </c>
      <c r="B2723" t="s">
        <v>5514</v>
      </c>
      <c r="C2723" s="22" t="s">
        <v>7078</v>
      </c>
      <c r="D2723" t="str">
        <f>IF(Noty!C1566="","ukryj","odkryj")</f>
        <v>ukryj</v>
      </c>
    </row>
    <row r="2724" spans="1:4" x14ac:dyDescent="0.3">
      <c r="A2724" t="s">
        <v>5067</v>
      </c>
      <c r="B2724" t="s">
        <v>5514</v>
      </c>
      <c r="C2724" s="22" t="s">
        <v>7079</v>
      </c>
      <c r="D2724" t="str">
        <f>Noty!J1560</f>
        <v>ukryj</v>
      </c>
    </row>
    <row r="2725" spans="1:4" x14ac:dyDescent="0.3">
      <c r="A2725" t="s">
        <v>5067</v>
      </c>
      <c r="B2725" t="s">
        <v>5514</v>
      </c>
      <c r="C2725" s="22" t="s">
        <v>7080</v>
      </c>
      <c r="D2725" t="str">
        <f>Noty!J1569</f>
        <v>ukryj</v>
      </c>
    </row>
    <row r="2726" spans="1:4" x14ac:dyDescent="0.3">
      <c r="A2726" t="s">
        <v>5067</v>
      </c>
      <c r="B2726" t="s">
        <v>5514</v>
      </c>
      <c r="C2726" s="22" t="s">
        <v>7081</v>
      </c>
      <c r="D2726" t="str">
        <f>IF(AND(Noty!J1570="ukryj",Noty!J1571="ukryj",Noty!J1572="ukryj",Noty!J1573="ukryj",Noty!J1574="ukryj",Noty!J1575="ukryj"),"ukryj","odkryj")</f>
        <v>ukryj</v>
      </c>
    </row>
    <row r="2727" spans="1:4" x14ac:dyDescent="0.3">
      <c r="A2727" t="s">
        <v>5067</v>
      </c>
      <c r="B2727" t="s">
        <v>5514</v>
      </c>
      <c r="C2727" s="22" t="s">
        <v>7082</v>
      </c>
      <c r="D2727" t="str">
        <f>IF(Noty!C1570="","ukryj","odkryj")</f>
        <v>ukryj</v>
      </c>
    </row>
    <row r="2728" spans="1:4" x14ac:dyDescent="0.3">
      <c r="A2728" t="s">
        <v>5067</v>
      </c>
      <c r="B2728" t="s">
        <v>5514</v>
      </c>
      <c r="C2728" s="22" t="s">
        <v>7083</v>
      </c>
      <c r="D2728" t="str">
        <f>IF(Noty!C1571="","ukryj","odkryj")</f>
        <v>ukryj</v>
      </c>
    </row>
    <row r="2729" spans="1:4" x14ac:dyDescent="0.3">
      <c r="A2729" t="s">
        <v>5067</v>
      </c>
      <c r="B2729" t="s">
        <v>5514</v>
      </c>
      <c r="C2729" s="22" t="s">
        <v>7084</v>
      </c>
      <c r="D2729" t="str">
        <f>IF(Noty!C1572="","ukryj","odkryj")</f>
        <v>ukryj</v>
      </c>
    </row>
    <row r="2730" spans="1:4" x14ac:dyDescent="0.3">
      <c r="A2730" t="s">
        <v>5067</v>
      </c>
      <c r="B2730" t="s">
        <v>5514</v>
      </c>
      <c r="C2730" s="22" t="s">
        <v>7085</v>
      </c>
      <c r="D2730" t="str">
        <f>IF(Noty!C1573="","ukryj","odkryj")</f>
        <v>ukryj</v>
      </c>
    </row>
    <row r="2731" spans="1:4" x14ac:dyDescent="0.3">
      <c r="A2731" t="s">
        <v>5067</v>
      </c>
      <c r="B2731" t="s">
        <v>5514</v>
      </c>
      <c r="C2731" s="22" t="s">
        <v>7086</v>
      </c>
      <c r="D2731" t="str">
        <f>IF(Noty!C1574="","ukryj","odkryj")</f>
        <v>ukryj</v>
      </c>
    </row>
    <row r="2732" spans="1:4" x14ac:dyDescent="0.3">
      <c r="A2732" t="s">
        <v>5067</v>
      </c>
      <c r="B2732" t="s">
        <v>5514</v>
      </c>
      <c r="C2732" s="22" t="s">
        <v>7087</v>
      </c>
      <c r="D2732" t="str">
        <f>IF(Noty!C1575="","ukryj","odkryj")</f>
        <v>ukryj</v>
      </c>
    </row>
    <row r="2733" spans="1:4" x14ac:dyDescent="0.3">
      <c r="A2733" t="s">
        <v>5067</v>
      </c>
      <c r="B2733" t="s">
        <v>5514</v>
      </c>
      <c r="C2733" s="22" t="s">
        <v>7088</v>
      </c>
      <c r="D2733" t="str">
        <f>Noty!J1569</f>
        <v>ukryj</v>
      </c>
    </row>
    <row r="2734" spans="1:4" x14ac:dyDescent="0.3">
      <c r="A2734" t="s">
        <v>5067</v>
      </c>
      <c r="B2734" t="s">
        <v>5514</v>
      </c>
      <c r="C2734" s="22" t="s">
        <v>7089</v>
      </c>
      <c r="D2734" t="str">
        <f>Noty!J1578</f>
        <v>ukryj</v>
      </c>
    </row>
    <row r="2735" spans="1:4" x14ac:dyDescent="0.3">
      <c r="A2735" t="s">
        <v>5067</v>
      </c>
      <c r="B2735" t="s">
        <v>5514</v>
      </c>
      <c r="C2735" s="22" t="s">
        <v>7090</v>
      </c>
      <c r="D2735" t="str">
        <f>IF(AND(Noty!J1579="ukryj",Noty!J1580="ukryj",Noty!J1581="ukryj",Noty!J1582="ukryj",Noty!J1583="ukryj",Noty!J1584="ukryj"),"ukryj","odkryj")</f>
        <v>ukryj</v>
      </c>
    </row>
    <row r="2736" spans="1:4" x14ac:dyDescent="0.3">
      <c r="A2736" t="s">
        <v>5067</v>
      </c>
      <c r="B2736" t="s">
        <v>5514</v>
      </c>
      <c r="C2736" s="22" t="s">
        <v>7091</v>
      </c>
      <c r="D2736" t="str">
        <f>IF(Noty!C1579="","ukryj","odkryj")</f>
        <v>ukryj</v>
      </c>
    </row>
    <row r="2737" spans="1:4" x14ac:dyDescent="0.3">
      <c r="A2737" t="s">
        <v>5067</v>
      </c>
      <c r="B2737" t="s">
        <v>5514</v>
      </c>
      <c r="C2737" s="22" t="s">
        <v>7092</v>
      </c>
      <c r="D2737" t="str">
        <f>IF(Noty!C1580="","ukryj","odkryj")</f>
        <v>ukryj</v>
      </c>
    </row>
    <row r="2738" spans="1:4" x14ac:dyDescent="0.3">
      <c r="A2738" t="s">
        <v>5067</v>
      </c>
      <c r="B2738" t="s">
        <v>5514</v>
      </c>
      <c r="C2738" s="22" t="s">
        <v>7093</v>
      </c>
      <c r="D2738" t="str">
        <f>IF(Noty!C1581="","ukryj","odkryj")</f>
        <v>ukryj</v>
      </c>
    </row>
    <row r="2739" spans="1:4" x14ac:dyDescent="0.3">
      <c r="A2739" t="s">
        <v>5067</v>
      </c>
      <c r="B2739" t="s">
        <v>5514</v>
      </c>
      <c r="C2739" s="22" t="s">
        <v>7094</v>
      </c>
      <c r="D2739" t="str">
        <f>IF(Noty!C1582="","ukryj","odkryj")</f>
        <v>ukryj</v>
      </c>
    </row>
    <row r="2740" spans="1:4" x14ac:dyDescent="0.3">
      <c r="A2740" t="s">
        <v>5067</v>
      </c>
      <c r="B2740" t="s">
        <v>5514</v>
      </c>
      <c r="C2740" s="22" t="s">
        <v>7095</v>
      </c>
      <c r="D2740" t="str">
        <f>IF(Noty!C1583="","ukryj","odkryj")</f>
        <v>ukryj</v>
      </c>
    </row>
    <row r="2741" spans="1:4" x14ac:dyDescent="0.3">
      <c r="A2741" t="s">
        <v>5067</v>
      </c>
      <c r="B2741" t="s">
        <v>5514</v>
      </c>
      <c r="C2741" s="22" t="s">
        <v>7096</v>
      </c>
      <c r="D2741" t="str">
        <f>IF(Noty!C1584="","ukryj","odkryj")</f>
        <v>ukryj</v>
      </c>
    </row>
    <row r="2742" spans="1:4" x14ac:dyDescent="0.3">
      <c r="A2742" t="s">
        <v>5067</v>
      </c>
      <c r="B2742" t="s">
        <v>5514</v>
      </c>
      <c r="C2742" s="22" t="s">
        <v>7097</v>
      </c>
      <c r="D2742" t="str">
        <f>Noty!J1578</f>
        <v>ukryj</v>
      </c>
    </row>
    <row r="2743" spans="1:4" x14ac:dyDescent="0.3">
      <c r="A2743" t="s">
        <v>5067</v>
      </c>
      <c r="B2743" t="s">
        <v>5514</v>
      </c>
      <c r="C2743" s="22" t="s">
        <v>7098</v>
      </c>
      <c r="D2743" t="str">
        <f>Noty!J1587</f>
        <v>ukryj</v>
      </c>
    </row>
    <row r="2744" spans="1:4" x14ac:dyDescent="0.3">
      <c r="A2744" t="s">
        <v>5067</v>
      </c>
      <c r="B2744" t="s">
        <v>5514</v>
      </c>
      <c r="C2744" s="22" t="s">
        <v>7099</v>
      </c>
      <c r="D2744" t="str">
        <f>IF(AND(Noty!J1588="ukryj",Noty!J1589="ukryj",Noty!J1590="ukryj",Noty!J1591="ukryj",Noty!J1592="ukryj",Noty!J1593="ukryj"),"ukryj","odkryj")</f>
        <v>ukryj</v>
      </c>
    </row>
    <row r="2745" spans="1:4" x14ac:dyDescent="0.3">
      <c r="A2745" t="s">
        <v>5067</v>
      </c>
      <c r="B2745" t="s">
        <v>5514</v>
      </c>
      <c r="C2745" s="22" t="s">
        <v>7100</v>
      </c>
      <c r="D2745" t="str">
        <f>IF(Noty!C1588="","ukryj","odkryj")</f>
        <v>ukryj</v>
      </c>
    </row>
    <row r="2746" spans="1:4" x14ac:dyDescent="0.3">
      <c r="A2746" t="s">
        <v>5067</v>
      </c>
      <c r="B2746" t="s">
        <v>5514</v>
      </c>
      <c r="C2746" s="22" t="s">
        <v>7101</v>
      </c>
      <c r="D2746" t="str">
        <f>IF(Noty!C1589="","ukryj","odkryj")</f>
        <v>ukryj</v>
      </c>
    </row>
    <row r="2747" spans="1:4" x14ac:dyDescent="0.3">
      <c r="A2747" t="s">
        <v>5067</v>
      </c>
      <c r="B2747" t="s">
        <v>5514</v>
      </c>
      <c r="C2747" s="22" t="s">
        <v>7102</v>
      </c>
      <c r="D2747" t="str">
        <f>IF(Noty!C1590="","ukryj","odkryj")</f>
        <v>ukryj</v>
      </c>
    </row>
    <row r="2748" spans="1:4" x14ac:dyDescent="0.3">
      <c r="A2748" t="s">
        <v>5067</v>
      </c>
      <c r="B2748" t="s">
        <v>5514</v>
      </c>
      <c r="C2748" s="22" t="s">
        <v>7103</v>
      </c>
      <c r="D2748" t="str">
        <f>IF(Noty!C1591="","ukryj","odkryj")</f>
        <v>ukryj</v>
      </c>
    </row>
    <row r="2749" spans="1:4" x14ac:dyDescent="0.3">
      <c r="A2749" t="s">
        <v>5067</v>
      </c>
      <c r="B2749" t="s">
        <v>5514</v>
      </c>
      <c r="C2749" s="22" t="s">
        <v>7104</v>
      </c>
      <c r="D2749" t="str">
        <f>IF(Noty!C1592="","ukryj","odkryj")</f>
        <v>ukryj</v>
      </c>
    </row>
    <row r="2750" spans="1:4" x14ac:dyDescent="0.3">
      <c r="A2750" t="s">
        <v>5067</v>
      </c>
      <c r="B2750" t="s">
        <v>5514</v>
      </c>
      <c r="C2750" s="22" t="s">
        <v>7105</v>
      </c>
      <c r="D2750" t="str">
        <f>IF(Noty!C1593="","ukryj","odkryj")</f>
        <v>ukryj</v>
      </c>
    </row>
    <row r="2751" spans="1:4" x14ac:dyDescent="0.3">
      <c r="A2751" t="s">
        <v>5067</v>
      </c>
      <c r="B2751" t="s">
        <v>5514</v>
      </c>
      <c r="C2751" s="22" t="s">
        <v>7106</v>
      </c>
      <c r="D2751" t="str">
        <f>Noty!J1587</f>
        <v>ukryj</v>
      </c>
    </row>
    <row r="2752" spans="1:4" x14ac:dyDescent="0.3">
      <c r="A2752" t="s">
        <v>5067</v>
      </c>
      <c r="B2752" t="s">
        <v>5514</v>
      </c>
      <c r="C2752" s="22" t="s">
        <v>7107</v>
      </c>
      <c r="D2752" t="str">
        <f>IF(Noty!K1595="n/a","ukryj","odkryj")</f>
        <v>odkryj</v>
      </c>
    </row>
    <row r="2753" spans="1:4" x14ac:dyDescent="0.3">
      <c r="A2753" t="s">
        <v>5067</v>
      </c>
      <c r="B2753" t="s">
        <v>5514</v>
      </c>
      <c r="C2753" s="22" t="s">
        <v>7108</v>
      </c>
      <c r="D2753" t="str">
        <f>Noty!J1595</f>
        <v>odkryj</v>
      </c>
    </row>
    <row r="2754" spans="1:4" x14ac:dyDescent="0.3">
      <c r="A2754" t="s">
        <v>5067</v>
      </c>
      <c r="B2754" t="s">
        <v>5514</v>
      </c>
      <c r="C2754" s="22" t="s">
        <v>7109</v>
      </c>
      <c r="D2754" t="str">
        <f>Noty!J1596</f>
        <v>odkryj</v>
      </c>
    </row>
    <row r="2755" spans="1:4" x14ac:dyDescent="0.3">
      <c r="A2755" t="s">
        <v>5067</v>
      </c>
      <c r="B2755" t="s">
        <v>5514</v>
      </c>
      <c r="C2755" s="22" t="s">
        <v>7110</v>
      </c>
      <c r="D2755" t="str">
        <f>Noty!J1597</f>
        <v>odkryj</v>
      </c>
    </row>
    <row r="2756" spans="1:4" x14ac:dyDescent="0.3">
      <c r="A2756" t="s">
        <v>5067</v>
      </c>
      <c r="B2756" t="s">
        <v>5514</v>
      </c>
      <c r="C2756" s="22" t="s">
        <v>7111</v>
      </c>
      <c r="D2756" t="str">
        <f>Noty!J1598</f>
        <v>odkryj</v>
      </c>
    </row>
    <row r="2757" spans="1:4" x14ac:dyDescent="0.3">
      <c r="A2757" t="s">
        <v>5067</v>
      </c>
      <c r="B2757" t="s">
        <v>5514</v>
      </c>
      <c r="C2757" s="22" t="s">
        <v>7112</v>
      </c>
      <c r="D2757" t="str">
        <f>Noty!J1599</f>
        <v>odkryj</v>
      </c>
    </row>
    <row r="2758" spans="1:4" x14ac:dyDescent="0.3">
      <c r="A2758" t="s">
        <v>5067</v>
      </c>
      <c r="B2758" t="s">
        <v>5514</v>
      </c>
      <c r="C2758" s="22" t="s">
        <v>7113</v>
      </c>
      <c r="D2758" t="str">
        <f>IF(Noty!K1601="n/a","ukryj","odkryj")</f>
        <v>odkryj</v>
      </c>
    </row>
    <row r="2759" spans="1:4" x14ac:dyDescent="0.3">
      <c r="A2759" t="s">
        <v>5067</v>
      </c>
      <c r="B2759" t="s">
        <v>5514</v>
      </c>
      <c r="C2759" s="22" t="s">
        <v>7114</v>
      </c>
      <c r="D2759" t="str">
        <f>Noty!J1601</f>
        <v>odkryj</v>
      </c>
    </row>
    <row r="2760" spans="1:4" x14ac:dyDescent="0.3">
      <c r="A2760" t="s">
        <v>5067</v>
      </c>
      <c r="B2760" t="s">
        <v>5514</v>
      </c>
      <c r="C2760" s="22" t="s">
        <v>7115</v>
      </c>
      <c r="D2760" t="str">
        <f>IF(Noty!K1603="n/a","ukryj","odkryj")</f>
        <v>ukryj</v>
      </c>
    </row>
    <row r="2761" spans="1:4" x14ac:dyDescent="0.3">
      <c r="A2761" t="s">
        <v>5067</v>
      </c>
      <c r="B2761" t="s">
        <v>5514</v>
      </c>
      <c r="C2761" s="22" t="s">
        <v>7116</v>
      </c>
      <c r="D2761" t="str">
        <f>Noty!J1603</f>
        <v>ukryj</v>
      </c>
    </row>
    <row r="2762" spans="1:4" x14ac:dyDescent="0.3">
      <c r="A2762" t="s">
        <v>5067</v>
      </c>
      <c r="B2762" t="s">
        <v>5514</v>
      </c>
      <c r="C2762" s="22" t="s">
        <v>7117</v>
      </c>
      <c r="D2762" t="str">
        <f>Noty!J1631</f>
        <v>ukryj</v>
      </c>
    </row>
    <row r="2763" spans="1:4" x14ac:dyDescent="0.3">
      <c r="A2763" t="s">
        <v>5067</v>
      </c>
      <c r="B2763" t="s">
        <v>5514</v>
      </c>
      <c r="C2763" s="22" t="s">
        <v>7118</v>
      </c>
      <c r="D2763" t="str">
        <f>Noty!J1613</f>
        <v>ukryj</v>
      </c>
    </row>
    <row r="2764" spans="1:4" x14ac:dyDescent="0.3">
      <c r="A2764" t="s">
        <v>5067</v>
      </c>
      <c r="B2764" t="s">
        <v>5514</v>
      </c>
      <c r="C2764" s="22" t="s">
        <v>7119</v>
      </c>
      <c r="D2764" t="str">
        <f>IF(AND(Noty!H1607=0,Noty!I1607=0),"ukryj","odkryj")</f>
        <v>ukryj</v>
      </c>
    </row>
    <row r="2765" spans="1:4" x14ac:dyDescent="0.3">
      <c r="A2765" t="s">
        <v>5067</v>
      </c>
      <c r="B2765" t="s">
        <v>5514</v>
      </c>
      <c r="C2765" s="22" t="s">
        <v>7120</v>
      </c>
      <c r="D2765" t="str">
        <f>IF(AND(Noty!H1608=0,Noty!I1608=0),"ukryj","odkryj")</f>
        <v>ukryj</v>
      </c>
    </row>
    <row r="2766" spans="1:4" x14ac:dyDescent="0.3">
      <c r="A2766" t="s">
        <v>5067</v>
      </c>
      <c r="B2766" t="s">
        <v>5514</v>
      </c>
      <c r="C2766" s="22" t="s">
        <v>7121</v>
      </c>
      <c r="D2766" t="str">
        <f>IF(AND(Noty!H1609=0,Noty!I1609=0),"ukryj","odkryj")</f>
        <v>ukryj</v>
      </c>
    </row>
    <row r="2767" spans="1:4" x14ac:dyDescent="0.3">
      <c r="A2767" t="s">
        <v>5067</v>
      </c>
      <c r="B2767" t="s">
        <v>5514</v>
      </c>
      <c r="C2767" s="22" t="s">
        <v>7122</v>
      </c>
      <c r="D2767" t="str">
        <f>IF(AND(Noty!H1610=0,Noty!I1610=0),"ukryj","odkryj")</f>
        <v>ukryj</v>
      </c>
    </row>
    <row r="2768" spans="1:4" x14ac:dyDescent="0.3">
      <c r="A2768" t="s">
        <v>5067</v>
      </c>
      <c r="B2768" t="s">
        <v>5514</v>
      </c>
      <c r="C2768" s="22" t="s">
        <v>7123</v>
      </c>
      <c r="D2768" t="str">
        <f>IF(AND(Noty!H1611=0,Noty!I1611=0),"ukryj","odkryj")</f>
        <v>ukryj</v>
      </c>
    </row>
    <row r="2769" spans="1:4" x14ac:dyDescent="0.3">
      <c r="A2769" t="s">
        <v>5067</v>
      </c>
      <c r="B2769" t="s">
        <v>5514</v>
      </c>
      <c r="C2769" s="22" t="s">
        <v>7124</v>
      </c>
      <c r="D2769" t="str">
        <f>IF(AND(Noty!H1612=0,Noty!I1612=0),"ukryj","odkryj")</f>
        <v>ukryj</v>
      </c>
    </row>
    <row r="2770" spans="1:4" x14ac:dyDescent="0.3">
      <c r="A2770" t="s">
        <v>5067</v>
      </c>
      <c r="B2770" t="s">
        <v>5514</v>
      </c>
      <c r="C2770" s="22" t="s">
        <v>7125</v>
      </c>
      <c r="D2770" t="str">
        <f>IF(AND(Noty!H1613=0,Noty!I1613=0),"ukryj","odkryj")</f>
        <v>ukryj</v>
      </c>
    </row>
    <row r="2771" spans="1:4" x14ac:dyDescent="0.3">
      <c r="A2771" t="s">
        <v>5067</v>
      </c>
      <c r="B2771" t="s">
        <v>5514</v>
      </c>
      <c r="C2771" s="22" t="s">
        <v>7126</v>
      </c>
      <c r="D2771" t="str">
        <f>Noty!J1621</f>
        <v>ukryj</v>
      </c>
    </row>
    <row r="2772" spans="1:4" x14ac:dyDescent="0.3">
      <c r="A2772" t="s">
        <v>5067</v>
      </c>
      <c r="B2772" t="s">
        <v>5514</v>
      </c>
      <c r="C2772" s="22" t="s">
        <v>7127</v>
      </c>
      <c r="D2772" t="str">
        <f>IF(AND(Noty!H1615=0,Noty!I1615=0),"ukryj","odkryj")</f>
        <v>ukryj</v>
      </c>
    </row>
    <row r="2773" spans="1:4" x14ac:dyDescent="0.3">
      <c r="A2773" t="s">
        <v>5067</v>
      </c>
      <c r="B2773" t="s">
        <v>5514</v>
      </c>
      <c r="C2773" s="22" t="s">
        <v>7128</v>
      </c>
      <c r="D2773" t="str">
        <f>IF(AND(Noty!H1616=0,Noty!I1616=0),"ukryj","odkryj")</f>
        <v>ukryj</v>
      </c>
    </row>
    <row r="2774" spans="1:4" x14ac:dyDescent="0.3">
      <c r="A2774" t="s">
        <v>5067</v>
      </c>
      <c r="B2774" t="s">
        <v>5514</v>
      </c>
      <c r="C2774" s="22" t="s">
        <v>7129</v>
      </c>
      <c r="D2774" t="str">
        <f>IF(AND(Noty!H1617=0,Noty!I1617=0),"ukryj","odkryj")</f>
        <v>ukryj</v>
      </c>
    </row>
    <row r="2775" spans="1:4" x14ac:dyDescent="0.3">
      <c r="A2775" t="s">
        <v>5067</v>
      </c>
      <c r="B2775" t="s">
        <v>5514</v>
      </c>
      <c r="C2775" s="22" t="s">
        <v>7130</v>
      </c>
      <c r="D2775" t="str">
        <f>IF(AND(Noty!H1618=0,Noty!I1618=0),"ukryj","odkryj")</f>
        <v>ukryj</v>
      </c>
    </row>
    <row r="2776" spans="1:4" x14ac:dyDescent="0.3">
      <c r="A2776" t="s">
        <v>5067</v>
      </c>
      <c r="B2776" t="s">
        <v>5514</v>
      </c>
      <c r="C2776" s="22" t="s">
        <v>7131</v>
      </c>
      <c r="D2776" t="str">
        <f>IF(AND(Noty!H1619=0,Noty!I1619=0),"ukryj","odkryj")</f>
        <v>ukryj</v>
      </c>
    </row>
    <row r="2777" spans="1:4" x14ac:dyDescent="0.3">
      <c r="A2777" t="s">
        <v>5067</v>
      </c>
      <c r="B2777" t="s">
        <v>5514</v>
      </c>
      <c r="C2777" s="22" t="s">
        <v>7132</v>
      </c>
      <c r="D2777" t="str">
        <f>IF(AND(Noty!H1620=0,Noty!I1620=0),"ukryj","odkryj")</f>
        <v>ukryj</v>
      </c>
    </row>
    <row r="2778" spans="1:4" x14ac:dyDescent="0.3">
      <c r="A2778" t="s">
        <v>5067</v>
      </c>
      <c r="B2778" t="s">
        <v>5514</v>
      </c>
      <c r="C2778" s="22" t="s">
        <v>7133</v>
      </c>
      <c r="D2778" t="str">
        <f>IF(AND(Noty!H1621=0,Noty!I1621=0),"ukryj","odkryj")</f>
        <v>ukryj</v>
      </c>
    </row>
    <row r="2779" spans="1:4" x14ac:dyDescent="0.3">
      <c r="A2779" t="s">
        <v>5067</v>
      </c>
      <c r="B2779" t="s">
        <v>5514</v>
      </c>
      <c r="C2779" s="22" t="s">
        <v>7134</v>
      </c>
      <c r="D2779" t="str">
        <f>Noty!J1629</f>
        <v>ukryj</v>
      </c>
    </row>
    <row r="2780" spans="1:4" x14ac:dyDescent="0.3">
      <c r="A2780" t="s">
        <v>5067</v>
      </c>
      <c r="B2780" t="s">
        <v>5514</v>
      </c>
      <c r="C2780" s="22" t="s">
        <v>7135</v>
      </c>
      <c r="D2780" t="str">
        <f>IF(AND(Noty!H1623=0,Noty!I1623=0),"ukryj","odkryj")</f>
        <v>ukryj</v>
      </c>
    </row>
    <row r="2781" spans="1:4" x14ac:dyDescent="0.3">
      <c r="A2781" t="s">
        <v>5067</v>
      </c>
      <c r="B2781" t="s">
        <v>5514</v>
      </c>
      <c r="C2781" s="22" t="s">
        <v>7136</v>
      </c>
      <c r="D2781" t="str">
        <f>IF(AND(Noty!H1624=0,Noty!I1624=0),"ukryj","odkryj")</f>
        <v>ukryj</v>
      </c>
    </row>
    <row r="2782" spans="1:4" x14ac:dyDescent="0.3">
      <c r="A2782" t="s">
        <v>5067</v>
      </c>
      <c r="B2782" t="s">
        <v>5514</v>
      </c>
      <c r="C2782" s="22" t="s">
        <v>7137</v>
      </c>
      <c r="D2782" t="str">
        <f>IF(AND(Noty!H1625=0,Noty!I1625=0),"ukryj","odkryj")</f>
        <v>ukryj</v>
      </c>
    </row>
    <row r="2783" spans="1:4" x14ac:dyDescent="0.3">
      <c r="A2783" t="s">
        <v>5067</v>
      </c>
      <c r="B2783" t="s">
        <v>5514</v>
      </c>
      <c r="C2783" s="22" t="s">
        <v>7138</v>
      </c>
      <c r="D2783" t="str">
        <f>IF(AND(Noty!H1626=0,Noty!I1626=0),"ukryj","odkryj")</f>
        <v>ukryj</v>
      </c>
    </row>
    <row r="2784" spans="1:4" x14ac:dyDescent="0.3">
      <c r="A2784" t="s">
        <v>5067</v>
      </c>
      <c r="B2784" t="s">
        <v>5514</v>
      </c>
      <c r="C2784" s="22" t="s">
        <v>7139</v>
      </c>
      <c r="D2784" t="str">
        <f>IF(AND(Noty!H1627=0,Noty!I1627=0),"ukryj","odkryj")</f>
        <v>ukryj</v>
      </c>
    </row>
    <row r="2785" spans="1:4" x14ac:dyDescent="0.3">
      <c r="A2785" t="s">
        <v>5067</v>
      </c>
      <c r="B2785" t="s">
        <v>5514</v>
      </c>
      <c r="C2785" s="22" t="s">
        <v>7140</v>
      </c>
      <c r="D2785" t="str">
        <f>IF(AND(Noty!H1628=0,Noty!I1628=0),"ukryj","odkryj")</f>
        <v>ukryj</v>
      </c>
    </row>
    <row r="2786" spans="1:4" x14ac:dyDescent="0.3">
      <c r="A2786" t="s">
        <v>5067</v>
      </c>
      <c r="B2786" t="s">
        <v>5514</v>
      </c>
      <c r="C2786" s="22" t="s">
        <v>7141</v>
      </c>
      <c r="D2786" t="str">
        <f>IF(AND(Noty!H1629=0,Noty!I1629=0),"ukryj","odkryj")</f>
        <v>ukryj</v>
      </c>
    </row>
    <row r="2787" spans="1:4" x14ac:dyDescent="0.3">
      <c r="A2787" t="s">
        <v>5067</v>
      </c>
      <c r="B2787" t="s">
        <v>5514</v>
      </c>
      <c r="C2787" s="22" t="s">
        <v>7142</v>
      </c>
      <c r="D2787" t="str">
        <f>Noty!J1629</f>
        <v>ukryj</v>
      </c>
    </row>
    <row r="2788" spans="1:4" x14ac:dyDescent="0.3">
      <c r="A2788" t="s">
        <v>5067</v>
      </c>
      <c r="B2788" t="s">
        <v>5514</v>
      </c>
      <c r="C2788" s="22" t="s">
        <v>7143</v>
      </c>
      <c r="D2788" t="str">
        <f>IF(AND(Noty!H1631=0,Noty!I1631=0),"ukryj","odkryj")</f>
        <v>ukryj</v>
      </c>
    </row>
    <row r="2789" spans="1:4" x14ac:dyDescent="0.3">
      <c r="A2789" t="s">
        <v>5067</v>
      </c>
      <c r="B2789" t="s">
        <v>5514</v>
      </c>
      <c r="C2789" s="22" t="s">
        <v>7144</v>
      </c>
      <c r="D2789" t="str">
        <f>Noty!J1631</f>
        <v>ukryj</v>
      </c>
    </row>
    <row r="2790" spans="1:4" x14ac:dyDescent="0.3">
      <c r="A2790" t="s">
        <v>5067</v>
      </c>
      <c r="B2790" t="s">
        <v>5514</v>
      </c>
      <c r="C2790" s="22" t="s">
        <v>7145</v>
      </c>
      <c r="D2790" t="s">
        <v>5125</v>
      </c>
    </row>
    <row r="2791" spans="1:4" x14ac:dyDescent="0.3">
      <c r="A2791" t="s">
        <v>5067</v>
      </c>
      <c r="B2791" t="s">
        <v>5514</v>
      </c>
      <c r="C2791" s="22" t="s">
        <v>7146</v>
      </c>
      <c r="D2791" t="str">
        <f>IF(Noty!K1634="n/a","ukryj","odkryj")</f>
        <v>odkryj</v>
      </c>
    </row>
    <row r="2792" spans="1:4" x14ac:dyDescent="0.3">
      <c r="A2792" t="s">
        <v>5067</v>
      </c>
      <c r="B2792" t="s">
        <v>5514</v>
      </c>
      <c r="C2792" s="22" t="s">
        <v>7147</v>
      </c>
      <c r="D2792" t="str">
        <f>Noty!J1634</f>
        <v>odkryj</v>
      </c>
    </row>
    <row r="2793" spans="1:4" x14ac:dyDescent="0.3">
      <c r="A2793" t="s">
        <v>5067</v>
      </c>
      <c r="B2793" t="s">
        <v>5514</v>
      </c>
      <c r="C2793" s="22" t="s">
        <v>7148</v>
      </c>
      <c r="D2793" t="s">
        <v>5125</v>
      </c>
    </row>
    <row r="2794" spans="1:4" x14ac:dyDescent="0.3">
      <c r="A2794" t="s">
        <v>5067</v>
      </c>
      <c r="B2794" t="s">
        <v>5514</v>
      </c>
      <c r="C2794" s="22" t="s">
        <v>7149</v>
      </c>
      <c r="D2794" t="str">
        <f>Noty!J1636</f>
        <v>ukryj</v>
      </c>
    </row>
    <row r="2795" spans="1:4" x14ac:dyDescent="0.3">
      <c r="A2795" t="s">
        <v>5067</v>
      </c>
      <c r="B2795" t="s">
        <v>5514</v>
      </c>
      <c r="C2795" s="22" t="s">
        <v>7150</v>
      </c>
      <c r="D2795" t="str">
        <f>Noty!J1637</f>
        <v>ukryj</v>
      </c>
    </row>
    <row r="2796" spans="1:4" x14ac:dyDescent="0.3">
      <c r="A2796" t="s">
        <v>5067</v>
      </c>
      <c r="B2796" t="s">
        <v>5514</v>
      </c>
      <c r="C2796" s="22" t="s">
        <v>7151</v>
      </c>
      <c r="D2796" t="str">
        <f>Noty!J1638</f>
        <v>ukryj</v>
      </c>
    </row>
    <row r="2797" spans="1:4" x14ac:dyDescent="0.3">
      <c r="A2797" t="s">
        <v>5067</v>
      </c>
      <c r="B2797" t="s">
        <v>5514</v>
      </c>
      <c r="C2797" s="22" t="s">
        <v>7152</v>
      </c>
      <c r="D2797" t="str">
        <f>Noty!J1639</f>
        <v>ukryj</v>
      </c>
    </row>
    <row r="2798" spans="1:4" x14ac:dyDescent="0.3">
      <c r="A2798" t="s">
        <v>5067</v>
      </c>
      <c r="B2798" t="s">
        <v>5514</v>
      </c>
      <c r="C2798" s="22" t="s">
        <v>7153</v>
      </c>
      <c r="D2798" t="str">
        <f>Noty!J1640</f>
        <v>ukryj</v>
      </c>
    </row>
    <row r="2799" spans="1:4" x14ac:dyDescent="0.3">
      <c r="A2799" t="s">
        <v>5067</v>
      </c>
      <c r="B2799" t="s">
        <v>5514</v>
      </c>
      <c r="C2799" s="22" t="s">
        <v>7154</v>
      </c>
      <c r="D2799" t="str">
        <f>Noty!J1641</f>
        <v>ukryj</v>
      </c>
    </row>
    <row r="2800" spans="1:4" x14ac:dyDescent="0.3">
      <c r="A2800" t="s">
        <v>5067</v>
      </c>
      <c r="B2800" t="s">
        <v>5514</v>
      </c>
      <c r="C2800" s="22" t="s">
        <v>7155</v>
      </c>
      <c r="D2800" t="str">
        <f>Noty!J1642</f>
        <v>ukryj</v>
      </c>
    </row>
    <row r="2801" spans="1:4" x14ac:dyDescent="0.3">
      <c r="A2801" t="s">
        <v>5067</v>
      </c>
      <c r="B2801" t="s">
        <v>5514</v>
      </c>
      <c r="C2801" s="22" t="s">
        <v>7156</v>
      </c>
      <c r="D2801" t="str">
        <f>IF(Noty!K1644="n/a","ukryj","odkryj")</f>
        <v>odkryj</v>
      </c>
    </row>
    <row r="2802" spans="1:4" x14ac:dyDescent="0.3">
      <c r="A2802" t="s">
        <v>5067</v>
      </c>
      <c r="B2802" t="s">
        <v>5514</v>
      </c>
      <c r="C2802" s="22" t="s">
        <v>7157</v>
      </c>
      <c r="D2802" t="str">
        <f>Noty!J1644</f>
        <v>odkryj</v>
      </c>
    </row>
    <row r="2803" spans="1:4" x14ac:dyDescent="0.3">
      <c r="A2803" t="s">
        <v>5067</v>
      </c>
      <c r="B2803" t="s">
        <v>5514</v>
      </c>
      <c r="C2803" s="22" t="s">
        <v>7158</v>
      </c>
      <c r="D2803" t="str">
        <f>IF(Noty!K1646="n/a","ukryj","odkryj")</f>
        <v>ukryj</v>
      </c>
    </row>
    <row r="2804" spans="1:4" x14ac:dyDescent="0.3">
      <c r="A2804" t="s">
        <v>5067</v>
      </c>
      <c r="B2804" t="s">
        <v>5514</v>
      </c>
      <c r="C2804" s="22" t="s">
        <v>7159</v>
      </c>
      <c r="D2804" t="str">
        <f>Noty!J1646</f>
        <v>ukryj</v>
      </c>
    </row>
    <row r="2805" spans="1:4" x14ac:dyDescent="0.3">
      <c r="A2805" t="s">
        <v>5067</v>
      </c>
      <c r="B2805" t="s">
        <v>5514</v>
      </c>
      <c r="C2805" s="22" t="s">
        <v>7160</v>
      </c>
      <c r="D2805" t="s">
        <v>5125</v>
      </c>
    </row>
    <row r="2806" spans="1:4" x14ac:dyDescent="0.3">
      <c r="A2806" t="s">
        <v>5067</v>
      </c>
      <c r="B2806" t="s">
        <v>5514</v>
      </c>
      <c r="C2806" s="22" t="s">
        <v>7161</v>
      </c>
      <c r="D2806" t="str">
        <f>IF(Noty!K1649="n/a","ukryj","odkryj")</f>
        <v>odkryj</v>
      </c>
    </row>
    <row r="2807" spans="1:4" x14ac:dyDescent="0.3">
      <c r="A2807" t="s">
        <v>5067</v>
      </c>
      <c r="B2807" t="s">
        <v>5514</v>
      </c>
      <c r="C2807" s="22" t="s">
        <v>7162</v>
      </c>
      <c r="D2807" t="str">
        <f>Noty!J1649</f>
        <v>odkryj</v>
      </c>
    </row>
    <row r="2808" spans="1:4" x14ac:dyDescent="0.3">
      <c r="A2808" t="s">
        <v>5067</v>
      </c>
      <c r="B2808" t="s">
        <v>5514</v>
      </c>
      <c r="C2808" s="22" t="s">
        <v>7163</v>
      </c>
      <c r="D2808" t="str">
        <f>IF(Noty!K1651="n/a","ukryj","odkryj")</f>
        <v>ukryj</v>
      </c>
    </row>
    <row r="2809" spans="1:4" x14ac:dyDescent="0.3">
      <c r="A2809" t="s">
        <v>5067</v>
      </c>
      <c r="B2809" t="s">
        <v>5514</v>
      </c>
      <c r="C2809" s="22" t="s">
        <v>7164</v>
      </c>
      <c r="D2809" t="str">
        <f>Noty!J1651</f>
        <v>ukryj</v>
      </c>
    </row>
    <row r="2810" spans="1:4" x14ac:dyDescent="0.3">
      <c r="A2810" t="s">
        <v>5067</v>
      </c>
      <c r="B2810" t="s">
        <v>5514</v>
      </c>
      <c r="C2810" s="22" t="s">
        <v>7165</v>
      </c>
      <c r="D2810" t="str">
        <f>Noty!J1652</f>
        <v>ukryj</v>
      </c>
    </row>
    <row r="2811" spans="1:4" x14ac:dyDescent="0.3">
      <c r="A2811" t="s">
        <v>5067</v>
      </c>
      <c r="B2811" t="s">
        <v>5514</v>
      </c>
      <c r="C2811" s="22" t="s">
        <v>7166</v>
      </c>
      <c r="D2811" t="str">
        <f>Noty!J1653</f>
        <v>ukryj</v>
      </c>
    </row>
    <row r="2812" spans="1:4" x14ac:dyDescent="0.3">
      <c r="A2812" t="s">
        <v>5067</v>
      </c>
      <c r="B2812" t="s">
        <v>5514</v>
      </c>
      <c r="C2812" s="22" t="s">
        <v>7167</v>
      </c>
      <c r="D2812" t="str">
        <f>Noty!J1654</f>
        <v>ukryj</v>
      </c>
    </row>
    <row r="2813" spans="1:4" x14ac:dyDescent="0.3">
      <c r="A2813" t="s">
        <v>5067</v>
      </c>
      <c r="B2813" t="s">
        <v>5514</v>
      </c>
      <c r="C2813" s="22" t="s">
        <v>7168</v>
      </c>
      <c r="D2813" t="str">
        <f>Noty!J1655</f>
        <v>ukryj</v>
      </c>
    </row>
    <row r="2814" spans="1:4" x14ac:dyDescent="0.3">
      <c r="A2814" t="s">
        <v>5067</v>
      </c>
      <c r="B2814" t="s">
        <v>5514</v>
      </c>
      <c r="C2814" s="22" t="s">
        <v>7169</v>
      </c>
      <c r="D2814" t="str">
        <f>Noty!J1656</f>
        <v>ukryj</v>
      </c>
    </row>
    <row r="2815" spans="1:4" x14ac:dyDescent="0.3">
      <c r="A2815" t="s">
        <v>5067</v>
      </c>
      <c r="B2815" t="s">
        <v>5514</v>
      </c>
      <c r="C2815" s="22" t="s">
        <v>7170</v>
      </c>
      <c r="D2815" t="str">
        <f>Noty!J1657</f>
        <v>ukryj</v>
      </c>
    </row>
    <row r="2816" spans="1:4" x14ac:dyDescent="0.3">
      <c r="A2816" t="s">
        <v>5067</v>
      </c>
      <c r="B2816" t="s">
        <v>5514</v>
      </c>
      <c r="C2816" s="22" t="s">
        <v>7171</v>
      </c>
      <c r="D2816" t="str">
        <f>Noty!J1658</f>
        <v>ukryj</v>
      </c>
    </row>
    <row r="2817" spans="1:4" x14ac:dyDescent="0.3">
      <c r="A2817" t="s">
        <v>5067</v>
      </c>
      <c r="B2817" t="s">
        <v>5514</v>
      </c>
      <c r="C2817" s="22" t="s">
        <v>7172</v>
      </c>
      <c r="D2817" t="str">
        <f>Noty!J1659</f>
        <v>ukryj</v>
      </c>
    </row>
    <row r="2818" spans="1:4" x14ac:dyDescent="0.3">
      <c r="A2818" t="s">
        <v>5067</v>
      </c>
      <c r="B2818" t="s">
        <v>5514</v>
      </c>
      <c r="C2818" s="22" t="s">
        <v>7173</v>
      </c>
      <c r="D2818" t="str">
        <f>Noty!J1660</f>
        <v>ukryj</v>
      </c>
    </row>
    <row r="2819" spans="1:4" x14ac:dyDescent="0.3">
      <c r="A2819" t="s">
        <v>5067</v>
      </c>
      <c r="B2819" t="s">
        <v>5514</v>
      </c>
      <c r="C2819" s="22" t="s">
        <v>7174</v>
      </c>
      <c r="D2819" t="str">
        <f>Noty!J1661</f>
        <v>ukryj</v>
      </c>
    </row>
    <row r="2820" spans="1:4" x14ac:dyDescent="0.3">
      <c r="A2820" t="s">
        <v>5067</v>
      </c>
      <c r="B2820" t="s">
        <v>5514</v>
      </c>
      <c r="C2820" s="22" t="s">
        <v>7175</v>
      </c>
      <c r="D2820" t="str">
        <f>Noty!J1662</f>
        <v>ukryj</v>
      </c>
    </row>
    <row r="2821" spans="1:4" x14ac:dyDescent="0.3">
      <c r="A2821" t="s">
        <v>5067</v>
      </c>
      <c r="B2821" t="s">
        <v>5514</v>
      </c>
      <c r="C2821" s="22" t="s">
        <v>7176</v>
      </c>
      <c r="D2821" t="str">
        <f>Noty!J1663</f>
        <v>ukryj</v>
      </c>
    </row>
    <row r="2822" spans="1:4" x14ac:dyDescent="0.3">
      <c r="A2822" t="s">
        <v>5067</v>
      </c>
      <c r="B2822" t="s">
        <v>5514</v>
      </c>
      <c r="C2822" s="22" t="s">
        <v>7177</v>
      </c>
      <c r="D2822" t="str">
        <f>Noty!J1664</f>
        <v>ukryj</v>
      </c>
    </row>
    <row r="2823" spans="1:4" x14ac:dyDescent="0.3">
      <c r="A2823" t="s">
        <v>5067</v>
      </c>
      <c r="B2823" t="s">
        <v>5514</v>
      </c>
      <c r="C2823" s="22" t="s">
        <v>7178</v>
      </c>
      <c r="D2823" t="str">
        <f>Noty!J1665</f>
        <v>ukryj</v>
      </c>
    </row>
    <row r="2824" spans="1:4" x14ac:dyDescent="0.3">
      <c r="A2824" t="s">
        <v>5067</v>
      </c>
      <c r="B2824" t="s">
        <v>5514</v>
      </c>
      <c r="C2824" s="22" t="s">
        <v>7179</v>
      </c>
      <c r="D2824" t="str">
        <f>IF(Noty!K1667="n/a","ukryj","odkryj")</f>
        <v>odkryj</v>
      </c>
    </row>
    <row r="2825" spans="1:4" x14ac:dyDescent="0.3">
      <c r="A2825" t="s">
        <v>5067</v>
      </c>
      <c r="B2825" t="s">
        <v>5514</v>
      </c>
      <c r="C2825" s="22" t="s">
        <v>7180</v>
      </c>
      <c r="D2825" t="str">
        <f>Noty!J1667</f>
        <v>odkryj</v>
      </c>
    </row>
    <row r="2826" spans="1:4" x14ac:dyDescent="0.3">
      <c r="A2826" t="s">
        <v>5067</v>
      </c>
      <c r="B2826" t="s">
        <v>5514</v>
      </c>
      <c r="C2826" s="22" t="s">
        <v>7181</v>
      </c>
      <c r="D2826" t="str">
        <f>IF(Noty!K1669="n/a","ukryj","odkryj")</f>
        <v>ukryj</v>
      </c>
    </row>
    <row r="2827" spans="1:4" x14ac:dyDescent="0.3">
      <c r="A2827" t="s">
        <v>5067</v>
      </c>
      <c r="B2827" t="s">
        <v>5514</v>
      </c>
      <c r="C2827" s="22" t="s">
        <v>7182</v>
      </c>
      <c r="D2827" t="str">
        <f>Noty!J1669</f>
        <v>ukryj</v>
      </c>
    </row>
    <row r="2828" spans="1:4" x14ac:dyDescent="0.3">
      <c r="A2828" t="s">
        <v>5067</v>
      </c>
      <c r="B2828" t="s">
        <v>5514</v>
      </c>
      <c r="C2828" s="22" t="s">
        <v>7183</v>
      </c>
      <c r="D2828" t="str">
        <f>Noty!J1670</f>
        <v>ukryj</v>
      </c>
    </row>
    <row r="2829" spans="1:4" x14ac:dyDescent="0.3">
      <c r="A2829" t="s">
        <v>5067</v>
      </c>
      <c r="B2829" t="s">
        <v>5514</v>
      </c>
      <c r="C2829" s="22" t="s">
        <v>7184</v>
      </c>
      <c r="D2829" t="s">
        <v>5125</v>
      </c>
    </row>
    <row r="2830" spans="1:4" x14ac:dyDescent="0.3">
      <c r="A2830" t="s">
        <v>5067</v>
      </c>
      <c r="B2830" t="s">
        <v>5514</v>
      </c>
      <c r="C2830" s="22" t="s">
        <v>7185</v>
      </c>
      <c r="D2830" t="str">
        <f>IF(Noty!K1673="n/a","ukryj","odkryj")</f>
        <v>odkryj</v>
      </c>
    </row>
    <row r="2831" spans="1:4" x14ac:dyDescent="0.3">
      <c r="A2831" t="s">
        <v>5067</v>
      </c>
      <c r="B2831" t="s">
        <v>5514</v>
      </c>
      <c r="C2831" s="22" t="s">
        <v>7186</v>
      </c>
      <c r="D2831" t="str">
        <f>Noty!J1673</f>
        <v>odkryj</v>
      </c>
    </row>
    <row r="2832" spans="1:4" x14ac:dyDescent="0.3">
      <c r="A2832" t="s">
        <v>5067</v>
      </c>
      <c r="B2832" t="s">
        <v>5514</v>
      </c>
      <c r="C2832" s="22" t="s">
        <v>7187</v>
      </c>
      <c r="D2832" t="str">
        <f>IF(Noty!K1675="n/a","ukryj","odkryj")</f>
        <v>odkryj</v>
      </c>
    </row>
    <row r="2833" spans="1:4" x14ac:dyDescent="0.3">
      <c r="A2833" t="s">
        <v>5067</v>
      </c>
      <c r="B2833" t="s">
        <v>5514</v>
      </c>
      <c r="C2833" s="22" t="s">
        <v>7188</v>
      </c>
      <c r="D2833" t="str">
        <f>Noty!J1675</f>
        <v>odkryj</v>
      </c>
    </row>
    <row r="2834" spans="1:4" x14ac:dyDescent="0.3">
      <c r="A2834" t="s">
        <v>5067</v>
      </c>
      <c r="B2834" t="s">
        <v>5514</v>
      </c>
      <c r="C2834" s="22" t="s">
        <v>7189</v>
      </c>
      <c r="D2834" t="str">
        <f>IF(Noty!K1677="n/a","ukryj","odkryj")</f>
        <v>ukryj</v>
      </c>
    </row>
    <row r="2835" spans="1:4" x14ac:dyDescent="0.3">
      <c r="A2835" t="s">
        <v>5067</v>
      </c>
      <c r="B2835" t="s">
        <v>5514</v>
      </c>
      <c r="C2835" s="22" t="s">
        <v>7190</v>
      </c>
      <c r="D2835" t="str">
        <f>Noty!J1677</f>
        <v>ukryj</v>
      </c>
    </row>
    <row r="2836" spans="1:4" x14ac:dyDescent="0.3">
      <c r="A2836" t="s">
        <v>5067</v>
      </c>
      <c r="B2836" t="s">
        <v>5514</v>
      </c>
      <c r="C2836" s="22" t="s">
        <v>7191</v>
      </c>
      <c r="D2836" t="str">
        <f>"ukryj"</f>
        <v>ukryj</v>
      </c>
    </row>
    <row r="2837" spans="1:4" x14ac:dyDescent="0.3">
      <c r="A2837" t="s">
        <v>5067</v>
      </c>
      <c r="B2837" t="s">
        <v>5514</v>
      </c>
      <c r="C2837" s="22" t="s">
        <v>7192</v>
      </c>
      <c r="D2837" t="str">
        <f>IF(Noty!K1680="n/a","ukryj","odkryj")</f>
        <v>odkryj</v>
      </c>
    </row>
    <row r="2838" spans="1:4" x14ac:dyDescent="0.3">
      <c r="A2838" t="s">
        <v>5067</v>
      </c>
      <c r="B2838" t="s">
        <v>5514</v>
      </c>
      <c r="C2838" s="22" t="s">
        <v>7193</v>
      </c>
      <c r="D2838" t="str">
        <f>Noty!J1680</f>
        <v>odkryj</v>
      </c>
    </row>
    <row r="2839" spans="1:4" x14ac:dyDescent="0.3">
      <c r="A2839" t="s">
        <v>5067</v>
      </c>
      <c r="B2839" t="s">
        <v>5514</v>
      </c>
      <c r="C2839" s="22" t="s">
        <v>7194</v>
      </c>
      <c r="D2839" t="str">
        <f>IF(Noty!K1682="n/a","ukryj","odkryj")</f>
        <v>ukryj</v>
      </c>
    </row>
    <row r="2840" spans="1:4" x14ac:dyDescent="0.3">
      <c r="A2840" t="s">
        <v>5067</v>
      </c>
      <c r="B2840" t="s">
        <v>5514</v>
      </c>
      <c r="C2840" s="22" t="s">
        <v>7195</v>
      </c>
      <c r="D2840" t="str">
        <f>Noty!J1682</f>
        <v>ukryj</v>
      </c>
    </row>
    <row r="2841" spans="1:4" x14ac:dyDescent="0.3">
      <c r="A2841" t="s">
        <v>5067</v>
      </c>
      <c r="B2841" t="s">
        <v>5514</v>
      </c>
      <c r="C2841" s="22" t="s">
        <v>7196</v>
      </c>
      <c r="D2841" t="str">
        <f>Noty!J1683</f>
        <v>ukryj</v>
      </c>
    </row>
    <row r="2842" spans="1:4" x14ac:dyDescent="0.3">
      <c r="A2842" t="s">
        <v>5067</v>
      </c>
      <c r="B2842" t="s">
        <v>5514</v>
      </c>
      <c r="C2842" s="22" t="s">
        <v>7197</v>
      </c>
      <c r="D2842" t="str">
        <f>Noty!J1684</f>
        <v>ukryj</v>
      </c>
    </row>
    <row r="2843" spans="1:4" x14ac:dyDescent="0.3">
      <c r="A2843" t="s">
        <v>5067</v>
      </c>
      <c r="B2843" t="s">
        <v>5514</v>
      </c>
      <c r="C2843" s="22" t="s">
        <v>7198</v>
      </c>
      <c r="D2843" t="str">
        <f>IF(Noty!K1724="n/a","ukryj","odkryj")</f>
        <v>odkryj</v>
      </c>
    </row>
    <row r="2844" spans="1:4" x14ac:dyDescent="0.3">
      <c r="A2844" t="s">
        <v>5067</v>
      </c>
      <c r="B2844" t="s">
        <v>5514</v>
      </c>
      <c r="C2844" s="22" t="s">
        <v>7199</v>
      </c>
      <c r="D2844" t="str">
        <f>IF(Noty!K1686="n/a","ukryj","odkryj")</f>
        <v>odkryj</v>
      </c>
    </row>
    <row r="2845" spans="1:4" x14ac:dyDescent="0.3">
      <c r="A2845" t="s">
        <v>5067</v>
      </c>
      <c r="B2845" t="s">
        <v>5514</v>
      </c>
      <c r="C2845" s="22" t="s">
        <v>7200</v>
      </c>
      <c r="D2845" t="str">
        <f>Noty!J1686</f>
        <v>odkryj</v>
      </c>
    </row>
    <row r="2846" spans="1:4" x14ac:dyDescent="0.3">
      <c r="A2846" t="s">
        <v>5067</v>
      </c>
      <c r="B2846" t="s">
        <v>5514</v>
      </c>
      <c r="C2846" s="22" t="s">
        <v>7201</v>
      </c>
      <c r="D2846" t="str">
        <f>Noty!J1687</f>
        <v>odkryj</v>
      </c>
    </row>
    <row r="2847" spans="1:4" x14ac:dyDescent="0.3">
      <c r="A2847" t="s">
        <v>5067</v>
      </c>
      <c r="B2847" t="s">
        <v>5514</v>
      </c>
      <c r="C2847" s="22" t="s">
        <v>7202</v>
      </c>
      <c r="D2847" t="str">
        <f>IF(Noty!C1689="-","ukryj","odkryj")</f>
        <v>odkryj</v>
      </c>
    </row>
    <row r="2848" spans="1:4" x14ac:dyDescent="0.3">
      <c r="A2848" t="s">
        <v>5067</v>
      </c>
      <c r="B2848" t="s">
        <v>5514</v>
      </c>
      <c r="C2848" s="22" t="s">
        <v>7203</v>
      </c>
      <c r="D2848" t="str">
        <f>IF(Noty!C1690="-","ukryj","odkryj")</f>
        <v>odkryj</v>
      </c>
    </row>
    <row r="2849" spans="1:4" x14ac:dyDescent="0.3">
      <c r="A2849" t="s">
        <v>5067</v>
      </c>
      <c r="B2849" t="s">
        <v>5514</v>
      </c>
      <c r="C2849" s="22" t="s">
        <v>7204</v>
      </c>
      <c r="D2849" t="str">
        <f>IF(Noty!C1691="-","ukryj","odkryj")</f>
        <v>odkryj</v>
      </c>
    </row>
    <row r="2850" spans="1:4" x14ac:dyDescent="0.3">
      <c r="A2850" t="s">
        <v>5067</v>
      </c>
      <c r="B2850" t="s">
        <v>5514</v>
      </c>
      <c r="C2850" s="22" t="s">
        <v>7205</v>
      </c>
      <c r="D2850" t="str">
        <f>IF(Noty!C1692="-","ukryj","odkryj")</f>
        <v>ukryj</v>
      </c>
    </row>
    <row r="2851" spans="1:4" x14ac:dyDescent="0.3">
      <c r="A2851" t="s">
        <v>5067</v>
      </c>
      <c r="B2851" t="s">
        <v>5514</v>
      </c>
      <c r="C2851" s="22" t="s">
        <v>7206</v>
      </c>
      <c r="D2851" t="str">
        <f>IF(Noty!C1693="-","ukryj","odkryj")</f>
        <v>ukryj</v>
      </c>
    </row>
    <row r="2852" spans="1:4" x14ac:dyDescent="0.3">
      <c r="A2852" t="s">
        <v>5067</v>
      </c>
      <c r="B2852" t="s">
        <v>5514</v>
      </c>
      <c r="C2852" s="22" t="s">
        <v>7207</v>
      </c>
      <c r="D2852" t="str">
        <f>IF(Noty!C1694="-","ukryj","odkryj")</f>
        <v>ukryj</v>
      </c>
    </row>
    <row r="2853" spans="1:4" x14ac:dyDescent="0.3">
      <c r="A2853" t="s">
        <v>5067</v>
      </c>
      <c r="B2853" t="s">
        <v>5514</v>
      </c>
      <c r="C2853" s="22" t="s">
        <v>7208</v>
      </c>
      <c r="D2853" t="str">
        <f>Noty!J1694</f>
        <v>ukryj</v>
      </c>
    </row>
    <row r="2854" spans="1:4" x14ac:dyDescent="0.3">
      <c r="A2854" t="s">
        <v>5067</v>
      </c>
      <c r="B2854" t="s">
        <v>5514</v>
      </c>
      <c r="C2854" s="22" t="s">
        <v>7209</v>
      </c>
      <c r="D2854" t="str">
        <f>IF(Noty!K1696="n/a","ukryj","odkryj")</f>
        <v>ukryj</v>
      </c>
    </row>
    <row r="2855" spans="1:4" x14ac:dyDescent="0.3">
      <c r="A2855" t="s">
        <v>5067</v>
      </c>
      <c r="B2855" t="s">
        <v>5514</v>
      </c>
      <c r="C2855" s="22" t="s">
        <v>7210</v>
      </c>
      <c r="D2855" t="str">
        <f>Noty!J1696</f>
        <v>ukryj</v>
      </c>
    </row>
    <row r="2856" spans="1:4" x14ac:dyDescent="0.3">
      <c r="A2856" t="s">
        <v>5067</v>
      </c>
      <c r="B2856" t="s">
        <v>5514</v>
      </c>
      <c r="C2856" s="22" t="s">
        <v>7211</v>
      </c>
      <c r="D2856" t="str">
        <f>IF(Noty!C1698="","ukryj","odkryj")</f>
        <v>ukryj</v>
      </c>
    </row>
    <row r="2857" spans="1:4" x14ac:dyDescent="0.3">
      <c r="A2857" t="s">
        <v>5067</v>
      </c>
      <c r="B2857" t="s">
        <v>5514</v>
      </c>
      <c r="C2857" s="22" t="s">
        <v>7212</v>
      </c>
      <c r="D2857" t="str">
        <f>IF(Noty!C1699="","ukryj","odkryj")</f>
        <v>ukryj</v>
      </c>
    </row>
    <row r="2858" spans="1:4" x14ac:dyDescent="0.3">
      <c r="A2858" t="s">
        <v>5067</v>
      </c>
      <c r="B2858" t="s">
        <v>5514</v>
      </c>
      <c r="C2858" s="22" t="s">
        <v>7213</v>
      </c>
      <c r="D2858" t="str">
        <f>IF(Noty!C1700="","ukryj","odkryj")</f>
        <v>ukryj</v>
      </c>
    </row>
    <row r="2859" spans="1:4" x14ac:dyDescent="0.3">
      <c r="A2859" t="s">
        <v>5067</v>
      </c>
      <c r="B2859" t="s">
        <v>5514</v>
      </c>
      <c r="C2859" s="22" t="s">
        <v>7214</v>
      </c>
      <c r="D2859" t="str">
        <f>IF(Noty!C1701="","ukryj","odkryj")</f>
        <v>ukryj</v>
      </c>
    </row>
    <row r="2860" spans="1:4" x14ac:dyDescent="0.3">
      <c r="A2860" t="s">
        <v>5067</v>
      </c>
      <c r="B2860" t="s">
        <v>5514</v>
      </c>
      <c r="C2860" s="22" t="s">
        <v>7215</v>
      </c>
      <c r="D2860" t="str">
        <f>IF(Noty!C1702="","ukryj","odkryj")</f>
        <v>ukryj</v>
      </c>
    </row>
    <row r="2861" spans="1:4" x14ac:dyDescent="0.3">
      <c r="A2861" t="s">
        <v>5067</v>
      </c>
      <c r="B2861" t="s">
        <v>5514</v>
      </c>
      <c r="C2861" s="22" t="s">
        <v>7216</v>
      </c>
      <c r="D2861" t="str">
        <f>IF(Noty!K1703="n/a","ukryj","odkryj")</f>
        <v>odkryj</v>
      </c>
    </row>
    <row r="2862" spans="1:4" x14ac:dyDescent="0.3">
      <c r="A2862" t="s">
        <v>5067</v>
      </c>
      <c r="B2862" t="s">
        <v>5514</v>
      </c>
      <c r="C2862" s="22" t="s">
        <v>7217</v>
      </c>
      <c r="D2862" t="str">
        <f>IF(OR(Noty!K1696="",Noty!K1703=""),"odkryj","ukryj")</f>
        <v>odkryj</v>
      </c>
    </row>
    <row r="2863" spans="1:4" x14ac:dyDescent="0.3">
      <c r="A2863" t="s">
        <v>5067</v>
      </c>
      <c r="B2863" t="s">
        <v>5514</v>
      </c>
      <c r="C2863" s="22" t="s">
        <v>7218</v>
      </c>
      <c r="D2863" t="str">
        <f>IF(Noty!K1705="n/a","ukryj","odkryj")</f>
        <v>odkryj</v>
      </c>
    </row>
    <row r="2864" spans="1:4" x14ac:dyDescent="0.3">
      <c r="A2864" t="s">
        <v>5067</v>
      </c>
      <c r="B2864" t="s">
        <v>5514</v>
      </c>
      <c r="C2864" s="22" t="s">
        <v>7219</v>
      </c>
      <c r="D2864" t="str">
        <f>Noty!J1705</f>
        <v>odkryj</v>
      </c>
    </row>
    <row r="2865" spans="1:4" x14ac:dyDescent="0.3">
      <c r="A2865" t="s">
        <v>5067</v>
      </c>
      <c r="B2865" t="s">
        <v>5514</v>
      </c>
      <c r="C2865" s="22" t="s">
        <v>7220</v>
      </c>
      <c r="D2865" t="str">
        <f>Noty!J1706</f>
        <v>odkryj</v>
      </c>
    </row>
    <row r="2866" spans="1:4" x14ac:dyDescent="0.3">
      <c r="A2866" t="s">
        <v>5067</v>
      </c>
      <c r="B2866" t="s">
        <v>5514</v>
      </c>
      <c r="C2866" s="22" t="s">
        <v>7221</v>
      </c>
      <c r="D2866" t="str">
        <f>IF(Noty!C1708="","ukryj","odkryj")</f>
        <v>odkryj</v>
      </c>
    </row>
    <row r="2867" spans="1:4" x14ac:dyDescent="0.3">
      <c r="A2867" t="s">
        <v>5067</v>
      </c>
      <c r="B2867" t="s">
        <v>5514</v>
      </c>
      <c r="C2867" s="22" t="s">
        <v>7222</v>
      </c>
      <c r="D2867" t="str">
        <f>IF(Noty!C1708="","ukryj","odkryj")</f>
        <v>odkryj</v>
      </c>
    </row>
    <row r="2868" spans="1:4" x14ac:dyDescent="0.3">
      <c r="A2868" t="s">
        <v>5067</v>
      </c>
      <c r="B2868" t="s">
        <v>5514</v>
      </c>
      <c r="C2868" s="22" t="s">
        <v>7223</v>
      </c>
      <c r="D2868" t="str">
        <f>IF(Noty!C1708="","ukryj","odkryj")</f>
        <v>odkryj</v>
      </c>
    </row>
    <row r="2869" spans="1:4" x14ac:dyDescent="0.3">
      <c r="A2869" t="s">
        <v>5067</v>
      </c>
      <c r="B2869" t="s">
        <v>5514</v>
      </c>
      <c r="C2869" s="22" t="s">
        <v>7224</v>
      </c>
      <c r="D2869" t="str">
        <f>IF(Noty!C1708="","ukryj","odkryj")</f>
        <v>odkryj</v>
      </c>
    </row>
    <row r="2870" spans="1:4" x14ac:dyDescent="0.3">
      <c r="A2870" t="s">
        <v>5067</v>
      </c>
      <c r="B2870" t="s">
        <v>5514</v>
      </c>
      <c r="C2870" s="22" t="s">
        <v>7225</v>
      </c>
      <c r="D2870" t="str">
        <f>IF(Noty!C1708="","ukryj","odkryj")</f>
        <v>odkryj</v>
      </c>
    </row>
    <row r="2871" spans="1:4" x14ac:dyDescent="0.3">
      <c r="A2871" t="s">
        <v>5067</v>
      </c>
      <c r="B2871" t="s">
        <v>5514</v>
      </c>
      <c r="C2871" s="22" t="s">
        <v>7226</v>
      </c>
      <c r="D2871" t="str">
        <f>IF(Noty!C1708="","ukryj","odkryj")</f>
        <v>odkryj</v>
      </c>
    </row>
    <row r="2872" spans="1:4" x14ac:dyDescent="0.3">
      <c r="A2872" t="s">
        <v>5067</v>
      </c>
      <c r="B2872" t="s">
        <v>5514</v>
      </c>
      <c r="C2872" s="22" t="s">
        <v>7227</v>
      </c>
      <c r="D2872" t="str">
        <f>Noty!J1713</f>
        <v>odkryj</v>
      </c>
    </row>
    <row r="2873" spans="1:4" x14ac:dyDescent="0.3">
      <c r="A2873" t="s">
        <v>5067</v>
      </c>
      <c r="B2873" t="s">
        <v>5514</v>
      </c>
      <c r="C2873" s="22" t="s">
        <v>7228</v>
      </c>
      <c r="D2873" t="str">
        <f>IF(Noty!K1715="n/a","ukryj","odkryj")</f>
        <v>ukryj</v>
      </c>
    </row>
    <row r="2874" spans="1:4" x14ac:dyDescent="0.3">
      <c r="A2874" t="s">
        <v>5067</v>
      </c>
      <c r="B2874" t="s">
        <v>5514</v>
      </c>
      <c r="C2874" s="22" t="s">
        <v>7229</v>
      </c>
      <c r="D2874" t="str">
        <f>Noty!J1715</f>
        <v>ukryj</v>
      </c>
    </row>
    <row r="2875" spans="1:4" x14ac:dyDescent="0.3">
      <c r="A2875" t="s">
        <v>5067</v>
      </c>
      <c r="B2875" t="s">
        <v>5514</v>
      </c>
      <c r="C2875" s="22" t="s">
        <v>7230</v>
      </c>
      <c r="D2875" t="str">
        <f>IF(Noty!C1717="","ukryj","odkryj")</f>
        <v>ukryj</v>
      </c>
    </row>
    <row r="2876" spans="1:4" x14ac:dyDescent="0.3">
      <c r="A2876" t="s">
        <v>5067</v>
      </c>
      <c r="B2876" t="s">
        <v>5514</v>
      </c>
      <c r="C2876" s="22" t="s">
        <v>7231</v>
      </c>
      <c r="D2876" t="str">
        <f>IF(Noty!C1718="","ukryj","odkryj")</f>
        <v>ukryj</v>
      </c>
    </row>
    <row r="2877" spans="1:4" x14ac:dyDescent="0.3">
      <c r="A2877" t="s">
        <v>5067</v>
      </c>
      <c r="B2877" t="s">
        <v>5514</v>
      </c>
      <c r="C2877" s="22" t="s">
        <v>7232</v>
      </c>
      <c r="D2877" t="str">
        <f>IF(Noty!C1719="","ukryj","odkryj")</f>
        <v>ukryj</v>
      </c>
    </row>
    <row r="2878" spans="1:4" x14ac:dyDescent="0.3">
      <c r="A2878" t="s">
        <v>5067</v>
      </c>
      <c r="B2878" t="s">
        <v>5514</v>
      </c>
      <c r="C2878" s="22" t="s">
        <v>7233</v>
      </c>
      <c r="D2878" t="str">
        <f>IF(Noty!C1720="","ukryj","odkryj")</f>
        <v>ukryj</v>
      </c>
    </row>
    <row r="2879" spans="1:4" x14ac:dyDescent="0.3">
      <c r="A2879" t="s">
        <v>5067</v>
      </c>
      <c r="B2879" t="s">
        <v>5514</v>
      </c>
      <c r="C2879" s="22" t="s">
        <v>7234</v>
      </c>
      <c r="D2879" t="str">
        <f>IF(Noty!C1721="","ukryj","odkryj")</f>
        <v>ukryj</v>
      </c>
    </row>
    <row r="2880" spans="1:4" x14ac:dyDescent="0.3">
      <c r="A2880" t="s">
        <v>5067</v>
      </c>
      <c r="B2880" t="s">
        <v>5514</v>
      </c>
      <c r="C2880" s="22" t="s">
        <v>7235</v>
      </c>
      <c r="D2880" t="str">
        <f>IF(Noty!K1722="n/a","ukryj","odkryj")</f>
        <v>odkryj</v>
      </c>
    </row>
    <row r="2881" spans="1:4" x14ac:dyDescent="0.3">
      <c r="A2881" t="s">
        <v>5067</v>
      </c>
      <c r="B2881" t="s">
        <v>5514</v>
      </c>
      <c r="C2881" s="22" t="s">
        <v>7236</v>
      </c>
      <c r="D2881" t="str">
        <f>IF(OR(Noty!K1715="",Noty!K1722=""),"odkryj","ukryj")</f>
        <v>odkryj</v>
      </c>
    </row>
    <row r="2882" spans="1:4" x14ac:dyDescent="0.3">
      <c r="A2882" t="s">
        <v>5067</v>
      </c>
      <c r="B2882" t="s">
        <v>5514</v>
      </c>
      <c r="C2882" s="22" t="s">
        <v>7237</v>
      </c>
      <c r="D2882" t="str">
        <f>Noty!J1724</f>
        <v>odkryj</v>
      </c>
    </row>
    <row r="2883" spans="1:4" x14ac:dyDescent="0.3">
      <c r="A2883" t="s">
        <v>5067</v>
      </c>
      <c r="B2883" t="s">
        <v>5514</v>
      </c>
      <c r="C2883" s="22" t="s">
        <v>7238</v>
      </c>
      <c r="D2883" t="str">
        <f>Noty!J1725</f>
        <v>odkryj</v>
      </c>
    </row>
    <row r="2884" spans="1:4" x14ac:dyDescent="0.3">
      <c r="A2884" t="s">
        <v>5067</v>
      </c>
      <c r="B2884" t="s">
        <v>5514</v>
      </c>
      <c r="C2884" s="22" t="s">
        <v>7239</v>
      </c>
      <c r="D2884" t="str">
        <f>IF(Noty!C1727="","ukryj","odkryj")</f>
        <v>odkryj</v>
      </c>
    </row>
    <row r="2885" spans="1:4" x14ac:dyDescent="0.3">
      <c r="A2885" t="s">
        <v>5067</v>
      </c>
      <c r="B2885" t="s">
        <v>5514</v>
      </c>
      <c r="C2885" s="22" t="s">
        <v>7240</v>
      </c>
      <c r="D2885" t="str">
        <f>IF(Noty!C1727="","ukryj","odkryj")</f>
        <v>odkryj</v>
      </c>
    </row>
    <row r="2886" spans="1:4" x14ac:dyDescent="0.3">
      <c r="A2886" t="s">
        <v>5067</v>
      </c>
      <c r="B2886" t="s">
        <v>5514</v>
      </c>
      <c r="C2886" s="22" t="s">
        <v>7241</v>
      </c>
      <c r="D2886" t="str">
        <f>IF(Noty!C1727="","ukryj","odkryj")</f>
        <v>odkryj</v>
      </c>
    </row>
    <row r="2887" spans="1:4" x14ac:dyDescent="0.3">
      <c r="A2887" t="s">
        <v>5067</v>
      </c>
      <c r="B2887" t="s">
        <v>5514</v>
      </c>
      <c r="C2887" s="22" t="s">
        <v>7242</v>
      </c>
      <c r="D2887" t="str">
        <f>IF(Noty!C1727="","ukryj","odkryj")</f>
        <v>odkryj</v>
      </c>
    </row>
    <row r="2888" spans="1:4" x14ac:dyDescent="0.3">
      <c r="A2888" t="s">
        <v>5067</v>
      </c>
      <c r="B2888" t="s">
        <v>5514</v>
      </c>
      <c r="C2888" s="22" t="s">
        <v>7243</v>
      </c>
      <c r="D2888" t="str">
        <f>IF(Noty!C1727="","ukryj","odkryj")</f>
        <v>odkryj</v>
      </c>
    </row>
    <row r="2889" spans="1:4" x14ac:dyDescent="0.3">
      <c r="A2889" t="s">
        <v>5067</v>
      </c>
      <c r="B2889" t="s">
        <v>5514</v>
      </c>
      <c r="C2889" s="22" t="s">
        <v>7244</v>
      </c>
      <c r="D2889" t="str">
        <f>IF(Noty!C1727="","ukryj","odkryj")</f>
        <v>odkryj</v>
      </c>
    </row>
    <row r="2890" spans="1:4" x14ac:dyDescent="0.3">
      <c r="A2890" t="s">
        <v>5067</v>
      </c>
      <c r="B2890" t="s">
        <v>5514</v>
      </c>
      <c r="C2890" s="22" t="s">
        <v>7245</v>
      </c>
      <c r="D2890" t="str">
        <f>Noty!J1732</f>
        <v>odkryj</v>
      </c>
    </row>
    <row r="2891" spans="1:4" x14ac:dyDescent="0.3">
      <c r="A2891" t="s">
        <v>5067</v>
      </c>
      <c r="B2891" t="s">
        <v>5514</v>
      </c>
      <c r="C2891" s="22" t="s">
        <v>7246</v>
      </c>
      <c r="D2891" t="str">
        <f>IF(Noty!K1734="n/a","ukryj","odkryj")</f>
        <v>ukryj</v>
      </c>
    </row>
    <row r="2892" spans="1:4" x14ac:dyDescent="0.3">
      <c r="A2892" t="s">
        <v>5067</v>
      </c>
      <c r="B2892" t="s">
        <v>5514</v>
      </c>
      <c r="C2892" s="22" t="s">
        <v>7247</v>
      </c>
      <c r="D2892" t="str">
        <f>Noty!J1734</f>
        <v>ukryj</v>
      </c>
    </row>
    <row r="2893" spans="1:4" x14ac:dyDescent="0.3">
      <c r="A2893" t="s">
        <v>5067</v>
      </c>
      <c r="B2893" t="s">
        <v>5514</v>
      </c>
      <c r="C2893" s="22" t="s">
        <v>7248</v>
      </c>
      <c r="D2893" t="str">
        <f>IF(Noty!C1736="","ukryj","odkryj")</f>
        <v>ukryj</v>
      </c>
    </row>
    <row r="2894" spans="1:4" x14ac:dyDescent="0.3">
      <c r="A2894" t="s">
        <v>5067</v>
      </c>
      <c r="B2894" t="s">
        <v>5514</v>
      </c>
      <c r="C2894" s="22" t="s">
        <v>7249</v>
      </c>
      <c r="D2894" t="str">
        <f>IF(Noty!C1737="","ukryj","odkryj")</f>
        <v>ukryj</v>
      </c>
    </row>
    <row r="2895" spans="1:4" x14ac:dyDescent="0.3">
      <c r="A2895" t="s">
        <v>5067</v>
      </c>
      <c r="B2895" t="s">
        <v>5514</v>
      </c>
      <c r="C2895" s="22" t="s">
        <v>7250</v>
      </c>
      <c r="D2895" t="str">
        <f>IF(Noty!C1738="","ukryj","odkryj")</f>
        <v>ukryj</v>
      </c>
    </row>
    <row r="2896" spans="1:4" x14ac:dyDescent="0.3">
      <c r="A2896" t="s">
        <v>5067</v>
      </c>
      <c r="B2896" t="s">
        <v>5514</v>
      </c>
      <c r="C2896" s="22" t="s">
        <v>7251</v>
      </c>
      <c r="D2896" t="str">
        <f>IF(Noty!C1739="","ukryj","odkryj")</f>
        <v>ukryj</v>
      </c>
    </row>
    <row r="2897" spans="1:4" x14ac:dyDescent="0.3">
      <c r="A2897" t="s">
        <v>5067</v>
      </c>
      <c r="B2897" t="s">
        <v>5514</v>
      </c>
      <c r="C2897" s="22" t="s">
        <v>7252</v>
      </c>
      <c r="D2897" t="str">
        <f>IF(Noty!C1740="","ukryj","odkryj")</f>
        <v>ukryj</v>
      </c>
    </row>
    <row r="2898" spans="1:4" x14ac:dyDescent="0.3">
      <c r="A2898" t="s">
        <v>5067</v>
      </c>
      <c r="B2898" t="s">
        <v>5514</v>
      </c>
      <c r="C2898" s="22" t="s">
        <v>7253</v>
      </c>
      <c r="D2898" t="str">
        <f>IF(Noty!K1741="n/a","ukryj","odkryj")</f>
        <v>odkryj</v>
      </c>
    </row>
    <row r="2899" spans="1:4" x14ac:dyDescent="0.3">
      <c r="A2899" t="s">
        <v>5067</v>
      </c>
      <c r="B2899" t="s">
        <v>5514</v>
      </c>
      <c r="C2899" s="22" t="s">
        <v>7254</v>
      </c>
      <c r="D2899" t="str">
        <f>IF(OR(Noty!K1734="",Noty!K1741=""),"odkryj","ukryj")</f>
        <v>odkryj</v>
      </c>
    </row>
    <row r="2900" spans="1:4" x14ac:dyDescent="0.3">
      <c r="A2900" t="s">
        <v>5067</v>
      </c>
      <c r="B2900" t="s">
        <v>5514</v>
      </c>
      <c r="C2900" s="22" t="s">
        <v>7255</v>
      </c>
      <c r="D2900" t="s">
        <v>5070</v>
      </c>
    </row>
    <row r="2901" spans="1:4" x14ac:dyDescent="0.3">
      <c r="A2901" t="s">
        <v>5067</v>
      </c>
      <c r="B2901" t="s">
        <v>5514</v>
      </c>
      <c r="C2901" s="22" t="s">
        <v>7256</v>
      </c>
      <c r="D2901" t="s">
        <v>5070</v>
      </c>
    </row>
    <row r="2902" spans="1:4" x14ac:dyDescent="0.3">
      <c r="A2902" t="s">
        <v>5067</v>
      </c>
      <c r="B2902" t="s">
        <v>5514</v>
      </c>
      <c r="C2902" s="22" t="s">
        <v>7257</v>
      </c>
      <c r="D2902" t="s">
        <v>5070</v>
      </c>
    </row>
    <row r="2903" spans="1:4" x14ac:dyDescent="0.3">
      <c r="A2903" t="s">
        <v>5067</v>
      </c>
      <c r="B2903" t="s">
        <v>5514</v>
      </c>
      <c r="C2903" s="22" t="s">
        <v>7258</v>
      </c>
      <c r="D2903" t="s">
        <v>5070</v>
      </c>
    </row>
    <row r="2904" spans="1:4" x14ac:dyDescent="0.3">
      <c r="A2904" t="s">
        <v>5067</v>
      </c>
      <c r="B2904" t="s">
        <v>5514</v>
      </c>
      <c r="C2904" s="22" t="s">
        <v>7259</v>
      </c>
      <c r="D2904" t="s">
        <v>5070</v>
      </c>
    </row>
    <row r="2905" spans="1:4" x14ac:dyDescent="0.3">
      <c r="A2905" t="s">
        <v>5067</v>
      </c>
      <c r="B2905" t="s">
        <v>5514</v>
      </c>
      <c r="C2905" s="22" t="s">
        <v>7260</v>
      </c>
      <c r="D2905" t="str">
        <f>IF(Noty!B1748="nazwisko","ukryj","odkryj")</f>
        <v>odkryj</v>
      </c>
    </row>
    <row r="2906" spans="1:4" x14ac:dyDescent="0.3">
      <c r="A2906" t="s">
        <v>5067</v>
      </c>
      <c r="B2906" t="s">
        <v>5514</v>
      </c>
      <c r="C2906" s="22" t="s">
        <v>7261</v>
      </c>
      <c r="D2906" t="str">
        <f>Noty!J1748</f>
        <v>odkryj</v>
      </c>
    </row>
    <row r="2907" spans="1:4" x14ac:dyDescent="0.3">
      <c r="A2907" t="s">
        <v>5067</v>
      </c>
      <c r="B2907" t="s">
        <v>5514</v>
      </c>
      <c r="C2907" s="22" t="s">
        <v>7262</v>
      </c>
      <c r="D2907" t="str">
        <f>Noty!J1749</f>
        <v>odkryj</v>
      </c>
    </row>
    <row r="2908" spans="1:4" x14ac:dyDescent="0.3">
      <c r="A2908" t="s">
        <v>5067</v>
      </c>
      <c r="B2908" t="s">
        <v>5514</v>
      </c>
      <c r="C2908" s="22" t="s">
        <v>7263</v>
      </c>
      <c r="D2908" t="str">
        <f>IF(Noty!B1751="nazwisko","ukryj","odkryj")</f>
        <v>odkryj</v>
      </c>
    </row>
    <row r="2909" spans="1:4" x14ac:dyDescent="0.3">
      <c r="A2909" t="s">
        <v>5067</v>
      </c>
      <c r="B2909" t="s">
        <v>5514</v>
      </c>
      <c r="C2909" s="22" t="s">
        <v>7264</v>
      </c>
      <c r="D2909" t="str">
        <f>Noty!J1751</f>
        <v>odkryj</v>
      </c>
    </row>
    <row r="2910" spans="1:4" x14ac:dyDescent="0.3">
      <c r="A2910" t="s">
        <v>5067</v>
      </c>
      <c r="B2910" t="s">
        <v>5514</v>
      </c>
      <c r="C2910" s="22" t="s">
        <v>7265</v>
      </c>
      <c r="D2910" t="str">
        <f>Noty!J1752</f>
        <v>odkryj</v>
      </c>
    </row>
    <row r="2911" spans="1:4" x14ac:dyDescent="0.3">
      <c r="A2911" t="s">
        <v>5067</v>
      </c>
      <c r="B2911" t="s">
        <v>5514</v>
      </c>
      <c r="C2911" s="22" t="s">
        <v>7266</v>
      </c>
      <c r="D2911" t="str">
        <f>IF(Noty!B1754="nazwisko","ukryj","odkryj")</f>
        <v>odkryj</v>
      </c>
    </row>
    <row r="2912" spans="1:4" x14ac:dyDescent="0.3">
      <c r="A2912" t="s">
        <v>5067</v>
      </c>
      <c r="B2912" t="s">
        <v>5514</v>
      </c>
      <c r="C2912" s="22" t="s">
        <v>7267</v>
      </c>
      <c r="D2912" t="str">
        <f>Noty!J1754</f>
        <v>odkryj</v>
      </c>
    </row>
    <row r="2913" spans="1:5" x14ac:dyDescent="0.3">
      <c r="A2913" t="s">
        <v>5067</v>
      </c>
      <c r="B2913" t="s">
        <v>5514</v>
      </c>
      <c r="C2913" s="22" t="s">
        <v>7268</v>
      </c>
      <c r="D2913" t="str">
        <f>Noty!J1755</f>
        <v>odkryj</v>
      </c>
    </row>
    <row r="2914" spans="1:5" x14ac:dyDescent="0.3">
      <c r="A2914" t="s">
        <v>5067</v>
      </c>
      <c r="B2914" t="s">
        <v>5514</v>
      </c>
      <c r="C2914" s="22" t="s">
        <v>7269</v>
      </c>
      <c r="D2914" t="str">
        <f>IF(Noty!B1757="nazwisko","ukryj","odkryj")</f>
        <v>odkryj</v>
      </c>
    </row>
    <row r="2915" spans="1:5" x14ac:dyDescent="0.3">
      <c r="A2915" t="s">
        <v>5067</v>
      </c>
      <c r="B2915" t="s">
        <v>5514</v>
      </c>
      <c r="C2915" s="22" t="s">
        <v>7270</v>
      </c>
      <c r="D2915" t="str">
        <f>Noty!J1757</f>
        <v>odkryj</v>
      </c>
    </row>
    <row r="2916" spans="1:5" x14ac:dyDescent="0.3">
      <c r="A2916" t="s">
        <v>5067</v>
      </c>
      <c r="B2916" t="s">
        <v>5514</v>
      </c>
      <c r="C2916" s="22" t="s">
        <v>7271</v>
      </c>
      <c r="D2916" t="str">
        <f>Noty!J1758</f>
        <v>odkryj</v>
      </c>
    </row>
    <row r="2917" spans="1:5" x14ac:dyDescent="0.3">
      <c r="A2917" t="s">
        <v>5067</v>
      </c>
      <c r="B2917" t="s">
        <v>5514</v>
      </c>
      <c r="C2917" s="22" t="s">
        <v>7272</v>
      </c>
      <c r="D2917" t="str">
        <f>IF(Noty!B1760="nazwisko","ukryj","odkryj")</f>
        <v>odkryj</v>
      </c>
    </row>
    <row r="2918" spans="1:5" x14ac:dyDescent="0.3">
      <c r="A2918" t="s">
        <v>5067</v>
      </c>
      <c r="B2918" t="s">
        <v>5514</v>
      </c>
      <c r="C2918" s="22" t="s">
        <v>7273</v>
      </c>
      <c r="D2918" t="str">
        <f>Noty!J1760</f>
        <v>odkryj</v>
      </c>
    </row>
    <row r="2919" spans="1:5" x14ac:dyDescent="0.3">
      <c r="A2919" t="s">
        <v>5067</v>
      </c>
      <c r="B2919" t="s">
        <v>5514</v>
      </c>
      <c r="C2919" s="22" t="s">
        <v>7274</v>
      </c>
      <c r="D2919" t="str">
        <f>Noty!J1761</f>
        <v>odkryj</v>
      </c>
    </row>
    <row r="2920" spans="1:5" x14ac:dyDescent="0.3">
      <c r="A2920" t="s">
        <v>5067</v>
      </c>
      <c r="B2920" t="s">
        <v>5514</v>
      </c>
      <c r="C2920" s="22" t="s">
        <v>7275</v>
      </c>
      <c r="D2920" t="str">
        <f>IF(LEFT(Input!L41,5)="Shelf","ukryj","odkryj")</f>
        <v>odkryj</v>
      </c>
    </row>
    <row r="2921" spans="1:5" x14ac:dyDescent="0.3">
      <c r="A2921" t="s">
        <v>5067</v>
      </c>
      <c r="B2921" t="s">
        <v>5514</v>
      </c>
      <c r="C2921" s="22" t="s">
        <v>7276</v>
      </c>
      <c r="D2921" t="str">
        <f>IF(LEFT(Input!L41,5)="Shelf","ukryj","odkryj")</f>
        <v>odkryj</v>
      </c>
    </row>
    <row r="2922" spans="1:5" x14ac:dyDescent="0.3">
      <c r="A2922" t="s">
        <v>5067</v>
      </c>
      <c r="B2922" t="s">
        <v>5514</v>
      </c>
      <c r="C2922" s="22" t="s">
        <v>7277</v>
      </c>
      <c r="D2922" t="s">
        <v>5070</v>
      </c>
    </row>
    <row r="2923" spans="1:5" x14ac:dyDescent="0.3">
      <c r="A2923" t="s">
        <v>7278</v>
      </c>
      <c r="B2923" t="s">
        <v>7279</v>
      </c>
      <c r="D2923">
        <v>1</v>
      </c>
      <c r="E2923" t="s">
        <v>7280</v>
      </c>
    </row>
    <row r="2924" spans="1:5" x14ac:dyDescent="0.3">
      <c r="A2924" t="s">
        <v>7278</v>
      </c>
      <c r="B2924" t="s">
        <v>7279</v>
      </c>
      <c r="D2924">
        <v>1</v>
      </c>
      <c r="E2924" t="s">
        <v>7281</v>
      </c>
    </row>
    <row r="2925" spans="1:5" x14ac:dyDescent="0.3">
      <c r="A2925" t="s">
        <v>7278</v>
      </c>
      <c r="B2925" t="s">
        <v>7279</v>
      </c>
      <c r="D2925" t="b">
        <v>1</v>
      </c>
      <c r="E2925" t="s">
        <v>7282</v>
      </c>
    </row>
    <row r="2926" spans="1:5" x14ac:dyDescent="0.3">
      <c r="A2926" t="s">
        <v>7278</v>
      </c>
      <c r="B2926" t="s">
        <v>7279</v>
      </c>
      <c r="D2926" t="b">
        <v>0</v>
      </c>
      <c r="E2926" t="s">
        <v>7283</v>
      </c>
    </row>
    <row r="2927" spans="1:5" x14ac:dyDescent="0.3">
      <c r="A2927" t="s">
        <v>7278</v>
      </c>
      <c r="B2927" t="s">
        <v>7279</v>
      </c>
      <c r="D2927" t="b">
        <v>0</v>
      </c>
      <c r="E2927" t="s">
        <v>7284</v>
      </c>
    </row>
    <row r="2928" spans="1:5" x14ac:dyDescent="0.3">
      <c r="A2928" t="s">
        <v>7278</v>
      </c>
      <c r="B2928" t="s">
        <v>7279</v>
      </c>
      <c r="C2928" s="22" t="s">
        <v>7285</v>
      </c>
      <c r="D2928">
        <v>115.43</v>
      </c>
      <c r="E2928" t="s">
        <v>7286</v>
      </c>
    </row>
    <row r="2929" spans="1:5" x14ac:dyDescent="0.3">
      <c r="A2929" t="s">
        <v>7278</v>
      </c>
      <c r="B2929" t="s">
        <v>7279</v>
      </c>
      <c r="C2929" s="22" t="s">
        <v>7287</v>
      </c>
      <c r="D2929">
        <v>1.57</v>
      </c>
      <c r="E2929" t="s">
        <v>7286</v>
      </c>
    </row>
    <row r="2930" spans="1:5" x14ac:dyDescent="0.3">
      <c r="A2930" t="s">
        <v>7278</v>
      </c>
      <c r="B2930" t="s">
        <v>7279</v>
      </c>
      <c r="C2930" s="22" t="s">
        <v>7288</v>
      </c>
      <c r="D2930">
        <v>0</v>
      </c>
      <c r="E2930" t="s">
        <v>7286</v>
      </c>
    </row>
    <row r="2931" spans="1:5" x14ac:dyDescent="0.3">
      <c r="A2931" t="s">
        <v>7278</v>
      </c>
      <c r="B2931" t="s">
        <v>7279</v>
      </c>
      <c r="C2931" s="22" t="s">
        <v>7289</v>
      </c>
      <c r="D2931">
        <v>115.5</v>
      </c>
      <c r="E2931" t="s">
        <v>7290</v>
      </c>
    </row>
    <row r="2932" spans="1:5" x14ac:dyDescent="0.3">
      <c r="A2932" t="s">
        <v>7278</v>
      </c>
      <c r="B2932" t="s">
        <v>7279</v>
      </c>
      <c r="C2932" s="22" t="s">
        <v>7291</v>
      </c>
      <c r="D2932">
        <v>15.75</v>
      </c>
      <c r="E2932" t="s">
        <v>7290</v>
      </c>
    </row>
    <row r="2933" spans="1:5" x14ac:dyDescent="0.3">
      <c r="A2933" t="s">
        <v>7278</v>
      </c>
      <c r="B2933" t="s">
        <v>7279</v>
      </c>
      <c r="C2933" s="22" t="s">
        <v>7292</v>
      </c>
      <c r="D2933">
        <v>25.5</v>
      </c>
      <c r="E2933" t="s">
        <v>7290</v>
      </c>
    </row>
    <row r="2934" spans="1:5" x14ac:dyDescent="0.3">
      <c r="A2934" t="s">
        <v>7278</v>
      </c>
      <c r="B2934" t="s">
        <v>7279</v>
      </c>
      <c r="C2934" s="22" t="s">
        <v>7293</v>
      </c>
      <c r="D2934">
        <v>28.5</v>
      </c>
      <c r="E2934" t="s">
        <v>7290</v>
      </c>
    </row>
    <row r="2935" spans="1:5" x14ac:dyDescent="0.3">
      <c r="A2935" t="s">
        <v>7278</v>
      </c>
      <c r="B2935" t="s">
        <v>5068</v>
      </c>
      <c r="D2935">
        <v>1</v>
      </c>
      <c r="E2935" t="s">
        <v>7280</v>
      </c>
    </row>
    <row r="2936" spans="1:5" x14ac:dyDescent="0.3">
      <c r="A2936" t="s">
        <v>7278</v>
      </c>
      <c r="B2936" t="s">
        <v>5068</v>
      </c>
      <c r="D2936">
        <v>1</v>
      </c>
      <c r="E2936" t="s">
        <v>7281</v>
      </c>
    </row>
    <row r="2937" spans="1:5" x14ac:dyDescent="0.3">
      <c r="A2937" t="s">
        <v>7278</v>
      </c>
      <c r="B2937" t="s">
        <v>5068</v>
      </c>
      <c r="D2937" t="b">
        <v>1</v>
      </c>
      <c r="E2937" t="s">
        <v>7282</v>
      </c>
    </row>
    <row r="2938" spans="1:5" x14ac:dyDescent="0.3">
      <c r="A2938" t="s">
        <v>7278</v>
      </c>
      <c r="B2938" t="s">
        <v>5068</v>
      </c>
      <c r="D2938" t="s">
        <v>7294</v>
      </c>
      <c r="E2938" t="s">
        <v>7295</v>
      </c>
    </row>
    <row r="2939" spans="1:5" x14ac:dyDescent="0.3">
      <c r="A2939" t="s">
        <v>7278</v>
      </c>
      <c r="B2939" t="s">
        <v>5068</v>
      </c>
      <c r="D2939" t="b">
        <v>0</v>
      </c>
      <c r="E2939" t="s">
        <v>7283</v>
      </c>
    </row>
    <row r="2940" spans="1:5" x14ac:dyDescent="0.3">
      <c r="A2940" t="s">
        <v>7278</v>
      </c>
      <c r="B2940" t="s">
        <v>5068</v>
      </c>
      <c r="D2940">
        <v>90</v>
      </c>
      <c r="E2940" t="s">
        <v>7284</v>
      </c>
    </row>
    <row r="2941" spans="1:5" x14ac:dyDescent="0.3">
      <c r="A2941" t="s">
        <v>7278</v>
      </c>
      <c r="B2941" t="s">
        <v>5068</v>
      </c>
      <c r="C2941" s="22" t="s">
        <v>7285</v>
      </c>
      <c r="D2941">
        <v>93.29</v>
      </c>
      <c r="E2941" t="s">
        <v>7286</v>
      </c>
    </row>
    <row r="2942" spans="1:5" x14ac:dyDescent="0.3">
      <c r="A2942" t="s">
        <v>7278</v>
      </c>
      <c r="B2942" t="s">
        <v>5068</v>
      </c>
      <c r="C2942" s="22" t="s">
        <v>7296</v>
      </c>
      <c r="D2942">
        <v>0</v>
      </c>
      <c r="E2942" t="s">
        <v>7286</v>
      </c>
    </row>
    <row r="2943" spans="1:5" x14ac:dyDescent="0.3">
      <c r="A2943" t="s">
        <v>7278</v>
      </c>
      <c r="B2943" t="s">
        <v>5068</v>
      </c>
      <c r="C2943" s="22" t="s">
        <v>7297</v>
      </c>
      <c r="D2943">
        <v>2.57</v>
      </c>
      <c r="E2943" t="s">
        <v>7286</v>
      </c>
    </row>
    <row r="2944" spans="1:5" x14ac:dyDescent="0.3">
      <c r="A2944" t="s">
        <v>7278</v>
      </c>
      <c r="B2944" t="s">
        <v>5068</v>
      </c>
      <c r="C2944" s="22" t="s">
        <v>7289</v>
      </c>
      <c r="D2944">
        <v>25.5</v>
      </c>
      <c r="E2944" t="s">
        <v>7290</v>
      </c>
    </row>
    <row r="2945" spans="1:5" x14ac:dyDescent="0.3">
      <c r="A2945" t="s">
        <v>7278</v>
      </c>
      <c r="B2945" t="s">
        <v>5068</v>
      </c>
      <c r="C2945" s="22" t="s">
        <v>7291</v>
      </c>
      <c r="D2945">
        <v>15.75</v>
      </c>
      <c r="E2945" t="s">
        <v>7290</v>
      </c>
    </row>
    <row r="2946" spans="1:5" x14ac:dyDescent="0.3">
      <c r="A2946" t="s">
        <v>7278</v>
      </c>
      <c r="B2946" t="s">
        <v>5068</v>
      </c>
      <c r="C2946" s="22" t="s">
        <v>7292</v>
      </c>
      <c r="D2946">
        <v>15</v>
      </c>
      <c r="E2946" t="s">
        <v>7290</v>
      </c>
    </row>
    <row r="2947" spans="1:5" x14ac:dyDescent="0.3">
      <c r="A2947" t="s">
        <v>7278</v>
      </c>
      <c r="B2947" t="s">
        <v>5068</v>
      </c>
      <c r="C2947" s="22" t="s">
        <v>7293</v>
      </c>
      <c r="D2947">
        <v>99.75</v>
      </c>
      <c r="E2947" t="s">
        <v>7290</v>
      </c>
    </row>
    <row r="2948" spans="1:5" x14ac:dyDescent="0.3">
      <c r="A2948" t="s">
        <v>7278</v>
      </c>
      <c r="B2948" t="s">
        <v>5068</v>
      </c>
      <c r="C2948" s="22" t="s">
        <v>7298</v>
      </c>
      <c r="D2948">
        <v>20.25</v>
      </c>
      <c r="E2948" t="s">
        <v>7290</v>
      </c>
    </row>
    <row r="2949" spans="1:5" x14ac:dyDescent="0.3">
      <c r="A2949" t="s">
        <v>7278</v>
      </c>
      <c r="B2949" t="s">
        <v>5068</v>
      </c>
      <c r="C2949" s="22" t="s">
        <v>7299</v>
      </c>
      <c r="D2949">
        <v>15.75</v>
      </c>
      <c r="E2949" t="s">
        <v>7290</v>
      </c>
    </row>
    <row r="2950" spans="1:5" x14ac:dyDescent="0.3">
      <c r="A2950" t="s">
        <v>7278</v>
      </c>
      <c r="B2950" t="s">
        <v>5068</v>
      </c>
      <c r="C2950" s="22" t="s">
        <v>7300</v>
      </c>
      <c r="D2950">
        <v>22</v>
      </c>
      <c r="E2950" t="s">
        <v>7290</v>
      </c>
    </row>
    <row r="2951" spans="1:5" x14ac:dyDescent="0.3">
      <c r="A2951" t="s">
        <v>7278</v>
      </c>
      <c r="B2951" t="s">
        <v>5078</v>
      </c>
      <c r="D2951">
        <v>1</v>
      </c>
      <c r="E2951" t="s">
        <v>7280</v>
      </c>
    </row>
    <row r="2952" spans="1:5" x14ac:dyDescent="0.3">
      <c r="A2952" t="s">
        <v>7278</v>
      </c>
      <c r="B2952" t="s">
        <v>5078</v>
      </c>
      <c r="D2952">
        <v>1</v>
      </c>
      <c r="E2952" t="s">
        <v>7281</v>
      </c>
    </row>
    <row r="2953" spans="1:5" x14ac:dyDescent="0.3">
      <c r="A2953" t="s">
        <v>7278</v>
      </c>
      <c r="B2953" t="s">
        <v>5078</v>
      </c>
      <c r="D2953" t="b">
        <v>1</v>
      </c>
      <c r="E2953" t="s">
        <v>7282</v>
      </c>
    </row>
    <row r="2954" spans="1:5" x14ac:dyDescent="0.3">
      <c r="A2954" t="s">
        <v>7278</v>
      </c>
      <c r="B2954" t="s">
        <v>5078</v>
      </c>
      <c r="D2954" t="s">
        <v>7294</v>
      </c>
      <c r="E2954" t="s">
        <v>7295</v>
      </c>
    </row>
    <row r="2955" spans="1:5" x14ac:dyDescent="0.3">
      <c r="A2955" t="s">
        <v>7278</v>
      </c>
      <c r="B2955" t="s">
        <v>5078</v>
      </c>
      <c r="D2955" t="b">
        <v>0</v>
      </c>
      <c r="E2955" t="s">
        <v>7283</v>
      </c>
    </row>
    <row r="2956" spans="1:5" x14ac:dyDescent="0.3">
      <c r="A2956" t="s">
        <v>7278</v>
      </c>
      <c r="B2956" t="s">
        <v>5078</v>
      </c>
      <c r="D2956">
        <v>90</v>
      </c>
      <c r="E2956" t="s">
        <v>7284</v>
      </c>
    </row>
    <row r="2957" spans="1:5" x14ac:dyDescent="0.3">
      <c r="A2957" t="s">
        <v>7278</v>
      </c>
      <c r="B2957" t="s">
        <v>5078</v>
      </c>
      <c r="C2957" s="22" t="s">
        <v>7285</v>
      </c>
      <c r="D2957">
        <v>95.86</v>
      </c>
      <c r="E2957" t="s">
        <v>7286</v>
      </c>
    </row>
    <row r="2958" spans="1:5" x14ac:dyDescent="0.3">
      <c r="A2958" t="s">
        <v>7278</v>
      </c>
      <c r="B2958" t="s">
        <v>5078</v>
      </c>
      <c r="C2958" s="22" t="s">
        <v>7287</v>
      </c>
      <c r="D2958">
        <v>0.42</v>
      </c>
      <c r="E2958" t="s">
        <v>7286</v>
      </c>
    </row>
    <row r="2959" spans="1:5" x14ac:dyDescent="0.3">
      <c r="A2959" t="s">
        <v>7278</v>
      </c>
      <c r="B2959" t="s">
        <v>5078</v>
      </c>
      <c r="C2959" s="22" t="s">
        <v>7288</v>
      </c>
      <c r="D2959">
        <v>2.71</v>
      </c>
      <c r="E2959" t="s">
        <v>7286</v>
      </c>
    </row>
    <row r="2960" spans="1:5" x14ac:dyDescent="0.3">
      <c r="A2960" t="s">
        <v>7278</v>
      </c>
      <c r="B2960" t="s">
        <v>5078</v>
      </c>
      <c r="C2960" s="22" t="s">
        <v>7297</v>
      </c>
      <c r="D2960">
        <v>0</v>
      </c>
      <c r="E2960" t="s">
        <v>7286</v>
      </c>
    </row>
    <row r="2961" spans="1:5" x14ac:dyDescent="0.3">
      <c r="A2961" t="s">
        <v>7278</v>
      </c>
      <c r="B2961" t="s">
        <v>5078</v>
      </c>
      <c r="C2961" s="22" t="s">
        <v>7301</v>
      </c>
      <c r="D2961">
        <v>15.75</v>
      </c>
      <c r="E2961" t="s">
        <v>7290</v>
      </c>
    </row>
    <row r="2962" spans="1:5" x14ac:dyDescent="0.3">
      <c r="A2962" t="s">
        <v>7278</v>
      </c>
      <c r="B2962" t="s">
        <v>5078</v>
      </c>
      <c r="C2962" s="22" t="s">
        <v>7293</v>
      </c>
      <c r="D2962">
        <v>101.25</v>
      </c>
      <c r="E2962" t="s">
        <v>7290</v>
      </c>
    </row>
    <row r="2963" spans="1:5" x14ac:dyDescent="0.3">
      <c r="A2963" t="s">
        <v>7278</v>
      </c>
      <c r="B2963" t="s">
        <v>5078</v>
      </c>
      <c r="C2963" s="22" t="s">
        <v>7298</v>
      </c>
      <c r="D2963">
        <v>15.75</v>
      </c>
      <c r="E2963" t="s">
        <v>7290</v>
      </c>
    </row>
    <row r="2964" spans="1:5" x14ac:dyDescent="0.3">
      <c r="A2964" t="s">
        <v>7278</v>
      </c>
      <c r="B2964" t="s">
        <v>5078</v>
      </c>
      <c r="C2964" s="22" t="s">
        <v>7299</v>
      </c>
      <c r="D2964">
        <v>15</v>
      </c>
      <c r="E2964" t="s">
        <v>7290</v>
      </c>
    </row>
    <row r="2965" spans="1:5" x14ac:dyDescent="0.3">
      <c r="A2965" t="s">
        <v>7278</v>
      </c>
      <c r="B2965" t="s">
        <v>5078</v>
      </c>
      <c r="C2965" s="22" t="s">
        <v>7302</v>
      </c>
      <c r="D2965">
        <v>15.75</v>
      </c>
      <c r="E2965" t="s">
        <v>7290</v>
      </c>
    </row>
    <row r="2966" spans="1:5" x14ac:dyDescent="0.3">
      <c r="A2966" t="s">
        <v>7278</v>
      </c>
      <c r="B2966" t="s">
        <v>5078</v>
      </c>
      <c r="C2966" s="22" t="s">
        <v>7303</v>
      </c>
      <c r="D2966">
        <v>15</v>
      </c>
      <c r="E2966" t="s">
        <v>7290</v>
      </c>
    </row>
    <row r="2967" spans="1:5" x14ac:dyDescent="0.3">
      <c r="A2967" t="s">
        <v>7278</v>
      </c>
      <c r="B2967" t="s">
        <v>5078</v>
      </c>
      <c r="C2967" s="22" t="s">
        <v>7304</v>
      </c>
      <c r="D2967">
        <v>15.75</v>
      </c>
      <c r="E2967" t="s">
        <v>7290</v>
      </c>
    </row>
    <row r="2968" spans="1:5" x14ac:dyDescent="0.3">
      <c r="A2968" t="s">
        <v>7278</v>
      </c>
      <c r="B2968" t="s">
        <v>5078</v>
      </c>
      <c r="C2968" s="22" t="s">
        <v>7305</v>
      </c>
      <c r="D2968">
        <v>15</v>
      </c>
      <c r="E2968" t="s">
        <v>7290</v>
      </c>
    </row>
    <row r="2969" spans="1:5" x14ac:dyDescent="0.3">
      <c r="A2969" t="s">
        <v>7278</v>
      </c>
      <c r="B2969" t="s">
        <v>5078</v>
      </c>
      <c r="C2969" s="22" t="s">
        <v>7306</v>
      </c>
      <c r="D2969">
        <v>15.75</v>
      </c>
      <c r="E2969" t="s">
        <v>7290</v>
      </c>
    </row>
    <row r="2970" spans="1:5" x14ac:dyDescent="0.3">
      <c r="A2970" t="s">
        <v>7278</v>
      </c>
      <c r="B2970" t="s">
        <v>5078</v>
      </c>
      <c r="C2970" s="22" t="s">
        <v>7307</v>
      </c>
      <c r="D2970">
        <v>28.5</v>
      </c>
      <c r="E2970" t="s">
        <v>7290</v>
      </c>
    </row>
    <row r="2971" spans="1:5" x14ac:dyDescent="0.3">
      <c r="A2971" t="s">
        <v>7278</v>
      </c>
      <c r="B2971" t="s">
        <v>5078</v>
      </c>
      <c r="C2971" s="22" t="s">
        <v>7308</v>
      </c>
      <c r="D2971">
        <v>15.75</v>
      </c>
      <c r="E2971" t="s">
        <v>7290</v>
      </c>
    </row>
    <row r="2972" spans="1:5" x14ac:dyDescent="0.3">
      <c r="A2972" t="s">
        <v>7278</v>
      </c>
      <c r="B2972" t="s">
        <v>5078</v>
      </c>
      <c r="C2972" s="22" t="s">
        <v>7309</v>
      </c>
      <c r="D2972">
        <v>31.5</v>
      </c>
      <c r="E2972" t="s">
        <v>7290</v>
      </c>
    </row>
    <row r="2973" spans="1:5" x14ac:dyDescent="0.3">
      <c r="A2973" t="s">
        <v>7278</v>
      </c>
      <c r="B2973" t="s">
        <v>5078</v>
      </c>
      <c r="C2973" s="22" t="s">
        <v>7310</v>
      </c>
      <c r="D2973">
        <v>15.75</v>
      </c>
      <c r="E2973" t="s">
        <v>7290</v>
      </c>
    </row>
    <row r="2974" spans="1:5" x14ac:dyDescent="0.3">
      <c r="A2974" t="s">
        <v>7278</v>
      </c>
      <c r="B2974" t="s">
        <v>5078</v>
      </c>
      <c r="C2974" s="22" t="s">
        <v>7311</v>
      </c>
      <c r="D2974">
        <v>15</v>
      </c>
      <c r="E2974" t="s">
        <v>7290</v>
      </c>
    </row>
    <row r="2975" spans="1:5" x14ac:dyDescent="0.3">
      <c r="A2975" t="s">
        <v>7278</v>
      </c>
      <c r="B2975" t="s">
        <v>5078</v>
      </c>
      <c r="C2975" s="22" t="s">
        <v>7312</v>
      </c>
      <c r="D2975">
        <v>15.75</v>
      </c>
      <c r="E2975" t="s">
        <v>7290</v>
      </c>
    </row>
    <row r="2976" spans="1:5" x14ac:dyDescent="0.3">
      <c r="A2976" t="s">
        <v>7278</v>
      </c>
      <c r="B2976" t="s">
        <v>5123</v>
      </c>
      <c r="D2976">
        <v>15</v>
      </c>
      <c r="E2976" t="s">
        <v>7280</v>
      </c>
    </row>
    <row r="2977" spans="1:5" x14ac:dyDescent="0.3">
      <c r="A2977" t="s">
        <v>7278</v>
      </c>
      <c r="B2977" t="s">
        <v>5123</v>
      </c>
      <c r="D2977">
        <v>15</v>
      </c>
      <c r="E2977" t="s">
        <v>7281</v>
      </c>
    </row>
    <row r="2978" spans="1:5" x14ac:dyDescent="0.3">
      <c r="A2978" t="s">
        <v>7278</v>
      </c>
      <c r="B2978" t="s">
        <v>5123</v>
      </c>
      <c r="D2978" t="b">
        <v>1</v>
      </c>
      <c r="E2978" t="s">
        <v>7282</v>
      </c>
    </row>
    <row r="2979" spans="1:5" x14ac:dyDescent="0.3">
      <c r="A2979" t="s">
        <v>7278</v>
      </c>
      <c r="B2979" t="s">
        <v>5123</v>
      </c>
      <c r="D2979" t="s">
        <v>7294</v>
      </c>
      <c r="E2979" t="s">
        <v>7295</v>
      </c>
    </row>
    <row r="2980" spans="1:5" x14ac:dyDescent="0.3">
      <c r="A2980" t="s">
        <v>7278</v>
      </c>
      <c r="B2980" t="s">
        <v>5123</v>
      </c>
      <c r="D2980" t="b">
        <v>0</v>
      </c>
      <c r="E2980" t="s">
        <v>7283</v>
      </c>
    </row>
    <row r="2981" spans="1:5" x14ac:dyDescent="0.3">
      <c r="A2981" t="s">
        <v>7278</v>
      </c>
      <c r="B2981" t="s">
        <v>5123</v>
      </c>
      <c r="D2981">
        <v>90</v>
      </c>
      <c r="E2981" t="s">
        <v>7284</v>
      </c>
    </row>
    <row r="2982" spans="1:5" x14ac:dyDescent="0.3">
      <c r="A2982" t="s">
        <v>7278</v>
      </c>
      <c r="B2982" t="s">
        <v>5123</v>
      </c>
      <c r="C2982" s="22" t="s">
        <v>7313</v>
      </c>
      <c r="D2982">
        <v>2.29</v>
      </c>
      <c r="E2982" t="s">
        <v>7286</v>
      </c>
    </row>
    <row r="2983" spans="1:5" x14ac:dyDescent="0.3">
      <c r="A2983" t="s">
        <v>7278</v>
      </c>
      <c r="B2983" t="s">
        <v>5123</v>
      </c>
      <c r="C2983" s="22" t="s">
        <v>7314</v>
      </c>
      <c r="D2983">
        <v>1.86</v>
      </c>
      <c r="E2983" t="s">
        <v>7286</v>
      </c>
    </row>
    <row r="2984" spans="1:5" x14ac:dyDescent="0.3">
      <c r="A2984" t="s">
        <v>7278</v>
      </c>
      <c r="B2984" t="s">
        <v>5123</v>
      </c>
      <c r="C2984" s="22" t="s">
        <v>7296</v>
      </c>
      <c r="D2984">
        <v>3.29</v>
      </c>
      <c r="E2984" t="s">
        <v>7286</v>
      </c>
    </row>
    <row r="2985" spans="1:5" x14ac:dyDescent="0.3">
      <c r="A2985" t="s">
        <v>7278</v>
      </c>
      <c r="B2985" t="s">
        <v>5123</v>
      </c>
      <c r="C2985" s="22" t="s">
        <v>7297</v>
      </c>
      <c r="D2985">
        <v>15</v>
      </c>
      <c r="E2985" t="s">
        <v>7286</v>
      </c>
    </row>
    <row r="2986" spans="1:5" x14ac:dyDescent="0.3">
      <c r="A2986" t="s">
        <v>7278</v>
      </c>
      <c r="B2986" t="s">
        <v>5123</v>
      </c>
      <c r="C2986" s="22" t="s">
        <v>7315</v>
      </c>
      <c r="D2986">
        <v>14.29</v>
      </c>
      <c r="E2986" t="s">
        <v>7286</v>
      </c>
    </row>
    <row r="2987" spans="1:5" x14ac:dyDescent="0.3">
      <c r="A2987" t="s">
        <v>7278</v>
      </c>
      <c r="B2987" t="s">
        <v>5123</v>
      </c>
      <c r="C2987" s="22" t="s">
        <v>7316</v>
      </c>
      <c r="D2987">
        <v>16.14</v>
      </c>
      <c r="E2987" t="s">
        <v>7286</v>
      </c>
    </row>
    <row r="2988" spans="1:5" x14ac:dyDescent="0.3">
      <c r="A2988" t="s">
        <v>7278</v>
      </c>
      <c r="B2988" t="s">
        <v>5123</v>
      </c>
      <c r="C2988" s="22" t="s">
        <v>7317</v>
      </c>
      <c r="D2988">
        <v>13.71</v>
      </c>
      <c r="E2988" t="s">
        <v>7286</v>
      </c>
    </row>
    <row r="2989" spans="1:5" x14ac:dyDescent="0.3">
      <c r="A2989" t="s">
        <v>7278</v>
      </c>
      <c r="B2989" t="s">
        <v>5123</v>
      </c>
      <c r="C2989" s="22" t="s">
        <v>7318</v>
      </c>
      <c r="D2989">
        <v>3</v>
      </c>
      <c r="E2989" t="s">
        <v>7286</v>
      </c>
    </row>
    <row r="2990" spans="1:5" x14ac:dyDescent="0.3">
      <c r="A2990" t="s">
        <v>7278</v>
      </c>
      <c r="B2990" t="s">
        <v>5123</v>
      </c>
      <c r="C2990" s="22" t="s">
        <v>7319</v>
      </c>
      <c r="D2990">
        <v>17.14</v>
      </c>
      <c r="E2990" t="s">
        <v>7286</v>
      </c>
    </row>
    <row r="2991" spans="1:5" x14ac:dyDescent="0.3">
      <c r="A2991" t="s">
        <v>7278</v>
      </c>
      <c r="B2991" t="s">
        <v>7320</v>
      </c>
      <c r="D2991">
        <v>15</v>
      </c>
      <c r="E2991" t="s">
        <v>7280</v>
      </c>
    </row>
    <row r="2992" spans="1:5" x14ac:dyDescent="0.3">
      <c r="A2992" t="s">
        <v>7278</v>
      </c>
      <c r="B2992" t="s">
        <v>7320</v>
      </c>
      <c r="D2992">
        <v>15</v>
      </c>
      <c r="E2992" t="s">
        <v>7281</v>
      </c>
    </row>
    <row r="2993" spans="1:5" x14ac:dyDescent="0.3">
      <c r="A2993" t="s">
        <v>7278</v>
      </c>
      <c r="B2993" t="s">
        <v>7320</v>
      </c>
      <c r="D2993" t="b">
        <v>1</v>
      </c>
      <c r="E2993" t="s">
        <v>7282</v>
      </c>
    </row>
    <row r="2994" spans="1:5" x14ac:dyDescent="0.3">
      <c r="A2994" t="s">
        <v>7278</v>
      </c>
      <c r="B2994" t="s">
        <v>7320</v>
      </c>
      <c r="D2994" t="s">
        <v>7294</v>
      </c>
      <c r="E2994" t="s">
        <v>7295</v>
      </c>
    </row>
    <row r="2995" spans="1:5" x14ac:dyDescent="0.3">
      <c r="A2995" t="s">
        <v>7278</v>
      </c>
      <c r="B2995" t="s">
        <v>7320</v>
      </c>
      <c r="D2995" t="b">
        <v>0</v>
      </c>
      <c r="E2995" t="s">
        <v>7283</v>
      </c>
    </row>
    <row r="2996" spans="1:5" x14ac:dyDescent="0.3">
      <c r="A2996" t="s">
        <v>7278</v>
      </c>
      <c r="B2996" t="s">
        <v>7320</v>
      </c>
      <c r="D2996">
        <v>90</v>
      </c>
      <c r="E2996" t="s">
        <v>7284</v>
      </c>
    </row>
    <row r="2997" spans="1:5" x14ac:dyDescent="0.3">
      <c r="A2997" t="s">
        <v>7278</v>
      </c>
      <c r="B2997" t="s">
        <v>7320</v>
      </c>
      <c r="C2997" s="22" t="s">
        <v>7313</v>
      </c>
      <c r="D2997">
        <v>2.29</v>
      </c>
      <c r="E2997" t="s">
        <v>7286</v>
      </c>
    </row>
    <row r="2998" spans="1:5" x14ac:dyDescent="0.3">
      <c r="A2998" t="s">
        <v>7278</v>
      </c>
      <c r="B2998" t="s">
        <v>7320</v>
      </c>
      <c r="C2998" s="22" t="s">
        <v>7314</v>
      </c>
      <c r="D2998">
        <v>1.86</v>
      </c>
      <c r="E2998" t="s">
        <v>7286</v>
      </c>
    </row>
    <row r="2999" spans="1:5" x14ac:dyDescent="0.3">
      <c r="A2999" t="s">
        <v>7278</v>
      </c>
      <c r="B2999" t="s">
        <v>7320</v>
      </c>
      <c r="C2999" s="22" t="s">
        <v>7296</v>
      </c>
      <c r="D2999">
        <v>3.29</v>
      </c>
      <c r="E2999" t="s">
        <v>7286</v>
      </c>
    </row>
    <row r="3000" spans="1:5" x14ac:dyDescent="0.3">
      <c r="A3000" t="s">
        <v>7278</v>
      </c>
      <c r="B3000" t="s">
        <v>7320</v>
      </c>
      <c r="C3000" s="22" t="s">
        <v>7297</v>
      </c>
      <c r="D3000">
        <v>15</v>
      </c>
      <c r="E3000" t="s">
        <v>7286</v>
      </c>
    </row>
    <row r="3001" spans="1:5" x14ac:dyDescent="0.3">
      <c r="A3001" t="s">
        <v>7278</v>
      </c>
      <c r="B3001" t="s">
        <v>7320</v>
      </c>
      <c r="C3001" s="22" t="s">
        <v>7315</v>
      </c>
      <c r="D3001">
        <v>14.29</v>
      </c>
      <c r="E3001" t="s">
        <v>7286</v>
      </c>
    </row>
    <row r="3002" spans="1:5" x14ac:dyDescent="0.3">
      <c r="A3002" t="s">
        <v>7278</v>
      </c>
      <c r="B3002" t="s">
        <v>7320</v>
      </c>
      <c r="C3002" s="22" t="s">
        <v>7316</v>
      </c>
      <c r="D3002">
        <v>16.14</v>
      </c>
      <c r="E3002" t="s">
        <v>7286</v>
      </c>
    </row>
    <row r="3003" spans="1:5" x14ac:dyDescent="0.3">
      <c r="A3003" t="s">
        <v>7278</v>
      </c>
      <c r="B3003" t="s">
        <v>7320</v>
      </c>
      <c r="C3003" s="22" t="s">
        <v>7317</v>
      </c>
      <c r="D3003">
        <v>13.71</v>
      </c>
      <c r="E3003" t="s">
        <v>7286</v>
      </c>
    </row>
    <row r="3004" spans="1:5" x14ac:dyDescent="0.3">
      <c r="A3004" t="s">
        <v>7278</v>
      </c>
      <c r="B3004" t="s">
        <v>7320</v>
      </c>
      <c r="C3004" s="22" t="s">
        <v>7318</v>
      </c>
      <c r="D3004">
        <v>3</v>
      </c>
      <c r="E3004" t="s">
        <v>7286</v>
      </c>
    </row>
    <row r="3005" spans="1:5" x14ac:dyDescent="0.3">
      <c r="A3005" t="s">
        <v>7278</v>
      </c>
      <c r="B3005" t="s">
        <v>7320</v>
      </c>
      <c r="C3005" s="22" t="s">
        <v>7319</v>
      </c>
      <c r="D3005">
        <v>17.14</v>
      </c>
      <c r="E3005" t="s">
        <v>7286</v>
      </c>
    </row>
    <row r="3006" spans="1:5" x14ac:dyDescent="0.3">
      <c r="A3006" t="s">
        <v>7278</v>
      </c>
      <c r="B3006" t="s">
        <v>3471</v>
      </c>
      <c r="D3006">
        <v>1</v>
      </c>
      <c r="E3006" t="s">
        <v>7280</v>
      </c>
    </row>
    <row r="3007" spans="1:5" x14ac:dyDescent="0.3">
      <c r="A3007" t="s">
        <v>7278</v>
      </c>
      <c r="B3007" t="s">
        <v>3471</v>
      </c>
      <c r="D3007">
        <v>1</v>
      </c>
      <c r="E3007" t="s">
        <v>7281</v>
      </c>
    </row>
    <row r="3008" spans="1:5" x14ac:dyDescent="0.3">
      <c r="A3008" t="s">
        <v>7278</v>
      </c>
      <c r="B3008" t="s">
        <v>3471</v>
      </c>
      <c r="D3008" t="b">
        <v>1</v>
      </c>
      <c r="E3008" t="s">
        <v>7282</v>
      </c>
    </row>
    <row r="3009" spans="1:5" x14ac:dyDescent="0.3">
      <c r="A3009" t="s">
        <v>7278</v>
      </c>
      <c r="B3009" t="s">
        <v>3471</v>
      </c>
      <c r="D3009" t="s">
        <v>7294</v>
      </c>
      <c r="E3009" t="s">
        <v>7295</v>
      </c>
    </row>
    <row r="3010" spans="1:5" x14ac:dyDescent="0.3">
      <c r="A3010" t="s">
        <v>7278</v>
      </c>
      <c r="B3010" t="s">
        <v>3471</v>
      </c>
      <c r="D3010" t="b">
        <v>0</v>
      </c>
      <c r="E3010" t="s">
        <v>7283</v>
      </c>
    </row>
    <row r="3011" spans="1:5" x14ac:dyDescent="0.3">
      <c r="A3011" t="s">
        <v>7278</v>
      </c>
      <c r="B3011" t="s">
        <v>3471</v>
      </c>
      <c r="D3011">
        <v>90</v>
      </c>
      <c r="E3011" t="s">
        <v>7284</v>
      </c>
    </row>
    <row r="3012" spans="1:5" x14ac:dyDescent="0.3">
      <c r="A3012" t="s">
        <v>7278</v>
      </c>
      <c r="B3012" t="s">
        <v>3471</v>
      </c>
      <c r="C3012" s="22" t="s">
        <v>7285</v>
      </c>
      <c r="D3012">
        <v>49</v>
      </c>
      <c r="E3012" t="s">
        <v>7286</v>
      </c>
    </row>
    <row r="3013" spans="1:5" x14ac:dyDescent="0.3">
      <c r="A3013" t="s">
        <v>7278</v>
      </c>
      <c r="B3013" t="s">
        <v>3471</v>
      </c>
      <c r="C3013" s="22" t="s">
        <v>7296</v>
      </c>
      <c r="D3013">
        <v>4.29</v>
      </c>
      <c r="E3013" t="s">
        <v>7286</v>
      </c>
    </row>
    <row r="3014" spans="1:5" x14ac:dyDescent="0.3">
      <c r="A3014" t="s">
        <v>7278</v>
      </c>
      <c r="B3014" t="s">
        <v>3471</v>
      </c>
      <c r="C3014" s="22" t="s">
        <v>7297</v>
      </c>
      <c r="D3014">
        <v>1.86</v>
      </c>
      <c r="E3014" t="s">
        <v>7286</v>
      </c>
    </row>
    <row r="3015" spans="1:5" x14ac:dyDescent="0.3">
      <c r="A3015" t="s">
        <v>7278</v>
      </c>
      <c r="B3015" t="s">
        <v>3471</v>
      </c>
      <c r="C3015" s="22" t="s">
        <v>7315</v>
      </c>
      <c r="D3015">
        <v>17</v>
      </c>
      <c r="E3015" t="s">
        <v>7286</v>
      </c>
    </row>
    <row r="3016" spans="1:5" x14ac:dyDescent="0.3">
      <c r="A3016" t="s">
        <v>7278</v>
      </c>
      <c r="B3016" t="s">
        <v>3471</v>
      </c>
      <c r="C3016" s="22" t="s">
        <v>7316</v>
      </c>
      <c r="D3016">
        <v>1.43</v>
      </c>
      <c r="E3016" t="s">
        <v>7286</v>
      </c>
    </row>
    <row r="3017" spans="1:5" x14ac:dyDescent="0.3">
      <c r="A3017" t="s">
        <v>7278</v>
      </c>
      <c r="B3017" t="s">
        <v>3471</v>
      </c>
      <c r="C3017" s="22" t="s">
        <v>7317</v>
      </c>
      <c r="D3017">
        <v>17</v>
      </c>
      <c r="E3017" t="s">
        <v>7286</v>
      </c>
    </row>
    <row r="3018" spans="1:5" x14ac:dyDescent="0.3">
      <c r="A3018" t="s">
        <v>7278</v>
      </c>
      <c r="B3018" t="s">
        <v>3471</v>
      </c>
      <c r="C3018" s="22" t="s">
        <v>7318</v>
      </c>
      <c r="D3018">
        <v>0.92</v>
      </c>
      <c r="E3018" t="s">
        <v>7286</v>
      </c>
    </row>
    <row r="3019" spans="1:5" x14ac:dyDescent="0.3">
      <c r="A3019" t="s">
        <v>7278</v>
      </c>
      <c r="B3019" t="s">
        <v>3471</v>
      </c>
      <c r="C3019" s="22" t="s">
        <v>7319</v>
      </c>
      <c r="D3019">
        <v>0</v>
      </c>
      <c r="E3019" t="s">
        <v>7286</v>
      </c>
    </row>
    <row r="3020" spans="1:5" x14ac:dyDescent="0.3">
      <c r="A3020" t="s">
        <v>7278</v>
      </c>
      <c r="B3020" t="s">
        <v>3788</v>
      </c>
      <c r="D3020">
        <v>1</v>
      </c>
      <c r="E3020" t="s">
        <v>7280</v>
      </c>
    </row>
    <row r="3021" spans="1:5" x14ac:dyDescent="0.3">
      <c r="A3021" t="s">
        <v>7278</v>
      </c>
      <c r="B3021" t="s">
        <v>3788</v>
      </c>
      <c r="D3021">
        <v>1</v>
      </c>
      <c r="E3021" t="s">
        <v>7281</v>
      </c>
    </row>
    <row r="3022" spans="1:5" x14ac:dyDescent="0.3">
      <c r="A3022" t="s">
        <v>7278</v>
      </c>
      <c r="B3022" t="s">
        <v>3788</v>
      </c>
      <c r="D3022" t="b">
        <v>1</v>
      </c>
      <c r="E3022" t="s">
        <v>7282</v>
      </c>
    </row>
    <row r="3023" spans="1:5" x14ac:dyDescent="0.3">
      <c r="A3023" t="s">
        <v>7278</v>
      </c>
      <c r="B3023" t="s">
        <v>3788</v>
      </c>
      <c r="D3023" t="s">
        <v>7294</v>
      </c>
      <c r="E3023" t="s">
        <v>7295</v>
      </c>
    </row>
    <row r="3024" spans="1:5" x14ac:dyDescent="0.3">
      <c r="A3024" t="s">
        <v>7278</v>
      </c>
      <c r="B3024" t="s">
        <v>3788</v>
      </c>
      <c r="D3024" t="b">
        <v>0</v>
      </c>
      <c r="E3024" t="s">
        <v>7283</v>
      </c>
    </row>
    <row r="3025" spans="1:5" x14ac:dyDescent="0.3">
      <c r="A3025" t="s">
        <v>7278</v>
      </c>
      <c r="B3025" t="s">
        <v>3788</v>
      </c>
      <c r="D3025">
        <v>90</v>
      </c>
      <c r="E3025" t="s">
        <v>7284</v>
      </c>
    </row>
    <row r="3026" spans="1:5" x14ac:dyDescent="0.3">
      <c r="A3026" t="s">
        <v>7278</v>
      </c>
      <c r="B3026" t="s">
        <v>3788</v>
      </c>
      <c r="C3026" s="22" t="s">
        <v>7285</v>
      </c>
      <c r="D3026">
        <v>49</v>
      </c>
      <c r="E3026" t="s">
        <v>7286</v>
      </c>
    </row>
    <row r="3027" spans="1:5" x14ac:dyDescent="0.3">
      <c r="A3027" t="s">
        <v>7278</v>
      </c>
      <c r="B3027" t="s">
        <v>3788</v>
      </c>
      <c r="C3027" s="22" t="s">
        <v>7296</v>
      </c>
      <c r="D3027">
        <v>4.29</v>
      </c>
      <c r="E3027" t="s">
        <v>7286</v>
      </c>
    </row>
    <row r="3028" spans="1:5" x14ac:dyDescent="0.3">
      <c r="A3028" t="s">
        <v>7278</v>
      </c>
      <c r="B3028" t="s">
        <v>3788</v>
      </c>
      <c r="C3028" s="22" t="s">
        <v>7297</v>
      </c>
      <c r="D3028">
        <v>1.86</v>
      </c>
      <c r="E3028" t="s">
        <v>7286</v>
      </c>
    </row>
    <row r="3029" spans="1:5" x14ac:dyDescent="0.3">
      <c r="A3029" t="s">
        <v>7278</v>
      </c>
      <c r="B3029" t="s">
        <v>3788</v>
      </c>
      <c r="C3029" s="22" t="s">
        <v>7315</v>
      </c>
      <c r="D3029">
        <v>17</v>
      </c>
      <c r="E3029" t="s">
        <v>7286</v>
      </c>
    </row>
    <row r="3030" spans="1:5" x14ac:dyDescent="0.3">
      <c r="A3030" t="s">
        <v>7278</v>
      </c>
      <c r="B3030" t="s">
        <v>3788</v>
      </c>
      <c r="C3030" s="22" t="s">
        <v>7316</v>
      </c>
      <c r="D3030">
        <v>1.43</v>
      </c>
      <c r="E3030" t="s">
        <v>7286</v>
      </c>
    </row>
    <row r="3031" spans="1:5" x14ac:dyDescent="0.3">
      <c r="A3031" t="s">
        <v>7278</v>
      </c>
      <c r="B3031" t="s">
        <v>3788</v>
      </c>
      <c r="C3031" s="22" t="s">
        <v>7317</v>
      </c>
      <c r="D3031">
        <v>17</v>
      </c>
      <c r="E3031" t="s">
        <v>7286</v>
      </c>
    </row>
    <row r="3032" spans="1:5" x14ac:dyDescent="0.3">
      <c r="A3032" t="s">
        <v>7278</v>
      </c>
      <c r="B3032" t="s">
        <v>3788</v>
      </c>
      <c r="C3032" s="22" t="s">
        <v>7318</v>
      </c>
      <c r="D3032">
        <v>1.43</v>
      </c>
      <c r="E3032" t="s">
        <v>7286</v>
      </c>
    </row>
    <row r="3033" spans="1:5" x14ac:dyDescent="0.3">
      <c r="A3033" t="s">
        <v>7278</v>
      </c>
      <c r="B3033" t="s">
        <v>3788</v>
      </c>
      <c r="C3033" s="22" t="s">
        <v>7319</v>
      </c>
      <c r="D3033">
        <v>0</v>
      </c>
      <c r="E3033" t="s">
        <v>7286</v>
      </c>
    </row>
    <row r="3034" spans="1:5" x14ac:dyDescent="0.3">
      <c r="A3034" t="s">
        <v>7278</v>
      </c>
      <c r="B3034" t="s">
        <v>4011</v>
      </c>
      <c r="D3034">
        <v>1</v>
      </c>
      <c r="E3034" t="s">
        <v>7280</v>
      </c>
    </row>
    <row r="3035" spans="1:5" x14ac:dyDescent="0.3">
      <c r="A3035" t="s">
        <v>7278</v>
      </c>
      <c r="B3035" t="s">
        <v>4011</v>
      </c>
      <c r="D3035">
        <v>1</v>
      </c>
      <c r="E3035" t="s">
        <v>7281</v>
      </c>
    </row>
    <row r="3036" spans="1:5" x14ac:dyDescent="0.3">
      <c r="A3036" t="s">
        <v>7278</v>
      </c>
      <c r="B3036" t="s">
        <v>4011</v>
      </c>
      <c r="D3036" t="b">
        <v>1</v>
      </c>
      <c r="E3036" t="s">
        <v>7282</v>
      </c>
    </row>
    <row r="3037" spans="1:5" x14ac:dyDescent="0.3">
      <c r="A3037" t="s">
        <v>7278</v>
      </c>
      <c r="B3037" t="s">
        <v>4011</v>
      </c>
      <c r="D3037" t="s">
        <v>7294</v>
      </c>
      <c r="E3037" t="s">
        <v>7295</v>
      </c>
    </row>
    <row r="3038" spans="1:5" x14ac:dyDescent="0.3">
      <c r="A3038" t="s">
        <v>7278</v>
      </c>
      <c r="B3038" t="s">
        <v>4011</v>
      </c>
      <c r="D3038" t="b">
        <v>0</v>
      </c>
      <c r="E3038" t="s">
        <v>7283</v>
      </c>
    </row>
    <row r="3039" spans="1:5" x14ac:dyDescent="0.3">
      <c r="A3039" t="s">
        <v>7278</v>
      </c>
      <c r="B3039" t="s">
        <v>4011</v>
      </c>
      <c r="D3039">
        <v>90</v>
      </c>
      <c r="E3039" t="s">
        <v>7284</v>
      </c>
    </row>
    <row r="3040" spans="1:5" x14ac:dyDescent="0.3">
      <c r="A3040" t="s">
        <v>7278</v>
      </c>
      <c r="B3040" t="s">
        <v>4011</v>
      </c>
      <c r="C3040" s="22" t="s">
        <v>7285</v>
      </c>
      <c r="D3040">
        <v>49</v>
      </c>
      <c r="E3040" t="s">
        <v>7286</v>
      </c>
    </row>
    <row r="3041" spans="1:5" x14ac:dyDescent="0.3">
      <c r="A3041" t="s">
        <v>7278</v>
      </c>
      <c r="B3041" t="s">
        <v>4011</v>
      </c>
      <c r="C3041" s="22" t="s">
        <v>7296</v>
      </c>
      <c r="D3041">
        <v>4.29</v>
      </c>
      <c r="E3041" t="s">
        <v>7286</v>
      </c>
    </row>
    <row r="3042" spans="1:5" x14ac:dyDescent="0.3">
      <c r="A3042" t="s">
        <v>7278</v>
      </c>
      <c r="B3042" t="s">
        <v>4011</v>
      </c>
      <c r="C3042" s="22" t="s">
        <v>7297</v>
      </c>
      <c r="D3042">
        <v>1.86</v>
      </c>
      <c r="E3042" t="s">
        <v>7286</v>
      </c>
    </row>
    <row r="3043" spans="1:5" x14ac:dyDescent="0.3">
      <c r="A3043" t="s">
        <v>7278</v>
      </c>
      <c r="B3043" t="s">
        <v>4011</v>
      </c>
      <c r="C3043" s="22" t="s">
        <v>7315</v>
      </c>
      <c r="D3043">
        <v>17</v>
      </c>
      <c r="E3043" t="s">
        <v>7286</v>
      </c>
    </row>
    <row r="3044" spans="1:5" x14ac:dyDescent="0.3">
      <c r="A3044" t="s">
        <v>7278</v>
      </c>
      <c r="B3044" t="s">
        <v>4011</v>
      </c>
      <c r="C3044" s="22" t="s">
        <v>7316</v>
      </c>
      <c r="D3044">
        <v>1.43</v>
      </c>
      <c r="E3044" t="s">
        <v>7286</v>
      </c>
    </row>
    <row r="3045" spans="1:5" x14ac:dyDescent="0.3">
      <c r="A3045" t="s">
        <v>7278</v>
      </c>
      <c r="B3045" t="s">
        <v>4011</v>
      </c>
      <c r="C3045" s="22" t="s">
        <v>7317</v>
      </c>
      <c r="D3045">
        <v>17</v>
      </c>
      <c r="E3045" t="s">
        <v>7286</v>
      </c>
    </row>
    <row r="3046" spans="1:5" x14ac:dyDescent="0.3">
      <c r="A3046" t="s">
        <v>7278</v>
      </c>
      <c r="B3046" t="s">
        <v>4011</v>
      </c>
      <c r="C3046" s="22" t="s">
        <v>7318</v>
      </c>
      <c r="D3046">
        <v>1.43</v>
      </c>
      <c r="E3046" t="s">
        <v>7286</v>
      </c>
    </row>
    <row r="3047" spans="1:5" x14ac:dyDescent="0.3">
      <c r="A3047" t="s">
        <v>7278</v>
      </c>
      <c r="B3047" t="s">
        <v>4011</v>
      </c>
      <c r="C3047" s="22" t="s">
        <v>7319</v>
      </c>
      <c r="D3047">
        <v>0</v>
      </c>
      <c r="E3047" t="s">
        <v>7286</v>
      </c>
    </row>
    <row r="3048" spans="1:5" x14ac:dyDescent="0.3">
      <c r="A3048" t="s">
        <v>7278</v>
      </c>
      <c r="B3048" t="s">
        <v>4861</v>
      </c>
      <c r="D3048">
        <v>2</v>
      </c>
      <c r="E3048" t="s">
        <v>7280</v>
      </c>
    </row>
    <row r="3049" spans="1:5" x14ac:dyDescent="0.3">
      <c r="A3049" t="s">
        <v>7278</v>
      </c>
      <c r="B3049" t="s">
        <v>4861</v>
      </c>
      <c r="D3049">
        <v>2</v>
      </c>
      <c r="E3049" t="s">
        <v>7281</v>
      </c>
    </row>
    <row r="3050" spans="1:5" x14ac:dyDescent="0.3">
      <c r="A3050" t="s">
        <v>7278</v>
      </c>
      <c r="B3050" t="s">
        <v>4861</v>
      </c>
      <c r="D3050" t="b">
        <v>1</v>
      </c>
      <c r="E3050" t="s">
        <v>7282</v>
      </c>
    </row>
    <row r="3051" spans="1:5" x14ac:dyDescent="0.3">
      <c r="A3051" t="s">
        <v>7278</v>
      </c>
      <c r="B3051" t="s">
        <v>4861</v>
      </c>
      <c r="D3051" t="s">
        <v>7294</v>
      </c>
      <c r="E3051" t="s">
        <v>7295</v>
      </c>
    </row>
    <row r="3052" spans="1:5" x14ac:dyDescent="0.3">
      <c r="A3052" t="s">
        <v>7278</v>
      </c>
      <c r="B3052" t="s">
        <v>4861</v>
      </c>
      <c r="D3052" t="b">
        <v>0</v>
      </c>
      <c r="E3052" t="s">
        <v>7283</v>
      </c>
    </row>
    <row r="3053" spans="1:5" x14ac:dyDescent="0.3">
      <c r="A3053" t="s">
        <v>7278</v>
      </c>
      <c r="B3053" t="s">
        <v>4861</v>
      </c>
      <c r="D3053">
        <v>90</v>
      </c>
      <c r="E3053" t="s">
        <v>7284</v>
      </c>
    </row>
    <row r="3054" spans="1:5" x14ac:dyDescent="0.3">
      <c r="A3054" t="s">
        <v>7278</v>
      </c>
      <c r="B3054" t="s">
        <v>4861</v>
      </c>
      <c r="C3054" s="22" t="s">
        <v>7285</v>
      </c>
      <c r="D3054">
        <v>41.71</v>
      </c>
      <c r="E3054" t="s">
        <v>7286</v>
      </c>
    </row>
    <row r="3055" spans="1:5" x14ac:dyDescent="0.3">
      <c r="A3055" t="s">
        <v>7278</v>
      </c>
      <c r="B3055" t="s">
        <v>4861</v>
      </c>
      <c r="C3055" s="22" t="s">
        <v>7296</v>
      </c>
      <c r="D3055">
        <v>4.29</v>
      </c>
      <c r="E3055" t="s">
        <v>7286</v>
      </c>
    </row>
    <row r="3056" spans="1:5" x14ac:dyDescent="0.3">
      <c r="A3056" t="s">
        <v>7278</v>
      </c>
      <c r="B3056" t="s">
        <v>4861</v>
      </c>
      <c r="C3056" s="22" t="s">
        <v>7297</v>
      </c>
      <c r="D3056">
        <v>1.86</v>
      </c>
      <c r="E3056" t="s">
        <v>7286</v>
      </c>
    </row>
    <row r="3057" spans="1:5" x14ac:dyDescent="0.3">
      <c r="A3057" t="s">
        <v>7278</v>
      </c>
      <c r="B3057" t="s">
        <v>4861</v>
      </c>
      <c r="C3057" s="22" t="s">
        <v>7315</v>
      </c>
      <c r="D3057">
        <v>17</v>
      </c>
      <c r="E3057" t="s">
        <v>7286</v>
      </c>
    </row>
    <row r="3058" spans="1:5" x14ac:dyDescent="0.3">
      <c r="A3058" t="s">
        <v>7278</v>
      </c>
      <c r="B3058" t="s">
        <v>4861</v>
      </c>
      <c r="C3058" s="22" t="s">
        <v>7316</v>
      </c>
      <c r="D3058">
        <v>1.43</v>
      </c>
      <c r="E3058" t="s">
        <v>7286</v>
      </c>
    </row>
    <row r="3059" spans="1:5" x14ac:dyDescent="0.3">
      <c r="A3059" t="s">
        <v>7278</v>
      </c>
      <c r="B3059" t="s">
        <v>4861</v>
      </c>
      <c r="C3059" s="22" t="s">
        <v>7317</v>
      </c>
      <c r="D3059">
        <v>17</v>
      </c>
      <c r="E3059" t="s">
        <v>7286</v>
      </c>
    </row>
    <row r="3060" spans="1:5" x14ac:dyDescent="0.3">
      <c r="A3060" t="s">
        <v>7278</v>
      </c>
      <c r="B3060" t="s">
        <v>4861</v>
      </c>
      <c r="C3060" s="22" t="s">
        <v>7318</v>
      </c>
      <c r="D3060">
        <v>1.43</v>
      </c>
      <c r="E3060" t="s">
        <v>7286</v>
      </c>
    </row>
    <row r="3061" spans="1:5" x14ac:dyDescent="0.3">
      <c r="A3061" t="s">
        <v>7278</v>
      </c>
      <c r="B3061" t="s">
        <v>4861</v>
      </c>
      <c r="C3061" s="22" t="s">
        <v>7319</v>
      </c>
      <c r="D3061">
        <v>0</v>
      </c>
      <c r="E3061" t="s">
        <v>7286</v>
      </c>
    </row>
    <row r="3062" spans="1:5" x14ac:dyDescent="0.3">
      <c r="A3062" t="s">
        <v>7278</v>
      </c>
      <c r="B3062" t="s">
        <v>4549</v>
      </c>
      <c r="D3062">
        <v>1</v>
      </c>
      <c r="E3062" t="s">
        <v>7280</v>
      </c>
    </row>
    <row r="3063" spans="1:5" x14ac:dyDescent="0.3">
      <c r="A3063" t="s">
        <v>7278</v>
      </c>
      <c r="B3063" t="s">
        <v>4549</v>
      </c>
      <c r="D3063">
        <v>1</v>
      </c>
      <c r="E3063" t="s">
        <v>7281</v>
      </c>
    </row>
    <row r="3064" spans="1:5" x14ac:dyDescent="0.3">
      <c r="A3064" t="s">
        <v>7278</v>
      </c>
      <c r="B3064" t="s">
        <v>4549</v>
      </c>
      <c r="D3064" t="b">
        <v>1</v>
      </c>
      <c r="E3064" t="s">
        <v>7282</v>
      </c>
    </row>
    <row r="3065" spans="1:5" x14ac:dyDescent="0.3">
      <c r="A3065" t="s">
        <v>7278</v>
      </c>
      <c r="B3065" t="s">
        <v>4549</v>
      </c>
      <c r="D3065" t="s">
        <v>7294</v>
      </c>
      <c r="E3065" t="s">
        <v>7295</v>
      </c>
    </row>
    <row r="3066" spans="1:5" x14ac:dyDescent="0.3">
      <c r="A3066" t="s">
        <v>7278</v>
      </c>
      <c r="B3066" t="s">
        <v>4549</v>
      </c>
      <c r="D3066" t="b">
        <v>0</v>
      </c>
      <c r="E3066" t="s">
        <v>7283</v>
      </c>
    </row>
    <row r="3067" spans="1:5" x14ac:dyDescent="0.3">
      <c r="A3067" t="s">
        <v>7278</v>
      </c>
      <c r="B3067" t="s">
        <v>4549</v>
      </c>
      <c r="D3067">
        <v>90</v>
      </c>
      <c r="E3067" t="s">
        <v>7284</v>
      </c>
    </row>
    <row r="3068" spans="1:5" x14ac:dyDescent="0.3">
      <c r="A3068" t="s">
        <v>7278</v>
      </c>
      <c r="B3068" t="s">
        <v>4549</v>
      </c>
      <c r="C3068" s="22" t="s">
        <v>7285</v>
      </c>
      <c r="D3068">
        <v>41.71</v>
      </c>
      <c r="E3068" t="s">
        <v>7286</v>
      </c>
    </row>
    <row r="3069" spans="1:5" x14ac:dyDescent="0.3">
      <c r="A3069" t="s">
        <v>7278</v>
      </c>
      <c r="B3069" t="s">
        <v>4549</v>
      </c>
      <c r="C3069" s="22" t="s">
        <v>7287</v>
      </c>
      <c r="D3069">
        <v>6.71</v>
      </c>
      <c r="E3069" t="s">
        <v>7286</v>
      </c>
    </row>
    <row r="3070" spans="1:5" x14ac:dyDescent="0.3">
      <c r="A3070" t="s">
        <v>7278</v>
      </c>
      <c r="B3070" t="s">
        <v>4549</v>
      </c>
      <c r="C3070" s="22" t="s">
        <v>7288</v>
      </c>
      <c r="D3070">
        <v>4.29</v>
      </c>
      <c r="E3070" t="s">
        <v>7286</v>
      </c>
    </row>
    <row r="3071" spans="1:5" x14ac:dyDescent="0.3">
      <c r="A3071" t="s">
        <v>7278</v>
      </c>
      <c r="B3071" t="s">
        <v>4549</v>
      </c>
      <c r="C3071" s="22" t="s">
        <v>7297</v>
      </c>
      <c r="D3071">
        <v>2</v>
      </c>
      <c r="E3071" t="s">
        <v>7286</v>
      </c>
    </row>
    <row r="3072" spans="1:5" x14ac:dyDescent="0.3">
      <c r="A3072" t="s">
        <v>7278</v>
      </c>
      <c r="B3072" t="s">
        <v>4549</v>
      </c>
      <c r="C3072" s="22" t="s">
        <v>7315</v>
      </c>
      <c r="D3072">
        <v>17</v>
      </c>
      <c r="E3072" t="s">
        <v>7286</v>
      </c>
    </row>
    <row r="3073" spans="1:5" x14ac:dyDescent="0.3">
      <c r="A3073" t="s">
        <v>7278</v>
      </c>
      <c r="B3073" t="s">
        <v>4549</v>
      </c>
      <c r="C3073" s="22" t="s">
        <v>7316</v>
      </c>
      <c r="D3073">
        <v>1.43</v>
      </c>
      <c r="E3073" t="s">
        <v>7286</v>
      </c>
    </row>
    <row r="3074" spans="1:5" x14ac:dyDescent="0.3">
      <c r="A3074" t="s">
        <v>7278</v>
      </c>
      <c r="B3074" t="s">
        <v>4549</v>
      </c>
      <c r="C3074" s="22" t="s">
        <v>7317</v>
      </c>
      <c r="D3074">
        <v>17</v>
      </c>
      <c r="E3074" t="s">
        <v>7286</v>
      </c>
    </row>
    <row r="3075" spans="1:5" x14ac:dyDescent="0.3">
      <c r="A3075" t="s">
        <v>7278</v>
      </c>
      <c r="B3075" t="s">
        <v>4549</v>
      </c>
      <c r="C3075" s="22" t="s">
        <v>7318</v>
      </c>
      <c r="D3075">
        <v>1.43</v>
      </c>
      <c r="E3075" t="s">
        <v>7286</v>
      </c>
    </row>
    <row r="3076" spans="1:5" x14ac:dyDescent="0.3">
      <c r="A3076" t="s">
        <v>7278</v>
      </c>
      <c r="B3076" t="s">
        <v>4549</v>
      </c>
      <c r="C3076" s="22" t="s">
        <v>7319</v>
      </c>
      <c r="D3076">
        <v>0</v>
      </c>
      <c r="E3076" t="s">
        <v>7286</v>
      </c>
    </row>
    <row r="3077" spans="1:5" x14ac:dyDescent="0.3">
      <c r="A3077" t="s">
        <v>7278</v>
      </c>
      <c r="B3077" t="s">
        <v>4914</v>
      </c>
      <c r="D3077">
        <v>1</v>
      </c>
      <c r="E3077" t="s">
        <v>7280</v>
      </c>
    </row>
    <row r="3078" spans="1:5" x14ac:dyDescent="0.3">
      <c r="A3078" t="s">
        <v>7278</v>
      </c>
      <c r="B3078" t="s">
        <v>4914</v>
      </c>
      <c r="D3078">
        <v>1</v>
      </c>
      <c r="E3078" t="s">
        <v>7281</v>
      </c>
    </row>
    <row r="3079" spans="1:5" x14ac:dyDescent="0.3">
      <c r="A3079" t="s">
        <v>7278</v>
      </c>
      <c r="B3079" t="s">
        <v>4914</v>
      </c>
      <c r="D3079" t="b">
        <v>1</v>
      </c>
      <c r="E3079" t="s">
        <v>7282</v>
      </c>
    </row>
    <row r="3080" spans="1:5" x14ac:dyDescent="0.3">
      <c r="A3080" t="s">
        <v>7278</v>
      </c>
      <c r="B3080" t="s">
        <v>4914</v>
      </c>
      <c r="D3080" t="s">
        <v>7294</v>
      </c>
      <c r="E3080" t="s">
        <v>7295</v>
      </c>
    </row>
    <row r="3081" spans="1:5" x14ac:dyDescent="0.3">
      <c r="A3081" t="s">
        <v>7278</v>
      </c>
      <c r="B3081" t="s">
        <v>4914</v>
      </c>
      <c r="D3081" t="b">
        <v>0</v>
      </c>
      <c r="E3081" t="s">
        <v>7283</v>
      </c>
    </row>
    <row r="3082" spans="1:5" x14ac:dyDescent="0.3">
      <c r="A3082" t="s">
        <v>7278</v>
      </c>
      <c r="B3082" t="s">
        <v>4914</v>
      </c>
      <c r="D3082">
        <v>90</v>
      </c>
      <c r="E3082" t="s">
        <v>7284</v>
      </c>
    </row>
    <row r="3083" spans="1:5" x14ac:dyDescent="0.3">
      <c r="A3083" t="s">
        <v>7278</v>
      </c>
      <c r="B3083" t="s">
        <v>4914</v>
      </c>
      <c r="C3083" s="22" t="s">
        <v>7285</v>
      </c>
      <c r="D3083">
        <v>42.14</v>
      </c>
      <c r="E3083" t="s">
        <v>7286</v>
      </c>
    </row>
    <row r="3084" spans="1:5" x14ac:dyDescent="0.3">
      <c r="A3084" t="s">
        <v>7278</v>
      </c>
      <c r="B3084" t="s">
        <v>4914</v>
      </c>
      <c r="C3084" s="22" t="s">
        <v>7287</v>
      </c>
      <c r="D3084">
        <v>10.86</v>
      </c>
      <c r="E3084" t="s">
        <v>7286</v>
      </c>
    </row>
    <row r="3085" spans="1:5" x14ac:dyDescent="0.3">
      <c r="A3085" t="s">
        <v>7278</v>
      </c>
      <c r="B3085" t="s">
        <v>4914</v>
      </c>
      <c r="C3085" s="22" t="s">
        <v>7288</v>
      </c>
      <c r="D3085">
        <v>12.57</v>
      </c>
      <c r="E3085" t="s">
        <v>7286</v>
      </c>
    </row>
    <row r="3086" spans="1:5" x14ac:dyDescent="0.3">
      <c r="A3086" t="s">
        <v>7278</v>
      </c>
      <c r="B3086" t="s">
        <v>4914</v>
      </c>
      <c r="C3086" s="22" t="s">
        <v>7297</v>
      </c>
      <c r="D3086">
        <v>12.71</v>
      </c>
      <c r="E3086" t="s">
        <v>7286</v>
      </c>
    </row>
    <row r="3087" spans="1:5" x14ac:dyDescent="0.3">
      <c r="A3087" t="s">
        <v>7278</v>
      </c>
      <c r="B3087" t="s">
        <v>4914</v>
      </c>
      <c r="C3087" s="22" t="s">
        <v>7315</v>
      </c>
      <c r="D3087">
        <v>5</v>
      </c>
      <c r="E3087" t="s">
        <v>7286</v>
      </c>
    </row>
    <row r="3088" spans="1:5" x14ac:dyDescent="0.3">
      <c r="A3088" t="s">
        <v>7278</v>
      </c>
      <c r="B3088" t="s">
        <v>4914</v>
      </c>
      <c r="C3088" s="22" t="s">
        <v>7316</v>
      </c>
      <c r="D3088">
        <v>4.1399999999999997</v>
      </c>
      <c r="E3088" t="s">
        <v>7286</v>
      </c>
    </row>
    <row r="3089" spans="1:5" x14ac:dyDescent="0.3">
      <c r="A3089" t="s">
        <v>7278</v>
      </c>
      <c r="B3089" t="s">
        <v>4914</v>
      </c>
      <c r="C3089" s="22" t="s">
        <v>7317</v>
      </c>
      <c r="D3089">
        <v>5.43</v>
      </c>
      <c r="E3089" t="s">
        <v>7286</v>
      </c>
    </row>
    <row r="3090" spans="1:5" x14ac:dyDescent="0.3">
      <c r="A3090" t="s">
        <v>7278</v>
      </c>
      <c r="B3090" t="s">
        <v>4914</v>
      </c>
      <c r="C3090" s="22" t="s">
        <v>7318</v>
      </c>
      <c r="D3090">
        <v>5.14</v>
      </c>
      <c r="E3090" t="s">
        <v>7286</v>
      </c>
    </row>
    <row r="3091" spans="1:5" x14ac:dyDescent="0.3">
      <c r="A3091" t="s">
        <v>7278</v>
      </c>
      <c r="B3091" t="s">
        <v>4914</v>
      </c>
      <c r="C3091" s="22" t="s">
        <v>7319</v>
      </c>
      <c r="D3091">
        <v>11</v>
      </c>
      <c r="E3091" t="s">
        <v>7286</v>
      </c>
    </row>
    <row r="3092" spans="1:5" x14ac:dyDescent="0.3">
      <c r="A3092" t="s">
        <v>7278</v>
      </c>
      <c r="B3092" t="s">
        <v>4914</v>
      </c>
      <c r="C3092" s="22" t="s">
        <v>7321</v>
      </c>
      <c r="D3092">
        <v>13.43</v>
      </c>
      <c r="E3092" t="s">
        <v>7286</v>
      </c>
    </row>
    <row r="3093" spans="1:5" x14ac:dyDescent="0.3">
      <c r="A3093" t="s">
        <v>7278</v>
      </c>
      <c r="B3093" t="s">
        <v>4914</v>
      </c>
      <c r="C3093" s="22" t="s">
        <v>7322</v>
      </c>
      <c r="D3093">
        <v>12.43</v>
      </c>
      <c r="E3093" t="s">
        <v>7286</v>
      </c>
    </row>
    <row r="3094" spans="1:5" x14ac:dyDescent="0.3">
      <c r="A3094" t="s">
        <v>7278</v>
      </c>
      <c r="B3094" t="s">
        <v>5514</v>
      </c>
      <c r="D3094">
        <v>1</v>
      </c>
      <c r="E3094" t="s">
        <v>7280</v>
      </c>
    </row>
    <row r="3095" spans="1:5" x14ac:dyDescent="0.3">
      <c r="A3095" t="s">
        <v>7278</v>
      </c>
      <c r="B3095" t="s">
        <v>5514</v>
      </c>
      <c r="D3095">
        <v>1</v>
      </c>
      <c r="E3095" t="s">
        <v>7281</v>
      </c>
    </row>
    <row r="3096" spans="1:5" x14ac:dyDescent="0.3">
      <c r="A3096" t="s">
        <v>7278</v>
      </c>
      <c r="B3096" t="s">
        <v>5514</v>
      </c>
      <c r="D3096" t="b">
        <v>1</v>
      </c>
      <c r="E3096" t="s">
        <v>7282</v>
      </c>
    </row>
    <row r="3097" spans="1:5" x14ac:dyDescent="0.3">
      <c r="A3097" t="s">
        <v>7278</v>
      </c>
      <c r="B3097" t="s">
        <v>5514</v>
      </c>
      <c r="D3097" t="s">
        <v>7294</v>
      </c>
      <c r="E3097" t="s">
        <v>7295</v>
      </c>
    </row>
    <row r="3098" spans="1:5" x14ac:dyDescent="0.3">
      <c r="A3098" t="s">
        <v>7278</v>
      </c>
      <c r="B3098" t="s">
        <v>5514</v>
      </c>
      <c r="D3098" t="b">
        <v>0</v>
      </c>
      <c r="E3098" t="s">
        <v>7283</v>
      </c>
    </row>
    <row r="3099" spans="1:5" x14ac:dyDescent="0.3">
      <c r="A3099" t="s">
        <v>7278</v>
      </c>
      <c r="B3099" t="s">
        <v>5514</v>
      </c>
      <c r="D3099">
        <v>90</v>
      </c>
      <c r="E3099" t="s">
        <v>7284</v>
      </c>
    </row>
    <row r="3100" spans="1:5" x14ac:dyDescent="0.3">
      <c r="A3100" t="s">
        <v>7278</v>
      </c>
      <c r="B3100" t="s">
        <v>5514</v>
      </c>
      <c r="C3100" s="22" t="s">
        <v>7313</v>
      </c>
      <c r="D3100">
        <v>3.14</v>
      </c>
      <c r="E3100" t="s">
        <v>7286</v>
      </c>
    </row>
    <row r="3101" spans="1:5" x14ac:dyDescent="0.3">
      <c r="A3101" t="s">
        <v>7278</v>
      </c>
      <c r="B3101" t="s">
        <v>5514</v>
      </c>
      <c r="C3101" s="22" t="s">
        <v>7314</v>
      </c>
      <c r="D3101">
        <v>2.14</v>
      </c>
      <c r="E3101" t="s">
        <v>7286</v>
      </c>
    </row>
    <row r="3102" spans="1:5" x14ac:dyDescent="0.3">
      <c r="A3102" t="s">
        <v>7278</v>
      </c>
      <c r="B3102" t="s">
        <v>5514</v>
      </c>
      <c r="C3102" s="22" t="s">
        <v>7287</v>
      </c>
      <c r="D3102">
        <v>16.43</v>
      </c>
      <c r="E3102" t="s">
        <v>7286</v>
      </c>
    </row>
    <row r="3103" spans="1:5" x14ac:dyDescent="0.3">
      <c r="A3103" t="s">
        <v>7278</v>
      </c>
      <c r="B3103" t="s">
        <v>5514</v>
      </c>
      <c r="C3103" s="22" t="s">
        <v>7323</v>
      </c>
      <c r="D3103">
        <v>11.57</v>
      </c>
      <c r="E3103" t="s">
        <v>7286</v>
      </c>
    </row>
    <row r="3104" spans="1:5" x14ac:dyDescent="0.3">
      <c r="A3104" t="s">
        <v>7278</v>
      </c>
      <c r="B3104" t="s">
        <v>5514</v>
      </c>
      <c r="C3104" s="22" t="s">
        <v>7319</v>
      </c>
      <c r="D3104">
        <v>10.71</v>
      </c>
      <c r="E3104" t="s">
        <v>7286</v>
      </c>
    </row>
    <row r="3105" spans="1:4" x14ac:dyDescent="0.3">
      <c r="A3105" t="s">
        <v>4836</v>
      </c>
      <c r="B3105" t="s">
        <v>4011</v>
      </c>
      <c r="C3105" s="22" t="s">
        <v>7324</v>
      </c>
      <c r="D3105">
        <f>rzis!F66+rzis!F67</f>
        <v>0</v>
      </c>
    </row>
    <row r="3106" spans="1:4" x14ac:dyDescent="0.3">
      <c r="A3106" t="s">
        <v>4836</v>
      </c>
      <c r="B3106" t="s">
        <v>4011</v>
      </c>
      <c r="C3106" s="22" t="s">
        <v>7325</v>
      </c>
      <c r="D3106">
        <f>rzis!H66+rzis!H67</f>
        <v>0</v>
      </c>
    </row>
    <row r="3107" spans="1:4" x14ac:dyDescent="0.3">
      <c r="A3107" t="s">
        <v>4836</v>
      </c>
      <c r="B3107" t="s">
        <v>4011</v>
      </c>
      <c r="C3107" s="22" t="s">
        <v>7326</v>
      </c>
      <c r="D3107">
        <f>rzis!J66+rzis!J67</f>
        <v>0</v>
      </c>
    </row>
    <row r="3108" spans="1:4" x14ac:dyDescent="0.3">
      <c r="A3108" t="s">
        <v>4836</v>
      </c>
      <c r="B3108" t="s">
        <v>4011</v>
      </c>
      <c r="C3108" s="22" t="s">
        <v>7327</v>
      </c>
      <c r="D3108">
        <f>rzis!F70+rzis!F71</f>
        <v>0</v>
      </c>
    </row>
    <row r="3109" spans="1:4" x14ac:dyDescent="0.3">
      <c r="A3109" t="s">
        <v>4836</v>
      </c>
      <c r="B3109" t="s">
        <v>4011</v>
      </c>
      <c r="C3109" s="22" t="s">
        <v>7328</v>
      </c>
      <c r="D3109">
        <f>rzis!H70+rzis!H71</f>
        <v>0</v>
      </c>
    </row>
    <row r="3110" spans="1:4" x14ac:dyDescent="0.3">
      <c r="A3110" t="s">
        <v>4836</v>
      </c>
      <c r="B3110" t="s">
        <v>4011</v>
      </c>
      <c r="C3110" s="22" t="s">
        <v>7329</v>
      </c>
      <c r="D3110">
        <f>rzis!J70+rzis!J71</f>
        <v>0</v>
      </c>
    </row>
    <row r="3111" spans="1:4" x14ac:dyDescent="0.3">
      <c r="A3111" t="s">
        <v>4836</v>
      </c>
      <c r="B3111" t="s">
        <v>4011</v>
      </c>
      <c r="C3111" s="22" t="s">
        <v>7330</v>
      </c>
      <c r="D3111">
        <f>rzis!F64-rzis!F68</f>
        <v>0</v>
      </c>
    </row>
    <row r="3112" spans="1:4" x14ac:dyDescent="0.3">
      <c r="A3112" t="s">
        <v>4836</v>
      </c>
      <c r="B3112" t="s">
        <v>4011</v>
      </c>
      <c r="C3112" s="22" t="s">
        <v>7331</v>
      </c>
      <c r="D3112">
        <f>rzis!H64-rzis!H68</f>
        <v>0</v>
      </c>
    </row>
    <row r="3113" spans="1:4" x14ac:dyDescent="0.3">
      <c r="A3113" t="s">
        <v>4836</v>
      </c>
      <c r="B3113" t="s">
        <v>4011</v>
      </c>
      <c r="C3113" s="22" t="s">
        <v>7332</v>
      </c>
      <c r="D3113">
        <f>rzis!J64-rzis!J68</f>
        <v>0</v>
      </c>
    </row>
    <row r="3114" spans="1:4" x14ac:dyDescent="0.3">
      <c r="A3114" t="s">
        <v>4836</v>
      </c>
      <c r="B3114" t="s">
        <v>4011</v>
      </c>
      <c r="C3114" s="22" t="s">
        <v>7333</v>
      </c>
      <c r="D3114">
        <f>rzis!F72-rzis!F73-rzis!F74</f>
        <v>0</v>
      </c>
    </row>
    <row r="3115" spans="1:4" x14ac:dyDescent="0.3">
      <c r="A3115" t="s">
        <v>4836</v>
      </c>
      <c r="B3115" t="s">
        <v>4011</v>
      </c>
      <c r="C3115" s="22" t="s">
        <v>7334</v>
      </c>
      <c r="D3115">
        <f>rzis!H72-rzis!H73-rzis!H74</f>
        <v>0</v>
      </c>
    </row>
    <row r="3116" spans="1:4" x14ac:dyDescent="0.3">
      <c r="A3116" t="s">
        <v>4836</v>
      </c>
      <c r="B3116" t="s">
        <v>4011</v>
      </c>
      <c r="C3116" s="22" t="s">
        <v>7335</v>
      </c>
      <c r="D3116">
        <f>rzis!J72-rzis!J73-rzis!J74</f>
        <v>0</v>
      </c>
    </row>
    <row r="3117" spans="1:4" x14ac:dyDescent="0.3">
      <c r="A3117" t="s">
        <v>4836</v>
      </c>
      <c r="B3117" t="s">
        <v>4011</v>
      </c>
      <c r="C3117" s="22" t="s">
        <v>7336</v>
      </c>
      <c r="D3117">
        <f>rzis!F77+rzis!F78+rzis!F79+rzis!F80</f>
        <v>0</v>
      </c>
    </row>
    <row r="3118" spans="1:4" x14ac:dyDescent="0.3">
      <c r="A3118" t="s">
        <v>4836</v>
      </c>
      <c r="B3118" t="s">
        <v>4011</v>
      </c>
      <c r="C3118" s="22" t="s">
        <v>7337</v>
      </c>
      <c r="D3118">
        <f>rzis!H77+rzis!H78+rzis!H79+rzis!H80</f>
        <v>0</v>
      </c>
    </row>
    <row r="3119" spans="1:4" x14ac:dyDescent="0.3">
      <c r="A3119" t="s">
        <v>4836</v>
      </c>
      <c r="B3119" t="s">
        <v>4011</v>
      </c>
      <c r="C3119" s="22" t="s">
        <v>7338</v>
      </c>
      <c r="D3119">
        <f>rzis!J77+rzis!J78+rzis!J79+rzis!J80</f>
        <v>0</v>
      </c>
    </row>
    <row r="3120" spans="1:4" x14ac:dyDescent="0.3">
      <c r="A3120" t="s">
        <v>4836</v>
      </c>
      <c r="B3120" t="s">
        <v>4011</v>
      </c>
      <c r="C3120" s="22" t="s">
        <v>7339</v>
      </c>
      <c r="D3120">
        <f>rzis!F82+rzis!F83+rzis!F84</f>
        <v>0</v>
      </c>
    </row>
    <row r="3121" spans="1:4" x14ac:dyDescent="0.3">
      <c r="A3121" t="s">
        <v>4836</v>
      </c>
      <c r="B3121" t="s">
        <v>4011</v>
      </c>
      <c r="C3121" s="22" t="s">
        <v>7340</v>
      </c>
      <c r="D3121">
        <f>rzis!H82+rzis!H83+rzis!H84</f>
        <v>0</v>
      </c>
    </row>
    <row r="3122" spans="1:4" x14ac:dyDescent="0.3">
      <c r="A3122" t="s">
        <v>4836</v>
      </c>
      <c r="B3122" t="s">
        <v>4011</v>
      </c>
      <c r="C3122" s="22" t="s">
        <v>7341</v>
      </c>
      <c r="D3122">
        <f>rzis!J82+rzis!J83+rzis!J84</f>
        <v>0</v>
      </c>
    </row>
    <row r="3123" spans="1:4" x14ac:dyDescent="0.3">
      <c r="A3123" t="s">
        <v>4836</v>
      </c>
      <c r="B3123" t="s">
        <v>4011</v>
      </c>
      <c r="C3123" s="22" t="s">
        <v>7342</v>
      </c>
      <c r="D3123">
        <f>rzis!F75+rzis!F76-rzis!F81</f>
        <v>0</v>
      </c>
    </row>
    <row r="3124" spans="1:4" x14ac:dyDescent="0.3">
      <c r="A3124" t="s">
        <v>4836</v>
      </c>
      <c r="B3124" t="s">
        <v>4011</v>
      </c>
      <c r="C3124" s="22" t="s">
        <v>7343</v>
      </c>
      <c r="D3124">
        <f>rzis!H75+rzis!H76-rzis!H81</f>
        <v>0</v>
      </c>
    </row>
    <row r="3125" spans="1:4" x14ac:dyDescent="0.3">
      <c r="A3125" t="s">
        <v>4836</v>
      </c>
      <c r="B3125" t="s">
        <v>4011</v>
      </c>
      <c r="C3125" s="22" t="s">
        <v>7344</v>
      </c>
      <c r="D3125">
        <f>rzis!J75+rzis!J76-rzis!J81</f>
        <v>0</v>
      </c>
    </row>
    <row r="3126" spans="1:4" x14ac:dyDescent="0.3">
      <c r="A3126" t="s">
        <v>4836</v>
      </c>
      <c r="B3126" t="s">
        <v>4011</v>
      </c>
      <c r="C3126" s="22" t="s">
        <v>7345</v>
      </c>
      <c r="D3126">
        <f>rzis!F87+rzis!F92+rzis!F94+rzis!F96+rzis!F97</f>
        <v>0</v>
      </c>
    </row>
    <row r="3127" spans="1:4" x14ac:dyDescent="0.3">
      <c r="A3127" t="s">
        <v>4836</v>
      </c>
      <c r="B3127" t="s">
        <v>4011</v>
      </c>
      <c r="C3127" s="22" t="s">
        <v>7346</v>
      </c>
      <c r="D3127">
        <f>rzis!H87+rzis!H92+rzis!H94+rzis!H96+rzis!H97</f>
        <v>0</v>
      </c>
    </row>
    <row r="3128" spans="1:4" x14ac:dyDescent="0.3">
      <c r="A3128" t="s">
        <v>4836</v>
      </c>
      <c r="B3128" t="s">
        <v>4011</v>
      </c>
      <c r="C3128" s="22" t="s">
        <v>7347</v>
      </c>
      <c r="D3128">
        <f>rzis!J87+rzis!J92+rzis!J94+rzis!J96+rzis!J97</f>
        <v>0</v>
      </c>
    </row>
    <row r="3129" spans="1:4" x14ac:dyDescent="0.3">
      <c r="A3129" t="s">
        <v>4836</v>
      </c>
      <c r="B3129" t="s">
        <v>4011</v>
      </c>
      <c r="C3129" s="22" t="s">
        <v>7348</v>
      </c>
      <c r="D3129">
        <f>rzis!F99+rzis!F101+rzis!F103+rzis!F104</f>
        <v>0</v>
      </c>
    </row>
    <row r="3130" spans="1:4" x14ac:dyDescent="0.3">
      <c r="A3130" t="s">
        <v>4836</v>
      </c>
      <c r="B3130" t="s">
        <v>4011</v>
      </c>
      <c r="C3130" s="22" t="s">
        <v>7349</v>
      </c>
      <c r="D3130">
        <f>rzis!H99+rzis!H101+rzis!H103+rzis!H104</f>
        <v>0</v>
      </c>
    </row>
    <row r="3131" spans="1:4" x14ac:dyDescent="0.3">
      <c r="A3131" t="s">
        <v>4836</v>
      </c>
      <c r="B3131" t="s">
        <v>4011</v>
      </c>
      <c r="C3131" s="22" t="s">
        <v>7350</v>
      </c>
      <c r="D3131">
        <f>rzis!J99+rzis!J101+rzis!J103+rzis!J104</f>
        <v>0</v>
      </c>
    </row>
    <row r="3132" spans="1:4" x14ac:dyDescent="0.3">
      <c r="A3132" t="s">
        <v>4836</v>
      </c>
      <c r="B3132" t="s">
        <v>4011</v>
      </c>
      <c r="C3132" s="22" t="s">
        <v>7351</v>
      </c>
      <c r="D3132">
        <f>rzis!F85+rzis!F86-rzis!F98</f>
        <v>0</v>
      </c>
    </row>
    <row r="3133" spans="1:4" x14ac:dyDescent="0.3">
      <c r="A3133" t="s">
        <v>4836</v>
      </c>
      <c r="B3133" t="s">
        <v>4011</v>
      </c>
      <c r="C3133" s="22" t="s">
        <v>7352</v>
      </c>
      <c r="D3133">
        <f>rzis!H85+rzis!H86-rzis!H98</f>
        <v>0</v>
      </c>
    </row>
    <row r="3134" spans="1:4" x14ac:dyDescent="0.3">
      <c r="A3134" t="s">
        <v>4836</v>
      </c>
      <c r="B3134" t="s">
        <v>4011</v>
      </c>
      <c r="C3134" s="22" t="s">
        <v>7353</v>
      </c>
      <c r="D3134">
        <f>rzis!J85+rzis!J86-rzis!J98</f>
        <v>0</v>
      </c>
    </row>
    <row r="3135" spans="1:4" x14ac:dyDescent="0.3">
      <c r="A3135" t="s">
        <v>4836</v>
      </c>
      <c r="B3135" t="s">
        <v>4011</v>
      </c>
      <c r="C3135" s="22" t="s">
        <v>7354</v>
      </c>
      <c r="D3135">
        <f>rzis!F105-rzis!F106-rzis!F107</f>
        <v>0</v>
      </c>
    </row>
    <row r="3136" spans="1:4" x14ac:dyDescent="0.3">
      <c r="A3136" t="s">
        <v>4836</v>
      </c>
      <c r="B3136" t="s">
        <v>4011</v>
      </c>
      <c r="C3136" s="22" t="s">
        <v>7355</v>
      </c>
      <c r="D3136">
        <f>rzis!H105-rzis!H106-rzis!H107</f>
        <v>0</v>
      </c>
    </row>
    <row r="3137" spans="1:4" x14ac:dyDescent="0.3">
      <c r="A3137" t="s">
        <v>4836</v>
      </c>
      <c r="B3137" t="s">
        <v>4011</v>
      </c>
      <c r="C3137" s="22" t="s">
        <v>7356</v>
      </c>
      <c r="D3137">
        <f>rzis!J105-rzis!J106-rzis!J107</f>
        <v>0</v>
      </c>
    </row>
    <row r="3138" spans="1:4" x14ac:dyDescent="0.3">
      <c r="A3138" t="s">
        <v>5067</v>
      </c>
      <c r="B3138" t="s">
        <v>4011</v>
      </c>
      <c r="C3138" s="22" t="s">
        <v>5130</v>
      </c>
      <c r="D3138" t="s">
        <v>5125</v>
      </c>
    </row>
    <row r="3139" spans="1:4" x14ac:dyDescent="0.3">
      <c r="A3139" t="s">
        <v>5067</v>
      </c>
      <c r="B3139" t="s">
        <v>4011</v>
      </c>
      <c r="C3139" s="22" t="s">
        <v>5131</v>
      </c>
      <c r="D3139" t="s">
        <v>5125</v>
      </c>
    </row>
    <row r="3140" spans="1:4" x14ac:dyDescent="0.3">
      <c r="A3140" t="s">
        <v>5067</v>
      </c>
      <c r="B3140" t="s">
        <v>4011</v>
      </c>
      <c r="C3140" s="22" t="s">
        <v>5132</v>
      </c>
      <c r="D3140" t="s">
        <v>5125</v>
      </c>
    </row>
    <row r="3141" spans="1:4" x14ac:dyDescent="0.3">
      <c r="A3141" t="s">
        <v>5067</v>
      </c>
      <c r="B3141" t="s">
        <v>4011</v>
      </c>
      <c r="C3141" s="22" t="s">
        <v>5133</v>
      </c>
      <c r="D3141" t="s">
        <v>5125</v>
      </c>
    </row>
    <row r="3142" spans="1:4" x14ac:dyDescent="0.3">
      <c r="A3142" t="s">
        <v>5067</v>
      </c>
      <c r="B3142" t="s">
        <v>4011</v>
      </c>
      <c r="C3142" s="22" t="s">
        <v>5134</v>
      </c>
      <c r="D3142" t="s">
        <v>5125</v>
      </c>
    </row>
    <row r="3143" spans="1:4" x14ac:dyDescent="0.3">
      <c r="A3143" t="s">
        <v>5067</v>
      </c>
      <c r="B3143" t="s">
        <v>4011</v>
      </c>
      <c r="C3143" s="22" t="s">
        <v>5135</v>
      </c>
      <c r="D3143" t="str">
        <f>IF(WariantRZiS=1,"ukryj",IF(AND(rzis!F64=0,AND(rzis!H64=0,rzis!J64=0)),"ukryj","odkryj"))</f>
        <v>ukryj</v>
      </c>
    </row>
    <row r="3144" spans="1:4" x14ac:dyDescent="0.3">
      <c r="A3144" t="s">
        <v>5067</v>
      </c>
      <c r="B3144" t="s">
        <v>4011</v>
      </c>
      <c r="C3144" s="22" t="s">
        <v>5136</v>
      </c>
      <c r="D3144" t="str">
        <f>IF(WariantRZiS=1,"ukryj",IF(AND(rzis!F65=0,AND(rzis!H65=0,rzis!J65=0)),"ukryj","odkryj"))</f>
        <v>ukryj</v>
      </c>
    </row>
    <row r="3145" spans="1:4" x14ac:dyDescent="0.3">
      <c r="A3145" t="s">
        <v>5067</v>
      </c>
      <c r="B3145" t="s">
        <v>4011</v>
      </c>
      <c r="C3145" s="22" t="s">
        <v>5137</v>
      </c>
      <c r="D3145" t="str">
        <f>IF(WariantRZiS=1,"ukryj",IF(AND(rzis!F66=0,AND(rzis!H66=0,rzis!J66=0)),"ukryj","odkryj"))</f>
        <v>ukryj</v>
      </c>
    </row>
    <row r="3146" spans="1:4" x14ac:dyDescent="0.3">
      <c r="A3146" t="s">
        <v>5067</v>
      </c>
      <c r="B3146" t="s">
        <v>4011</v>
      </c>
      <c r="C3146" s="22" t="s">
        <v>5138</v>
      </c>
      <c r="D3146" t="str">
        <f>IF(WariantRZiS=1,"ukryj",IF(AND(rzis!F67=0,AND(rzis!H67=0,rzis!J67=0)),"ukryj","odkryj"))</f>
        <v>ukryj</v>
      </c>
    </row>
    <row r="3147" spans="1:4" x14ac:dyDescent="0.3">
      <c r="A3147" t="s">
        <v>5067</v>
      </c>
      <c r="B3147" t="s">
        <v>4011</v>
      </c>
      <c r="C3147" s="22" t="s">
        <v>5139</v>
      </c>
      <c r="D3147" t="str">
        <f>IF(WariantRZiS=1,"ukryj",IF(AND(rzis!F68=0,AND(rzis!H68=0,rzis!J68=0)),"ukryj","odkryj"))</f>
        <v>ukryj</v>
      </c>
    </row>
    <row r="3148" spans="1:4" x14ac:dyDescent="0.3">
      <c r="A3148" t="s">
        <v>5067</v>
      </c>
      <c r="B3148" t="s">
        <v>4011</v>
      </c>
      <c r="C3148" s="22" t="s">
        <v>5140</v>
      </c>
      <c r="D3148" t="str">
        <f>IF(WariantRZiS=1,"ukryj",IF(AND(rzis!F69=0,AND(rzis!H69=0,rzis!J69=0)),"ukryj","odkryj"))</f>
        <v>ukryj</v>
      </c>
    </row>
    <row r="3149" spans="1:4" x14ac:dyDescent="0.3">
      <c r="A3149" t="s">
        <v>5067</v>
      </c>
      <c r="B3149" t="s">
        <v>4011</v>
      </c>
      <c r="C3149" s="22" t="s">
        <v>5141</v>
      </c>
      <c r="D3149" t="str">
        <f>IF(WariantRZiS=1,"ukryj",IF(AND(rzis!F70=0,AND(rzis!H70=0,rzis!J70=0)),"ukryj","odkryj"))</f>
        <v>ukryj</v>
      </c>
    </row>
    <row r="3150" spans="1:4" x14ac:dyDescent="0.3">
      <c r="A3150" t="s">
        <v>5067</v>
      </c>
      <c r="B3150" t="s">
        <v>4011</v>
      </c>
      <c r="C3150" s="22" t="s">
        <v>5142</v>
      </c>
      <c r="D3150" t="str">
        <f>IF(WariantRZiS=1,"ukryj",IF(AND(rzis!F71=0,AND(rzis!H71=0,rzis!J71=0)),"ukryj","odkryj"))</f>
        <v>ukryj</v>
      </c>
    </row>
    <row r="3151" spans="1:4" x14ac:dyDescent="0.3">
      <c r="A3151" t="s">
        <v>5067</v>
      </c>
      <c r="B3151" t="s">
        <v>4011</v>
      </c>
      <c r="C3151" s="22" t="s">
        <v>5143</v>
      </c>
      <c r="D3151" t="str">
        <f>IF(WariantRZiS=1,"ukryj",IF(AND(rzis!F72=0,AND(rzis!H72=0,rzis!J72=0)),"ukryj","odkryj"))</f>
        <v>ukryj</v>
      </c>
    </row>
    <row r="3152" spans="1:4" x14ac:dyDescent="0.3">
      <c r="A3152" t="s">
        <v>5067</v>
      </c>
      <c r="B3152" t="s">
        <v>4011</v>
      </c>
      <c r="C3152" s="22" t="s">
        <v>5144</v>
      </c>
      <c r="D3152" t="str">
        <f>IF(WariantRZiS=1,"ukryj",IF(AND(rzis!F73=0,AND(rzis!H73=0,rzis!J73=0)),"ukryj","odkryj"))</f>
        <v>ukryj</v>
      </c>
    </row>
    <row r="3153" spans="1:4" x14ac:dyDescent="0.3">
      <c r="A3153" t="s">
        <v>5067</v>
      </c>
      <c r="B3153" t="s">
        <v>4011</v>
      </c>
      <c r="C3153" s="22" t="s">
        <v>5145</v>
      </c>
      <c r="D3153" t="str">
        <f>IF(WariantRZiS=1,"ukryj",IF(AND(rzis!F74=0,AND(rzis!H74=0,rzis!J74=0)),"ukryj","odkryj"))</f>
        <v>ukryj</v>
      </c>
    </row>
    <row r="3154" spans="1:4" x14ac:dyDescent="0.3">
      <c r="A3154" t="s">
        <v>5067</v>
      </c>
      <c r="B3154" t="s">
        <v>4011</v>
      </c>
      <c r="C3154" s="22" t="s">
        <v>5146</v>
      </c>
      <c r="D3154" t="str">
        <f>IF(WariantRZiS=1,"ukryj",IF(AND(rzis!F75=0,AND(rzis!H75=0,rzis!J75=0)),"ukryj","odkryj"))</f>
        <v>ukryj</v>
      </c>
    </row>
    <row r="3155" spans="1:4" x14ac:dyDescent="0.3">
      <c r="A3155" t="s">
        <v>5067</v>
      </c>
      <c r="B3155" t="s">
        <v>4011</v>
      </c>
      <c r="C3155" s="22" t="s">
        <v>5147</v>
      </c>
      <c r="D3155" t="str">
        <f>IF(WariantRZiS=1,"ukryj",IF(AND(rzis!F76=0,AND(rzis!H76=0,rzis!J76=0)),"ukryj","odkryj"))</f>
        <v>ukryj</v>
      </c>
    </row>
    <row r="3156" spans="1:4" x14ac:dyDescent="0.3">
      <c r="A3156" t="s">
        <v>5067</v>
      </c>
      <c r="B3156" t="s">
        <v>4011</v>
      </c>
      <c r="C3156" s="22" t="s">
        <v>5148</v>
      </c>
      <c r="D3156" t="str">
        <f>IF(WariantRZiS=1,"ukryj",IF(AND(rzis!F77=0,AND(rzis!H77=0,rzis!J77=0)),"ukryj","odkryj"))</f>
        <v>ukryj</v>
      </c>
    </row>
    <row r="3157" spans="1:4" x14ac:dyDescent="0.3">
      <c r="A3157" t="s">
        <v>5067</v>
      </c>
      <c r="B3157" t="s">
        <v>4011</v>
      </c>
      <c r="C3157" s="22" t="s">
        <v>5149</v>
      </c>
      <c r="D3157" t="str">
        <f>IF(WariantRZiS=1,"ukryj",IF(AND(rzis!F78=0,AND(rzis!H78=0,rzis!J78=0)),"ukryj","odkryj"))</f>
        <v>ukryj</v>
      </c>
    </row>
    <row r="3158" spans="1:4" x14ac:dyDescent="0.3">
      <c r="A3158" t="s">
        <v>5067</v>
      </c>
      <c r="B3158" t="s">
        <v>4011</v>
      </c>
      <c r="C3158" s="22" t="s">
        <v>5150</v>
      </c>
      <c r="D3158" t="str">
        <f>IF(WariantRZiS=1,"ukryj",IF(AND(rzis!F79=0,AND(rzis!H79=0,rzis!J79=0)),"ukryj","odkryj"))</f>
        <v>ukryj</v>
      </c>
    </row>
    <row r="3159" spans="1:4" x14ac:dyDescent="0.3">
      <c r="A3159" t="s">
        <v>5067</v>
      </c>
      <c r="B3159" t="s">
        <v>4011</v>
      </c>
      <c r="C3159" s="22" t="s">
        <v>5151</v>
      </c>
      <c r="D3159" t="str">
        <f>IF(WariantRZiS=1,"ukryj",IF(AND(rzis!F80=0,AND(rzis!H80=0,rzis!J80=0)),"ukryj","odkryj"))</f>
        <v>ukryj</v>
      </c>
    </row>
    <row r="3160" spans="1:4" x14ac:dyDescent="0.3">
      <c r="A3160" t="s">
        <v>5067</v>
      </c>
      <c r="B3160" t="s">
        <v>4011</v>
      </c>
      <c r="C3160" s="22" t="s">
        <v>5152</v>
      </c>
      <c r="D3160" t="str">
        <f>IF(WariantRZiS=1,"ukryj",IF(AND(rzis!F81=0,AND(rzis!H81=0,rzis!J81=0)),"ukryj","odkryj"))</f>
        <v>ukryj</v>
      </c>
    </row>
    <row r="3161" spans="1:4" x14ac:dyDescent="0.3">
      <c r="A3161" t="s">
        <v>5067</v>
      </c>
      <c r="B3161" t="s">
        <v>4011</v>
      </c>
      <c r="C3161" s="22" t="s">
        <v>5153</v>
      </c>
      <c r="D3161" t="str">
        <f>IF(WariantRZiS=1,"ukryj",IF(AND(rzis!F82=0,AND(rzis!H82=0,rzis!J82=0)),"ukryj","odkryj"))</f>
        <v>ukryj</v>
      </c>
    </row>
    <row r="3162" spans="1:4" x14ac:dyDescent="0.3">
      <c r="A3162" t="s">
        <v>5067</v>
      </c>
      <c r="B3162" t="s">
        <v>4011</v>
      </c>
      <c r="C3162" s="22" t="s">
        <v>5154</v>
      </c>
      <c r="D3162" t="str">
        <f>IF(WariantRZiS=1,"ukryj",IF(AND(rzis!F83=0,AND(rzis!H83=0,rzis!J83=0)),"ukryj","odkryj"))</f>
        <v>ukryj</v>
      </c>
    </row>
    <row r="3163" spans="1:4" x14ac:dyDescent="0.3">
      <c r="A3163" t="s">
        <v>5067</v>
      </c>
      <c r="B3163" t="s">
        <v>4011</v>
      </c>
      <c r="C3163" s="22" t="s">
        <v>5155</v>
      </c>
      <c r="D3163" t="str">
        <f>IF(WariantRZiS=1,"ukryj",IF(AND(rzis!F84=0,AND(rzis!H84=0,rzis!J84=0)),"ukryj","odkryj"))</f>
        <v>ukryj</v>
      </c>
    </row>
    <row r="3164" spans="1:4" x14ac:dyDescent="0.3">
      <c r="A3164" t="s">
        <v>5067</v>
      </c>
      <c r="B3164" t="s">
        <v>4011</v>
      </c>
      <c r="C3164" s="22" t="s">
        <v>5156</v>
      </c>
      <c r="D3164" t="str">
        <f>IF(WariantRZiS=1,"ukryj",IF(AND(rzis!F85=0,AND(rzis!H85=0,rzis!J85=0)),"ukryj","odkryj"))</f>
        <v>ukryj</v>
      </c>
    </row>
    <row r="3165" spans="1:4" x14ac:dyDescent="0.3">
      <c r="A3165" t="s">
        <v>5067</v>
      </c>
      <c r="B3165" t="s">
        <v>4011</v>
      </c>
      <c r="C3165" s="22" t="s">
        <v>5157</v>
      </c>
      <c r="D3165" t="str">
        <f>IF(WariantRZiS=1,"ukryj",IF(AND(rzis!F86=0,AND(rzis!H86=0,rzis!J86=0)),"ukryj","odkryj"))</f>
        <v>ukryj</v>
      </c>
    </row>
    <row r="3166" spans="1:4" x14ac:dyDescent="0.3">
      <c r="A3166" t="s">
        <v>5067</v>
      </c>
      <c r="B3166" t="s">
        <v>4011</v>
      </c>
      <c r="C3166" s="22" t="s">
        <v>5158</v>
      </c>
      <c r="D3166" t="str">
        <f>IF(WariantRZiS=1,"ukryj",IF(AND(rzis!F87=0,AND(rzis!H87=0,rzis!J87=0)),"ukryj","odkryj"))</f>
        <v>ukryj</v>
      </c>
    </row>
    <row r="3167" spans="1:4" x14ac:dyDescent="0.3">
      <c r="A3167" t="s">
        <v>5067</v>
      </c>
      <c r="B3167" t="s">
        <v>4011</v>
      </c>
      <c r="C3167" s="22" t="s">
        <v>5159</v>
      </c>
      <c r="D3167" t="str">
        <f>IF(WariantRZiS=1,"ukryj",IF(AND(rzis!F88=0,AND(rzis!H88=0,rzis!J88=0)),"ukryj","odkryj"))</f>
        <v>ukryj</v>
      </c>
    </row>
    <row r="3168" spans="1:4" x14ac:dyDescent="0.3">
      <c r="A3168" t="s">
        <v>5067</v>
      </c>
      <c r="B3168" t="s">
        <v>4011</v>
      </c>
      <c r="C3168" s="22" t="s">
        <v>5160</v>
      </c>
      <c r="D3168" t="str">
        <f>IF(WariantRZiS=1,"ukryj",IF(AND(rzis!F89=0,AND(rzis!H89=0,rzis!J89=0)),"ukryj","odkryj"))</f>
        <v>ukryj</v>
      </c>
    </row>
    <row r="3169" spans="1:4" x14ac:dyDescent="0.3">
      <c r="A3169" t="s">
        <v>5067</v>
      </c>
      <c r="B3169" t="s">
        <v>4011</v>
      </c>
      <c r="C3169" s="22" t="s">
        <v>5161</v>
      </c>
      <c r="D3169" t="str">
        <f>IF(WariantRZiS=1,"ukryj",IF(AND(rzis!F90=0,AND(rzis!H90=0,rzis!J90=0)),"ukryj","odkryj"))</f>
        <v>ukryj</v>
      </c>
    </row>
    <row r="3170" spans="1:4" x14ac:dyDescent="0.3">
      <c r="A3170" t="s">
        <v>5067</v>
      </c>
      <c r="B3170" t="s">
        <v>4011</v>
      </c>
      <c r="C3170" s="22" t="s">
        <v>5162</v>
      </c>
      <c r="D3170" t="str">
        <f>IF(WariantRZiS=1,"ukryj",IF(AND(rzis!F91=0,AND(rzis!H91=0,rzis!J91=0)),"ukryj","odkryj"))</f>
        <v>ukryj</v>
      </c>
    </row>
    <row r="3171" spans="1:4" x14ac:dyDescent="0.3">
      <c r="A3171" t="s">
        <v>5067</v>
      </c>
      <c r="B3171" t="s">
        <v>4011</v>
      </c>
      <c r="C3171" s="22" t="s">
        <v>5163</v>
      </c>
      <c r="D3171" t="str">
        <f>IF(WariantRZiS=1,"ukryj",IF(AND(rzis!F92=0,AND(rzis!H92=0,rzis!J92=0)),"ukryj","odkryj"))</f>
        <v>ukryj</v>
      </c>
    </row>
    <row r="3172" spans="1:4" x14ac:dyDescent="0.3">
      <c r="A3172" t="s">
        <v>5067</v>
      </c>
      <c r="B3172" t="s">
        <v>4011</v>
      </c>
      <c r="C3172" s="22" t="s">
        <v>5164</v>
      </c>
      <c r="D3172" t="str">
        <f>IF(WariantRZiS=1,"ukryj",IF(AND(rzis!F93=0,AND(rzis!H93=0,rzis!J93=0)),"ukryj","odkryj"))</f>
        <v>ukryj</v>
      </c>
    </row>
    <row r="3173" spans="1:4" x14ac:dyDescent="0.3">
      <c r="A3173" t="s">
        <v>5067</v>
      </c>
      <c r="B3173" t="s">
        <v>4011</v>
      </c>
      <c r="C3173" s="22" t="s">
        <v>5165</v>
      </c>
      <c r="D3173" t="str">
        <f>IF(WariantRZiS=1,"ukryj",IF(AND(rzis!F94=0,AND(rzis!H94=0,rzis!J94=0)),"ukryj","odkryj"))</f>
        <v>ukryj</v>
      </c>
    </row>
    <row r="3174" spans="1:4" x14ac:dyDescent="0.3">
      <c r="A3174" t="s">
        <v>5067</v>
      </c>
      <c r="B3174" t="s">
        <v>4011</v>
      </c>
      <c r="C3174" s="22" t="s">
        <v>5166</v>
      </c>
      <c r="D3174" t="str">
        <f>IF(WariantRZiS=1,"ukryj",IF(AND(rzis!F95=0,AND(rzis!H95=0,rzis!J95=0)),"ukryj","odkryj"))</f>
        <v>ukryj</v>
      </c>
    </row>
    <row r="3175" spans="1:4" x14ac:dyDescent="0.3">
      <c r="A3175" t="s">
        <v>5067</v>
      </c>
      <c r="B3175" t="s">
        <v>4011</v>
      </c>
      <c r="C3175" s="22" t="s">
        <v>5167</v>
      </c>
      <c r="D3175" t="str">
        <f>IF(WariantRZiS=1,"ukryj",IF(AND(rzis!F96=0,AND(rzis!H96=0,rzis!J96=0)),"ukryj","odkryj"))</f>
        <v>ukryj</v>
      </c>
    </row>
    <row r="3176" spans="1:4" x14ac:dyDescent="0.3">
      <c r="A3176" t="s">
        <v>5067</v>
      </c>
      <c r="B3176" t="s">
        <v>4011</v>
      </c>
      <c r="C3176" s="22" t="s">
        <v>5168</v>
      </c>
      <c r="D3176" t="str">
        <f>IF(WariantRZiS=1,"ukryj",IF(AND(rzis!F97=0,AND(rzis!H97=0,rzis!J97=0)),"ukryj","odkryj"))</f>
        <v>ukryj</v>
      </c>
    </row>
    <row r="3177" spans="1:4" x14ac:dyDescent="0.3">
      <c r="A3177" t="s">
        <v>5067</v>
      </c>
      <c r="B3177" t="s">
        <v>4011</v>
      </c>
      <c r="C3177" s="22" t="s">
        <v>5169</v>
      </c>
      <c r="D3177" t="str">
        <f>IF(WariantRZiS=1,"ukryj",IF(AND(rzis!F98=0,AND(rzis!H98=0,rzis!J98=0)),"ukryj","odkryj"))</f>
        <v>ukryj</v>
      </c>
    </row>
    <row r="3178" spans="1:4" x14ac:dyDescent="0.3">
      <c r="A3178" t="s">
        <v>5067</v>
      </c>
      <c r="B3178" t="s">
        <v>4011</v>
      </c>
      <c r="C3178" s="22" t="s">
        <v>5170</v>
      </c>
      <c r="D3178" t="str">
        <f>IF(WariantRZiS=1,"ukryj",IF(AND(rzis!F99=0,AND(rzis!H99=0,rzis!J99=0)),"ukryj","odkryj"))</f>
        <v>ukryj</v>
      </c>
    </row>
    <row r="3179" spans="1:4" x14ac:dyDescent="0.3">
      <c r="A3179" t="s">
        <v>5067</v>
      </c>
      <c r="B3179" t="s">
        <v>4011</v>
      </c>
      <c r="C3179" s="22" t="s">
        <v>5171</v>
      </c>
      <c r="D3179" t="str">
        <f>IF(WariantRZiS=1,"ukryj",IF(AND(rzis!F100=0,AND(rzis!H100=0,rzis!J100=0)),"ukryj","odkryj"))</f>
        <v>ukryj</v>
      </c>
    </row>
    <row r="3180" spans="1:4" x14ac:dyDescent="0.3">
      <c r="A3180" t="s">
        <v>5067</v>
      </c>
      <c r="B3180" t="s">
        <v>4011</v>
      </c>
      <c r="C3180" s="22" t="s">
        <v>5172</v>
      </c>
      <c r="D3180" t="str">
        <f>IF(WariantRZiS=1,"ukryj",IF(AND(rzis!F101=0,AND(rzis!H101=0,rzis!J101=0)),"ukryj","odkryj"))</f>
        <v>ukryj</v>
      </c>
    </row>
    <row r="3181" spans="1:4" x14ac:dyDescent="0.3">
      <c r="A3181" t="s">
        <v>5067</v>
      </c>
      <c r="B3181" t="s">
        <v>4011</v>
      </c>
      <c r="C3181" s="22" t="s">
        <v>5173</v>
      </c>
      <c r="D3181" t="str">
        <f>IF(WariantRZiS=1,"ukryj",IF(AND(rzis!F102=0,AND(rzis!H102=0,rzis!J102=0)),"ukryj","odkryj"))</f>
        <v>ukryj</v>
      </c>
    </row>
    <row r="3182" spans="1:4" x14ac:dyDescent="0.3">
      <c r="A3182" t="s">
        <v>5067</v>
      </c>
      <c r="B3182" t="s">
        <v>4011</v>
      </c>
      <c r="C3182" s="22" t="s">
        <v>5174</v>
      </c>
      <c r="D3182" t="str">
        <f>IF(WariantRZiS=1,"ukryj",IF(AND(rzis!F103=0,AND(rzis!H103=0,rzis!J103=0)),"ukryj","odkryj"))</f>
        <v>ukryj</v>
      </c>
    </row>
    <row r="3183" spans="1:4" x14ac:dyDescent="0.3">
      <c r="A3183" t="s">
        <v>5067</v>
      </c>
      <c r="B3183" t="s">
        <v>4011</v>
      </c>
      <c r="C3183" s="22" t="s">
        <v>5175</v>
      </c>
      <c r="D3183" t="str">
        <f>IF(WariantRZiS=1,"ukryj",IF(AND(rzis!F104=0,AND(rzis!H104=0,rzis!J104=0)),"ukryj","odkryj"))</f>
        <v>ukryj</v>
      </c>
    </row>
    <row r="3184" spans="1:4" x14ac:dyDescent="0.3">
      <c r="A3184" t="s">
        <v>5067</v>
      </c>
      <c r="B3184" t="s">
        <v>4011</v>
      </c>
      <c r="C3184" s="22" t="s">
        <v>5176</v>
      </c>
      <c r="D3184" t="str">
        <f>IF(WariantRZiS=1,"ukryj",IF(AND(rzis!F105=0,AND(rzis!H105=0,rzis!J105=0)),"ukryj","odkryj"))</f>
        <v>ukryj</v>
      </c>
    </row>
    <row r="3185" spans="1:5" x14ac:dyDescent="0.3">
      <c r="A3185" t="s">
        <v>5067</v>
      </c>
      <c r="B3185" t="s">
        <v>4011</v>
      </c>
      <c r="C3185" s="22" t="s">
        <v>5177</v>
      </c>
      <c r="D3185" t="str">
        <f>IF(WariantRZiS=1,"ukryj",IF(AND(rzis!F106=0,AND(rzis!H106=0,rzis!J106=0)),"ukryj","odkryj"))</f>
        <v>ukryj</v>
      </c>
    </row>
    <row r="3186" spans="1:5" x14ac:dyDescent="0.3">
      <c r="A3186" t="s">
        <v>5067</v>
      </c>
      <c r="B3186" t="s">
        <v>4011</v>
      </c>
      <c r="C3186" s="22" t="s">
        <v>5178</v>
      </c>
      <c r="D3186" t="str">
        <f>IF(WariantRZiS=1,"ukryj",IF(AND(rzis!F107=0,AND(rzis!H107=0,rzis!J107=0)),"ukryj","odkryj"))</f>
        <v>ukryj</v>
      </c>
    </row>
    <row r="3187" spans="1:5" x14ac:dyDescent="0.3">
      <c r="A3187" t="s">
        <v>5067</v>
      </c>
      <c r="B3187" t="s">
        <v>4011</v>
      </c>
      <c r="C3187" s="22" t="s">
        <v>5179</v>
      </c>
      <c r="D3187" t="str">
        <f>IF(WariantRZiS=1,"ukryj",IF(AND(rzis!F108=0,AND(rzis!H108=0,rzis!J108=0)),"ukryj","odkryj"))</f>
        <v>ukryj</v>
      </c>
    </row>
    <row r="3188" spans="1:5" x14ac:dyDescent="0.3">
      <c r="A3188" t="s">
        <v>7278</v>
      </c>
      <c r="B3188" t="s">
        <v>7279</v>
      </c>
      <c r="C3188" s="22" t="s">
        <v>7357</v>
      </c>
      <c r="E3188" t="s">
        <v>7358</v>
      </c>
    </row>
    <row r="3189" spans="1:5" x14ac:dyDescent="0.3">
      <c r="A3189" t="s">
        <v>7278</v>
      </c>
      <c r="B3189" t="s">
        <v>5068</v>
      </c>
      <c r="C3189" s="22" t="s">
        <v>7359</v>
      </c>
      <c r="E3189" t="s">
        <v>7358</v>
      </c>
    </row>
    <row r="3190" spans="1:5" x14ac:dyDescent="0.3">
      <c r="A3190" t="s">
        <v>7278</v>
      </c>
      <c r="B3190" t="s">
        <v>5078</v>
      </c>
      <c r="C3190" s="22" t="s">
        <v>7357</v>
      </c>
      <c r="E3190" t="s">
        <v>7358</v>
      </c>
    </row>
    <row r="3191" spans="1:5" x14ac:dyDescent="0.3">
      <c r="A3191" t="s">
        <v>7278</v>
      </c>
      <c r="B3191" t="s">
        <v>5123</v>
      </c>
      <c r="C3191" s="22" t="s">
        <v>7360</v>
      </c>
      <c r="E3191" t="s">
        <v>7358</v>
      </c>
    </row>
    <row r="3192" spans="1:5" x14ac:dyDescent="0.3">
      <c r="A3192" t="s">
        <v>7278</v>
      </c>
      <c r="B3192" t="s">
        <v>7320</v>
      </c>
      <c r="C3192" s="22" t="s">
        <v>7360</v>
      </c>
      <c r="E3192" t="s">
        <v>7358</v>
      </c>
    </row>
    <row r="3193" spans="1:5" x14ac:dyDescent="0.3">
      <c r="A3193" t="s">
        <v>7278</v>
      </c>
      <c r="B3193" t="s">
        <v>3471</v>
      </c>
      <c r="C3193" s="22" t="s">
        <v>7360</v>
      </c>
      <c r="E3193" t="s">
        <v>7358</v>
      </c>
    </row>
    <row r="3194" spans="1:5" x14ac:dyDescent="0.3">
      <c r="A3194" t="s">
        <v>7278</v>
      </c>
      <c r="B3194" t="s">
        <v>3788</v>
      </c>
      <c r="C3194" s="22" t="s">
        <v>7360</v>
      </c>
      <c r="E3194" t="s">
        <v>7358</v>
      </c>
    </row>
    <row r="3195" spans="1:5" x14ac:dyDescent="0.3">
      <c r="A3195" t="s">
        <v>7278</v>
      </c>
      <c r="B3195" t="s">
        <v>4011</v>
      </c>
      <c r="C3195" s="22" t="s">
        <v>7360</v>
      </c>
      <c r="E3195" t="s">
        <v>7358</v>
      </c>
    </row>
    <row r="3196" spans="1:5" x14ac:dyDescent="0.3">
      <c r="A3196" t="s">
        <v>7278</v>
      </c>
      <c r="B3196" t="s">
        <v>4861</v>
      </c>
      <c r="C3196" s="22" t="s">
        <v>7360</v>
      </c>
      <c r="E3196" t="s">
        <v>7358</v>
      </c>
    </row>
    <row r="3197" spans="1:5" x14ac:dyDescent="0.3">
      <c r="A3197" t="s">
        <v>7278</v>
      </c>
      <c r="B3197" t="s">
        <v>4549</v>
      </c>
      <c r="C3197" s="22" t="s">
        <v>7360</v>
      </c>
      <c r="E3197" t="s">
        <v>7358</v>
      </c>
    </row>
    <row r="3198" spans="1:5" x14ac:dyDescent="0.3">
      <c r="A3198" t="s">
        <v>7278</v>
      </c>
      <c r="B3198" t="s">
        <v>4914</v>
      </c>
      <c r="C3198" s="22" t="s">
        <v>7361</v>
      </c>
      <c r="E3198" t="s">
        <v>7358</v>
      </c>
    </row>
    <row r="3199" spans="1:5" x14ac:dyDescent="0.3">
      <c r="A3199" t="s">
        <v>7278</v>
      </c>
      <c r="B3199" t="s">
        <v>5514</v>
      </c>
      <c r="C3199" s="22" t="s">
        <v>7362</v>
      </c>
      <c r="E3199" t="s">
        <v>7358</v>
      </c>
    </row>
    <row r="3200" spans="1:5" x14ac:dyDescent="0.3">
      <c r="A3200" t="s">
        <v>7363</v>
      </c>
      <c r="B3200" t="s">
        <v>3471</v>
      </c>
      <c r="D3200" t="s">
        <v>4838</v>
      </c>
    </row>
    <row r="3201" spans="1:4" x14ac:dyDescent="0.3">
      <c r="A3201" t="s">
        <v>7363</v>
      </c>
      <c r="B3201" t="s">
        <v>3788</v>
      </c>
      <c r="D3201" t="s">
        <v>4838</v>
      </c>
    </row>
    <row r="3202" spans="1:4" x14ac:dyDescent="0.3">
      <c r="A3202" t="s">
        <v>7363</v>
      </c>
      <c r="B3202" t="s">
        <v>4011</v>
      </c>
      <c r="D3202" t="s">
        <v>4838</v>
      </c>
    </row>
  </sheetData>
  <sortState xmlns:xlrd2="http://schemas.microsoft.com/office/spreadsheetml/2017/richdata2" ref="A2:B202">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G36"/>
  <sheetViews>
    <sheetView workbookViewId="0">
      <selection activeCell="J21" sqref="J21"/>
    </sheetView>
  </sheetViews>
  <sheetFormatPr defaultColWidth="9.109375" defaultRowHeight="15.05" x14ac:dyDescent="0.3"/>
  <cols>
    <col min="2" max="2" width="53" bestFit="1" customWidth="1"/>
    <col min="3" max="3" width="7.109375" bestFit="1" customWidth="1"/>
    <col min="6" max="6" width="26" bestFit="1" customWidth="1"/>
  </cols>
  <sheetData>
    <row r="1" spans="1:7" x14ac:dyDescent="0.3">
      <c r="B1" t="s">
        <v>7364</v>
      </c>
      <c r="E1" s="22" t="s">
        <v>7365</v>
      </c>
    </row>
    <row r="3" spans="1:7" ht="15.75" thickBot="1" x14ac:dyDescent="0.35">
      <c r="B3" s="246" t="s">
        <v>7366</v>
      </c>
      <c r="F3" t="s">
        <v>7367</v>
      </c>
    </row>
    <row r="4" spans="1:7" x14ac:dyDescent="0.3">
      <c r="B4" s="1210" t="s">
        <v>7368</v>
      </c>
      <c r="C4" s="1211" t="str">
        <f>IF(ROUND(Aktywa_KwotaA-Pasywa_KwotaA,2)=0,"dobrze","źle")</f>
        <v>dobrze</v>
      </c>
      <c r="F4" t="s">
        <v>7369</v>
      </c>
      <c r="G4" t="e">
        <f>IF(WariantRZiS=1,ROUND(RZISPorF_KwotaA/(RZISPorA_1_KwotaA+RZISPorA_4_KwotaA+RZISPorD_KwotaA),4),ROUND(RzisKalkI_KwotaA/(RzisKalkA_1_KwotaA+RzisKalkA_2_KwotaA+RzisKalkG_KwotaA),4))</f>
        <v>#DIV/0!</v>
      </c>
    </row>
    <row r="5" spans="1:7" x14ac:dyDescent="0.3">
      <c r="B5" s="247" t="s">
        <v>7370</v>
      </c>
      <c r="C5" s="248" t="str">
        <f>IF(ROUND(Aktywa_KwotaB-Pasywa_KwotaB,2)=0,"dobrze","źle")</f>
        <v>dobrze</v>
      </c>
      <c r="F5" t="s">
        <v>7371</v>
      </c>
      <c r="G5" t="e">
        <f>IF(WariantRZiS=1,ROUND(RZISPorI_KwotaA/(RZISPorA_1_KwotaA+RZISPorA_4_KwotaA+RZISPorD_KwotaA+RZISPorG_KwotaA),4),ROUND(RzisKalkL_KwotaA/(RzisKalkA_1_KwotaA+RzisKalkA_2_KwotaA+RzisKalkG_KwotaA+RzisKalkJ_KwotaA),4))</f>
        <v>#DIV/0!</v>
      </c>
    </row>
    <row r="6" spans="1:7" x14ac:dyDescent="0.3">
      <c r="B6" s="247" t="s">
        <v>7372</v>
      </c>
      <c r="C6" s="248" t="str">
        <f>IF(ROUND(Pasywa_A_6_KwotaA-RZISPorL_KwotaA,2)=0,"dobrze","źle")</f>
        <v>dobrze</v>
      </c>
      <c r="F6" t="s">
        <v>7373</v>
      </c>
      <c r="G6" t="e">
        <f>IF(WariantRZiS=1,ROUND(RZISPorL_KwotaA/Aktywa_KwotaA,4),ROUND(RzisKalkO_KwotaA/Aktywa_KwotaA,4))</f>
        <v>#DIV/0!</v>
      </c>
    </row>
    <row r="7" spans="1:7" x14ac:dyDescent="0.3">
      <c r="B7" s="247" t="s">
        <v>7374</v>
      </c>
      <c r="C7" s="248" t="str">
        <f>IF(ROUND(Pasywa_A_6_KwotaB-RZISPorL_KwotaB,2)=0,"dobrze","źle")</f>
        <v>dobrze</v>
      </c>
      <c r="F7" t="s">
        <v>7375</v>
      </c>
      <c r="G7" t="e">
        <f>IF(WariantRZiS=1,ROUND(RZISPorL_KwotaA/Pasywa_A_KwotaA,4),ROUND(RzisKalkO_KwotaA/Pasywa_A_KwotaA,4))</f>
        <v>#DIV/0!</v>
      </c>
    </row>
    <row r="8" spans="1:7" x14ac:dyDescent="0.3">
      <c r="B8" s="247" t="s">
        <v>7376</v>
      </c>
      <c r="C8" s="248" t="str">
        <f>IF(ZestKapital=2,"nie dotyczy",IF(ROUND(Kapital_2_KwotaA-Pasywa_A_KwotaA,2)=0,"dobrze","źle"))</f>
        <v>dobrze</v>
      </c>
    </row>
    <row r="9" spans="1:7" x14ac:dyDescent="0.3">
      <c r="B9" s="247" t="s">
        <v>7377</v>
      </c>
      <c r="C9" s="248" t="str">
        <f>IF(ZestKapital=2,"nie dotyczy",IF(ROUND(Kapital_2_KwotaB-Pasywa_A_KwotaB,2)=0,"dobrze","źle"))</f>
        <v>dobrze</v>
      </c>
    </row>
    <row r="10" spans="1:7" ht="15.75" thickBot="1" x14ac:dyDescent="0.35">
      <c r="B10" s="249" t="s">
        <v>7378</v>
      </c>
      <c r="C10" s="250" t="str">
        <f>IF(ROUND(RZISPorL_KwotaA-Noty!H597,2)=0,"dobrze","źle")</f>
        <v>dobrze</v>
      </c>
    </row>
    <row r="14" spans="1:7" x14ac:dyDescent="0.3">
      <c r="B14" s="246" t="s">
        <v>7379</v>
      </c>
    </row>
    <row r="15" spans="1:7" x14ac:dyDescent="0.3">
      <c r="A15" s="22" t="s">
        <v>7380</v>
      </c>
      <c r="B15" t="s">
        <v>7381</v>
      </c>
      <c r="C15" t="s">
        <v>7382</v>
      </c>
    </row>
    <row r="16" spans="1:7" x14ac:dyDescent="0.3">
      <c r="A16" s="22" t="s">
        <v>7383</v>
      </c>
      <c r="B16" t="s">
        <v>7384</v>
      </c>
      <c r="C16" t="s">
        <v>7382</v>
      </c>
    </row>
    <row r="17" spans="1:3" x14ac:dyDescent="0.3">
      <c r="A17" s="22" t="s">
        <v>7385</v>
      </c>
      <c r="B17" s="20" t="s">
        <v>7386</v>
      </c>
      <c r="C17" t="s">
        <v>7382</v>
      </c>
    </row>
    <row r="18" spans="1:3" x14ac:dyDescent="0.3">
      <c r="A18" s="22" t="s">
        <v>7387</v>
      </c>
      <c r="B18" s="20" t="s">
        <v>7388</v>
      </c>
      <c r="C18" t="s">
        <v>7382</v>
      </c>
    </row>
    <row r="19" spans="1:3" x14ac:dyDescent="0.3">
      <c r="A19" s="22" t="s">
        <v>7389</v>
      </c>
      <c r="B19" s="20" t="s">
        <v>7390</v>
      </c>
      <c r="C19" t="s">
        <v>7382</v>
      </c>
    </row>
    <row r="20" spans="1:3" x14ac:dyDescent="0.3">
      <c r="A20" s="22" t="s">
        <v>7391</v>
      </c>
      <c r="B20" t="s">
        <v>7392</v>
      </c>
      <c r="C20" t="s">
        <v>7382</v>
      </c>
    </row>
    <row r="21" spans="1:3" x14ac:dyDescent="0.3">
      <c r="A21" s="22" t="s">
        <v>7393</v>
      </c>
      <c r="B21" s="20" t="s">
        <v>7394</v>
      </c>
      <c r="C21" t="s">
        <v>7382</v>
      </c>
    </row>
    <row r="22" spans="1:3" x14ac:dyDescent="0.3">
      <c r="A22" s="22" t="s">
        <v>7395</v>
      </c>
      <c r="B22" s="20" t="s">
        <v>7396</v>
      </c>
      <c r="C22" t="s">
        <v>7382</v>
      </c>
    </row>
    <row r="23" spans="1:3" x14ac:dyDescent="0.3">
      <c r="A23" s="22" t="s">
        <v>7397</v>
      </c>
      <c r="B23" s="20" t="s">
        <v>7398</v>
      </c>
      <c r="C23" t="s">
        <v>7382</v>
      </c>
    </row>
    <row r="24" spans="1:3" x14ac:dyDescent="0.3">
      <c r="A24" s="22"/>
      <c r="B24" s="20"/>
    </row>
    <row r="25" spans="1:3" x14ac:dyDescent="0.3">
      <c r="A25" s="22"/>
      <c r="B25" s="20"/>
    </row>
    <row r="26" spans="1:3" x14ac:dyDescent="0.3">
      <c r="A26" s="22"/>
      <c r="B26" s="20"/>
    </row>
    <row r="27" spans="1:3" x14ac:dyDescent="0.3">
      <c r="A27" s="22"/>
    </row>
    <row r="28" spans="1:3" x14ac:dyDescent="0.3">
      <c r="A28" s="22"/>
    </row>
    <row r="29" spans="1:3" x14ac:dyDescent="0.3">
      <c r="A29" s="22"/>
    </row>
    <row r="30" spans="1:3" x14ac:dyDescent="0.3">
      <c r="A30" s="22"/>
    </row>
    <row r="31" spans="1:3" x14ac:dyDescent="0.3">
      <c r="A31" s="22"/>
    </row>
    <row r="32" spans="1:3" x14ac:dyDescent="0.3">
      <c r="A32" s="22"/>
    </row>
    <row r="33" spans="1:1" x14ac:dyDescent="0.3">
      <c r="A33" s="22"/>
    </row>
    <row r="34" spans="1:1" x14ac:dyDescent="0.3">
      <c r="A34" s="22"/>
    </row>
    <row r="35" spans="1:1" x14ac:dyDescent="0.3">
      <c r="A35" s="22"/>
    </row>
    <row r="36" spans="1:1" x14ac:dyDescent="0.3">
      <c r="A36" s="22"/>
    </row>
  </sheetData>
  <sheetProtection formatCells="0" formatColumns="0" formatRows="0" sort="0" autoFilter="0"/>
  <conditionalFormatting sqref="C1:C1048576">
    <cfRule type="expression" dxfId="32" priority="1">
      <formula>C1="źle"</formula>
    </cfRule>
    <cfRule type="expression" dxfId="31" priority="2">
      <formula>C1="dobrze"</formula>
    </cfRule>
  </conditionalFormatting>
  <pageMargins left="0.7" right="0.7" top="0.75" bottom="0.75" header="0.3" footer="0.3"/>
  <pageSetup paperSize="9" orientation="portrait" blackAndWhite="1" r:id="rId1"/>
  <drawing r:id="rId2"/>
  <legacyDrawing r:id="rId3"/>
  <oleObjects>
    <mc:AlternateContent xmlns:mc="http://schemas.openxmlformats.org/markup-compatibility/2006">
      <mc:Choice Requires="x14">
        <oleObject progId="Acrobat Document" dvAspect="DVASPECT_ICON" shapeId="160769" r:id="rId4">
          <objectPr locked="0" defaultSize="0" autoPict="0" r:id="rId5">
            <anchor moveWithCells="1">
              <from>
                <xdr:col>5</xdr:col>
                <xdr:colOff>16625</xdr:colOff>
                <xdr:row>10</xdr:row>
                <xdr:rowOff>33251</xdr:rowOff>
              </from>
              <to>
                <xdr:col>5</xdr:col>
                <xdr:colOff>980902</xdr:colOff>
                <xdr:row>14</xdr:row>
                <xdr:rowOff>49876</xdr:rowOff>
              </to>
            </anchor>
          </objectPr>
        </oleObject>
      </mc:Choice>
      <mc:Fallback>
        <oleObject progId="Acrobat Document" dvAspect="DVASPECT_ICON" shapeId="160769"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AD1500"/>
  <sheetViews>
    <sheetView tabSelected="1" topLeftCell="A2" zoomScale="66" zoomScaleNormal="66" zoomScaleSheetLayoutView="100" workbookViewId="0">
      <selection activeCell="E10" sqref="E10"/>
    </sheetView>
  </sheetViews>
  <sheetFormatPr defaultColWidth="0" defaultRowHeight="12.45" x14ac:dyDescent="0.2"/>
  <cols>
    <col min="1" max="1" width="5.5546875" style="158" customWidth="1"/>
    <col min="2" max="2" width="50.5546875" style="26" customWidth="1"/>
    <col min="3" max="3" width="61" style="51" bestFit="1" customWidth="1"/>
    <col min="4" max="4" width="22.88671875" style="26" customWidth="1"/>
    <col min="5" max="5" width="17.109375" style="26" customWidth="1"/>
    <col min="6" max="10" width="9.109375" style="26" customWidth="1"/>
    <col min="11" max="11" width="16" style="26" bestFit="1" customWidth="1"/>
    <col min="12" max="12" width="9.109375" style="26" customWidth="1"/>
    <col min="13" max="13" width="12.6640625" style="26" customWidth="1"/>
    <col min="14" max="14" width="9.109375" style="26" customWidth="1"/>
    <col min="15" max="15" width="20.6640625" style="26" customWidth="1"/>
    <col min="16" max="16" width="10.6640625" style="26" hidden="1" customWidth="1"/>
    <col min="17" max="17" width="8" style="26" hidden="1" customWidth="1"/>
    <col min="18" max="18" width="10.6640625" style="26" hidden="1" customWidth="1"/>
    <col min="19" max="19" width="13.33203125" style="26" hidden="1" customWidth="1"/>
    <col min="20" max="20" width="9.33203125" style="26" hidden="1" customWidth="1"/>
    <col min="21" max="21" width="10.5546875" style="26" hidden="1" customWidth="1"/>
    <col min="22" max="22" width="255.6640625" style="26" hidden="1" customWidth="1"/>
    <col min="23" max="23" width="48.6640625" style="26" hidden="1" customWidth="1"/>
    <col min="24" max="24" width="4.109375" style="26" hidden="1" customWidth="1"/>
    <col min="25" max="25" width="21.44140625" style="26" hidden="1" customWidth="1"/>
    <col min="26" max="26" width="14.109375" style="26" hidden="1" customWidth="1"/>
    <col min="27" max="27" width="13.44140625" style="26" hidden="1" customWidth="1"/>
    <col min="28" max="28" width="9.88671875" style="26" hidden="1" customWidth="1"/>
    <col min="29" max="29" width="14" style="26" hidden="1" customWidth="1"/>
    <col min="30" max="30" width="9.33203125" style="26" hidden="1" customWidth="1"/>
    <col min="31" max="16384" width="2.6640625" style="26" hidden="1"/>
  </cols>
  <sheetData>
    <row r="1" spans="1:30" s="47" customFormat="1" ht="15.75" x14ac:dyDescent="0.3">
      <c r="A1"/>
      <c r="B1" s="919"/>
      <c r="N1" s="920"/>
      <c r="W1" t="s">
        <v>1966</v>
      </c>
      <c r="X1" t="s">
        <v>3419</v>
      </c>
      <c r="Y1" t="s">
        <v>7399</v>
      </c>
      <c r="Z1" t="s">
        <v>3366</v>
      </c>
      <c r="AA1" t="s">
        <v>7400</v>
      </c>
      <c r="AB1" t="s">
        <v>7401</v>
      </c>
      <c r="AC1" t="s">
        <v>3355</v>
      </c>
      <c r="AD1" t="s">
        <v>7402</v>
      </c>
    </row>
    <row r="2" spans="1:30" ht="15.75" x14ac:dyDescent="0.3">
      <c r="B2" s="158" t="s">
        <v>7403</v>
      </c>
      <c r="C2" s="599" t="str">
        <f>IF(W2="","",W2)</f>
        <v>Testowa 185 Sp. z o.o.</v>
      </c>
      <c r="P2" s="26" t="str">
        <f>IFERROR(TRIM(LEFT(NazwaFirmy,FIND(" ",NazwaFirmy)-1)),NazwaFirmy)</f>
        <v>Testowa</v>
      </c>
      <c r="W2" t="s">
        <v>7404</v>
      </c>
      <c r="X2" t="s">
        <v>7405</v>
      </c>
      <c r="Y2" t="s">
        <v>7406</v>
      </c>
      <c r="Z2" t="s">
        <v>7407</v>
      </c>
      <c r="AA2" t="s">
        <v>7408</v>
      </c>
      <c r="AB2" t="s">
        <v>7409</v>
      </c>
      <c r="AC2" t="s">
        <v>7410</v>
      </c>
      <c r="AD2" t="s">
        <v>7411</v>
      </c>
    </row>
    <row r="3" spans="1:30" ht="15.75" x14ac:dyDescent="0.3">
      <c r="B3" s="158" t="s">
        <v>7412</v>
      </c>
      <c r="C3" s="35" t="s">
        <v>7413</v>
      </c>
      <c r="V3" t="str">
        <f>"DRIVER=SQL Server;SERVER="&amp;Input!$C$4&amp;";Trusted_Connection=Yes;APP=Microsoft Office 2010;DATABASE="&amp;Input!$C$3</f>
        <v>DRIVER=SQL Server;SERVER=wawsrvsql001;Trusted_Connection=Yes;APP=Microsoft Office 2010;DATABASE=008</v>
      </c>
      <c r="W3"/>
      <c r="X3"/>
      <c r="Y3"/>
      <c r="Z3"/>
      <c r="AA3"/>
      <c r="AB3"/>
      <c r="AC3"/>
      <c r="AD3"/>
    </row>
    <row r="4" spans="1:30" ht="15.75" x14ac:dyDescent="0.3">
      <c r="B4" s="158" t="s">
        <v>7414</v>
      </c>
      <c r="C4" s="35" t="s">
        <v>3232</v>
      </c>
      <c r="V4" t="str">
        <f>"SELECT Rtrim(bedryf.bedrnm) As 'Nazwa', Rtrim(bedryf.btw_nummer) AS NIP, Rtrim(bedryf.kvk_nummer) As 'Numer izby handlowej', "&amp;" Rtrim(bedryf.adr + bedryf.adres2 + bedryf.adres3) As 'Adres', Rtrim(bedryf.pstcd) As 'Kod pocztowy', Rtrim(bedryf.woonpl) As 'Miasto', Rtrim(AddressStates.Name) As 'Wojewodztwo', Rtrim(bedryf.landcode) As 'Kod kraju' "&amp;"
FROM bedryf left Join AddressStates On bedryf.landcode+bedryf.region = AddressStates.CountryCode +AddressStates.StateCode  "</f>
        <v xml:space="preserve">SELECT Rtrim(bedryf.bedrnm) As 'Nazwa', Rtrim(bedryf.btw_nummer) AS NIP, Rtrim(bedryf.kvk_nummer) As 'Numer izby handlowej',  Rtrim(bedryf.adr + bedryf.adres2 + bedryf.adres3) As 'Adres', Rtrim(bedryf.pstcd) As 'Kod pocztowy', Rtrim(bedryf.woonpl) As 'Miasto', Rtrim(AddressStates.Name) As 'Wojewodztwo', Rtrim(bedryf.landcode) As 'Kod kraju' 
FROM bedryf left Join AddressStates On bedryf.landcode+bedryf.region = AddressStates.CountryCode +AddressStates.StateCode  </v>
      </c>
      <c r="W4"/>
      <c r="X4"/>
      <c r="Y4"/>
      <c r="Z4"/>
      <c r="AA4"/>
      <c r="AB4"/>
      <c r="AC4"/>
      <c r="AD4"/>
    </row>
    <row r="5" spans="1:30" ht="30.15" x14ac:dyDescent="0.25">
      <c r="B5" s="158"/>
      <c r="C5" s="921" t="str">
        <f>CONCATENATE("Sprawozdanie finansowe za okres od ",LOWER(P6)," do ",LOWER(P7))</f>
        <v>Sprawozdanie finansowe za okres od 01.01.2020 do 31.12.2020</v>
      </c>
    </row>
    <row r="6" spans="1:30" ht="15.05" x14ac:dyDescent="0.25">
      <c r="B6" s="158" t="s">
        <v>7415</v>
      </c>
      <c r="C6" s="10" t="s">
        <v>7416</v>
      </c>
      <c r="P6" s="922" t="str">
        <f>TEXT(C6,"dd.mm.rrrrr")</f>
        <v>01.01.2020</v>
      </c>
      <c r="Q6" s="26" t="str">
        <f>CHOOSE(MONTH(R6),"stycznia","lutego","marca","kwietnia","maja","czerwca","lipca","sierpnia","września","października","listopada","grudnia")</f>
        <v>stycznia</v>
      </c>
      <c r="R6" s="26" t="str">
        <f>+RIGHT(P6,4)&amp;"-"&amp;MID(P6,4,2)&amp;"-"&amp;LEFT(P6,2)</f>
        <v>2020-01-01</v>
      </c>
      <c r="S6" s="26" t="str">
        <f>CHOOSE(MONTH(R6),"January","February","March","April","May","June","July","August","September","October","November","December")</f>
        <v>January</v>
      </c>
    </row>
    <row r="7" spans="1:30" ht="15.05" x14ac:dyDescent="0.25">
      <c r="B7" s="158" t="s">
        <v>7417</v>
      </c>
      <c r="C7" s="10" t="s">
        <v>7418</v>
      </c>
      <c r="P7" s="922" t="str">
        <f>TEXT(C7,"dd.mm.rrrrr")</f>
        <v>31.12.2020</v>
      </c>
      <c r="Q7" s="26" t="str">
        <f>CHOOSE(MONTH(R7),"stycznia","lutego","marca","kwietnia","maja","czerwca","lipca","sierpnia","września","października","listopada","grudnia")</f>
        <v>grudnia</v>
      </c>
      <c r="R7" s="26" t="str">
        <f>+RIGHT(P7,4)&amp;"-"&amp;MID(P7,4,2)&amp;"-"&amp;LEFT(P7,2)</f>
        <v>2020-12-31</v>
      </c>
      <c r="S7" s="26" t="str">
        <f>CHOOSE(MONTH(R7),"January","February","March","April","May","June","July","August","September","October","November","December")</f>
        <v>December</v>
      </c>
    </row>
    <row r="8" spans="1:30" x14ac:dyDescent="0.2">
      <c r="B8" s="158"/>
      <c r="C8" s="50"/>
      <c r="P8" s="51"/>
    </row>
    <row r="9" spans="1:30" x14ac:dyDescent="0.2">
      <c r="B9" s="158"/>
      <c r="C9" s="26"/>
      <c r="P9" s="51"/>
    </row>
    <row r="10" spans="1:30" ht="15.05" x14ac:dyDescent="0.25">
      <c r="B10" s="158" t="s">
        <v>7419</v>
      </c>
      <c r="C10" s="11" t="s">
        <v>7420</v>
      </c>
      <c r="P10" s="922" t="str">
        <f>TEXT(C10,"dd.mm.rrrrr")</f>
        <v>01.01.2019</v>
      </c>
      <c r="Q10" s="26" t="str">
        <f>CHOOSE(MONTH(R10),"stycznia","lutego","marca","kwietnia","maja","czerwca","lipca","sierpnia","września","października","listopada","grudnia")</f>
        <v>stycznia</v>
      </c>
      <c r="R10" s="26" t="str">
        <f>+RIGHT(P10,4)&amp;"-"&amp;MID(P10,4,2)&amp;"-"&amp;LEFT(P10,2)</f>
        <v>2019-01-01</v>
      </c>
      <c r="S10" s="26" t="str">
        <f>CHOOSE(MONTH(R10),"January","February","March","April","May","June","July","August","September","October","November","December")</f>
        <v>January</v>
      </c>
    </row>
    <row r="11" spans="1:30" ht="15.05" x14ac:dyDescent="0.25">
      <c r="B11" s="158" t="s">
        <v>7421</v>
      </c>
      <c r="C11" s="11" t="s">
        <v>7422</v>
      </c>
      <c r="P11" s="922" t="str">
        <f>TEXT(C11,"dd.mm.rrrrr")</f>
        <v>31.12.2019</v>
      </c>
      <c r="Q11" s="26" t="str">
        <f>CHOOSE(MONTH(R11),"stycznia","lutego","marca","kwietnia","maja","czerwca","lipca","sierpnia","września","października","listopada","grudnia")</f>
        <v>grudnia</v>
      </c>
      <c r="R11" s="26" t="str">
        <f>+RIGHT(P11,4)&amp;"-"&amp;MID(P11,4,2)&amp;"-"&amp;LEFT(P11,2)</f>
        <v>2019-12-31</v>
      </c>
      <c r="S11" s="26" t="str">
        <f>CHOOSE(MONTH(R11),"January","February","March","April","May","June","July","August","September","October","November","December")</f>
        <v>December</v>
      </c>
    </row>
    <row r="12" spans="1:30" x14ac:dyDescent="0.2">
      <c r="B12" s="158"/>
      <c r="C12" s="26"/>
      <c r="D12" s="923"/>
      <c r="P12" s="51"/>
    </row>
    <row r="13" spans="1:30" ht="15.05" x14ac:dyDescent="0.25">
      <c r="B13" s="26" t="s">
        <v>7423</v>
      </c>
      <c r="C13" s="11" t="s">
        <v>7424</v>
      </c>
      <c r="P13" s="922" t="str">
        <f>TEXT(C13,"dd.mm.rrrrr")</f>
        <v>31.03.2021</v>
      </c>
      <c r="R13" s="26" t="str">
        <f>+RIGHT(P13,4)&amp;"-"&amp;MID(P13,4,2)&amp;"-"&amp;LEFT(P13,2)</f>
        <v>2021-03-31</v>
      </c>
    </row>
    <row r="14" spans="1:30" x14ac:dyDescent="0.2">
      <c r="B14" s="158"/>
      <c r="C14" s="26"/>
      <c r="D14" s="923"/>
    </row>
    <row r="15" spans="1:30" x14ac:dyDescent="0.2">
      <c r="B15" s="26" t="s">
        <v>7425</v>
      </c>
      <c r="C15" s="26"/>
    </row>
    <row r="16" spans="1:30" ht="15.05" x14ac:dyDescent="0.25">
      <c r="B16" s="158" t="s">
        <v>7426</v>
      </c>
      <c r="C16" s="11"/>
      <c r="P16" s="26">
        <f>YEAR(DataDo)</f>
        <v>2020</v>
      </c>
    </row>
    <row r="17" spans="2:19" x14ac:dyDescent="0.2">
      <c r="B17" s="158" t="s">
        <v>7427</v>
      </c>
      <c r="C17" s="12"/>
    </row>
    <row r="18" spans="2:19" x14ac:dyDescent="0.2">
      <c r="B18" s="158"/>
      <c r="C18" s="26"/>
      <c r="P18" s="26" t="str">
        <f>TEXT(C67,"dd.mm.rrrr")</f>
        <v>01.01.1900</v>
      </c>
      <c r="Q18" s="26" t="str">
        <f>CHOOSE(MONTH(R18),"stycznia","lutego","marca","kwietnia","maja","czerwca","lipca","sierpnia","września","października","listopada","grudnia")</f>
        <v>stycznia</v>
      </c>
      <c r="R18" s="26" t="str">
        <f>+RIGHT(P18,4)&amp;"-"&amp;MID(P18,4,2)&amp;"-"&amp;LEFT(P18,2)</f>
        <v>1900-01-01</v>
      </c>
      <c r="S18" s="26" t="str">
        <f>CHOOSE(MONTH(R18),"January","February","March","April","May","June","July","August","September","October","November","December")</f>
        <v>January</v>
      </c>
    </row>
    <row r="19" spans="2:19" x14ac:dyDescent="0.2">
      <c r="B19" s="158" t="s">
        <v>7428</v>
      </c>
      <c r="C19" s="13" t="s">
        <v>3224</v>
      </c>
    </row>
    <row r="20" spans="2:19" ht="24.9" x14ac:dyDescent="0.2">
      <c r="B20" s="158" t="s">
        <v>7429</v>
      </c>
      <c r="C20" s="13" t="s">
        <v>3224</v>
      </c>
    </row>
    <row r="21" spans="2:19" ht="38.450000000000003" customHeight="1" x14ac:dyDescent="0.2">
      <c r="B21" s="158" t="s">
        <v>7430</v>
      </c>
      <c r="C21" s="1168" t="str">
        <f>IF(AND(ZalozenieKontynuacji="tak",ZagrozenieKontynuacji="nie"),wstęp!$D$63,IF(AND(ZalozenieKontynuacji="nie",ZagrozenieKontynuacji="nie"),wstęp!$D$68,""))</f>
        <v/>
      </c>
    </row>
    <row r="22" spans="2:19" ht="15.05" x14ac:dyDescent="0.3">
      <c r="B22" s="158"/>
      <c r="C22"/>
    </row>
    <row r="23" spans="2:19" x14ac:dyDescent="0.2">
      <c r="B23" s="158" t="s">
        <v>7431</v>
      </c>
      <c r="C23" s="13" t="s">
        <v>3231</v>
      </c>
    </row>
    <row r="24" spans="2:19" x14ac:dyDescent="0.2">
      <c r="B24" s="158"/>
      <c r="C24" s="26"/>
    </row>
    <row r="25" spans="2:19" x14ac:dyDescent="0.2">
      <c r="B25" s="158" t="s">
        <v>7432</v>
      </c>
      <c r="C25" s="13" t="s">
        <v>3231</v>
      </c>
    </row>
    <row r="26" spans="2:19" x14ac:dyDescent="0.2">
      <c r="B26" s="158" t="s">
        <v>7433</v>
      </c>
      <c r="C26" s="13" t="s">
        <v>3224</v>
      </c>
    </row>
    <row r="27" spans="2:19" ht="15.05" x14ac:dyDescent="0.25">
      <c r="B27" s="158" t="s">
        <v>7434</v>
      </c>
      <c r="C27" s="14"/>
      <c r="D27" s="1106"/>
    </row>
    <row r="28" spans="2:19" x14ac:dyDescent="0.2">
      <c r="B28" s="158"/>
      <c r="C28" s="26"/>
    </row>
    <row r="30" spans="2:19" ht="15.05" x14ac:dyDescent="0.3">
      <c r="B30" s="52" t="s">
        <v>7435</v>
      </c>
      <c r="C30" s="52"/>
      <c r="D30" s="51" t="s">
        <v>7436</v>
      </c>
    </row>
    <row r="31" spans="2:19" ht="15.75" x14ac:dyDescent="0.3">
      <c r="B31" s="52" t="s">
        <v>7437</v>
      </c>
      <c r="C31" s="79" t="s">
        <v>3250</v>
      </c>
      <c r="D31" s="1105"/>
    </row>
    <row r="32" spans="2:19" ht="15.75" x14ac:dyDescent="0.3">
      <c r="B32" s="52" t="s">
        <v>3357</v>
      </c>
      <c r="C32" s="15" t="s">
        <v>7438</v>
      </c>
      <c r="D32" s="1105"/>
    </row>
    <row r="33" spans="1:13" ht="15.75" x14ac:dyDescent="0.3">
      <c r="B33" s="52" t="s">
        <v>3359</v>
      </c>
      <c r="C33" s="15" t="s">
        <v>7438</v>
      </c>
      <c r="D33" s="1105"/>
      <c r="E33" s="26" t="s">
        <v>7439</v>
      </c>
    </row>
    <row r="34" spans="1:13" ht="15.75" x14ac:dyDescent="0.3">
      <c r="B34" s="52" t="s">
        <v>7440</v>
      </c>
      <c r="C34" s="45" t="str">
        <f>IF(AB2="","Wpisz miasto do Exact",AB2)</f>
        <v>Łódź</v>
      </c>
      <c r="D34" s="1108"/>
      <c r="E34" s="1107"/>
    </row>
    <row r="35" spans="1:13" ht="15.75" x14ac:dyDescent="0.3">
      <c r="B35" s="52" t="s">
        <v>7402</v>
      </c>
      <c r="C35" s="45" t="str">
        <f>IF(AD2="","Wpisz kod kraju do Exact",AD2)</f>
        <v>PL</v>
      </c>
      <c r="D35" s="1108"/>
      <c r="E35" s="1107"/>
    </row>
    <row r="36" spans="1:13" ht="15.75" x14ac:dyDescent="0.3">
      <c r="B36" s="52" t="s">
        <v>3371</v>
      </c>
      <c r="C36" s="15" t="s">
        <v>7441</v>
      </c>
      <c r="D36" s="1108"/>
      <c r="E36" s="1107"/>
    </row>
    <row r="37" spans="1:13" ht="15.75" x14ac:dyDescent="0.3">
      <c r="B37" s="52" t="s">
        <v>7442</v>
      </c>
      <c r="C37" s="15">
        <v>28</v>
      </c>
      <c r="D37" s="1108"/>
      <c r="E37" s="1107"/>
    </row>
    <row r="38" spans="1:13" ht="15.75" x14ac:dyDescent="0.3">
      <c r="B38" s="52" t="s">
        <v>3375</v>
      </c>
      <c r="C38" s="15"/>
      <c r="D38" s="1108"/>
      <c r="E38" s="1107"/>
    </row>
    <row r="39" spans="1:13" ht="15.75" x14ac:dyDescent="0.3">
      <c r="B39" s="52" t="s">
        <v>7443</v>
      </c>
      <c r="C39" s="46" t="str">
        <f>IF(AA2="","Wpisz kod pocztowy do Exact",AA2)</f>
        <v>93-231</v>
      </c>
      <c r="D39" s="1108"/>
      <c r="E39" s="1107"/>
    </row>
    <row r="40" spans="1:13" ht="15.75" x14ac:dyDescent="0.3">
      <c r="B40" s="52" t="s">
        <v>3379</v>
      </c>
      <c r="C40" s="46" t="str">
        <f>IF(AB2="","Wpisz miasto do Exact",AB2)</f>
        <v>Łódź</v>
      </c>
      <c r="D40" s="1105"/>
      <c r="L40"/>
    </row>
    <row r="41" spans="1:13" ht="15.75" x14ac:dyDescent="0.3">
      <c r="B41" s="52" t="s">
        <v>3422</v>
      </c>
      <c r="C41" s="46" t="str">
        <f>IF(Y2="","Wpisz numer KRS (numer Izby Handlowej) do Exacta",Y2)</f>
        <v>0000000000</v>
      </c>
      <c r="L41"/>
      <c r="M41" s="1139"/>
    </row>
    <row r="42" spans="1:13" ht="15.75" x14ac:dyDescent="0.3">
      <c r="B42" s="52" t="s">
        <v>3419</v>
      </c>
      <c r="C42" s="46" t="str">
        <f>IF(X2="","Wpisz NIP do Exact",X2)</f>
        <v>7282741164</v>
      </c>
    </row>
    <row r="43" spans="1:13" ht="15.75" x14ac:dyDescent="0.3">
      <c r="B43" s="52" t="s">
        <v>7444</v>
      </c>
      <c r="C43" s="16"/>
    </row>
    <row r="44" spans="1:13" ht="15.05" x14ac:dyDescent="0.25">
      <c r="B44" s="158" t="s">
        <v>7445</v>
      </c>
      <c r="C44" s="15"/>
    </row>
    <row r="45" spans="1:13" ht="15.05" hidden="1" x14ac:dyDescent="0.25">
      <c r="A45" s="26"/>
      <c r="B45" s="158" t="s">
        <v>7445</v>
      </c>
      <c r="C45" s="15"/>
      <c r="D45" s="85"/>
    </row>
    <row r="46" spans="1:13" ht="15.05" hidden="1" x14ac:dyDescent="0.25">
      <c r="A46" s="26"/>
      <c r="B46" s="158" t="s">
        <v>7445</v>
      </c>
      <c r="C46" s="15"/>
      <c r="D46" s="85"/>
    </row>
    <row r="47" spans="1:13" ht="15.05" hidden="1" x14ac:dyDescent="0.25">
      <c r="A47" s="26"/>
      <c r="B47" s="158" t="s">
        <v>7445</v>
      </c>
      <c r="C47" s="15"/>
      <c r="D47" s="85"/>
    </row>
    <row r="48" spans="1:13" ht="15.05" hidden="1" x14ac:dyDescent="0.25">
      <c r="A48" s="26"/>
      <c r="B48" s="158" t="s">
        <v>7445</v>
      </c>
      <c r="C48" s="15"/>
      <c r="D48" s="85"/>
    </row>
    <row r="49" spans="1:22" ht="15.05" hidden="1" x14ac:dyDescent="0.25">
      <c r="A49" s="26"/>
      <c r="B49" s="158" t="s">
        <v>7445</v>
      </c>
      <c r="C49" s="15"/>
      <c r="D49" s="85"/>
    </row>
    <row r="50" spans="1:22" ht="15.05" hidden="1" x14ac:dyDescent="0.25">
      <c r="A50" s="26"/>
      <c r="B50" s="158" t="s">
        <v>7445</v>
      </c>
      <c r="C50" s="15"/>
      <c r="D50" s="85"/>
    </row>
    <row r="51" spans="1:22" ht="15.05" hidden="1" x14ac:dyDescent="0.25">
      <c r="A51" s="26"/>
      <c r="B51" s="158" t="s">
        <v>7445</v>
      </c>
      <c r="C51" s="15"/>
      <c r="D51" s="85"/>
    </row>
    <row r="52" spans="1:22" ht="15.05" hidden="1" x14ac:dyDescent="0.25">
      <c r="A52" s="26"/>
      <c r="B52" s="158" t="s">
        <v>7445</v>
      </c>
      <c r="C52" s="15"/>
      <c r="D52" s="85"/>
    </row>
    <row r="53" spans="1:22" ht="15.05" hidden="1" x14ac:dyDescent="0.25">
      <c r="A53" s="26"/>
      <c r="B53" s="158" t="s">
        <v>7445</v>
      </c>
      <c r="C53" s="15"/>
      <c r="D53" s="85"/>
    </row>
    <row r="54" spans="1:22" ht="15.05" x14ac:dyDescent="0.3">
      <c r="B54" s="158"/>
      <c r="C54"/>
      <c r="D54" s="51"/>
    </row>
    <row r="55" spans="1:22" ht="15.05" x14ac:dyDescent="0.25">
      <c r="B55" s="158" t="s">
        <v>7446</v>
      </c>
      <c r="C55" s="17">
        <v>0.19</v>
      </c>
      <c r="D55" s="51"/>
      <c r="K55" s="26" t="s">
        <v>7447</v>
      </c>
    </row>
    <row r="56" spans="1:22" ht="15.05" x14ac:dyDescent="0.25">
      <c r="B56" s="158" t="s">
        <v>7448</v>
      </c>
      <c r="C56" s="17">
        <v>0.19</v>
      </c>
      <c r="D56" s="51"/>
    </row>
    <row r="57" spans="1:22" x14ac:dyDescent="0.2">
      <c r="B57" s="158"/>
      <c r="D57" s="51"/>
    </row>
    <row r="58" spans="1:22" ht="25.55" x14ac:dyDescent="0.25">
      <c r="B58" s="158" t="s">
        <v>7449</v>
      </c>
      <c r="C58" s="17">
        <v>0.19</v>
      </c>
      <c r="D58" s="51"/>
      <c r="Q58" s="26">
        <f>COLUMN()</f>
        <v>17</v>
      </c>
      <c r="R58" s="26">
        <f>COLUMN()</f>
        <v>18</v>
      </c>
      <c r="S58" s="26">
        <f>COLUMN()</f>
        <v>19</v>
      </c>
      <c r="T58" s="26">
        <f>COLUMN()</f>
        <v>20</v>
      </c>
      <c r="U58" s="26">
        <f>COLUMN()</f>
        <v>21</v>
      </c>
    </row>
    <row r="59" spans="1:22" ht="25.55" x14ac:dyDescent="0.25">
      <c r="B59" s="158" t="s">
        <v>7450</v>
      </c>
      <c r="C59" s="17">
        <v>0.19</v>
      </c>
      <c r="D59" s="51"/>
      <c r="Q59" s="26">
        <v>1</v>
      </c>
      <c r="R59" s="26">
        <v>2</v>
      </c>
      <c r="S59" s="26">
        <v>3</v>
      </c>
      <c r="T59" s="26">
        <v>4</v>
      </c>
      <c r="U59" s="26">
        <v>5</v>
      </c>
      <c r="V59" s="26">
        <v>6</v>
      </c>
    </row>
    <row r="60" spans="1:22" ht="15.05" x14ac:dyDescent="0.3">
      <c r="C60"/>
      <c r="Q60" s="26" t="s">
        <v>7451</v>
      </c>
      <c r="R60" s="26" t="s">
        <v>7452</v>
      </c>
      <c r="S60" s="26" t="s">
        <v>7453</v>
      </c>
      <c r="T60" s="26" t="s">
        <v>7454</v>
      </c>
      <c r="U60" s="26" t="s">
        <v>7455</v>
      </c>
      <c r="V60" s="26" t="s">
        <v>7456</v>
      </c>
    </row>
    <row r="61" spans="1:22" ht="14.4" x14ac:dyDescent="0.25">
      <c r="B61" s="768" t="s">
        <v>7457</v>
      </c>
      <c r="C61" s="768" t="s">
        <v>7458</v>
      </c>
      <c r="D61" s="607" t="s">
        <v>7459</v>
      </c>
      <c r="G61" s="51" t="s">
        <v>7460</v>
      </c>
      <c r="P61" s="85">
        <v>1</v>
      </c>
    </row>
    <row r="62" spans="1:22" ht="14.4" x14ac:dyDescent="0.25">
      <c r="B62" s="768" t="s">
        <v>7461</v>
      </c>
      <c r="C62" s="768" t="s">
        <v>7462</v>
      </c>
      <c r="D62" s="607" t="s">
        <v>7463</v>
      </c>
    </row>
    <row r="63" spans="1:22" ht="14.4" x14ac:dyDescent="0.25">
      <c r="B63" s="768" t="s">
        <v>7461</v>
      </c>
      <c r="C63" s="768" t="s">
        <v>7462</v>
      </c>
      <c r="D63" s="607" t="s">
        <v>7464</v>
      </c>
      <c r="G63" s="51" t="s">
        <v>7465</v>
      </c>
      <c r="P63" s="85">
        <v>3</v>
      </c>
    </row>
    <row r="64" spans="1:22" ht="14.4" x14ac:dyDescent="0.25">
      <c r="B64" s="768" t="s">
        <v>7461</v>
      </c>
      <c r="C64" s="768" t="s">
        <v>7462</v>
      </c>
      <c r="D64" s="607"/>
    </row>
    <row r="65" spans="2:22" ht="14.4" x14ac:dyDescent="0.25">
      <c r="B65" s="768" t="s">
        <v>7461</v>
      </c>
      <c r="C65" s="768" t="s">
        <v>7462</v>
      </c>
      <c r="D65" s="607"/>
      <c r="G65" s="51" t="s">
        <v>7466</v>
      </c>
      <c r="P65" s="85">
        <v>2</v>
      </c>
      <c r="Q65" s="26">
        <v>2</v>
      </c>
      <c r="R65" s="26">
        <v>2</v>
      </c>
      <c r="S65" s="26">
        <v>2</v>
      </c>
      <c r="T65" s="26">
        <v>2</v>
      </c>
      <c r="U65" s="26">
        <v>2</v>
      </c>
      <c r="V65" s="26">
        <v>2</v>
      </c>
    </row>
    <row r="66" spans="2:22" ht="14.4" x14ac:dyDescent="0.25">
      <c r="B66" s="768" t="s">
        <v>7461</v>
      </c>
      <c r="C66" s="768" t="s">
        <v>7462</v>
      </c>
      <c r="D66" s="607"/>
    </row>
    <row r="67" spans="2:22" ht="14.25" customHeight="1" x14ac:dyDescent="0.3">
      <c r="B67" s="52" t="s">
        <v>7467</v>
      </c>
      <c r="C67" s="770" t="s">
        <v>7468</v>
      </c>
      <c r="G67" s="51" t="s">
        <v>7469</v>
      </c>
      <c r="P67" s="85">
        <v>1</v>
      </c>
      <c r="Q67" s="26">
        <v>1</v>
      </c>
      <c r="R67" s="26">
        <v>1</v>
      </c>
      <c r="S67" s="26">
        <v>1</v>
      </c>
      <c r="T67" s="26">
        <v>1</v>
      </c>
      <c r="U67" s="26">
        <v>1</v>
      </c>
      <c r="V67" s="26">
        <v>1</v>
      </c>
    </row>
    <row r="68" spans="2:22" ht="14.25" customHeight="1" x14ac:dyDescent="0.3">
      <c r="B68" s="52" t="s">
        <v>7470</v>
      </c>
      <c r="C68" s="769"/>
      <c r="D68" s="979"/>
    </row>
    <row r="69" spans="2:22" ht="14.25" customHeight="1" x14ac:dyDescent="0.3">
      <c r="B69" s="52" t="s">
        <v>7471</v>
      </c>
      <c r="C69" s="769"/>
      <c r="G69" s="51" t="s">
        <v>7472</v>
      </c>
      <c r="P69" s="85">
        <v>1</v>
      </c>
      <c r="Q69" s="26">
        <v>2</v>
      </c>
      <c r="R69" s="26">
        <v>2</v>
      </c>
      <c r="S69" s="26">
        <v>2</v>
      </c>
      <c r="T69" s="26">
        <v>1</v>
      </c>
      <c r="U69" s="26">
        <v>1</v>
      </c>
      <c r="V69" s="26">
        <v>2</v>
      </c>
    </row>
    <row r="70" spans="2:22" ht="15.05" x14ac:dyDescent="0.3">
      <c r="B70" s="771" t="s">
        <v>7473</v>
      </c>
      <c r="C70" s="769" t="s">
        <v>7474</v>
      </c>
      <c r="D70" s="1105"/>
    </row>
    <row r="71" spans="2:22" ht="15.05" x14ac:dyDescent="0.3">
      <c r="B71"/>
      <c r="C71" s="253"/>
      <c r="G71" s="51" t="s">
        <v>7376</v>
      </c>
      <c r="P71" s="85">
        <v>1</v>
      </c>
      <c r="Q71" s="26">
        <v>2</v>
      </c>
      <c r="R71" s="26">
        <v>2</v>
      </c>
      <c r="S71" s="26">
        <v>2</v>
      </c>
      <c r="T71" s="26">
        <v>1</v>
      </c>
      <c r="U71" s="26">
        <v>1</v>
      </c>
      <c r="V71" s="26">
        <v>2</v>
      </c>
    </row>
    <row r="72" spans="2:22" ht="15.05" x14ac:dyDescent="0.3">
      <c r="B72"/>
      <c r="C72"/>
    </row>
    <row r="73" spans="2:22" ht="15.05" x14ac:dyDescent="0.3">
      <c r="B73"/>
      <c r="C73"/>
      <c r="G73" s="51" t="s">
        <v>7475</v>
      </c>
      <c r="P73" s="85">
        <v>2</v>
      </c>
      <c r="Q73" s="26">
        <v>2</v>
      </c>
      <c r="R73" s="26">
        <v>2</v>
      </c>
      <c r="S73" s="26">
        <v>2</v>
      </c>
      <c r="T73" s="26">
        <v>2</v>
      </c>
      <c r="U73" s="26">
        <v>2</v>
      </c>
      <c r="V73" s="26">
        <v>2</v>
      </c>
    </row>
    <row r="74" spans="2:22" ht="15.05" x14ac:dyDescent="0.3">
      <c r="C74"/>
      <c r="K74"/>
    </row>
    <row r="75" spans="2:22" ht="15.05" x14ac:dyDescent="0.3">
      <c r="B75" t="s">
        <v>7476</v>
      </c>
      <c r="G75" s="51" t="s">
        <v>7477</v>
      </c>
      <c r="K75"/>
      <c r="P75" s="85">
        <v>1</v>
      </c>
    </row>
    <row r="76" spans="2:22" ht="15.05" x14ac:dyDescent="0.3">
      <c r="B76" t="s">
        <v>7478</v>
      </c>
      <c r="P76" s="26" t="s">
        <v>7451</v>
      </c>
    </row>
    <row r="77" spans="2:22" ht="15.05" x14ac:dyDescent="0.3">
      <c r="B77" t="s">
        <v>7479</v>
      </c>
      <c r="P77" s="26" t="s">
        <v>7452</v>
      </c>
      <c r="Q77" s="26">
        <f>COLUMN()</f>
        <v>17</v>
      </c>
      <c r="R77" s="26">
        <f>COLUMN()</f>
        <v>18</v>
      </c>
      <c r="S77" s="26">
        <f>COLUMN()</f>
        <v>19</v>
      </c>
    </row>
    <row r="78" spans="2:22" ht="15.05" x14ac:dyDescent="0.3">
      <c r="B78" t="s">
        <v>7480</v>
      </c>
      <c r="P78" s="26" t="s">
        <v>7481</v>
      </c>
    </row>
    <row r="79" spans="2:22" ht="15.05" x14ac:dyDescent="0.3">
      <c r="B79" t="s">
        <v>7482</v>
      </c>
    </row>
    <row r="80" spans="2:22" ht="15.05" x14ac:dyDescent="0.3">
      <c r="D80"/>
    </row>
    <row r="81" spans="1:22" ht="15.05" x14ac:dyDescent="0.3">
      <c r="B81" t="s">
        <v>7483</v>
      </c>
      <c r="C81"/>
      <c r="D81" t="s">
        <v>7484</v>
      </c>
      <c r="E81" s="51"/>
    </row>
    <row r="82" spans="1:22" ht="15.05" x14ac:dyDescent="0.3">
      <c r="B82" s="924" t="s">
        <v>7485</v>
      </c>
      <c r="C82" s="925"/>
      <c r="D82" s="926"/>
      <c r="P82" s="26">
        <v>1</v>
      </c>
    </row>
    <row r="83" spans="1:22" ht="15.05" x14ac:dyDescent="0.3">
      <c r="A83" s="158" t="str">
        <f>Noty!L6</f>
        <v>0.</v>
      </c>
      <c r="B83" s="927" t="str">
        <f>Noty!C6</f>
        <v>Wartości niematerialne i prawne</v>
      </c>
      <c r="C83" s="928" t="str">
        <f>Notes!C6</f>
        <v>Intangible fixed assets</v>
      </c>
      <c r="D83" s="44" t="str">
        <f>IF(AND(D84="nie",D85="nie",D86="nie",D87="nie"),"nie","tak")</f>
        <v>nie</v>
      </c>
      <c r="E83" t="s">
        <v>7486</v>
      </c>
      <c r="F83" s="257"/>
      <c r="G83" s="257"/>
      <c r="H83" s="257"/>
    </row>
    <row r="84" spans="1:22" ht="15.05" x14ac:dyDescent="0.3">
      <c r="A84" s="158" t="str">
        <f>Noty!L8</f>
        <v>0.0</v>
      </c>
      <c r="B84" s="927" t="str">
        <f>Noty!C8</f>
        <v>Zmiana stanu wartości niematerialnych i prawnych</v>
      </c>
      <c r="C84" s="928" t="str">
        <f>Notes!C8</f>
        <v>Changes in intangible fixed assets</v>
      </c>
      <c r="D84" s="27" t="s">
        <v>3231</v>
      </c>
      <c r="E84" t="s">
        <v>7486</v>
      </c>
      <c r="F84" s="257"/>
      <c r="G84" s="257"/>
      <c r="H84" s="360"/>
      <c r="Q84" s="26" t="s">
        <v>3231</v>
      </c>
      <c r="R84" s="26" t="s">
        <v>3231</v>
      </c>
      <c r="S84" s="26" t="s">
        <v>3231</v>
      </c>
      <c r="T84" s="26" t="s">
        <v>3231</v>
      </c>
      <c r="U84" s="26" t="s">
        <v>3231</v>
      </c>
      <c r="V84" s="26" t="s">
        <v>3231</v>
      </c>
    </row>
    <row r="85" spans="1:22" ht="15.05" x14ac:dyDescent="0.3">
      <c r="A85" s="158" t="str">
        <f>Noty!L59</f>
        <v>0.0</v>
      </c>
      <c r="B85" s="927" t="str">
        <f>Noty!C59</f>
        <v>Koszty zakończonych prac rozwojowych</v>
      </c>
      <c r="C85" s="928" t="str">
        <f>Notes!C59</f>
        <v>Development costs</v>
      </c>
      <c r="D85" s="27" t="s">
        <v>3231</v>
      </c>
      <c r="E85" t="s">
        <v>7486</v>
      </c>
      <c r="F85" s="257"/>
      <c r="G85" s="257"/>
      <c r="H85" s="360"/>
      <c r="Q85" s="26" t="s">
        <v>3231</v>
      </c>
      <c r="R85" s="26" t="s">
        <v>3231</v>
      </c>
      <c r="S85" s="26" t="s">
        <v>3231</v>
      </c>
      <c r="T85" s="26" t="s">
        <v>3231</v>
      </c>
      <c r="U85" s="26" t="s">
        <v>3231</v>
      </c>
      <c r="V85" s="26" t="s">
        <v>3231</v>
      </c>
    </row>
    <row r="86" spans="1:22" ht="15.05" x14ac:dyDescent="0.3">
      <c r="A86" s="158" t="str">
        <f>Noty!L66</f>
        <v>0.0</v>
      </c>
      <c r="B86" s="927" t="str">
        <f>Noty!C66</f>
        <v>Wartość firmy</v>
      </c>
      <c r="C86" s="928" t="str">
        <f>Notes!C66</f>
        <v>Goodwill</v>
      </c>
      <c r="D86" s="27" t="s">
        <v>3231</v>
      </c>
      <c r="E86" t="s">
        <v>7486</v>
      </c>
      <c r="F86" s="257"/>
      <c r="G86" s="257"/>
      <c r="H86" s="360"/>
      <c r="Q86" s="26" t="s">
        <v>3231</v>
      </c>
      <c r="R86" s="26" t="s">
        <v>3231</v>
      </c>
      <c r="S86" s="26" t="s">
        <v>3231</v>
      </c>
      <c r="T86" s="26" t="s">
        <v>3231</v>
      </c>
      <c r="U86" s="26" t="s">
        <v>3231</v>
      </c>
      <c r="V86" s="26" t="s">
        <v>3231</v>
      </c>
    </row>
    <row r="87" spans="1:22" ht="15.05" x14ac:dyDescent="0.3">
      <c r="A87" s="158" t="str">
        <f>Noty!L70</f>
        <v>0.0</v>
      </c>
      <c r="B87" s="927" t="str">
        <f>Noty!C70</f>
        <v>Koszty prac badawczych i rozwojowych</v>
      </c>
      <c r="C87" s="928" t="str">
        <f>Notes!C70</f>
        <v>Research and development costs</v>
      </c>
      <c r="D87" s="27" t="s">
        <v>3231</v>
      </c>
      <c r="E87" t="s">
        <v>7486</v>
      </c>
      <c r="F87" s="929"/>
      <c r="G87" s="929"/>
      <c r="H87" s="929"/>
      <c r="Q87" s="26" t="s">
        <v>3231</v>
      </c>
      <c r="R87" s="26" t="s">
        <v>3231</v>
      </c>
      <c r="S87" s="26" t="s">
        <v>3231</v>
      </c>
      <c r="T87" s="26" t="s">
        <v>3231</v>
      </c>
      <c r="U87" s="26" t="s">
        <v>3231</v>
      </c>
      <c r="V87" s="26" t="s">
        <v>3231</v>
      </c>
    </row>
    <row r="88" spans="1:22" ht="15.05" x14ac:dyDescent="0.3">
      <c r="A88" s="158" t="str">
        <f>Noty!L77</f>
        <v>0.</v>
      </c>
      <c r="B88" s="927" t="str">
        <f>Noty!C77</f>
        <v>Rzeczowe aktywa trwałe</v>
      </c>
      <c r="C88" s="928" t="str">
        <f>Notes!C77</f>
        <v>Fixed assets</v>
      </c>
      <c r="D88" s="44" t="str">
        <f>IF(AND(D89="nie",D90="nie",D91="nie",D92="nie",D93="nie"),"nie","tak")</f>
        <v>nie</v>
      </c>
      <c r="E88" t="s">
        <v>7486</v>
      </c>
      <c r="F88" s="929"/>
      <c r="G88" s="929"/>
      <c r="H88" s="929"/>
    </row>
    <row r="89" spans="1:22" ht="15.05" x14ac:dyDescent="0.3">
      <c r="A89" s="158" t="str">
        <f>Noty!L79</f>
        <v>0.0</v>
      </c>
      <c r="B89" s="927" t="str">
        <f>Noty!C79</f>
        <v>Zmiana stanu środków trwałych</v>
      </c>
      <c r="C89" s="928" t="str">
        <f>Notes!C79</f>
        <v>Change in fixed assets</v>
      </c>
      <c r="D89" s="27" t="s">
        <v>3231</v>
      </c>
      <c r="E89" t="s">
        <v>7486</v>
      </c>
      <c r="F89" s="257"/>
      <c r="G89" s="257"/>
      <c r="H89" s="257"/>
      <c r="Q89" s="26" t="s">
        <v>3231</v>
      </c>
      <c r="R89" s="26" t="s">
        <v>3224</v>
      </c>
      <c r="S89" s="26" t="s">
        <v>3231</v>
      </c>
      <c r="T89" s="26" t="s">
        <v>3231</v>
      </c>
      <c r="U89" s="26" t="s">
        <v>3231</v>
      </c>
      <c r="V89" s="26" t="s">
        <v>3231</v>
      </c>
    </row>
    <row r="90" spans="1:22" ht="15.05" x14ac:dyDescent="0.3">
      <c r="A90" s="158" t="str">
        <f>Noty!L131</f>
        <v>0.0</v>
      </c>
      <c r="B90" s="927" t="str">
        <f>Noty!C131</f>
        <v>Grunty użytkowane wieczyście</v>
      </c>
      <c r="C90" s="928" t="str">
        <f>Notes!C131</f>
        <v>Land under perpetual usufruct</v>
      </c>
      <c r="D90" s="27" t="s">
        <v>3231</v>
      </c>
      <c r="E90" t="s">
        <v>7487</v>
      </c>
      <c r="F90" s="257"/>
      <c r="G90" s="257"/>
      <c r="H90" s="257" t="s">
        <v>7488</v>
      </c>
      <c r="Q90" s="26" t="s">
        <v>3231</v>
      </c>
      <c r="R90" s="26" t="s">
        <v>3231</v>
      </c>
      <c r="S90" s="26" t="s">
        <v>3231</v>
      </c>
      <c r="T90" s="26" t="s">
        <v>3231</v>
      </c>
      <c r="U90" s="26" t="s">
        <v>3231</v>
      </c>
      <c r="V90" s="26" t="s">
        <v>3231</v>
      </c>
    </row>
    <row r="91" spans="1:22" ht="15.05" x14ac:dyDescent="0.3">
      <c r="A91" s="158" t="str">
        <f>Noty!L145</f>
        <v>0.0</v>
      </c>
      <c r="B91" s="927" t="str">
        <f>Noty!C145</f>
        <v>Środki trwałe nieamortyzowane</v>
      </c>
      <c r="C91" s="928" t="str">
        <f>Notes!C145</f>
        <v>Non depreciated fixed assets</v>
      </c>
      <c r="D91" s="27" t="s">
        <v>3231</v>
      </c>
      <c r="E91" t="s">
        <v>7487</v>
      </c>
      <c r="F91" s="257"/>
      <c r="G91" s="257"/>
      <c r="H91" s="257" t="s">
        <v>7488</v>
      </c>
      <c r="Q91" s="26" t="s">
        <v>3231</v>
      </c>
      <c r="R91" s="26" t="s">
        <v>3231</v>
      </c>
      <c r="S91" s="26" t="s">
        <v>3231</v>
      </c>
      <c r="T91" s="26" t="s">
        <v>3231</v>
      </c>
      <c r="U91" s="26" t="s">
        <v>3231</v>
      </c>
      <c r="V91" s="26" t="s">
        <v>3231</v>
      </c>
    </row>
    <row r="92" spans="1:22" ht="15.05" x14ac:dyDescent="0.3">
      <c r="A92" s="158" t="str">
        <f>Noty!L154</f>
        <v>0.0</v>
      </c>
      <c r="B92" s="927" t="str">
        <f>Noty!C154</f>
        <v>Środki trwałe na własne potrzeby</v>
      </c>
      <c r="C92" s="928" t="str">
        <f>Notes!C154</f>
        <v>Fixed assets for internal use</v>
      </c>
      <c r="D92" s="27" t="s">
        <v>3231</v>
      </c>
      <c r="E92" t="s">
        <v>7489</v>
      </c>
      <c r="F92" s="257"/>
      <c r="G92" s="257"/>
      <c r="H92" s="257"/>
      <c r="Q92" s="26" t="s">
        <v>3231</v>
      </c>
      <c r="R92" s="26" t="s">
        <v>3231</v>
      </c>
      <c r="S92" s="26" t="s">
        <v>3231</v>
      </c>
      <c r="T92" s="26" t="s">
        <v>3231</v>
      </c>
      <c r="U92" s="26" t="s">
        <v>3231</v>
      </c>
      <c r="V92" s="26" t="s">
        <v>3231</v>
      </c>
    </row>
    <row r="93" spans="1:22" ht="15.05" x14ac:dyDescent="0.3">
      <c r="A93" s="158" t="str">
        <f>Noty!L162</f>
        <v>0.0</v>
      </c>
      <c r="B93" s="927" t="str">
        <f>Noty!C162</f>
        <v>Przyczyny odpisów aktualizujących środki trwałe</v>
      </c>
      <c r="C93" s="928" t="str">
        <f>Notes!C162</f>
        <v>Basis for impairment write-offs</v>
      </c>
      <c r="D93" s="27" t="s">
        <v>3231</v>
      </c>
      <c r="E93" t="s">
        <v>7486</v>
      </c>
      <c r="F93" s="257"/>
      <c r="G93" s="257"/>
      <c r="H93" s="257"/>
      <c r="Q93" s="26" t="s">
        <v>3231</v>
      </c>
      <c r="R93" s="26" t="s">
        <v>3231</v>
      </c>
      <c r="S93" s="26" t="s">
        <v>3231</v>
      </c>
      <c r="T93" s="26" t="s">
        <v>3231</v>
      </c>
      <c r="U93" s="26" t="s">
        <v>3231</v>
      </c>
      <c r="V93" s="26" t="s">
        <v>3231</v>
      </c>
    </row>
    <row r="94" spans="1:22" ht="15.05" x14ac:dyDescent="0.3">
      <c r="A94" s="158" t="str">
        <f>Noty!L166</f>
        <v>0.</v>
      </c>
      <c r="B94" s="927" t="str">
        <f>Noty!C166</f>
        <v>Środki trwałe w budowie</v>
      </c>
      <c r="C94" s="928" t="str">
        <f>Notes!C166</f>
        <v>Assets under construction</v>
      </c>
      <c r="D94" s="27" t="s">
        <v>3231</v>
      </c>
      <c r="E94" t="s">
        <v>7486</v>
      </c>
      <c r="F94" s="929"/>
      <c r="G94" s="929"/>
      <c r="H94" s="929"/>
      <c r="Q94" s="26" t="s">
        <v>3231</v>
      </c>
      <c r="R94" s="26" t="s">
        <v>3231</v>
      </c>
      <c r="S94" s="26" t="s">
        <v>3231</v>
      </c>
      <c r="T94" s="26" t="s">
        <v>3231</v>
      </c>
      <c r="U94" s="26" t="s">
        <v>3231</v>
      </c>
      <c r="V94" s="26" t="s">
        <v>3231</v>
      </c>
    </row>
    <row r="95" spans="1:22" ht="15.05" x14ac:dyDescent="0.3">
      <c r="A95" s="158" t="str">
        <f>Noty!L195</f>
        <v>0.</v>
      </c>
      <c r="B95" s="927" t="str">
        <f>Noty!C195</f>
        <v>Należności długoterminowe</v>
      </c>
      <c r="C95" s="928" t="str">
        <f>Notes!C195</f>
        <v>Long-term receivables</v>
      </c>
      <c r="D95" s="44" t="str">
        <f>IF(AND(D96="nie",D97="nie",D98="nie"),"nie","tak")</f>
        <v>nie</v>
      </c>
      <c r="E95" t="s">
        <v>7486</v>
      </c>
      <c r="F95" s="929"/>
      <c r="G95" s="929"/>
      <c r="H95" s="929"/>
    </row>
    <row r="96" spans="1:22" ht="15.05" x14ac:dyDescent="0.3">
      <c r="A96" s="158" t="str">
        <f>Noty!L197</f>
        <v>0.0</v>
      </c>
      <c r="B96" s="927" t="str">
        <f>Noty!C197</f>
        <v>Struktura należności długoterminowych</v>
      </c>
      <c r="C96" s="928" t="str">
        <f>Notes!C197</f>
        <v>The structure of long-term receivables</v>
      </c>
      <c r="D96" s="27" t="s">
        <v>3231</v>
      </c>
      <c r="E96" t="s">
        <v>7486</v>
      </c>
      <c r="F96" s="191"/>
      <c r="G96" s="191"/>
      <c r="H96" s="930"/>
      <c r="Q96" s="26" t="s">
        <v>3231</v>
      </c>
      <c r="R96" s="26" t="s">
        <v>3231</v>
      </c>
      <c r="S96" s="26" t="s">
        <v>3231</v>
      </c>
      <c r="T96" s="26" t="s">
        <v>3231</v>
      </c>
      <c r="U96" s="26" t="s">
        <v>3231</v>
      </c>
      <c r="V96" s="26" t="s">
        <v>3231</v>
      </c>
    </row>
    <row r="97" spans="1:22" ht="15.05" x14ac:dyDescent="0.3">
      <c r="A97" s="158" t="str">
        <f>Noty!L205</f>
        <v>0.0</v>
      </c>
      <c r="B97" s="927" t="str">
        <f>Noty!C205</f>
        <v>Odpisy aktualizujące wartość należności długoterminowych</v>
      </c>
      <c r="C97" s="928" t="str">
        <f>Notes!C205</f>
        <v>Allowance for long-term receivables</v>
      </c>
      <c r="D97" s="27" t="s">
        <v>3231</v>
      </c>
      <c r="E97" t="s">
        <v>7486</v>
      </c>
      <c r="F97" s="929"/>
      <c r="G97" s="929"/>
      <c r="H97" s="929"/>
      <c r="Q97" s="26" t="s">
        <v>3231</v>
      </c>
      <c r="R97" s="26" t="s">
        <v>3231</v>
      </c>
      <c r="S97" s="26" t="s">
        <v>3231</v>
      </c>
      <c r="T97" s="26" t="s">
        <v>3231</v>
      </c>
      <c r="U97" s="26" t="s">
        <v>3231</v>
      </c>
      <c r="V97" s="26" t="s">
        <v>3231</v>
      </c>
    </row>
    <row r="98" spans="1:22" ht="15.05" x14ac:dyDescent="0.3">
      <c r="A98" s="158" t="str">
        <f>Noty!L218</f>
        <v>0.0</v>
      </c>
      <c r="B98" s="927" t="str">
        <f>Noty!C218</f>
        <v>Należności z tytułu ……….</v>
      </c>
      <c r="C98" s="928" t="str">
        <f>Notes!C218</f>
        <v>Receivables ……</v>
      </c>
      <c r="D98" s="27" t="s">
        <v>3231</v>
      </c>
      <c r="E98" t="s">
        <v>7489</v>
      </c>
      <c r="F98" s="257"/>
      <c r="G98" s="257"/>
      <c r="H98" s="257"/>
      <c r="Q98" s="26" t="s">
        <v>3231</v>
      </c>
      <c r="R98" s="26" t="s">
        <v>3231</v>
      </c>
      <c r="S98" s="26" t="s">
        <v>3231</v>
      </c>
      <c r="T98" s="26" t="s">
        <v>3231</v>
      </c>
      <c r="U98" s="26" t="s">
        <v>3231</v>
      </c>
      <c r="V98" s="26" t="s">
        <v>3231</v>
      </c>
    </row>
    <row r="99" spans="1:22" ht="15.05" x14ac:dyDescent="0.3">
      <c r="A99" s="158" t="str">
        <f>Noty!L232</f>
        <v>0.</v>
      </c>
      <c r="B99" s="927" t="str">
        <f>Noty!C232</f>
        <v>Inwestycje długoterminowe</v>
      </c>
      <c r="C99" s="928" t="str">
        <f>Notes!C232</f>
        <v>Long-term investments</v>
      </c>
      <c r="D99" s="44" t="str">
        <f>IF(AND(D100="nie",D101="nie",D102="nie",D103="nie",D104="nie",D105="nie",D106="nie"),"nie","tak")</f>
        <v>nie</v>
      </c>
      <c r="E99" t="s">
        <v>7486</v>
      </c>
      <c r="F99" s="257"/>
      <c r="G99" s="257"/>
      <c r="H99" s="257"/>
    </row>
    <row r="100" spans="1:22" ht="15.05" x14ac:dyDescent="0.3">
      <c r="A100" s="158" t="str">
        <f>Noty!L234</f>
        <v>0.0</v>
      </c>
      <c r="B100" s="927" t="str">
        <f>Noty!C234</f>
        <v>Zmiana stanu inwestycji długoterminowych</v>
      </c>
      <c r="C100" s="928" t="str">
        <f>Notes!C234</f>
        <v>Changes in long-term investment</v>
      </c>
      <c r="D100" s="27" t="s">
        <v>3231</v>
      </c>
      <c r="E100" t="s">
        <v>7486</v>
      </c>
      <c r="F100" s="931"/>
      <c r="G100" s="930"/>
      <c r="H100" s="931"/>
      <c r="Q100" s="26" t="s">
        <v>3231</v>
      </c>
      <c r="R100" s="26" t="s">
        <v>3224</v>
      </c>
      <c r="S100" s="26" t="s">
        <v>3231</v>
      </c>
      <c r="T100" s="26" t="s">
        <v>3231</v>
      </c>
      <c r="U100" s="26" t="s">
        <v>3231</v>
      </c>
      <c r="V100" s="26" t="s">
        <v>3231</v>
      </c>
    </row>
    <row r="101" spans="1:22" ht="15.05" x14ac:dyDescent="0.3">
      <c r="A101" s="158" t="str">
        <f>Noty!L296</f>
        <v>0.0</v>
      </c>
      <c r="B101" s="927" t="str">
        <f>Noty!C296</f>
        <v>Papiery wartościowe oraz prawa</v>
      </c>
      <c r="C101" s="928" t="str">
        <f>Notes!C296</f>
        <v>Securities and rights</v>
      </c>
      <c r="D101" s="27" t="s">
        <v>3231</v>
      </c>
      <c r="E101" t="s">
        <v>7486</v>
      </c>
      <c r="F101" s="932"/>
      <c r="G101" s="932"/>
      <c r="H101" s="932"/>
      <c r="Q101" s="26" t="s">
        <v>3231</v>
      </c>
      <c r="R101" s="26" t="s">
        <v>3231</v>
      </c>
      <c r="S101" s="26" t="s">
        <v>3231</v>
      </c>
      <c r="T101" s="26" t="s">
        <v>3231</v>
      </c>
      <c r="U101" s="26" t="s">
        <v>3231</v>
      </c>
      <c r="V101" s="26" t="s">
        <v>3231</v>
      </c>
    </row>
    <row r="102" spans="1:22" ht="15.05" x14ac:dyDescent="0.3">
      <c r="A102" s="158" t="str">
        <f>Noty!L318</f>
        <v>0.0</v>
      </c>
      <c r="B102" s="927" t="str">
        <f>Noty!C318</f>
        <v>Udziały i akcje w jednostkach zależnych</v>
      </c>
      <c r="C102" s="928" t="str">
        <f>Notes!C318</f>
        <v>Shares in subsidiaries</v>
      </c>
      <c r="D102" s="27" t="s">
        <v>3231</v>
      </c>
      <c r="E102" t="s">
        <v>7486</v>
      </c>
      <c r="F102" s="932"/>
      <c r="G102" s="932"/>
      <c r="H102" s="932"/>
      <c r="Q102" s="26" t="s">
        <v>3231</v>
      </c>
      <c r="R102" s="26" t="s">
        <v>3231</v>
      </c>
      <c r="S102" s="26" t="s">
        <v>3231</v>
      </c>
      <c r="T102" s="26" t="s">
        <v>3231</v>
      </c>
      <c r="U102" s="26" t="s">
        <v>3231</v>
      </c>
      <c r="V102" s="26" t="s">
        <v>3231</v>
      </c>
    </row>
    <row r="103" spans="1:22" ht="15.05" x14ac:dyDescent="0.3">
      <c r="A103" s="158" t="str">
        <f>Noty!L334</f>
        <v>0.0</v>
      </c>
      <c r="B103" s="927" t="str">
        <f>Noty!C334</f>
        <v xml:space="preserve">Udziały i akcje w jednostkach współzależnych </v>
      </c>
      <c r="C103" s="928" t="str">
        <f>Notes!C334</f>
        <v>Shares in co-subsidiaries</v>
      </c>
      <c r="D103" s="27" t="s">
        <v>3231</v>
      </c>
      <c r="E103" t="s">
        <v>7486</v>
      </c>
      <c r="F103" s="932"/>
      <c r="G103" s="932"/>
      <c r="H103" s="932"/>
      <c r="Q103" s="26" t="s">
        <v>3231</v>
      </c>
      <c r="R103" s="26" t="s">
        <v>3231</v>
      </c>
      <c r="S103" s="26" t="s">
        <v>3231</v>
      </c>
      <c r="T103" s="26" t="s">
        <v>3231</v>
      </c>
      <c r="U103" s="26" t="s">
        <v>3231</v>
      </c>
      <c r="V103" s="26" t="s">
        <v>3231</v>
      </c>
    </row>
    <row r="104" spans="1:22" ht="15.05" x14ac:dyDescent="0.3">
      <c r="A104" s="158" t="str">
        <f>Noty!L350</f>
        <v>0.0</v>
      </c>
      <c r="B104" s="927" t="str">
        <f>Noty!C350</f>
        <v>Udziały i akcje w jednostkach stowarzyszonych</v>
      </c>
      <c r="C104" s="928" t="str">
        <f>Notes!C350</f>
        <v>Shares in associated entities</v>
      </c>
      <c r="D104" s="27" t="s">
        <v>3231</v>
      </c>
      <c r="E104" t="s">
        <v>7486</v>
      </c>
      <c r="F104" s="933"/>
      <c r="G104" s="933"/>
      <c r="H104" s="933"/>
      <c r="Q104" s="26" t="s">
        <v>3231</v>
      </c>
      <c r="R104" s="26" t="s">
        <v>3231</v>
      </c>
      <c r="S104" s="26" t="s">
        <v>3231</v>
      </c>
      <c r="T104" s="26" t="s">
        <v>3231</v>
      </c>
      <c r="U104" s="26" t="s">
        <v>3231</v>
      </c>
      <c r="V104" s="26" t="s">
        <v>3231</v>
      </c>
    </row>
    <row r="105" spans="1:22" ht="15.05" x14ac:dyDescent="0.3">
      <c r="A105" s="158" t="str">
        <f>Noty!L366</f>
        <v>0.0</v>
      </c>
      <c r="B105" s="927" t="str">
        <f>Noty!C366</f>
        <v xml:space="preserve">Udziały i akcje w pozostałych jednostkach </v>
      </c>
      <c r="C105" s="928" t="str">
        <f>Notes!C366</f>
        <v>Shares in other entities</v>
      </c>
      <c r="D105" s="27" t="s">
        <v>3231</v>
      </c>
      <c r="E105" t="s">
        <v>7486</v>
      </c>
      <c r="F105" s="257"/>
      <c r="G105" s="257"/>
      <c r="H105" s="257"/>
      <c r="Q105" s="26" t="s">
        <v>3231</v>
      </c>
      <c r="R105" s="26" t="s">
        <v>3231</v>
      </c>
      <c r="S105" s="26" t="s">
        <v>3231</v>
      </c>
      <c r="T105" s="26" t="s">
        <v>3231</v>
      </c>
      <c r="U105" s="26" t="s">
        <v>3231</v>
      </c>
      <c r="V105" s="26" t="s">
        <v>3231</v>
      </c>
    </row>
    <row r="106" spans="1:22" ht="18.850000000000001" customHeight="1" x14ac:dyDescent="0.3">
      <c r="A106" s="158" t="str">
        <f>Noty!L382</f>
        <v>0.0</v>
      </c>
      <c r="B106" s="927" t="str">
        <f>Noty!C382</f>
        <v xml:space="preserve">Specyfikacja umów pożyczek udzielonych </v>
      </c>
      <c r="C106" s="928" t="str">
        <f>Notes!C382</f>
        <v>Specification of agreements for loans granted</v>
      </c>
      <c r="D106" s="27" t="s">
        <v>3231</v>
      </c>
      <c r="E106" t="s">
        <v>7486</v>
      </c>
      <c r="F106" s="257"/>
      <c r="G106" s="257"/>
      <c r="H106" s="257"/>
      <c r="Q106" s="26" t="s">
        <v>3231</v>
      </c>
      <c r="R106" s="26" t="s">
        <v>3231</v>
      </c>
      <c r="S106" s="26" t="s">
        <v>3231</v>
      </c>
      <c r="T106" s="26" t="s">
        <v>3224</v>
      </c>
      <c r="U106" s="26" t="s">
        <v>3224</v>
      </c>
      <c r="V106" s="26" t="s">
        <v>3231</v>
      </c>
    </row>
    <row r="107" spans="1:22" ht="15.05" x14ac:dyDescent="0.3">
      <c r="A107" s="158" t="str">
        <f>Noty!L390</f>
        <v>0.</v>
      </c>
      <c r="B107" s="927" t="str">
        <f>Noty!C390</f>
        <v>Czynne rozliczenia międzyokresowe</v>
      </c>
      <c r="C107" s="928" t="str">
        <f>Notes!C390</f>
        <v>Prepayments and deferred expenses</v>
      </c>
      <c r="D107" s="27" t="s">
        <v>3231</v>
      </c>
      <c r="E107" t="s">
        <v>7486</v>
      </c>
      <c r="F107" s="196"/>
      <c r="G107" s="196"/>
      <c r="H107" s="196"/>
      <c r="Q107" s="26" t="s">
        <v>3231</v>
      </c>
      <c r="R107" s="26" t="s">
        <v>3224</v>
      </c>
      <c r="S107" s="26" t="s">
        <v>3231</v>
      </c>
      <c r="T107" s="26" t="s">
        <v>3231</v>
      </c>
      <c r="U107" s="26" t="s">
        <v>3231</v>
      </c>
      <c r="V107" s="26" t="s">
        <v>3231</v>
      </c>
    </row>
    <row r="108" spans="1:22" ht="15.05" x14ac:dyDescent="0.3">
      <c r="A108" s="158" t="str">
        <f>Noty!L422</f>
        <v>0.</v>
      </c>
      <c r="B108" s="927" t="str">
        <f>Noty!C422</f>
        <v>Zapasy</v>
      </c>
      <c r="C108" s="928" t="str">
        <f>Notes!C422</f>
        <v xml:space="preserve">Inventory </v>
      </c>
      <c r="D108" s="44" t="str">
        <f>IF(AND(D109="nie",D110="nie",D111="nie"),"nie","tak")</f>
        <v>nie</v>
      </c>
      <c r="E108" t="s">
        <v>7486</v>
      </c>
      <c r="F108" s="196"/>
      <c r="G108" s="196"/>
      <c r="H108" s="196"/>
    </row>
    <row r="109" spans="1:22" ht="15.05" x14ac:dyDescent="0.3">
      <c r="A109" s="158" t="str">
        <f>Noty!L424</f>
        <v>0.0</v>
      </c>
      <c r="B109" s="927" t="str">
        <f>Noty!C424</f>
        <v>Struktura wiekowa zapasów</v>
      </c>
      <c r="C109" s="928" t="str">
        <f>Notes!C424</f>
        <v xml:space="preserve">Ageing analysis of inventory </v>
      </c>
      <c r="D109" s="27" t="s">
        <v>3231</v>
      </c>
      <c r="E109" t="s">
        <v>7486</v>
      </c>
      <c r="F109" s="934"/>
      <c r="G109" s="934"/>
      <c r="H109" s="934"/>
      <c r="Q109" s="26" t="s">
        <v>3231</v>
      </c>
      <c r="R109" s="26" t="s">
        <v>3231</v>
      </c>
      <c r="S109" s="26" t="s">
        <v>3231</v>
      </c>
      <c r="T109" s="26" t="s">
        <v>3231</v>
      </c>
      <c r="U109" s="26" t="s">
        <v>3231</v>
      </c>
      <c r="V109" s="26" t="s">
        <v>3231</v>
      </c>
    </row>
    <row r="110" spans="1:22" ht="15.05" x14ac:dyDescent="0.3">
      <c r="A110" s="158" t="str">
        <f>Noty!L438</f>
        <v>0.0</v>
      </c>
      <c r="B110" s="927" t="str">
        <f>Noty!C438</f>
        <v xml:space="preserve">Zmiany w stanie odpisów aktualizujących zapasy </v>
      </c>
      <c r="C110" s="928" t="str">
        <f>Notes!C438</f>
        <v>Changes in write-downs on inventory</v>
      </c>
      <c r="D110" s="27" t="s">
        <v>3231</v>
      </c>
      <c r="E110" t="s">
        <v>7489</v>
      </c>
      <c r="F110" s="934"/>
      <c r="G110" s="934"/>
      <c r="H110" s="934"/>
      <c r="Q110" s="26" t="s">
        <v>3231</v>
      </c>
      <c r="R110" s="26" t="s">
        <v>3231</v>
      </c>
      <c r="S110" s="26" t="s">
        <v>3231</v>
      </c>
      <c r="T110" s="26" t="s">
        <v>3231</v>
      </c>
      <c r="U110" s="26" t="s">
        <v>3231</v>
      </c>
      <c r="V110" s="26" t="s">
        <v>3231</v>
      </c>
    </row>
    <row r="111" spans="1:22" ht="35.200000000000003" customHeight="1" x14ac:dyDescent="0.3">
      <c r="A111" s="158" t="str">
        <f>Noty!L448</f>
        <v>0.0</v>
      </c>
      <c r="B111" s="927" t="str">
        <f>Noty!C448</f>
        <v xml:space="preserve">Odsetki i różnice kursowe powiększające cenę nabycia towarów lub koszt wytworzenia produktów </v>
      </c>
      <c r="C111" s="928" t="str">
        <f>Notes!C448</f>
        <v>Interest and foreign exchange differences increasing merchandise acquisition price or finished product production costs</v>
      </c>
      <c r="D111" s="27" t="s">
        <v>3231</v>
      </c>
      <c r="E111" t="s">
        <v>7486</v>
      </c>
      <c r="F111" s="935"/>
      <c r="G111" s="935"/>
      <c r="H111" s="935"/>
      <c r="Q111" s="26" t="s">
        <v>3231</v>
      </c>
      <c r="R111" s="26" t="s">
        <v>3231</v>
      </c>
      <c r="S111" s="26" t="s">
        <v>3231</v>
      </c>
      <c r="T111" s="26" t="s">
        <v>3231</v>
      </c>
      <c r="U111" s="26" t="s">
        <v>3231</v>
      </c>
      <c r="V111" s="26" t="s">
        <v>3231</v>
      </c>
    </row>
    <row r="112" spans="1:22" ht="15.05" x14ac:dyDescent="0.3">
      <c r="A112" s="158" t="str">
        <f>Noty!L463</f>
        <v>0.</v>
      </c>
      <c r="B112" s="927" t="str">
        <f>Noty!C463</f>
        <v>Należności krótkoterminowe</v>
      </c>
      <c r="C112" s="928" t="str">
        <f>Notes!C463</f>
        <v>Short-term receivables</v>
      </c>
      <c r="D112" s="44" t="str">
        <f>IF(AND(D113="nie",D114="nie",D115="nie"),"nie","tak")</f>
        <v>nie</v>
      </c>
      <c r="E112" t="s">
        <v>7486</v>
      </c>
      <c r="F112" s="935"/>
      <c r="G112" s="935"/>
      <c r="H112" s="935"/>
    </row>
    <row r="113" spans="1:22" ht="15.05" x14ac:dyDescent="0.3">
      <c r="A113" s="158" t="str">
        <f>Noty!L465</f>
        <v>0.0</v>
      </c>
      <c r="B113" s="927" t="str">
        <f>Noty!C465</f>
        <v>Specyfikacja należności krótkoterminowych</v>
      </c>
      <c r="C113" s="928" t="str">
        <f>Notes!C465</f>
        <v>Specification of short-term receivables</v>
      </c>
      <c r="D113" s="27" t="s">
        <v>3231</v>
      </c>
      <c r="E113" t="s">
        <v>7486</v>
      </c>
      <c r="F113" s="936"/>
      <c r="G113" s="936"/>
      <c r="H113" s="936"/>
      <c r="Q113" s="26" t="s">
        <v>3231</v>
      </c>
      <c r="R113" s="26" t="s">
        <v>3224</v>
      </c>
      <c r="S113" s="26" t="s">
        <v>3224</v>
      </c>
      <c r="T113" s="26" t="s">
        <v>3231</v>
      </c>
      <c r="U113" s="26" t="s">
        <v>3231</v>
      </c>
      <c r="V113" s="26" t="s">
        <v>3224</v>
      </c>
    </row>
    <row r="114" spans="1:22" ht="18" customHeight="1" x14ac:dyDescent="0.3">
      <c r="A114" s="158" t="str">
        <f>Noty!L509</f>
        <v>0.0</v>
      </c>
      <c r="B114" s="927" t="str">
        <f>Noty!C509</f>
        <v>Należności z tytułu dostaw i usług brutto według wieku</v>
      </c>
      <c r="C114" s="928" t="str">
        <f>Notes!C509</f>
        <v>Ageing analysis of gross trade receivables</v>
      </c>
      <c r="D114" s="27" t="s">
        <v>3231</v>
      </c>
      <c r="E114" t="s">
        <v>7489</v>
      </c>
      <c r="F114" s="935"/>
      <c r="G114" s="935"/>
      <c r="H114" s="935"/>
      <c r="Q114" s="26" t="s">
        <v>3231</v>
      </c>
      <c r="R114" s="26" t="s">
        <v>3224</v>
      </c>
      <c r="S114" s="26" t="s">
        <v>3231</v>
      </c>
      <c r="T114" s="26" t="s">
        <v>3231</v>
      </c>
      <c r="U114" s="26" t="s">
        <v>3231</v>
      </c>
      <c r="V114" s="26" t="s">
        <v>3231</v>
      </c>
    </row>
    <row r="115" spans="1:22" ht="30.15" x14ac:dyDescent="0.3">
      <c r="A115" s="158" t="str">
        <f>Noty!L535</f>
        <v>0.0</v>
      </c>
      <c r="B115" s="927" t="str">
        <f>Noty!C535</f>
        <v>Zmiany w stanie odpisów aktualizujących należności krótkoterminowe (wg tytułów należności)</v>
      </c>
      <c r="C115" s="928" t="str">
        <f>Notes!C535</f>
        <v>Changes in impairment write-downs on short-term receivables (by title)</v>
      </c>
      <c r="D115" s="27" t="s">
        <v>3231</v>
      </c>
      <c r="E115" t="s">
        <v>7486</v>
      </c>
      <c r="F115" s="200"/>
      <c r="G115" s="200"/>
      <c r="H115" s="200"/>
      <c r="Q115" s="26" t="s">
        <v>3231</v>
      </c>
      <c r="R115" s="26" t="s">
        <v>3231</v>
      </c>
      <c r="S115" s="26" t="s">
        <v>3231</v>
      </c>
      <c r="T115" s="26" t="s">
        <v>3231</v>
      </c>
      <c r="U115" s="26" t="s">
        <v>3231</v>
      </c>
      <c r="V115" s="26" t="s">
        <v>3231</v>
      </c>
    </row>
    <row r="116" spans="1:22" ht="15.05" x14ac:dyDescent="0.3">
      <c r="A116" s="158" t="str">
        <f>Noty!L551</f>
        <v>0.</v>
      </c>
      <c r="B116" s="927" t="str">
        <f>Noty!C551</f>
        <v>Inwestycje krótkoterminowe</v>
      </c>
      <c r="C116" s="928" t="str">
        <f>Notes!C551</f>
        <v>Short-term investments</v>
      </c>
      <c r="D116" s="44" t="str">
        <f>IF(AND(D117="nie"),"nie","tak")</f>
        <v>nie</v>
      </c>
      <c r="E116" t="s">
        <v>7486</v>
      </c>
      <c r="F116" s="197"/>
      <c r="G116" s="197"/>
      <c r="H116" s="197"/>
    </row>
    <row r="117" spans="1:22" ht="15.05" x14ac:dyDescent="0.3">
      <c r="A117" s="158" t="str">
        <f>Noty!L553</f>
        <v>0.0</v>
      </c>
      <c r="B117" s="927" t="str">
        <f>Noty!C553</f>
        <v>Środki pieniężne</v>
      </c>
      <c r="C117" s="928" t="str">
        <f>Notes!C553</f>
        <v>Cash and cash equivalents</v>
      </c>
      <c r="D117" s="148" t="s">
        <v>3231</v>
      </c>
      <c r="E117" t="s">
        <v>7486</v>
      </c>
      <c r="F117" s="197"/>
      <c r="G117" s="197"/>
      <c r="H117" s="197"/>
      <c r="Q117" s="26" t="s">
        <v>3231</v>
      </c>
      <c r="R117" s="26" t="s">
        <v>3224</v>
      </c>
      <c r="S117" s="26" t="s">
        <v>3224</v>
      </c>
      <c r="T117" s="26" t="s">
        <v>3224</v>
      </c>
      <c r="U117" s="26" t="s">
        <v>3224</v>
      </c>
      <c r="V117" s="26" t="s">
        <v>3224</v>
      </c>
    </row>
    <row r="118" spans="1:22" ht="15.05" x14ac:dyDescent="0.3">
      <c r="A118" s="158" t="str">
        <f>Noty!L562</f>
        <v>0.</v>
      </c>
      <c r="B118" s="927" t="str">
        <f>Noty!C562</f>
        <v>Kapitał własny</v>
      </c>
      <c r="C118" s="928" t="str">
        <f>Notes!C562</f>
        <v>Equity</v>
      </c>
      <c r="D118" s="44" t="str">
        <f>IF(AND(D119="nie",D120="nie"),"nie","tak")</f>
        <v>nie</v>
      </c>
      <c r="E118" t="s">
        <v>7486</v>
      </c>
      <c r="F118" s="197"/>
      <c r="G118" s="197"/>
      <c r="H118" s="197"/>
    </row>
    <row r="119" spans="1:22" ht="15.05" x14ac:dyDescent="0.3">
      <c r="A119" s="158" t="str">
        <f>Noty!L564</f>
        <v>0.0</v>
      </c>
      <c r="B119" s="927" t="str">
        <f>Noty!C564</f>
        <v xml:space="preserve">Struktura własności kapitału zakładowego </v>
      </c>
      <c r="C119" s="928" t="str">
        <f>Notes!C564</f>
        <v xml:space="preserve">Ownership structure of share capital </v>
      </c>
      <c r="D119" s="27" t="s">
        <v>3231</v>
      </c>
      <c r="E119" t="s">
        <v>7486</v>
      </c>
      <c r="F119" s="196"/>
      <c r="G119" s="196"/>
      <c r="H119" s="196"/>
      <c r="Q119" s="26" t="s">
        <v>3231</v>
      </c>
      <c r="R119" s="26" t="s">
        <v>3224</v>
      </c>
      <c r="S119" s="26" t="s">
        <v>3224</v>
      </c>
      <c r="T119" s="26" t="s">
        <v>3224</v>
      </c>
      <c r="U119" s="26" t="s">
        <v>3224</v>
      </c>
      <c r="V119" s="26" t="s">
        <v>3224</v>
      </c>
    </row>
    <row r="120" spans="1:22" ht="30.15" x14ac:dyDescent="0.3">
      <c r="A120" s="158" t="str">
        <f>Noty!L589</f>
        <v>0.0</v>
      </c>
      <c r="B120" s="927" t="str">
        <f>Noty!C589</f>
        <v>Propozycje co do sposobu podziału zysku lub pokrycia straty za rok obrotowy</v>
      </c>
      <c r="C120" s="928" t="str">
        <f>Notes!C589</f>
        <v xml:space="preserve">Proposed distribution of the financial result </v>
      </c>
      <c r="D120" s="27" t="s">
        <v>3231</v>
      </c>
      <c r="E120" t="s">
        <v>7486</v>
      </c>
      <c r="F120" s="196"/>
      <c r="G120" s="937"/>
      <c r="H120" s="937"/>
      <c r="Q120" s="26" t="s">
        <v>3231</v>
      </c>
      <c r="R120" s="26" t="s">
        <v>3224</v>
      </c>
      <c r="S120" s="26" t="s">
        <v>3224</v>
      </c>
      <c r="T120" s="26" t="s">
        <v>3224</v>
      </c>
      <c r="U120" s="26" t="s">
        <v>3224</v>
      </c>
      <c r="V120" s="26" t="s">
        <v>3224</v>
      </c>
    </row>
    <row r="121" spans="1:22" ht="15.05" x14ac:dyDescent="0.3">
      <c r="A121" s="158" t="str">
        <f>Noty!L599</f>
        <v>0.0</v>
      </c>
      <c r="B121" s="927" t="str">
        <f>Noty!C599</f>
        <v xml:space="preserve">Zmiana kapitałów własnych </v>
      </c>
      <c r="C121" s="928" t="str">
        <f>Notes!C599</f>
        <v>Change of equity</v>
      </c>
      <c r="D121" s="148" t="s">
        <v>3231</v>
      </c>
      <c r="E121" t="str">
        <f>IF(ZestKapital=1,"pozycja niewymagana przez UoR","jeśli pozycja występuje nota wymagana")</f>
        <v>pozycja niewymagana przez UoR</v>
      </c>
      <c r="F121" s="196"/>
      <c r="G121" s="937"/>
      <c r="H121" s="937"/>
      <c r="Q121" s="26" t="s">
        <v>3231</v>
      </c>
      <c r="R121" s="26" t="s">
        <v>3224</v>
      </c>
      <c r="S121" s="26" t="s">
        <v>3224</v>
      </c>
      <c r="T121" s="26" t="s">
        <v>3224</v>
      </c>
      <c r="U121" s="26" t="s">
        <v>3224</v>
      </c>
      <c r="V121" s="26" t="s">
        <v>3224</v>
      </c>
    </row>
    <row r="122" spans="1:22" ht="15.05" x14ac:dyDescent="0.3">
      <c r="A122" s="158" t="str">
        <f>Noty!L609</f>
        <v>0.</v>
      </c>
      <c r="B122" s="927" t="str">
        <f>Noty!C609</f>
        <v>Należne wpłaty na kapitał podstawowy</v>
      </c>
      <c r="C122" s="928" t="str">
        <f>Notes!C609</f>
        <v>Outstanding share capital contributions</v>
      </c>
      <c r="D122" s="27" t="s">
        <v>3231</v>
      </c>
      <c r="E122" t="s">
        <v>7486</v>
      </c>
      <c r="F122" s="196"/>
      <c r="G122" s="937"/>
      <c r="H122" s="937"/>
      <c r="Q122" s="26" t="s">
        <v>3231</v>
      </c>
      <c r="R122" s="26" t="s">
        <v>3231</v>
      </c>
      <c r="S122" s="26" t="s">
        <v>3231</v>
      </c>
      <c r="T122" s="26" t="s">
        <v>3231</v>
      </c>
      <c r="U122" s="26" t="s">
        <v>3231</v>
      </c>
      <c r="V122" s="26" t="s">
        <v>3231</v>
      </c>
    </row>
    <row r="123" spans="1:22" ht="15.05" x14ac:dyDescent="0.3">
      <c r="A123" s="158" t="str">
        <f>Noty!L613</f>
        <v>0.</v>
      </c>
      <c r="B123" s="927" t="str">
        <f>Noty!C613</f>
        <v>Udziały (akcje) własne</v>
      </c>
      <c r="C123" s="928" t="str">
        <f>Notes!C613</f>
        <v>Own shares</v>
      </c>
      <c r="D123" s="27" t="s">
        <v>3231</v>
      </c>
      <c r="E123" t="s">
        <v>7486</v>
      </c>
      <c r="F123" s="196"/>
      <c r="G123" s="937"/>
      <c r="H123" s="937"/>
      <c r="Q123" s="26" t="s">
        <v>3231</v>
      </c>
      <c r="R123" s="26" t="s">
        <v>3231</v>
      </c>
      <c r="S123" s="26" t="s">
        <v>3231</v>
      </c>
      <c r="T123" s="26" t="s">
        <v>3231</v>
      </c>
      <c r="U123" s="26" t="s">
        <v>3231</v>
      </c>
      <c r="V123" s="26" t="s">
        <v>3231</v>
      </c>
    </row>
    <row r="124" spans="1:22" ht="15.05" x14ac:dyDescent="0.3">
      <c r="A124" s="158" t="str">
        <f>Noty!L617</f>
        <v>0.</v>
      </c>
      <c r="B124" s="927" t="str">
        <f>Noty!C617</f>
        <v>Rezerwy</v>
      </c>
      <c r="C124" s="928" t="str">
        <f>Notes!C617</f>
        <v>Provisions</v>
      </c>
      <c r="D124" s="44" t="str">
        <f>IF(AND(D125="nie",D126="nie",D127="nie"),"nie","tak")</f>
        <v>nie</v>
      </c>
      <c r="E124" t="s">
        <v>7486</v>
      </c>
      <c r="F124" s="196"/>
      <c r="G124" s="937"/>
      <c r="H124" s="937"/>
    </row>
    <row r="125" spans="1:22" ht="15.05" x14ac:dyDescent="0.3">
      <c r="A125" s="158" t="str">
        <f>Noty!L619</f>
        <v>0.0</v>
      </c>
      <c r="B125" s="927" t="str">
        <f>Noty!C619</f>
        <v>Zmiany w stanie rezerw na świadczenia emerytalne i podobne</v>
      </c>
      <c r="C125" s="928" t="str">
        <f>Notes!C619</f>
        <v>Changes in provision for retirement and similar benefits</v>
      </c>
      <c r="D125" s="27" t="s">
        <v>3231</v>
      </c>
      <c r="E125" t="s">
        <v>7486</v>
      </c>
      <c r="F125" s="196"/>
      <c r="G125" s="937"/>
      <c r="H125" s="937"/>
      <c r="Q125" s="26" t="s">
        <v>3231</v>
      </c>
      <c r="R125" s="26" t="s">
        <v>3231</v>
      </c>
      <c r="S125" s="26" t="s">
        <v>3231</v>
      </c>
      <c r="T125" s="26" t="s">
        <v>3231</v>
      </c>
      <c r="U125" s="26" t="s">
        <v>3231</v>
      </c>
      <c r="V125" s="26" t="s">
        <v>3231</v>
      </c>
    </row>
    <row r="126" spans="1:22" ht="16.55" customHeight="1" x14ac:dyDescent="0.3">
      <c r="A126" s="158" t="str">
        <f>Noty!L629</f>
        <v>0.0</v>
      </c>
      <c r="B126" s="927" t="str">
        <f>Noty!C629</f>
        <v>Zmiany w stanie pozostałych rezerw długoterminowych</v>
      </c>
      <c r="C126" s="928" t="str">
        <f>Notes!C629</f>
        <v>Changes in other long-term provisions</v>
      </c>
      <c r="D126" s="27" t="s">
        <v>3231</v>
      </c>
      <c r="E126" t="s">
        <v>7486</v>
      </c>
      <c r="F126" s="196"/>
      <c r="G126" s="937"/>
      <c r="H126" s="938"/>
      <c r="Q126" s="26" t="s">
        <v>3231</v>
      </c>
      <c r="R126" s="26" t="s">
        <v>3231</v>
      </c>
      <c r="S126" s="26" t="s">
        <v>3231</v>
      </c>
      <c r="T126" s="26" t="s">
        <v>3231</v>
      </c>
      <c r="U126" s="26" t="s">
        <v>3231</v>
      </c>
      <c r="V126" s="26" t="s">
        <v>3231</v>
      </c>
    </row>
    <row r="127" spans="1:22" ht="18.850000000000001" customHeight="1" x14ac:dyDescent="0.3">
      <c r="A127" s="158" t="str">
        <f>Noty!L639</f>
        <v>0.0</v>
      </c>
      <c r="B127" s="927" t="str">
        <f>Noty!C639</f>
        <v>Zmiany w stanie pozostałych rezerw krótkoterminowych</v>
      </c>
      <c r="C127" s="928" t="str">
        <f>Notes!C639</f>
        <v>Changes in other short-term provisions</v>
      </c>
      <c r="D127" s="27" t="s">
        <v>3231</v>
      </c>
      <c r="E127" t="s">
        <v>7486</v>
      </c>
      <c r="F127" s="196"/>
      <c r="G127" s="196"/>
      <c r="H127" s="196"/>
      <c r="Q127" s="26" t="s">
        <v>3231</v>
      </c>
      <c r="R127" s="26" t="s">
        <v>3231</v>
      </c>
      <c r="S127" s="26" t="s">
        <v>3231</v>
      </c>
      <c r="T127" s="26" t="s">
        <v>3231</v>
      </c>
      <c r="U127" s="26" t="s">
        <v>3231</v>
      </c>
      <c r="V127" s="26" t="s">
        <v>3231</v>
      </c>
    </row>
    <row r="128" spans="1:22" ht="15.05" x14ac:dyDescent="0.3">
      <c r="A128" s="158" t="str">
        <f>Noty!L655</f>
        <v>0.</v>
      </c>
      <c r="B128" s="927" t="str">
        <f>Noty!C655</f>
        <v>Zobowiązania długoterminowe</v>
      </c>
      <c r="C128" s="928" t="str">
        <f>Notes!C655</f>
        <v>Long-term liabilities</v>
      </c>
      <c r="D128" s="44" t="str">
        <f>IF(AND(D129="nie",D130="nie",D131="nie"),"nie","tak")</f>
        <v>nie</v>
      </c>
      <c r="E128" t="s">
        <v>7486</v>
      </c>
      <c r="F128" s="196"/>
      <c r="G128" s="196"/>
      <c r="H128" s="196"/>
    </row>
    <row r="129" spans="1:22" ht="30.15" x14ac:dyDescent="0.3">
      <c r="A129" s="158" t="str">
        <f>Noty!L668</f>
        <v>0.0</v>
      </c>
      <c r="B129" s="927" t="str">
        <f>Noty!C668</f>
        <v>Struktura wiekowa zobowiązań długoterminowych wobec jednostek powiązanych</v>
      </c>
      <c r="C129" s="928" t="str">
        <f>Notes!C668</f>
        <v>Aged structure of long-term liabilities due to related parties</v>
      </c>
      <c r="D129" s="27" t="s">
        <v>3231</v>
      </c>
      <c r="E129" t="s">
        <v>7486</v>
      </c>
      <c r="F129" s="939"/>
      <c r="G129" s="939"/>
      <c r="H129" s="939"/>
      <c r="Q129" s="26" t="s">
        <v>3231</v>
      </c>
      <c r="R129" s="26" t="s">
        <v>3224</v>
      </c>
      <c r="S129" s="26" t="s">
        <v>3231</v>
      </c>
      <c r="T129" s="26" t="s">
        <v>3231</v>
      </c>
      <c r="U129" s="26" t="s">
        <v>3231</v>
      </c>
      <c r="V129" s="26" t="s">
        <v>3231</v>
      </c>
    </row>
    <row r="130" spans="1:22" ht="45.2" x14ac:dyDescent="0.3">
      <c r="A130" s="158" t="str">
        <f>Noty!L681</f>
        <v>0.0</v>
      </c>
      <c r="B130" s="927" t="str">
        <f>Noty!C681</f>
        <v>Struktura wiekowa zobowiązań długoterminowych wobec pozostałych jednostek, w których jednostka posiada zaangażowanie w kapitale</v>
      </c>
      <c r="C130" s="928" t="str">
        <f>Notes!C681</f>
        <v>Aged structure of long-term liabilities due to other parties, in which the entity has a share in equity</v>
      </c>
      <c r="D130" s="27" t="s">
        <v>3231</v>
      </c>
      <c r="E130" t="s">
        <v>7486</v>
      </c>
      <c r="F130" s="196"/>
      <c r="G130" s="196"/>
      <c r="H130" s="196"/>
      <c r="Q130" s="26" t="s">
        <v>3231</v>
      </c>
      <c r="R130" s="26" t="s">
        <v>3231</v>
      </c>
      <c r="S130" s="26" t="s">
        <v>3231</v>
      </c>
      <c r="T130" s="26" t="s">
        <v>3231</v>
      </c>
      <c r="U130" s="26" t="s">
        <v>3231</v>
      </c>
      <c r="V130" s="26" t="s">
        <v>3231</v>
      </c>
    </row>
    <row r="131" spans="1:22" ht="30.15" x14ac:dyDescent="0.3">
      <c r="A131" s="158" t="str">
        <f>Noty!L694</f>
        <v>0.0</v>
      </c>
      <c r="B131" s="927" t="str">
        <f>Noty!C694</f>
        <v>Struktura wiekowa zobowiązań długoterminowych wobec pozostałych jednostek</v>
      </c>
      <c r="C131" s="928" t="str">
        <f>Notes!C694</f>
        <v>Aged structure of long-term liabilities due to other parties</v>
      </c>
      <c r="D131" s="27" t="s">
        <v>3231</v>
      </c>
      <c r="E131" t="s">
        <v>7486</v>
      </c>
      <c r="F131" s="196"/>
      <c r="G131" s="196"/>
      <c r="H131" s="196"/>
      <c r="Q131" s="26" t="s">
        <v>3231</v>
      </c>
      <c r="R131" s="26" t="s">
        <v>3224</v>
      </c>
      <c r="S131" s="26" t="s">
        <v>3231</v>
      </c>
      <c r="T131" s="26" t="s">
        <v>3231</v>
      </c>
      <c r="U131" s="26" t="s">
        <v>3231</v>
      </c>
      <c r="V131" s="26" t="s">
        <v>3231</v>
      </c>
    </row>
    <row r="132" spans="1:22" ht="15.05" x14ac:dyDescent="0.3">
      <c r="A132" s="158" t="str">
        <f>Noty!L707</f>
        <v>0.</v>
      </c>
      <c r="B132" s="927" t="str">
        <f>Noty!C707</f>
        <v xml:space="preserve">Wykaz zobowiązań bilansowych </v>
      </c>
      <c r="C132" s="928" t="str">
        <f>Notes!C707</f>
        <v xml:space="preserve">Specification of balance sheet liabilities </v>
      </c>
      <c r="D132" s="27" t="s">
        <v>3231</v>
      </c>
      <c r="E132" t="s">
        <v>7489</v>
      </c>
      <c r="F132" s="196"/>
      <c r="G132" s="196"/>
      <c r="H132" s="196"/>
      <c r="Q132" s="26" t="s">
        <v>3231</v>
      </c>
      <c r="R132" s="26" t="s">
        <v>3231</v>
      </c>
      <c r="S132" s="26" t="s">
        <v>3231</v>
      </c>
      <c r="T132" s="26" t="s">
        <v>3231</v>
      </c>
      <c r="U132" s="26" t="s">
        <v>3231</v>
      </c>
      <c r="V132" s="26" t="s">
        <v>3231</v>
      </c>
    </row>
    <row r="133" spans="1:22" ht="17.2" customHeight="1" x14ac:dyDescent="0.3">
      <c r="A133" s="158" t="str">
        <f>Noty!L716</f>
        <v>1.</v>
      </c>
      <c r="B133" s="927" t="str">
        <f>Noty!C716</f>
        <v xml:space="preserve">Ustanowione przez Spółkę zabezpieczenia na aktywach </v>
      </c>
      <c r="C133" s="928" t="str">
        <f>Notes!C716</f>
        <v>Security on assets given by the Company</v>
      </c>
      <c r="D133" s="27" t="s">
        <v>3231</v>
      </c>
      <c r="E133" t="s">
        <v>7487</v>
      </c>
      <c r="F133" s="196"/>
      <c r="G133" s="196"/>
      <c r="H133" s="196"/>
      <c r="Q133" s="26" t="s">
        <v>3231</v>
      </c>
      <c r="R133" s="26" t="s">
        <v>3224</v>
      </c>
      <c r="S133" s="26" t="s">
        <v>3231</v>
      </c>
      <c r="T133" s="26" t="s">
        <v>3231</v>
      </c>
      <c r="U133" s="26" t="s">
        <v>3231</v>
      </c>
      <c r="V133" s="26" t="s">
        <v>3231</v>
      </c>
    </row>
    <row r="134" spans="1:22" ht="15.05" x14ac:dyDescent="0.3">
      <c r="A134" s="158" t="str">
        <f>Noty!L734</f>
        <v>1.</v>
      </c>
      <c r="B134" s="940" t="str">
        <f>Noty!C734</f>
        <v xml:space="preserve">Zobowiązania z tytułu leasingu finansowego </v>
      </c>
      <c r="C134" s="941" t="str">
        <f>Notes!C734</f>
        <v xml:space="preserve">Liabilities arising from financial leases </v>
      </c>
      <c r="D134" s="27" t="s">
        <v>3231</v>
      </c>
      <c r="E134" t="s">
        <v>7489</v>
      </c>
      <c r="F134" s="196"/>
      <c r="G134" s="196"/>
      <c r="H134" s="196"/>
      <c r="Q134" s="26" t="s">
        <v>3231</v>
      </c>
      <c r="R134" s="26" t="s">
        <v>3231</v>
      </c>
      <c r="S134" s="26" t="s">
        <v>3231</v>
      </c>
      <c r="T134" s="26" t="s">
        <v>3231</v>
      </c>
      <c r="U134" s="26" t="s">
        <v>3231</v>
      </c>
      <c r="V134" s="26" t="s">
        <v>3231</v>
      </c>
    </row>
    <row r="135" spans="1:22" ht="30.15" x14ac:dyDescent="0.3">
      <c r="A135" s="158" t="str">
        <f>Noty!L748</f>
        <v>1.</v>
      </c>
      <c r="B135" s="927" t="str">
        <f>Noty!C748</f>
        <v>Składniki aktywów lub zobowiązań prezentowane w więcej niż jednej pozycji</v>
      </c>
      <c r="C135" s="928" t="str">
        <f>Notes!C748</f>
        <v>Assets or liabilities items presented in more than one balance sheet position</v>
      </c>
      <c r="D135" s="148" t="s">
        <v>3231</v>
      </c>
      <c r="E135" t="s">
        <v>7486</v>
      </c>
      <c r="F135" s="196"/>
      <c r="G135" s="196"/>
      <c r="H135" s="196"/>
      <c r="Q135" s="26" t="s">
        <v>3231</v>
      </c>
      <c r="R135" s="26" t="s">
        <v>3231</v>
      </c>
      <c r="S135" s="26" t="s">
        <v>3231</v>
      </c>
      <c r="T135" s="26" t="s">
        <v>3231</v>
      </c>
      <c r="U135" s="26" t="s">
        <v>3231</v>
      </c>
      <c r="V135" s="26" t="s">
        <v>3231</v>
      </c>
    </row>
    <row r="136" spans="1:22" ht="15.05" x14ac:dyDescent="0.3">
      <c r="A136" s="158" t="str">
        <f>Noty!L768</f>
        <v>1.</v>
      </c>
      <c r="B136" s="927" t="str">
        <f>Noty!C768</f>
        <v xml:space="preserve">Bierne rozliczenia międzyokresowe </v>
      </c>
      <c r="C136" s="928" t="str">
        <f>Notes!C768</f>
        <v>Accruals and deferred revenue</v>
      </c>
      <c r="D136" s="44" t="str">
        <f>IF(AND(D137="nie",D138="nie"),"nie","tak")</f>
        <v>nie</v>
      </c>
      <c r="E136" t="s">
        <v>7486</v>
      </c>
      <c r="F136" s="196"/>
      <c r="G136" s="196"/>
      <c r="H136" s="196"/>
    </row>
    <row r="137" spans="1:22" ht="15.05" x14ac:dyDescent="0.3">
      <c r="A137" s="158" t="str">
        <f>Noty!L770</f>
        <v>1.0</v>
      </c>
      <c r="B137" s="927" t="str">
        <f>Noty!C770</f>
        <v>Rozliczenia długoterminowe</v>
      </c>
      <c r="C137" s="928" t="str">
        <f>Notes!C770</f>
        <v>Long-term interperiod settlements</v>
      </c>
      <c r="D137" s="27" t="s">
        <v>3231</v>
      </c>
      <c r="E137" t="s">
        <v>7486</v>
      </c>
      <c r="F137" s="196"/>
      <c r="G137" s="931"/>
      <c r="H137" s="931"/>
      <c r="Q137" s="26" t="s">
        <v>3231</v>
      </c>
      <c r="R137" s="26" t="s">
        <v>3224</v>
      </c>
      <c r="S137" s="26" t="s">
        <v>3231</v>
      </c>
      <c r="T137" s="26" t="s">
        <v>3231</v>
      </c>
      <c r="U137" s="26" t="s">
        <v>3231</v>
      </c>
      <c r="V137" s="26" t="s">
        <v>3231</v>
      </c>
    </row>
    <row r="138" spans="1:22" ht="15.05" x14ac:dyDescent="0.3">
      <c r="A138" s="158" t="str">
        <f>Noty!L780</f>
        <v>1.0</v>
      </c>
      <c r="B138" s="927" t="str">
        <f>Noty!C780</f>
        <v>Rozliczenia krótkoterminowe</v>
      </c>
      <c r="C138" s="928" t="str">
        <f>Notes!C780</f>
        <v>Short-term interperiod settlements</v>
      </c>
      <c r="D138" s="27" t="s">
        <v>3231</v>
      </c>
      <c r="E138" t="s">
        <v>7486</v>
      </c>
      <c r="F138" s="942"/>
      <c r="G138" s="943"/>
      <c r="H138" s="943"/>
      <c r="Q138" s="26" t="s">
        <v>3231</v>
      </c>
      <c r="R138" s="26" t="s">
        <v>3224</v>
      </c>
      <c r="S138" s="26" t="s">
        <v>3231</v>
      </c>
      <c r="T138" s="26" t="s">
        <v>3231</v>
      </c>
      <c r="U138" s="26" t="s">
        <v>3231</v>
      </c>
      <c r="V138" s="26" t="s">
        <v>3231</v>
      </c>
    </row>
    <row r="139" spans="1:22" ht="30.15" x14ac:dyDescent="0.3">
      <c r="A139" s="158" t="str">
        <f>Noty!L792</f>
        <v>1.</v>
      </c>
      <c r="B139" s="927" t="str">
        <f>Noty!C792</f>
        <v>Wycena aktywów niebędących instrumentami finansowymi według wartości godziwej</v>
      </c>
      <c r="C139" s="928" t="str">
        <f>Notes!C792</f>
        <v>Valuation of assets, which are not financial instruments, according to fair value</v>
      </c>
      <c r="D139" s="44" t="str">
        <f>IF(AND(D140="nie",D141="nie",D142="nie"),"nie","tak")</f>
        <v>nie</v>
      </c>
      <c r="E139" t="s">
        <v>7486</v>
      </c>
      <c r="F139" s="939"/>
      <c r="G139" s="939"/>
      <c r="H139" s="939"/>
    </row>
    <row r="140" spans="1:22" ht="37.5" customHeight="1" x14ac:dyDescent="0.3">
      <c r="A140" s="158" t="str">
        <f>Noty!L794</f>
        <v>1.0</v>
      </c>
      <c r="B140" s="927" t="str">
        <f>Noty!C794</f>
        <v>Przyjęte założenia do ustalenia wartości godziwej w przypadku gdy dane nie pochodzą z aktywnego rynku</v>
      </c>
      <c r="C140" s="928" t="str">
        <f>Notes!C794</f>
        <v>Assumptions used to determine fair value in case of data not obtained on active market</v>
      </c>
      <c r="D140" s="27" t="s">
        <v>3231</v>
      </c>
      <c r="E140" t="s">
        <v>7486</v>
      </c>
      <c r="F140" s="939"/>
      <c r="G140" s="939"/>
      <c r="H140" s="939"/>
      <c r="Q140" s="26" t="s">
        <v>3231</v>
      </c>
      <c r="R140" s="26" t="s">
        <v>3231</v>
      </c>
      <c r="S140" s="26" t="s">
        <v>3231</v>
      </c>
      <c r="T140" s="26" t="s">
        <v>3231</v>
      </c>
      <c r="U140" s="26" t="s">
        <v>3231</v>
      </c>
      <c r="V140" s="26" t="s">
        <v>3231</v>
      </c>
    </row>
    <row r="141" spans="1:22" ht="45.2" x14ac:dyDescent="0.3">
      <c r="A141" s="158" t="str">
        <f>Noty!L798</f>
        <v>1.0</v>
      </c>
      <c r="B141" s="927" t="str">
        <f>Noty!C798</f>
        <v>Wartość godziwa aktywów niebędących instrumentami finansowymi wykazana w bilansie oraz skutki przeszacowania w okresie sprawozdawczym</v>
      </c>
      <c r="C141" s="928" t="str">
        <f>Notes!C798</f>
        <v>Fair value of assets, which are not financial instruments, specified in the balance sheet and effects of revaluation in the reporting period</v>
      </c>
      <c r="D141" s="27" t="s">
        <v>3231</v>
      </c>
      <c r="E141" t="s">
        <v>7486</v>
      </c>
      <c r="F141" s="238"/>
      <c r="G141" s="238"/>
      <c r="H141" s="238"/>
      <c r="Q141" s="26" t="s">
        <v>3231</v>
      </c>
      <c r="R141" s="26" t="s">
        <v>3231</v>
      </c>
      <c r="S141" s="26" t="s">
        <v>3231</v>
      </c>
      <c r="T141" s="26" t="s">
        <v>3231</v>
      </c>
      <c r="U141" s="26" t="s">
        <v>3231</v>
      </c>
      <c r="V141" s="26" t="s">
        <v>3231</v>
      </c>
    </row>
    <row r="142" spans="1:22" ht="30.15" x14ac:dyDescent="0.3">
      <c r="A142" s="158" t="str">
        <f>Noty!L809</f>
        <v>1.0</v>
      </c>
      <c r="B142" s="927" t="str">
        <f>Noty!C809</f>
        <v>Zmiany w kapitale z aktualizacji wyceny z tytułu aktualizacji wartości godziwej</v>
      </c>
      <c r="C142" s="928" t="str">
        <f>Notes!C809</f>
        <v>Changes in the revaluation reserve due to revaluation of fair value</v>
      </c>
      <c r="D142" s="27" t="s">
        <v>3231</v>
      </c>
      <c r="E142" t="s">
        <v>7486</v>
      </c>
      <c r="F142" s="944"/>
      <c r="G142" s="944"/>
      <c r="H142" s="944"/>
      <c r="Q142" s="26" t="s">
        <v>3231</v>
      </c>
      <c r="R142" s="26" t="s">
        <v>3231</v>
      </c>
      <c r="S142" s="26" t="s">
        <v>3231</v>
      </c>
      <c r="T142" s="26" t="s">
        <v>3231</v>
      </c>
      <c r="U142" s="26" t="s">
        <v>3231</v>
      </c>
      <c r="V142" s="26" t="s">
        <v>3231</v>
      </c>
    </row>
    <row r="143" spans="1:22" ht="15.05" x14ac:dyDescent="0.3">
      <c r="A143" s="158" t="str">
        <f>Noty!L820</f>
        <v>1.</v>
      </c>
      <c r="B143" s="927" t="str">
        <f>Noty!C820</f>
        <v>Instrumenty finansowe - aktywa</v>
      </c>
      <c r="C143" s="928" t="str">
        <f>Notes!C820</f>
        <v>Financial instruments</v>
      </c>
      <c r="D143" s="44" t="str">
        <f>IF(AND(D144="nie",D145="nie",D146="nie",D147="nie"),"nie","tak")</f>
        <v>nie</v>
      </c>
      <c r="E143" t="s">
        <v>7486</v>
      </c>
      <c r="F143" s="944"/>
      <c r="G143" s="944"/>
      <c r="H143" s="944"/>
    </row>
    <row r="144" spans="1:22" ht="15.05" x14ac:dyDescent="0.3">
      <c r="A144" s="158" t="str">
        <f>Noty!L822</f>
        <v>1.0</v>
      </c>
      <c r="B144" s="927" t="str">
        <f>Noty!C822</f>
        <v xml:space="preserve">Klasyfikacja aktywów do grup instrumentów finansowych </v>
      </c>
      <c r="C144" s="928" t="str">
        <f>Notes!C822</f>
        <v xml:space="preserve">Classification of assets to groups of financial instruments </v>
      </c>
      <c r="D144" s="27" t="s">
        <v>3231</v>
      </c>
      <c r="E144" t="s">
        <v>7486</v>
      </c>
      <c r="F144" s="944"/>
      <c r="G144" s="944"/>
      <c r="H144" s="944"/>
      <c r="Q144" s="26" t="s">
        <v>3231</v>
      </c>
      <c r="R144" s="26" t="s">
        <v>3231</v>
      </c>
      <c r="S144" s="26" t="s">
        <v>3231</v>
      </c>
      <c r="T144" s="26" t="s">
        <v>3224</v>
      </c>
      <c r="U144" s="26" t="s">
        <v>3231</v>
      </c>
      <c r="V144" s="26" t="s">
        <v>3231</v>
      </c>
    </row>
    <row r="145" spans="1:22" ht="15.05" x14ac:dyDescent="0.3">
      <c r="A145" s="158" t="str">
        <f>Noty!L847</f>
        <v>1.0</v>
      </c>
      <c r="B145" s="927" t="str">
        <f>Noty!C847</f>
        <v>Wycena aktywów zaliczonych do instrumentów finansowych</v>
      </c>
      <c r="C145" s="928" t="str">
        <f>Notes!C847</f>
        <v>Measurement of assets classified as financial instruments</v>
      </c>
      <c r="D145" s="27" t="s">
        <v>3231</v>
      </c>
      <c r="E145" t="s">
        <v>7486</v>
      </c>
      <c r="F145" s="935"/>
      <c r="G145" s="439"/>
      <c r="H145" s="228"/>
      <c r="Q145" s="26" t="s">
        <v>3231</v>
      </c>
      <c r="R145" s="26" t="s">
        <v>3231</v>
      </c>
      <c r="S145" s="26" t="s">
        <v>3231</v>
      </c>
      <c r="T145" s="26" t="s">
        <v>3231</v>
      </c>
      <c r="U145" s="26" t="s">
        <v>3231</v>
      </c>
      <c r="V145" s="26" t="s">
        <v>3231</v>
      </c>
    </row>
    <row r="146" spans="1:22" ht="15.05" x14ac:dyDescent="0.3">
      <c r="A146" s="158" t="str">
        <f>Noty!L872</f>
        <v>1.0</v>
      </c>
      <c r="B146" s="927" t="str">
        <f>Noty!C872</f>
        <v>Zobowiązania finansowe według tytułów</v>
      </c>
      <c r="C146" s="928" t="str">
        <f>Notes!C872</f>
        <v>Financial liabilities by title</v>
      </c>
      <c r="D146" s="27" t="s">
        <v>3231</v>
      </c>
      <c r="E146" t="s">
        <v>7486</v>
      </c>
      <c r="F146" s="442"/>
      <c r="G146" s="442"/>
      <c r="H146" s="228"/>
      <c r="Q146" s="26" t="s">
        <v>3231</v>
      </c>
      <c r="R146" s="26" t="s">
        <v>3231</v>
      </c>
      <c r="S146" s="26" t="s">
        <v>3231</v>
      </c>
      <c r="T146" s="26" t="s">
        <v>3231</v>
      </c>
      <c r="U146" s="26" t="s">
        <v>3231</v>
      </c>
      <c r="V146" s="26" t="s">
        <v>3231</v>
      </c>
    </row>
    <row r="147" spans="1:22" ht="15.05" x14ac:dyDescent="0.3">
      <c r="A147" s="158" t="str">
        <f>Noty!L889</f>
        <v>1.0</v>
      </c>
      <c r="B147" s="927" t="str">
        <f>Noty!C889</f>
        <v>Instrumenty finansowe zabezpieczające</v>
      </c>
      <c r="C147" s="928" t="str">
        <f>Notes!C889</f>
        <v>Financial hedging instruments</v>
      </c>
      <c r="D147" s="27" t="s">
        <v>3231</v>
      </c>
      <c r="E147" t="s">
        <v>7486</v>
      </c>
      <c r="F147" s="196"/>
      <c r="G147" s="196"/>
      <c r="H147" s="196"/>
      <c r="Q147" s="26" t="s">
        <v>3231</v>
      </c>
      <c r="R147" s="26" t="s">
        <v>3231</v>
      </c>
      <c r="S147" s="26" t="s">
        <v>3231</v>
      </c>
      <c r="T147" s="26" t="s">
        <v>3231</v>
      </c>
      <c r="U147" s="26" t="s">
        <v>3231</v>
      </c>
      <c r="V147" s="26" t="s">
        <v>3231</v>
      </c>
    </row>
    <row r="148" spans="1:22" ht="15.05" x14ac:dyDescent="0.3">
      <c r="A148" s="158" t="str">
        <f>Noty!L915</f>
        <v>1.</v>
      </c>
      <c r="B148" s="927" t="str">
        <f>Noty!C915</f>
        <v>Struktura przychodów ze sprzedaży</v>
      </c>
      <c r="C148" s="928" t="str">
        <f>Notes!C915</f>
        <v>Structure of revenue from sales</v>
      </c>
      <c r="D148" s="44" t="str">
        <f>IF(AND(D149="nie",D150="nie"),"nie","tak")</f>
        <v>nie</v>
      </c>
      <c r="E148" t="s">
        <v>7486</v>
      </c>
      <c r="F148" s="196"/>
      <c r="G148" s="196"/>
      <c r="H148" s="196"/>
    </row>
    <row r="149" spans="1:22" ht="15.05" x14ac:dyDescent="0.3">
      <c r="A149" s="158" t="str">
        <f>Noty!L917</f>
        <v>1.0</v>
      </c>
      <c r="B149" s="927" t="str">
        <f>Noty!C917</f>
        <v>Struktura rzeczowa</v>
      </c>
      <c r="C149" s="928" t="str">
        <f>Notes!C917</f>
        <v>Structure by type</v>
      </c>
      <c r="D149" s="27" t="s">
        <v>3231</v>
      </c>
      <c r="E149" t="s">
        <v>7486</v>
      </c>
      <c r="F149" s="196"/>
      <c r="G149" s="196"/>
      <c r="H149" s="931"/>
      <c r="Q149" s="26" t="s">
        <v>3231</v>
      </c>
      <c r="R149" s="26" t="s">
        <v>3224</v>
      </c>
      <c r="S149" s="26" t="s">
        <v>3231</v>
      </c>
      <c r="T149" s="26" t="s">
        <v>3231</v>
      </c>
      <c r="U149" s="26" t="s">
        <v>3231</v>
      </c>
      <c r="V149" s="26" t="s">
        <v>3231</v>
      </c>
    </row>
    <row r="150" spans="1:22" ht="15.05" x14ac:dyDescent="0.3">
      <c r="A150" s="158" t="str">
        <f>Noty!L931</f>
        <v>1.0</v>
      </c>
      <c r="B150" s="927" t="str">
        <f>Noty!C931</f>
        <v>Struktura terytorialna - rynki geograficzne</v>
      </c>
      <c r="C150" s="928" t="str">
        <f>Notes!C931</f>
        <v>Territorial structure - geographic markets</v>
      </c>
      <c r="D150" s="27" t="s">
        <v>3231</v>
      </c>
      <c r="E150" t="s">
        <v>7486</v>
      </c>
      <c r="F150" s="945"/>
      <c r="G150" s="945"/>
      <c r="H150" s="945"/>
      <c r="Q150" s="26" t="s">
        <v>3231</v>
      </c>
      <c r="R150" s="26" t="s">
        <v>3231</v>
      </c>
      <c r="S150" s="26" t="s">
        <v>3231</v>
      </c>
      <c r="T150" s="26" t="s">
        <v>3231</v>
      </c>
      <c r="U150" s="26" t="s">
        <v>3231</v>
      </c>
      <c r="V150" s="26" t="s">
        <v>3231</v>
      </c>
    </row>
    <row r="151" spans="1:22" ht="30.15" x14ac:dyDescent="0.3">
      <c r="A151" s="158" t="str">
        <f>Noty!L946</f>
        <v>1.</v>
      </c>
      <c r="B151" s="927" t="str">
        <f>Noty!C946</f>
        <v>Dane o kosztach wytworzenia produktów na własne potrzeby oraz o kosztach rodzajowych</v>
      </c>
      <c r="C151" s="1132" t="str">
        <f>Notes!C946</f>
        <v>Information on cost of products for internal use and on costs by type of expenditure</v>
      </c>
      <c r="D151" s="44" t="str">
        <f>IF(WariantRZiS=1,"nie","tak")</f>
        <v>nie</v>
      </c>
      <c r="E151" t="str">
        <f>IF(WariantRZiS=1,"pozycja niewymagana przez UoR","informacja wymagana UOR")</f>
        <v>pozycja niewymagana przez UoR</v>
      </c>
      <c r="F151" s="196"/>
      <c r="G151" s="196"/>
      <c r="H151" s="196"/>
    </row>
    <row r="152" spans="1:22" ht="15.05" x14ac:dyDescent="0.3">
      <c r="A152" s="158" t="str">
        <f>Noty!L962</f>
        <v>1.</v>
      </c>
      <c r="B152" s="927" t="str">
        <f>Noty!C962</f>
        <v>Pozostałe przychody operacyjne</v>
      </c>
      <c r="C152" s="928" t="str">
        <f>Notes!C962</f>
        <v>Other operating revenue</v>
      </c>
      <c r="D152" s="27" t="s">
        <v>3231</v>
      </c>
      <c r="E152" t="s">
        <v>7489</v>
      </c>
      <c r="F152" s="196"/>
      <c r="G152" s="196"/>
      <c r="H152" s="196"/>
      <c r="Q152" s="26" t="s">
        <v>3231</v>
      </c>
      <c r="R152" s="26" t="s">
        <v>3224</v>
      </c>
      <c r="S152" s="26" t="s">
        <v>3231</v>
      </c>
      <c r="T152" s="26" t="s">
        <v>3231</v>
      </c>
      <c r="U152" s="26" t="s">
        <v>3231</v>
      </c>
      <c r="V152" s="26" t="s">
        <v>3231</v>
      </c>
    </row>
    <row r="153" spans="1:22" ht="15.05" x14ac:dyDescent="0.3">
      <c r="A153" s="158" t="str">
        <f>Noty!L990</f>
        <v>1.</v>
      </c>
      <c r="B153" s="927" t="str">
        <f>Noty!C990</f>
        <v>Pozostałe koszty operacyjne</v>
      </c>
      <c r="C153" s="928" t="str">
        <f>Notes!C990</f>
        <v>Other operating expenses</v>
      </c>
      <c r="D153" s="27" t="s">
        <v>3231</v>
      </c>
      <c r="E153" t="s">
        <v>7489</v>
      </c>
      <c r="F153" s="449"/>
      <c r="G153" s="449"/>
      <c r="H153" s="450"/>
      <c r="Q153" s="26" t="s">
        <v>3231</v>
      </c>
      <c r="R153" s="26" t="s">
        <v>3224</v>
      </c>
      <c r="S153" s="26" t="s">
        <v>3231</v>
      </c>
      <c r="T153" s="26" t="s">
        <v>3231</v>
      </c>
      <c r="U153" s="26" t="s">
        <v>3231</v>
      </c>
      <c r="V153" s="26" t="s">
        <v>3231</v>
      </c>
    </row>
    <row r="154" spans="1:22" ht="15.05" x14ac:dyDescent="0.3">
      <c r="A154" s="158" t="str">
        <f>Noty!L1016</f>
        <v>1.</v>
      </c>
      <c r="B154" s="927" t="str">
        <f>Noty!C1016</f>
        <v xml:space="preserve">Przychody finansowe </v>
      </c>
      <c r="C154" s="928" t="str">
        <f>Notes!C1016</f>
        <v>Financial revenue</v>
      </c>
      <c r="D154" s="44" t="str">
        <f>IF(AND(D155="nie",D156="nie",D157="nie"),"nie","tak")</f>
        <v>nie</v>
      </c>
      <c r="E154" t="s">
        <v>7486</v>
      </c>
      <c r="F154" s="449"/>
      <c r="G154" s="449"/>
      <c r="H154" s="450"/>
    </row>
    <row r="155" spans="1:22" ht="15.05" x14ac:dyDescent="0.3">
      <c r="A155" s="158" t="str">
        <f>Noty!L1018</f>
        <v>1.0</v>
      </c>
      <c r="B155" s="927" t="str">
        <f>Noty!C1018</f>
        <v>Przychody finansowe z tytułu odsetek</v>
      </c>
      <c r="C155" s="928" t="str">
        <f>Notes!C1018</f>
        <v>Interest revenue</v>
      </c>
      <c r="D155" s="27" t="s">
        <v>3231</v>
      </c>
      <c r="E155" t="s">
        <v>7486</v>
      </c>
      <c r="F155" s="450"/>
      <c r="G155" s="450"/>
      <c r="H155" s="450"/>
      <c r="Q155" s="26" t="s">
        <v>3231</v>
      </c>
      <c r="R155" s="26" t="s">
        <v>3224</v>
      </c>
      <c r="S155" s="26" t="s">
        <v>3231</v>
      </c>
      <c r="T155" s="26" t="s">
        <v>3224</v>
      </c>
      <c r="U155" s="26" t="s">
        <v>3224</v>
      </c>
      <c r="V155" s="26" t="s">
        <v>3231</v>
      </c>
    </row>
    <row r="156" spans="1:22" ht="15.05" x14ac:dyDescent="0.3">
      <c r="A156" s="158" t="str">
        <f>Noty!L1035</f>
        <v>1.0</v>
      </c>
      <c r="B156" s="927" t="str">
        <f>Noty!C1035</f>
        <v>Aktualizacja wartości aktywów finansowych</v>
      </c>
      <c r="C156" s="928" t="str">
        <f>Notes!C1035</f>
        <v>Revaluation of investments</v>
      </c>
      <c r="D156" s="27" t="s">
        <v>3231</v>
      </c>
      <c r="E156" t="s">
        <v>7489</v>
      </c>
      <c r="F156" s="450"/>
      <c r="G156" s="450"/>
      <c r="H156" s="450"/>
      <c r="Q156" s="26" t="s">
        <v>3231</v>
      </c>
      <c r="R156" s="26" t="s">
        <v>3231</v>
      </c>
      <c r="S156" s="26" t="s">
        <v>3231</v>
      </c>
      <c r="T156" s="26" t="s">
        <v>3231</v>
      </c>
      <c r="U156" s="26" t="s">
        <v>3231</v>
      </c>
      <c r="V156" s="26" t="s">
        <v>3231</v>
      </c>
    </row>
    <row r="157" spans="1:22" ht="15.05" x14ac:dyDescent="0.3">
      <c r="A157" s="158" t="str">
        <f>Noty!L1067</f>
        <v>1.0</v>
      </c>
      <c r="B157" s="927" t="str">
        <f>Noty!C1067</f>
        <v>Inne przychody finansowe</v>
      </c>
      <c r="C157" s="928" t="str">
        <f>Notes!C1067</f>
        <v>Other financial revenue</v>
      </c>
      <c r="D157" s="27" t="s">
        <v>3231</v>
      </c>
      <c r="E157" t="s">
        <v>7489</v>
      </c>
      <c r="F157" s="450"/>
      <c r="G157" s="450"/>
      <c r="H157" s="450"/>
      <c r="Q157" s="26" t="s">
        <v>3231</v>
      </c>
      <c r="R157" s="26" t="s">
        <v>3224</v>
      </c>
      <c r="S157" s="26" t="s">
        <v>3231</v>
      </c>
      <c r="T157" s="26" t="s">
        <v>3231</v>
      </c>
      <c r="U157" s="26" t="s">
        <v>3231</v>
      </c>
      <c r="V157" s="26" t="s">
        <v>3231</v>
      </c>
    </row>
    <row r="158" spans="1:22" ht="15.05" x14ac:dyDescent="0.3">
      <c r="A158" s="158" t="str">
        <f>Noty!L1087</f>
        <v>1.</v>
      </c>
      <c r="B158" s="927" t="str">
        <f>Noty!C1087</f>
        <v xml:space="preserve">Koszty finansowe </v>
      </c>
      <c r="C158" s="928" t="str">
        <f>Notes!C1087</f>
        <v>Financial expenses</v>
      </c>
      <c r="D158" s="44" t="str">
        <f>IF(AND(D159="nie",D160="nie",D161="nie"),"nie","tak")</f>
        <v>nie</v>
      </c>
      <c r="E158" t="s">
        <v>7486</v>
      </c>
      <c r="F158" s="178"/>
      <c r="G158" s="178"/>
      <c r="H158" s="200"/>
    </row>
    <row r="159" spans="1:22" ht="15.05" x14ac:dyDescent="0.3">
      <c r="A159" s="158" t="str">
        <f>Noty!L1089</f>
        <v>1.0</v>
      </c>
      <c r="B159" s="927" t="str">
        <f>Noty!C1089</f>
        <v>Koszty finansowe z tytułu odsetek</v>
      </c>
      <c r="C159" s="928" t="str">
        <f>Notes!C1089</f>
        <v xml:space="preserve">Interest expenses </v>
      </c>
      <c r="D159" s="27" t="s">
        <v>3231</v>
      </c>
      <c r="E159" t="s">
        <v>7486</v>
      </c>
      <c r="F159" s="450"/>
      <c r="G159" s="450"/>
      <c r="H159" s="450"/>
      <c r="Q159" s="26" t="s">
        <v>3231</v>
      </c>
      <c r="R159" s="26" t="s">
        <v>3224</v>
      </c>
      <c r="S159" s="26" t="s">
        <v>3231</v>
      </c>
      <c r="T159" s="26" t="s">
        <v>3231</v>
      </c>
      <c r="U159" s="26" t="s">
        <v>3231</v>
      </c>
      <c r="V159" s="26" t="s">
        <v>3231</v>
      </c>
    </row>
    <row r="160" spans="1:22" ht="15.05" x14ac:dyDescent="0.3">
      <c r="A160" s="158" t="str">
        <f>Noty!L1108</f>
        <v>1.0</v>
      </c>
      <c r="B160" s="927" t="str">
        <f>Noty!C1108</f>
        <v>Aktualizacja wartości aktywów finansowych</v>
      </c>
      <c r="C160" s="928" t="str">
        <f>Notes!C1108</f>
        <v>Revaluation of investments</v>
      </c>
      <c r="D160" s="27" t="s">
        <v>3231</v>
      </c>
      <c r="E160" t="s">
        <v>7489</v>
      </c>
      <c r="F160" s="450"/>
      <c r="G160" s="450"/>
      <c r="H160" s="450"/>
      <c r="Q160" s="26" t="s">
        <v>3231</v>
      </c>
      <c r="R160" s="26" t="s">
        <v>3231</v>
      </c>
      <c r="S160" s="26" t="s">
        <v>3231</v>
      </c>
      <c r="T160" s="26" t="s">
        <v>3231</v>
      </c>
      <c r="U160" s="26" t="s">
        <v>3231</v>
      </c>
      <c r="V160" s="26" t="s">
        <v>3231</v>
      </c>
    </row>
    <row r="161" spans="1:22" ht="15.05" x14ac:dyDescent="0.3">
      <c r="A161" s="158" t="str">
        <f>Noty!L1131</f>
        <v>1.0</v>
      </c>
      <c r="B161" s="927" t="str">
        <f>Noty!C1131</f>
        <v>Inne koszty finansowe</v>
      </c>
      <c r="C161" s="928" t="str">
        <f>Notes!C1131</f>
        <v>Other financial expenses</v>
      </c>
      <c r="D161" s="27" t="s">
        <v>3231</v>
      </c>
      <c r="E161" t="s">
        <v>7489</v>
      </c>
      <c r="F161" s="196"/>
      <c r="G161" s="942"/>
      <c r="H161" s="196"/>
      <c r="Q161" s="26" t="s">
        <v>3231</v>
      </c>
      <c r="R161" s="26" t="s">
        <v>3224</v>
      </c>
      <c r="S161" s="26" t="s">
        <v>3231</v>
      </c>
      <c r="T161" s="26" t="s">
        <v>3231</v>
      </c>
      <c r="U161" s="26" t="s">
        <v>3231</v>
      </c>
      <c r="V161" s="26" t="s">
        <v>3231</v>
      </c>
    </row>
    <row r="162" spans="1:22" ht="28.5" customHeight="1" x14ac:dyDescent="0.3">
      <c r="A162" s="158" t="str">
        <f>Noty!L1150</f>
        <v>2.</v>
      </c>
      <c r="B162" s="927" t="str">
        <f>Noty!C1150</f>
        <v>Przychody i koszty o nadzwyczajnej wartości lub które wystąpiły incydentalnie</v>
      </c>
      <c r="C162" s="928" t="str">
        <f>Notes!C1150</f>
        <v>Revenue and costs that occurred incidentally or of extraordinary value</v>
      </c>
      <c r="D162" s="148" t="s">
        <v>3231</v>
      </c>
      <c r="E162" t="s">
        <v>7487</v>
      </c>
      <c r="F162" s="196"/>
      <c r="G162" s="942"/>
      <c r="H162" s="196"/>
      <c r="Q162" s="26" t="s">
        <v>3231</v>
      </c>
      <c r="R162" s="26" t="s">
        <v>3231</v>
      </c>
      <c r="S162" s="26" t="s">
        <v>3231</v>
      </c>
      <c r="T162" s="26" t="s">
        <v>3231</v>
      </c>
      <c r="U162" s="26" t="s">
        <v>3231</v>
      </c>
      <c r="V162" s="26" t="s">
        <v>3231</v>
      </c>
    </row>
    <row r="163" spans="1:22" ht="15.05" x14ac:dyDescent="0.3">
      <c r="A163" s="158" t="str">
        <f>Noty!L1162</f>
        <v>2.</v>
      </c>
      <c r="B163" s="927" t="str">
        <f>Noty!C1162</f>
        <v>Struktura podatku dochodowego od osób prawnych</v>
      </c>
      <c r="C163" s="928" t="str">
        <f>Notes!C1162</f>
        <v>Structure of corporate income tax</v>
      </c>
      <c r="D163" s="27" t="s">
        <v>3231</v>
      </c>
      <c r="E163" t="s">
        <v>7486</v>
      </c>
      <c r="F163" s="192"/>
      <c r="G163"/>
      <c r="H163"/>
      <c r="Q163" s="26" t="s">
        <v>3231</v>
      </c>
      <c r="R163" s="26" t="s">
        <v>3224</v>
      </c>
      <c r="S163" s="26" t="s">
        <v>3224</v>
      </c>
      <c r="T163" s="26" t="s">
        <v>3224</v>
      </c>
      <c r="U163" s="26" t="s">
        <v>3224</v>
      </c>
      <c r="V163" s="26" t="s">
        <v>3224</v>
      </c>
    </row>
    <row r="164" spans="1:22" ht="15.05" x14ac:dyDescent="0.3">
      <c r="A164" s="158" t="str">
        <f>Noty!L1175</f>
        <v>2.</v>
      </c>
      <c r="B164" s="927" t="str">
        <f>Noty!C1175</f>
        <v>Dochody z tytułu ukrytych zysków</v>
      </c>
      <c r="C164" s="1132" t="str">
        <f>Notes!C1175</f>
        <v>Income from hidden profits</v>
      </c>
      <c r="D164" s="44" t="s">
        <v>3231</v>
      </c>
      <c r="E164" t="s">
        <v>7490</v>
      </c>
      <c r="F164" s="196"/>
      <c r="G164"/>
      <c r="H164"/>
    </row>
    <row r="165" spans="1:22" ht="15.05" x14ac:dyDescent="0.3">
      <c r="A165" s="158" t="str">
        <f>Noty!L1183</f>
        <v>2.</v>
      </c>
      <c r="B165" s="927" t="str">
        <f>Noty!C1183</f>
        <v>Odroczony podatek dochodowy</v>
      </c>
      <c r="C165" s="928" t="str">
        <f>Notes!C1183</f>
        <v>Deferred tax</v>
      </c>
      <c r="D165" s="27" t="s">
        <v>3231</v>
      </c>
      <c r="E165" t="s">
        <v>7486</v>
      </c>
      <c r="F165" s="196"/>
      <c r="G165"/>
      <c r="H165"/>
      <c r="Q165" s="26" t="s">
        <v>3231</v>
      </c>
      <c r="R165" s="26" t="s">
        <v>3224</v>
      </c>
      <c r="S165" s="26" t="s">
        <v>3231</v>
      </c>
      <c r="T165" s="26" t="s">
        <v>3224</v>
      </c>
      <c r="U165" s="26" t="s">
        <v>3231</v>
      </c>
      <c r="V165" s="26" t="s">
        <v>3231</v>
      </c>
    </row>
    <row r="166" spans="1:22" ht="15.05" x14ac:dyDescent="0.3">
      <c r="A166" s="158" t="str">
        <f>Noty!L1260</f>
        <v>2.</v>
      </c>
      <c r="B166" s="927" t="str">
        <f>Noty!C1260</f>
        <v>Regulacje podatkowe w Polsce</v>
      </c>
      <c r="C166" s="928" t="str">
        <f>Notes!C1260</f>
        <v>Tax regulations in Poland</v>
      </c>
      <c r="D166" s="27" t="s">
        <v>3231</v>
      </c>
      <c r="E166" t="s">
        <v>7486</v>
      </c>
      <c r="F166" s="196"/>
      <c r="G166"/>
      <c r="H166"/>
      <c r="Q166" s="26" t="s">
        <v>3231</v>
      </c>
      <c r="R166" s="26" t="s">
        <v>3224</v>
      </c>
      <c r="S166" s="26" t="s">
        <v>3231</v>
      </c>
      <c r="T166" s="26" t="s">
        <v>3231</v>
      </c>
      <c r="U166" s="26" t="s">
        <v>3231</v>
      </c>
      <c r="V166" s="26" t="s">
        <v>3231</v>
      </c>
    </row>
    <row r="167" spans="1:22" ht="15.05" x14ac:dyDescent="0.3">
      <c r="A167" s="158" t="str">
        <f>Noty!L1266</f>
        <v>3.</v>
      </c>
      <c r="B167" s="927" t="str">
        <f>Noty!C1266</f>
        <v>Nakłady na niefinansowe aktywa trwałe</v>
      </c>
      <c r="C167" s="928" t="str">
        <f>Notes!C1266</f>
        <v>Outlays for non-financial fixed assets</v>
      </c>
      <c r="D167" s="27" t="s">
        <v>3224</v>
      </c>
      <c r="E167" t="s">
        <v>7486</v>
      </c>
      <c r="F167" s="196"/>
      <c r="G167"/>
      <c r="H167"/>
      <c r="Q167" s="26" t="s">
        <v>3224</v>
      </c>
      <c r="R167" s="26" t="s">
        <v>3224</v>
      </c>
      <c r="S167" s="26" t="s">
        <v>3231</v>
      </c>
      <c r="T167" s="26" t="s">
        <v>3224</v>
      </c>
      <c r="U167" s="26" t="s">
        <v>3224</v>
      </c>
      <c r="V167" s="26" t="s">
        <v>3231</v>
      </c>
    </row>
    <row r="168" spans="1:22" ht="15.05" x14ac:dyDescent="0.3">
      <c r="A168" s="158" t="str">
        <f>Noty!L1277</f>
        <v>4.</v>
      </c>
      <c r="B168" s="927" t="str">
        <f>Noty!C1277</f>
        <v>Środki trwałe - wymagane ujawnienia</v>
      </c>
      <c r="C168" s="928" t="str">
        <f>Notes!C1277</f>
        <v>Fixed assets - required disclosures</v>
      </c>
      <c r="D168" s="27" t="s">
        <v>3231</v>
      </c>
      <c r="E168" t="s">
        <v>7487</v>
      </c>
      <c r="F168" s="196"/>
      <c r="G168"/>
      <c r="H168" t="s">
        <v>7491</v>
      </c>
      <c r="Q168" s="26" t="s">
        <v>3231</v>
      </c>
      <c r="R168" s="26" t="s">
        <v>3231</v>
      </c>
      <c r="S168" s="26" t="s">
        <v>3224</v>
      </c>
      <c r="T168" s="26" t="s">
        <v>3224</v>
      </c>
      <c r="U168" s="26" t="s">
        <v>3224</v>
      </c>
      <c r="V168" s="26" t="s">
        <v>3224</v>
      </c>
    </row>
    <row r="169" spans="1:22" ht="15.05" x14ac:dyDescent="0.3">
      <c r="A169" s="158" t="str">
        <f>Noty!L1282</f>
        <v>5.</v>
      </c>
      <c r="B169" s="927" t="str">
        <f>Noty!C1282</f>
        <v>Objaśnienia do rachunku przepływów pieniężnych</v>
      </c>
      <c r="C169" s="928" t="str">
        <f>Notes!C1282</f>
        <v>Explanations to the cash flow statement</v>
      </c>
      <c r="D169" s="44" t="str">
        <f>IF(Przeplyw=1,"tak","nie")</f>
        <v>tak</v>
      </c>
      <c r="E169" t="s">
        <v>7486</v>
      </c>
      <c r="F169" s="196"/>
      <c r="G169"/>
      <c r="H169"/>
      <c r="Q169" s="26" t="s">
        <v>3231</v>
      </c>
      <c r="R169" s="26" t="s">
        <v>3231</v>
      </c>
      <c r="S169" s="26" t="s">
        <v>3231</v>
      </c>
      <c r="T169" s="26" t="s">
        <v>3231</v>
      </c>
      <c r="U169" s="26" t="s">
        <v>3231</v>
      </c>
      <c r="V169" s="26" t="s">
        <v>3231</v>
      </c>
    </row>
    <row r="170" spans="1:22" ht="30.15" x14ac:dyDescent="0.3">
      <c r="A170" s="158" t="str">
        <f>Noty!L1361</f>
        <v>6.</v>
      </c>
      <c r="B170" s="927" t="str">
        <f>Noty!C1361</f>
        <v>Informacja o wspólnych przedsięwzięciach, niepodlegających konsolidacji</v>
      </c>
      <c r="C170" s="928" t="str">
        <f>Notes!C1361</f>
        <v>Information on unconsolidated joint ventures</v>
      </c>
      <c r="D170" s="27" t="s">
        <v>3231</v>
      </c>
      <c r="E170" t="s">
        <v>7487</v>
      </c>
      <c r="F170" s="196"/>
      <c r="G170"/>
      <c r="H170"/>
      <c r="Q170" s="26" t="s">
        <v>3231</v>
      </c>
      <c r="R170" s="26" t="s">
        <v>3231</v>
      </c>
      <c r="S170" s="26" t="s">
        <v>3231</v>
      </c>
      <c r="T170" s="26" t="s">
        <v>3231</v>
      </c>
      <c r="U170" s="26" t="s">
        <v>3231</v>
      </c>
      <c r="V170" s="26" t="s">
        <v>3231</v>
      </c>
    </row>
    <row r="171" spans="1:22" ht="45.2" x14ac:dyDescent="0.3">
      <c r="A171" s="158" t="str">
        <f>Noty!L1382</f>
        <v>7.</v>
      </c>
      <c r="B171" s="927" t="str">
        <f>Noty!C1382</f>
        <v>Informacje o przychodach i kosztach z tytułu błędów popełnionych w latach ubiegłych odnoszonych w roku obrotowym na kapitał (fundusz) własny.</v>
      </c>
      <c r="C171" s="1132" t="str">
        <f>Notes!C1382</f>
        <v>Information on revenues and costs resulting from prior periods errors presented in current year equity</v>
      </c>
      <c r="D171" s="44" t="s">
        <v>3231</v>
      </c>
      <c r="E171" t="s">
        <v>7487</v>
      </c>
      <c r="F171" s="196"/>
      <c r="G171"/>
      <c r="H171"/>
    </row>
    <row r="172" spans="1:22" ht="30.15" x14ac:dyDescent="0.3">
      <c r="A172" s="158" t="str">
        <f>Noty!L1389</f>
        <v>8.</v>
      </c>
      <c r="B172" s="927" t="str">
        <f>Noty!C1389</f>
        <v>Zdarzenia po dniu bilansowym nieujęte w sprawozdaniu finansowym</v>
      </c>
      <c r="C172" s="928" t="str">
        <f>Notes!C1389</f>
        <v>Subsequent events not included in the financial statements</v>
      </c>
      <c r="D172" s="27" t="s">
        <v>3231</v>
      </c>
      <c r="E172" t="s">
        <v>7487</v>
      </c>
      <c r="F172" s="196"/>
      <c r="G172"/>
      <c r="H172"/>
      <c r="Q172" s="26" t="s">
        <v>3231</v>
      </c>
      <c r="R172" s="26" t="s">
        <v>3231</v>
      </c>
      <c r="S172" s="26" t="s">
        <v>3231</v>
      </c>
      <c r="T172" s="26" t="s">
        <v>3231</v>
      </c>
      <c r="U172" s="26" t="s">
        <v>3231</v>
      </c>
      <c r="V172" s="26" t="s">
        <v>3231</v>
      </c>
    </row>
    <row r="173" spans="1:22" ht="33.049999999999997" customHeight="1" x14ac:dyDescent="0.3">
      <c r="A173" s="158" t="str">
        <f>Noty!L1396</f>
        <v>9.</v>
      </c>
      <c r="B173" s="927" t="str">
        <f>Noty!C1396</f>
        <v>Zdarzenia dotyczące lat ubiegłych ujęte w sprawozdaniu finansowym</v>
      </c>
      <c r="C173" s="928" t="str">
        <f>Notes!C1396</f>
        <v>Information about events related to previous years and accounted for in the current year</v>
      </c>
      <c r="D173" s="27" t="s">
        <v>3231</v>
      </c>
      <c r="E173" t="s">
        <v>7487</v>
      </c>
      <c r="F173" s="196"/>
      <c r="G173"/>
      <c r="H173"/>
      <c r="Q173" s="26" t="s">
        <v>3231</v>
      </c>
      <c r="R173" s="26" t="s">
        <v>3231</v>
      </c>
      <c r="S173" s="26" t="s">
        <v>3231</v>
      </c>
      <c r="T173" s="26" t="s">
        <v>3231</v>
      </c>
      <c r="U173" s="26" t="s">
        <v>3231</v>
      </c>
      <c r="V173" s="26" t="s">
        <v>3231</v>
      </c>
    </row>
    <row r="174" spans="1:22" ht="15.05" x14ac:dyDescent="0.3">
      <c r="A174" s="158" t="str">
        <f>Noty!L1403</f>
        <v>10.</v>
      </c>
      <c r="B174" s="927" t="str">
        <f>Noty!C1403</f>
        <v xml:space="preserve">Umowy nieuwzględnione w bilansie </v>
      </c>
      <c r="C174" s="928" t="str">
        <f>Notes!C1403</f>
        <v>Contracts not included in the balance sheet</v>
      </c>
      <c r="D174" s="27" t="s">
        <v>3231</v>
      </c>
      <c r="E174" t="s">
        <v>7487</v>
      </c>
      <c r="F174" s="196"/>
      <c r="G174"/>
      <c r="H174"/>
      <c r="Q174" s="26" t="s">
        <v>3231</v>
      </c>
      <c r="R174" s="26" t="s">
        <v>3231</v>
      </c>
      <c r="S174" s="26" t="s">
        <v>3231</v>
      </c>
      <c r="T174" s="26" t="s">
        <v>3231</v>
      </c>
      <c r="U174" s="26" t="s">
        <v>3231</v>
      </c>
      <c r="V174" s="26" t="s">
        <v>3231</v>
      </c>
    </row>
    <row r="175" spans="1:22" ht="15.05" x14ac:dyDescent="0.3">
      <c r="A175" s="158" t="str">
        <f>Noty!L1410</f>
        <v>11.</v>
      </c>
      <c r="B175" s="927" t="str">
        <f>Noty!C1410</f>
        <v>Wynagrodzenie firmy audytorskiej wypłacone lub należne</v>
      </c>
      <c r="C175" s="928" t="str">
        <f>Notes!C1410</f>
        <v>Auditor remuneration</v>
      </c>
      <c r="D175" s="27" t="s">
        <v>3231</v>
      </c>
      <c r="E175" t="s">
        <v>7487</v>
      </c>
      <c r="F175" s="196"/>
      <c r="G175"/>
      <c r="H175"/>
      <c r="Q175" s="26" t="s">
        <v>3231</v>
      </c>
      <c r="R175" s="26" t="s">
        <v>3224</v>
      </c>
      <c r="S175" s="26" t="s">
        <v>3231</v>
      </c>
      <c r="T175" s="26" t="s">
        <v>3231</v>
      </c>
      <c r="U175" s="26" t="s">
        <v>3231</v>
      </c>
      <c r="V175" s="26" t="s">
        <v>3231</v>
      </c>
    </row>
    <row r="176" spans="1:22" ht="15.05" x14ac:dyDescent="0.3">
      <c r="A176" s="158" t="str">
        <f>Noty!L1422</f>
        <v>12.</v>
      </c>
      <c r="B176" s="927" t="str">
        <f>Noty!C1422</f>
        <v>Zatrudnienie</v>
      </c>
      <c r="C176" s="928" t="str">
        <f>Notes!C1422</f>
        <v>Employment</v>
      </c>
      <c r="D176" s="27" t="s">
        <v>3231</v>
      </c>
      <c r="E176" t="s">
        <v>7487</v>
      </c>
      <c r="F176" s="946"/>
      <c r="G176"/>
      <c r="H176"/>
      <c r="Q176" s="26" t="s">
        <v>3231</v>
      </c>
      <c r="R176" s="26" t="s">
        <v>3231</v>
      </c>
      <c r="S176" s="26" t="s">
        <v>3231</v>
      </c>
      <c r="T176" s="26" t="s">
        <v>3231</v>
      </c>
      <c r="U176" s="26" t="s">
        <v>3231</v>
      </c>
      <c r="V176" s="26" t="s">
        <v>3231</v>
      </c>
    </row>
    <row r="177" spans="1:22" ht="47.95" customHeight="1" x14ac:dyDescent="0.3">
      <c r="A177" s="158" t="str">
        <f>Noty!L1435</f>
        <v>13.</v>
      </c>
      <c r="B177" s="927" t="str">
        <f>Noty!C1435</f>
        <v>Wynagrodzenia oraz pożyczki i świadczenia o podobnym charakterze dla osób wchodzących w skład organów zarządzających, nadzorujących albo administrujących</v>
      </c>
      <c r="C177" s="928" t="str">
        <f>Notes!C1435</f>
        <v>Salaries, loans and related benefits paid to members of the management, supervisory and administration Boards</v>
      </c>
      <c r="D177" s="44" t="str">
        <f>IF(AND(D178="nie",D179="nie",D180="nie",D181="nie"),"nie","tak")</f>
        <v>nie</v>
      </c>
      <c r="E177" t="s">
        <v>7487</v>
      </c>
      <c r="F177" s="196"/>
      <c r="G177"/>
      <c r="H177"/>
    </row>
    <row r="178" spans="1:22" ht="45.2" x14ac:dyDescent="0.3">
      <c r="A178" s="158" t="str">
        <f>Noty!L1441</f>
        <v>13.0</v>
      </c>
      <c r="B178" s="927" t="str">
        <f>Noty!C1441</f>
        <v>Wynagrodzenia, łącznie z wynagrodzeniem z zysku, wypłacone lub należne osobom wchodzącym w skład organu zarządzającego, nadzorującego i administrującego:</v>
      </c>
      <c r="C178" s="928" t="str">
        <f>Notes!C1441</f>
        <v>Remuneration, including profit-sharing, paid or payable to members of the administrative, supervisory and management Board:</v>
      </c>
      <c r="D178" s="148" t="s">
        <v>3231</v>
      </c>
      <c r="E178" t="s">
        <v>7487</v>
      </c>
      <c r="F178" s="196"/>
      <c r="G178"/>
      <c r="H178"/>
      <c r="Q178" s="26" t="s">
        <v>3231</v>
      </c>
      <c r="R178" s="26" t="s">
        <v>3231</v>
      </c>
      <c r="S178" s="26" t="s">
        <v>3231</v>
      </c>
      <c r="T178" s="26" t="s">
        <v>3231</v>
      </c>
      <c r="U178" s="26" t="s">
        <v>3231</v>
      </c>
      <c r="V178" s="26" t="s">
        <v>3231</v>
      </c>
    </row>
    <row r="179" spans="1:22" ht="60.25" x14ac:dyDescent="0.3">
      <c r="A179" s="158" t="str">
        <f>Noty!L1449</f>
        <v>13.0</v>
      </c>
      <c r="B179" s="927" t="str">
        <f>Noty!C1449</f>
        <v>Zobowiązania z tytułu emerytur i świadczeń i podobnym charakterze dla byłych członków organu zarządzającego, nadzorującego i administrującego Spółki lub zobowiązania zaciągnięte w związku z tymi emeryturami:</v>
      </c>
      <c r="C179" s="928" t="str">
        <f>Notes!C1449</f>
        <v>Pension and similar liabilities for former members of the Company's management, supervisory and administrative bodies or liabilities incurred in connection with such pensions:</v>
      </c>
      <c r="D179" s="148" t="s">
        <v>3231</v>
      </c>
      <c r="E179" t="s">
        <v>7487</v>
      </c>
      <c r="F179" s="196"/>
      <c r="G179"/>
      <c r="H179"/>
      <c r="Q179" s="26" t="s">
        <v>3231</v>
      </c>
      <c r="R179" s="26" t="s">
        <v>3231</v>
      </c>
      <c r="S179" s="26" t="s">
        <v>3231</v>
      </c>
      <c r="T179" s="26" t="s">
        <v>3231</v>
      </c>
      <c r="U179" s="26" t="s">
        <v>3231</v>
      </c>
      <c r="V179" s="26" t="s">
        <v>3231</v>
      </c>
    </row>
    <row r="180" spans="1:22" ht="45.2" x14ac:dyDescent="0.3">
      <c r="A180" s="158" t="str">
        <f>Noty!L1457</f>
        <v>13.0</v>
      </c>
      <c r="B180" s="927" t="str">
        <f>Noty!C1457</f>
        <v>Zaliczki, kredyty, pożyczki i świadczenia o podobnym charakterze udzielone osobom wchodzącym w organu zarządzającego, nadzorującego i administrującego Spółki:</v>
      </c>
      <c r="C180" s="928" t="str">
        <f>Notes!C1457</f>
        <v>Advances, loans and similar benefits granted to members of the Company's management, supervisory and administrative Board:</v>
      </c>
      <c r="D180" s="148" t="s">
        <v>3231</v>
      </c>
      <c r="E180" t="s">
        <v>7487</v>
      </c>
      <c r="F180" s="196"/>
      <c r="G180"/>
      <c r="H180"/>
      <c r="Q180" s="26" t="s">
        <v>3231</v>
      </c>
      <c r="R180" s="26" t="s">
        <v>3231</v>
      </c>
      <c r="S180" s="26" t="s">
        <v>3231</v>
      </c>
      <c r="T180" s="26" t="s">
        <v>3231</v>
      </c>
      <c r="U180" s="26" t="s">
        <v>3231</v>
      </c>
      <c r="V180" s="26" t="s">
        <v>3231</v>
      </c>
    </row>
    <row r="181" spans="1:22" ht="45.2" x14ac:dyDescent="0.3">
      <c r="A181" s="158" t="str">
        <f>Noty!L1465</f>
        <v>13.0</v>
      </c>
      <c r="B181" s="927" t="str">
        <f>Noty!C1465</f>
        <v>Zobowiązania zaciągnięte w imieniu organu zarządzającego, nadzorującego i administrującego Spółki z tytułu gwarancji i poręczeń wszelkiego rodzaju:</v>
      </c>
      <c r="C181" s="928" t="str">
        <f>Notes!C1465</f>
        <v>Liabilities incurred on behalf of the Company's management, supervisory and administrative bodies under guarantees and sureties of all kinds:</v>
      </c>
      <c r="D181" s="148" t="s">
        <v>3231</v>
      </c>
      <c r="E181" t="s">
        <v>7487</v>
      </c>
      <c r="F181" s="196"/>
      <c r="G181"/>
      <c r="H181"/>
      <c r="Q181" s="26" t="s">
        <v>3231</v>
      </c>
      <c r="R181" s="26" t="s">
        <v>3231</v>
      </c>
      <c r="S181" s="26" t="s">
        <v>3231</v>
      </c>
      <c r="T181" s="26" t="s">
        <v>3231</v>
      </c>
      <c r="U181" s="26" t="s">
        <v>3231</v>
      </c>
      <c r="V181" s="26" t="s">
        <v>3231</v>
      </c>
    </row>
    <row r="182" spans="1:22" ht="15.05" x14ac:dyDescent="0.3">
      <c r="A182" s="158" t="str">
        <f>Noty!L1473</f>
        <v>14.</v>
      </c>
      <c r="B182" s="927" t="str">
        <f>Noty!C1473</f>
        <v>Transakcje z jednostkami powiązanymi</v>
      </c>
      <c r="C182" s="928" t="str">
        <f>Notes!C1473</f>
        <v>Related party transactions</v>
      </c>
      <c r="D182" s="27" t="s">
        <v>3231</v>
      </c>
      <c r="E182" t="s">
        <v>7487</v>
      </c>
      <c r="F182" s="196"/>
      <c r="G182"/>
      <c r="H182"/>
      <c r="Q182" s="26" t="s">
        <v>3231</v>
      </c>
      <c r="R182" s="26" t="s">
        <v>3224</v>
      </c>
      <c r="S182" s="26" t="s">
        <v>3224</v>
      </c>
      <c r="T182" s="26" t="s">
        <v>3224</v>
      </c>
      <c r="U182" s="26" t="s">
        <v>3224</v>
      </c>
      <c r="V182" s="26" t="s">
        <v>3224</v>
      </c>
    </row>
    <row r="183" spans="1:22" ht="30.15" x14ac:dyDescent="0.3">
      <c r="A183" s="158" t="str">
        <f>Noty!L1488</f>
        <v>15.</v>
      </c>
      <c r="B183" s="927" t="str">
        <f>Noty!C1488</f>
        <v>Transakcje z jednostkami powiązanymi zawarte na nierynkowych warunkach</v>
      </c>
      <c r="C183" s="928" t="str">
        <f>Notes!C1488</f>
        <v>Transactions with related parties conducted on non arm's length principle</v>
      </c>
      <c r="D183" s="27" t="s">
        <v>3231</v>
      </c>
      <c r="E183" t="s">
        <v>7487</v>
      </c>
      <c r="F183" s="196"/>
      <c r="G183"/>
      <c r="H183"/>
      <c r="Q183" s="26" t="s">
        <v>3231</v>
      </c>
      <c r="R183" s="26" t="s">
        <v>3231</v>
      </c>
      <c r="S183" s="26" t="s">
        <v>3231</v>
      </c>
      <c r="T183" s="26" t="s">
        <v>3231</v>
      </c>
      <c r="U183" s="26" t="s">
        <v>3231</v>
      </c>
      <c r="V183" s="26" t="s">
        <v>3231</v>
      </c>
    </row>
    <row r="184" spans="1:22" ht="15.05" x14ac:dyDescent="0.3">
      <c r="A184" s="158" t="str">
        <f>Noty!L1495</f>
        <v>15.</v>
      </c>
      <c r="B184" s="927" t="str">
        <f>Noty!C1495</f>
        <v>Wycena jednostek stowarzyszonych i współzależnych</v>
      </c>
      <c r="C184" s="928" t="str">
        <f>Notes!C1495</f>
        <v xml:space="preserve">Valuation of associated entities and co-subsidiaries </v>
      </c>
      <c r="D184" s="27" t="s">
        <v>3231</v>
      </c>
      <c r="E184" t="s">
        <v>7486</v>
      </c>
      <c r="F184" s="939"/>
      <c r="G184"/>
      <c r="H184"/>
      <c r="Q184" s="26" t="s">
        <v>3231</v>
      </c>
      <c r="R184" s="26" t="s">
        <v>3231</v>
      </c>
      <c r="S184" s="26" t="s">
        <v>3231</v>
      </c>
      <c r="T184" s="26" t="s">
        <v>3231</v>
      </c>
      <c r="U184" s="26" t="s">
        <v>3231</v>
      </c>
      <c r="V184" s="26" t="s">
        <v>3231</v>
      </c>
    </row>
    <row r="185" spans="1:22" ht="34.549999999999997" customHeight="1" x14ac:dyDescent="0.3">
      <c r="A185" s="158" t="str">
        <f>Noty!L1508</f>
        <v>16.</v>
      </c>
      <c r="B185" s="927" t="str">
        <f>Noty!C1508</f>
        <v>Jednostki, których Spółka jest wspólnikiem ponoszącym nieograniczoną odpowiedzialność majątkową</v>
      </c>
      <c r="C185" s="928" t="str">
        <f>Notes!C1508</f>
        <v>Entities, in which the Company is partner with unlimited liability</v>
      </c>
      <c r="D185" s="27" t="s">
        <v>3231</v>
      </c>
      <c r="E185" t="s">
        <v>7487</v>
      </c>
      <c r="F185" s="370"/>
      <c r="G185"/>
      <c r="H185"/>
      <c r="Q185" s="26" t="s">
        <v>3231</v>
      </c>
      <c r="R185" s="26" t="s">
        <v>3231</v>
      </c>
      <c r="S185" s="26" t="s">
        <v>3231</v>
      </c>
      <c r="T185" s="26" t="s">
        <v>3231</v>
      </c>
      <c r="U185" s="26" t="s">
        <v>3231</v>
      </c>
      <c r="V185" s="26" t="s">
        <v>3231</v>
      </c>
    </row>
    <row r="186" spans="1:22" ht="15.05" x14ac:dyDescent="0.3">
      <c r="A186" s="158" t="str">
        <f>Noty!L1518</f>
        <v>17.</v>
      </c>
      <c r="B186" s="927" t="str">
        <f>Noty!C1518</f>
        <v>Informacje o skonsolidowanym sprawozdaniu finansowym</v>
      </c>
      <c r="C186" s="928" t="str">
        <f>Notes!C1518</f>
        <v>Information about the consolidated financial statements</v>
      </c>
      <c r="D186" s="27" t="s">
        <v>3231</v>
      </c>
      <c r="E186" t="s">
        <v>7487</v>
      </c>
      <c r="F186" s="196"/>
      <c r="G186" s="196"/>
      <c r="H186" s="196"/>
      <c r="Q186" s="26" t="s">
        <v>3231</v>
      </c>
      <c r="R186" s="26" t="s">
        <v>3224</v>
      </c>
      <c r="S186" s="26" t="s">
        <v>3231</v>
      </c>
      <c r="T186" s="26" t="s">
        <v>3231</v>
      </c>
      <c r="U186" s="26" t="s">
        <v>3231</v>
      </c>
      <c r="V186" s="26" t="s">
        <v>3231</v>
      </c>
    </row>
    <row r="187" spans="1:22" ht="15.05" x14ac:dyDescent="0.3">
      <c r="A187" s="158" t="str">
        <f>Noty!L1601</f>
        <v>18.</v>
      </c>
      <c r="B187" s="927" t="str">
        <f>Noty!C1601</f>
        <v>Zobowiązania warunkowe</v>
      </c>
      <c r="C187" s="928" t="str">
        <f>Notes!C1601</f>
        <v>Contingent liabilities</v>
      </c>
      <c r="D187" s="27" t="s">
        <v>3231</v>
      </c>
      <c r="E187" t="s">
        <v>7487</v>
      </c>
      <c r="F187" s="196"/>
      <c r="G187" s="196"/>
      <c r="H187" s="196"/>
      <c r="Q187" s="26" t="s">
        <v>3231</v>
      </c>
      <c r="R187" s="26" t="s">
        <v>3231</v>
      </c>
      <c r="S187" s="26" t="s">
        <v>3231</v>
      </c>
      <c r="T187" s="26" t="s">
        <v>3231</v>
      </c>
      <c r="U187" s="26" t="s">
        <v>3231</v>
      </c>
      <c r="V187" s="26" t="s">
        <v>3231</v>
      </c>
    </row>
    <row r="188" spans="1:22" ht="15.05" x14ac:dyDescent="0.3">
      <c r="A188" s="158" t="str">
        <f>Noty!L1644</f>
        <v>19.</v>
      </c>
      <c r="B188" s="927" t="str">
        <f>Noty!C1644</f>
        <v>Działalność zaniechana</v>
      </c>
      <c r="C188" s="928" t="str">
        <f>Notes!C1644</f>
        <v>Discontinued operations</v>
      </c>
      <c r="D188" s="27" t="s">
        <v>3231</v>
      </c>
      <c r="E188" t="s">
        <v>7487</v>
      </c>
      <c r="F188" s="196"/>
      <c r="G188" s="196"/>
      <c r="H188" s="196"/>
      <c r="Q188" s="26" t="s">
        <v>3231</v>
      </c>
      <c r="R188" s="26" t="s">
        <v>3231</v>
      </c>
      <c r="S188" s="26" t="s">
        <v>3231</v>
      </c>
      <c r="T188" s="26" t="s">
        <v>3231</v>
      </c>
      <c r="U188" s="26" t="s">
        <v>3231</v>
      </c>
      <c r="V188" s="26" t="s">
        <v>3231</v>
      </c>
    </row>
    <row r="189" spans="1:22" ht="25.55" customHeight="1" x14ac:dyDescent="0.3">
      <c r="A189" s="158" t="str">
        <f>Noty!L1651</f>
        <v>19.</v>
      </c>
      <c r="B189" s="927" t="str">
        <f>Noty!C1651</f>
        <v>Łączenie się spółek</v>
      </c>
      <c r="C189" s="928" t="str">
        <f>Notes!C1651</f>
        <v>Business combinations</v>
      </c>
      <c r="D189" s="27" t="s">
        <v>3231</v>
      </c>
      <c r="E189" t="s">
        <v>7487</v>
      </c>
      <c r="F189" s="228"/>
      <c r="G189" s="228"/>
      <c r="H189" s="1232" t="s">
        <v>7492</v>
      </c>
      <c r="I189" s="1232"/>
      <c r="J189" s="1232"/>
      <c r="K189" s="1232"/>
      <c r="L189" s="1232"/>
      <c r="M189" s="1232"/>
      <c r="N189" s="1232"/>
      <c r="O189" s="1232"/>
      <c r="Q189" s="26" t="s">
        <v>3231</v>
      </c>
      <c r="R189" s="26" t="s">
        <v>3231</v>
      </c>
      <c r="S189" s="26" t="s">
        <v>3231</v>
      </c>
      <c r="T189" s="26" t="s">
        <v>3231</v>
      </c>
      <c r="U189" s="26" t="s">
        <v>3231</v>
      </c>
      <c r="V189" s="26" t="s">
        <v>3231</v>
      </c>
    </row>
    <row r="190" spans="1:22" ht="15.05" x14ac:dyDescent="0.3">
      <c r="A190" s="158" t="str">
        <f>Noty!L1667</f>
        <v>20.</v>
      </c>
      <c r="B190" s="927" t="str">
        <f>Noty!C1667</f>
        <v>Zmiany zasad (polityki) rachunkowości w roku obrotowym</v>
      </c>
      <c r="C190" s="928" t="str">
        <f>Notes!C1667</f>
        <v>Changes in accounting principles (policy)</v>
      </c>
      <c r="D190" s="27" t="s">
        <v>3231</v>
      </c>
      <c r="E190" t="s">
        <v>7487</v>
      </c>
      <c r="F190" s="196"/>
      <c r="G190" s="196"/>
      <c r="H190" s="196"/>
      <c r="Q190" s="26" t="s">
        <v>3231</v>
      </c>
      <c r="R190" s="26" t="s">
        <v>3231</v>
      </c>
      <c r="S190" s="26" t="s">
        <v>3231</v>
      </c>
      <c r="T190" s="26" t="s">
        <v>3231</v>
      </c>
      <c r="U190" s="26" t="s">
        <v>3231</v>
      </c>
      <c r="V190" s="26" t="s">
        <v>3231</v>
      </c>
    </row>
    <row r="191" spans="1:22" ht="30.15" x14ac:dyDescent="0.3">
      <c r="A191" s="158" t="str">
        <f>Noty!L1675</f>
        <v>21.</v>
      </c>
      <c r="B191" s="1131" t="str">
        <f>Noty!C1675</f>
        <v>Wartość żywności przekazywanej organizacjom pozarządowym</v>
      </c>
      <c r="C191" s="1132" t="str">
        <f>Notes!C1675</f>
        <v>Value of food donated to non-governmental organizations</v>
      </c>
      <c r="D191" s="44" t="s">
        <v>3231</v>
      </c>
      <c r="E191" t="s">
        <v>7487</v>
      </c>
    </row>
    <row r="192" spans="1:22" ht="15.05" x14ac:dyDescent="0.3">
      <c r="A192" s="158" t="str">
        <f>Noty!L1682</f>
        <v>21.</v>
      </c>
      <c r="B192" s="947" t="str">
        <f>Noty!C1682</f>
        <v>Pozostałe informacje</v>
      </c>
      <c r="C192" s="948" t="str">
        <f>Notes!C1682</f>
        <v>Other</v>
      </c>
      <c r="D192" s="27" t="s">
        <v>3231</v>
      </c>
      <c r="E192" t="s">
        <v>7486</v>
      </c>
      <c r="Q192" s="26" t="s">
        <v>3231</v>
      </c>
      <c r="R192" s="26" t="s">
        <v>3231</v>
      </c>
      <c r="S192" s="26" t="s">
        <v>3231</v>
      </c>
      <c r="T192" s="26" t="s">
        <v>3231</v>
      </c>
      <c r="U192" s="26" t="s">
        <v>3231</v>
      </c>
      <c r="V192" s="26" t="s">
        <v>3231</v>
      </c>
    </row>
    <row r="193" spans="1:22" ht="28.5" customHeight="1" x14ac:dyDescent="0.3">
      <c r="A193" s="158" t="str">
        <f>Noty!L1686</f>
        <v>22.</v>
      </c>
      <c r="B193" s="927" t="str">
        <f>Noty!C1686</f>
        <v>Zarząd spółki</v>
      </c>
      <c r="C193" s="1132" t="str">
        <f>Notes!C1686</f>
        <v>Management Board</v>
      </c>
      <c r="D193" s="44" t="s">
        <v>3231</v>
      </c>
      <c r="E193"/>
    </row>
    <row r="194" spans="1:22" ht="28.5" customHeight="1" x14ac:dyDescent="0.3">
      <c r="A194" s="158" t="str">
        <f>Noty!L1705</f>
        <v>23.0</v>
      </c>
      <c r="B194" s="927" t="str">
        <f>Noty!C1705</f>
        <v>Zarząd spółki</v>
      </c>
      <c r="C194" s="1132" t="str">
        <f>Notes!C1705</f>
        <v>Management Board</v>
      </c>
      <c r="D194" s="44" t="s">
        <v>3231</v>
      </c>
      <c r="E194"/>
    </row>
    <row r="195" spans="1:22" ht="28.5" customHeight="1" x14ac:dyDescent="0.3">
      <c r="A195" s="158" t="str">
        <f>Noty!L1724</f>
        <v>24.0</v>
      </c>
      <c r="B195" s="927" t="str">
        <f>Noty!C1724</f>
        <v>Zarząd spółki</v>
      </c>
      <c r="C195" s="1132" t="str">
        <f>Notes!C1724</f>
        <v>Management Board</v>
      </c>
      <c r="D195" s="44" t="s">
        <v>3231</v>
      </c>
      <c r="E195"/>
    </row>
    <row r="196" spans="1:22" ht="28.5" customHeight="1" x14ac:dyDescent="0.3">
      <c r="A196" s="158" t="str">
        <f>Noty!L1743</f>
        <v>25.</v>
      </c>
      <c r="B196" s="949" t="str">
        <f>Noty!C1743</f>
        <v>Osoby składające podpis elektroniczny na sprawozdaniu finansowym</v>
      </c>
      <c r="C196" s="950" t="str">
        <f>Notes!C1743</f>
        <v>Persons signing the electronic signature on the financial statements</v>
      </c>
      <c r="D196" s="258" t="s">
        <v>3224</v>
      </c>
      <c r="E196"/>
      <c r="Q196" s="26" t="s">
        <v>3224</v>
      </c>
      <c r="R196" s="26" t="s">
        <v>3224</v>
      </c>
      <c r="S196" s="26" t="s">
        <v>3224</v>
      </c>
      <c r="T196" s="26" t="s">
        <v>3224</v>
      </c>
      <c r="U196" s="26" t="s">
        <v>3224</v>
      </c>
      <c r="V196" s="26" t="s">
        <v>3224</v>
      </c>
    </row>
    <row r="197" spans="1:22" ht="15.05" x14ac:dyDescent="0.3">
      <c r="E197"/>
      <c r="P197" s="26">
        <v>1</v>
      </c>
    </row>
    <row r="198" spans="1:22" ht="15.05" x14ac:dyDescent="0.3">
      <c r="E198"/>
    </row>
    <row r="199" spans="1:22" ht="15.05" x14ac:dyDescent="0.3">
      <c r="E199"/>
    </row>
    <row r="200" spans="1:22" ht="15.05" x14ac:dyDescent="0.3">
      <c r="E200"/>
    </row>
    <row r="201" spans="1:22" ht="15.05" x14ac:dyDescent="0.3">
      <c r="E201"/>
    </row>
    <row r="202" spans="1:22" ht="15.05" x14ac:dyDescent="0.3">
      <c r="E202"/>
    </row>
    <row r="203" spans="1:22" ht="15.05" x14ac:dyDescent="0.3">
      <c r="E203"/>
    </row>
    <row r="204" spans="1:22" ht="15.05" x14ac:dyDescent="0.3">
      <c r="E204"/>
    </row>
    <row r="205" spans="1:22" ht="15.05" x14ac:dyDescent="0.3">
      <c r="E205"/>
    </row>
    <row r="206" spans="1:22" ht="15.05" x14ac:dyDescent="0.3">
      <c r="E206"/>
    </row>
    <row r="207" spans="1:22" ht="15.05" x14ac:dyDescent="0.3">
      <c r="E207"/>
    </row>
    <row r="208" spans="1:22" ht="15.05" x14ac:dyDescent="0.3">
      <c r="E208"/>
    </row>
    <row r="209" spans="5:5" ht="15.05" x14ac:dyDescent="0.3">
      <c r="E209"/>
    </row>
    <row r="210" spans="5:5" ht="15.05" x14ac:dyDescent="0.3">
      <c r="E210"/>
    </row>
    <row r="211" spans="5:5" ht="15.05" x14ac:dyDescent="0.3">
      <c r="E211"/>
    </row>
    <row r="212" spans="5:5" ht="15.05" x14ac:dyDescent="0.3">
      <c r="E212"/>
    </row>
    <row r="213" spans="5:5" ht="15.05" x14ac:dyDescent="0.3">
      <c r="E213"/>
    </row>
    <row r="214" spans="5:5" ht="15.05" x14ac:dyDescent="0.3">
      <c r="E214"/>
    </row>
    <row r="215" spans="5:5" ht="15.05" x14ac:dyDescent="0.3">
      <c r="E215"/>
    </row>
    <row r="216" spans="5:5" ht="15.05" x14ac:dyDescent="0.3">
      <c r="E216"/>
    </row>
    <row r="217" spans="5:5" ht="15.05" x14ac:dyDescent="0.3">
      <c r="E217"/>
    </row>
    <row r="218" spans="5:5" ht="15.05" x14ac:dyDescent="0.3">
      <c r="E218"/>
    </row>
    <row r="219" spans="5:5" ht="15.05" x14ac:dyDescent="0.3">
      <c r="E219"/>
    </row>
    <row r="220" spans="5:5" ht="15.05" x14ac:dyDescent="0.3">
      <c r="E220"/>
    </row>
    <row r="221" spans="5:5" ht="15.05" x14ac:dyDescent="0.3">
      <c r="E221"/>
    </row>
    <row r="222" spans="5:5" ht="15.05" x14ac:dyDescent="0.3">
      <c r="E222"/>
    </row>
    <row r="223" spans="5:5" ht="15.05" x14ac:dyDescent="0.3">
      <c r="E223"/>
    </row>
    <row r="224" spans="5:5" ht="15.05" x14ac:dyDescent="0.3">
      <c r="E224"/>
    </row>
    <row r="225" spans="5:5" ht="15.05" x14ac:dyDescent="0.3">
      <c r="E225"/>
    </row>
    <row r="226" spans="5:5" ht="15.05" x14ac:dyDescent="0.3">
      <c r="E226"/>
    </row>
    <row r="227" spans="5:5" ht="15.05" x14ac:dyDescent="0.3">
      <c r="E227"/>
    </row>
    <row r="228" spans="5:5" ht="15.05" x14ac:dyDescent="0.3">
      <c r="E228"/>
    </row>
    <row r="229" spans="5:5" ht="15.05" x14ac:dyDescent="0.3">
      <c r="E229"/>
    </row>
    <row r="230" spans="5:5" ht="15.05" x14ac:dyDescent="0.3">
      <c r="E230"/>
    </row>
    <row r="231" spans="5:5" ht="15.05" x14ac:dyDescent="0.3">
      <c r="E231"/>
    </row>
    <row r="232" spans="5:5" ht="15.05" x14ac:dyDescent="0.3">
      <c r="E232"/>
    </row>
    <row r="233" spans="5:5" ht="15.05" x14ac:dyDescent="0.3">
      <c r="E233"/>
    </row>
    <row r="234" spans="5:5" ht="15.05" x14ac:dyDescent="0.3">
      <c r="E234"/>
    </row>
    <row r="235" spans="5:5" ht="15.05" x14ac:dyDescent="0.3">
      <c r="E235"/>
    </row>
    <row r="236" spans="5:5" ht="15.05" x14ac:dyDescent="0.3">
      <c r="E236"/>
    </row>
    <row r="237" spans="5:5" ht="15.05" x14ac:dyDescent="0.3">
      <c r="E237"/>
    </row>
    <row r="238" spans="5:5" ht="15.05" x14ac:dyDescent="0.3">
      <c r="E238"/>
    </row>
    <row r="239" spans="5:5" ht="15.05" x14ac:dyDescent="0.3">
      <c r="E239"/>
    </row>
    <row r="240" spans="5:5" ht="15.05" x14ac:dyDescent="0.3">
      <c r="E240"/>
    </row>
    <row r="241" spans="5:5" ht="15.05" x14ac:dyDescent="0.3">
      <c r="E241"/>
    </row>
    <row r="242" spans="5:5" ht="15.05" x14ac:dyDescent="0.3">
      <c r="E242"/>
    </row>
    <row r="243" spans="5:5" ht="15.05" x14ac:dyDescent="0.3">
      <c r="E243"/>
    </row>
    <row r="244" spans="5:5" ht="15.05" x14ac:dyDescent="0.3">
      <c r="E244"/>
    </row>
    <row r="245" spans="5:5" ht="15.05" x14ac:dyDescent="0.3">
      <c r="E245"/>
    </row>
    <row r="246" spans="5:5" ht="15.05" x14ac:dyDescent="0.3">
      <c r="E246"/>
    </row>
    <row r="247" spans="5:5" ht="15.05" x14ac:dyDescent="0.3">
      <c r="E247"/>
    </row>
    <row r="248" spans="5:5" ht="15.05" x14ac:dyDescent="0.3">
      <c r="E248"/>
    </row>
    <row r="249" spans="5:5" ht="15.05" x14ac:dyDescent="0.3">
      <c r="E249"/>
    </row>
    <row r="250" spans="5:5" ht="15.05" x14ac:dyDescent="0.3">
      <c r="E250"/>
    </row>
    <row r="251" spans="5:5" ht="15.05" x14ac:dyDescent="0.3">
      <c r="E251"/>
    </row>
    <row r="252" spans="5:5" ht="15.05" x14ac:dyDescent="0.3">
      <c r="E252"/>
    </row>
    <row r="253" spans="5:5" ht="15.05" x14ac:dyDescent="0.3">
      <c r="E253"/>
    </row>
    <row r="254" spans="5:5" ht="15.05" x14ac:dyDescent="0.3">
      <c r="E254"/>
    </row>
    <row r="255" spans="5:5" ht="15.05" x14ac:dyDescent="0.3">
      <c r="E255"/>
    </row>
    <row r="256" spans="5:5" ht="15.05" x14ac:dyDescent="0.3">
      <c r="E256"/>
    </row>
    <row r="257" spans="5:5" ht="15.05" x14ac:dyDescent="0.3">
      <c r="E257"/>
    </row>
    <row r="258" spans="5:5" ht="15.05" x14ac:dyDescent="0.3">
      <c r="E258"/>
    </row>
    <row r="259" spans="5:5" ht="15.05" x14ac:dyDescent="0.3">
      <c r="E259"/>
    </row>
    <row r="260" spans="5:5" ht="15.05" x14ac:dyDescent="0.3">
      <c r="E260"/>
    </row>
    <row r="261" spans="5:5" ht="15.05" x14ac:dyDescent="0.3">
      <c r="E261"/>
    </row>
    <row r="262" spans="5:5" ht="15.05" x14ac:dyDescent="0.3">
      <c r="E262"/>
    </row>
    <row r="263" spans="5:5" ht="15.05" x14ac:dyDescent="0.3">
      <c r="E263"/>
    </row>
    <row r="264" spans="5:5" ht="15.05" x14ac:dyDescent="0.3">
      <c r="E264"/>
    </row>
    <row r="265" spans="5:5" ht="15.05" x14ac:dyDescent="0.3">
      <c r="E265"/>
    </row>
    <row r="266" spans="5:5" ht="15.05" x14ac:dyDescent="0.3">
      <c r="E266"/>
    </row>
    <row r="267" spans="5:5" ht="15.05" x14ac:dyDescent="0.3">
      <c r="E267"/>
    </row>
    <row r="268" spans="5:5" ht="15.05" x14ac:dyDescent="0.3">
      <c r="E268"/>
    </row>
    <row r="269" spans="5:5" ht="15.05" x14ac:dyDescent="0.3">
      <c r="E269"/>
    </row>
    <row r="270" spans="5:5" ht="15.05" x14ac:dyDescent="0.3">
      <c r="E270"/>
    </row>
    <row r="271" spans="5:5" ht="15.05" x14ac:dyDescent="0.3">
      <c r="E271"/>
    </row>
    <row r="272" spans="5:5" ht="15.05" x14ac:dyDescent="0.3">
      <c r="E272"/>
    </row>
    <row r="273" spans="5:5" ht="15.05" x14ac:dyDescent="0.3">
      <c r="E273"/>
    </row>
    <row r="274" spans="5:5" ht="15.05" x14ac:dyDescent="0.3">
      <c r="E274"/>
    </row>
    <row r="275" spans="5:5" ht="15.05" x14ac:dyDescent="0.3">
      <c r="E275"/>
    </row>
    <row r="276" spans="5:5" ht="15.05" x14ac:dyDescent="0.3">
      <c r="E276"/>
    </row>
    <row r="277" spans="5:5" ht="15.05" x14ac:dyDescent="0.3">
      <c r="E277"/>
    </row>
    <row r="278" spans="5:5" ht="15.05" x14ac:dyDescent="0.3">
      <c r="E278"/>
    </row>
    <row r="279" spans="5:5" ht="15.05" x14ac:dyDescent="0.3">
      <c r="E279"/>
    </row>
    <row r="280" spans="5:5" ht="15.05" x14ac:dyDescent="0.3">
      <c r="E280"/>
    </row>
    <row r="281" spans="5:5" ht="15.05" x14ac:dyDescent="0.3">
      <c r="E281"/>
    </row>
    <row r="282" spans="5:5" ht="15.05" x14ac:dyDescent="0.3">
      <c r="E282"/>
    </row>
    <row r="283" spans="5:5" ht="15.05" x14ac:dyDescent="0.3">
      <c r="E283"/>
    </row>
    <row r="284" spans="5:5" ht="15.05" x14ac:dyDescent="0.3">
      <c r="E284"/>
    </row>
    <row r="285" spans="5:5" ht="15.05" x14ac:dyDescent="0.3">
      <c r="E285"/>
    </row>
    <row r="286" spans="5:5" ht="15.05" x14ac:dyDescent="0.3">
      <c r="E286"/>
    </row>
    <row r="287" spans="5:5" ht="15.05" x14ac:dyDescent="0.3">
      <c r="E287"/>
    </row>
    <row r="288" spans="5:5" ht="15.05" x14ac:dyDescent="0.3">
      <c r="E288"/>
    </row>
    <row r="289" spans="5:5" ht="15.05" x14ac:dyDescent="0.3">
      <c r="E289"/>
    </row>
    <row r="290" spans="5:5" ht="15.05" x14ac:dyDescent="0.3">
      <c r="E290"/>
    </row>
    <row r="291" spans="5:5" ht="15.05" x14ac:dyDescent="0.3">
      <c r="E291"/>
    </row>
    <row r="292" spans="5:5" ht="15.05" x14ac:dyDescent="0.3">
      <c r="E292"/>
    </row>
    <row r="293" spans="5:5" ht="15.05" x14ac:dyDescent="0.3">
      <c r="E293"/>
    </row>
    <row r="294" spans="5:5" ht="15.05" x14ac:dyDescent="0.3">
      <c r="E294"/>
    </row>
    <row r="295" spans="5:5" ht="15.05" x14ac:dyDescent="0.3">
      <c r="E295"/>
    </row>
    <row r="296" spans="5:5" ht="15.05" x14ac:dyDescent="0.3">
      <c r="E296"/>
    </row>
    <row r="297" spans="5:5" ht="15.05" x14ac:dyDescent="0.3">
      <c r="E297"/>
    </row>
    <row r="298" spans="5:5" ht="15.05" x14ac:dyDescent="0.3">
      <c r="E298"/>
    </row>
    <row r="299" spans="5:5" ht="15.05" x14ac:dyDescent="0.3">
      <c r="E299"/>
    </row>
    <row r="300" spans="5:5" ht="15.05" x14ac:dyDescent="0.3">
      <c r="E300"/>
    </row>
    <row r="301" spans="5:5" ht="15.05" x14ac:dyDescent="0.3">
      <c r="E301"/>
    </row>
    <row r="302" spans="5:5" ht="15.05" x14ac:dyDescent="0.3">
      <c r="E302"/>
    </row>
    <row r="303" spans="5:5" ht="15.05" x14ac:dyDescent="0.3">
      <c r="E303"/>
    </row>
    <row r="304" spans="5:5" ht="15.05" x14ac:dyDescent="0.3">
      <c r="E304"/>
    </row>
    <row r="305" spans="5:5" ht="15.05" x14ac:dyDescent="0.3">
      <c r="E305"/>
    </row>
    <row r="306" spans="5:5" ht="15.05" x14ac:dyDescent="0.3">
      <c r="E306"/>
    </row>
    <row r="307" spans="5:5" ht="15.05" x14ac:dyDescent="0.3">
      <c r="E307"/>
    </row>
    <row r="308" spans="5:5" ht="15.05" x14ac:dyDescent="0.3">
      <c r="E308"/>
    </row>
    <row r="309" spans="5:5" ht="15.05" x14ac:dyDescent="0.3">
      <c r="E309"/>
    </row>
    <row r="310" spans="5:5" ht="15.05" x14ac:dyDescent="0.3">
      <c r="E310"/>
    </row>
    <row r="311" spans="5:5" ht="15.05" x14ac:dyDescent="0.3">
      <c r="E311"/>
    </row>
    <row r="312" spans="5:5" ht="15.05" x14ac:dyDescent="0.3">
      <c r="E312"/>
    </row>
    <row r="313" spans="5:5" ht="15.05" x14ac:dyDescent="0.3">
      <c r="E313"/>
    </row>
    <row r="314" spans="5:5" ht="15.05" x14ac:dyDescent="0.3">
      <c r="E314"/>
    </row>
    <row r="315" spans="5:5" ht="15.05" x14ac:dyDescent="0.3">
      <c r="E315"/>
    </row>
    <row r="316" spans="5:5" ht="15.05" x14ac:dyDescent="0.3">
      <c r="E316"/>
    </row>
    <row r="317" spans="5:5" ht="15.05" x14ac:dyDescent="0.3">
      <c r="E317"/>
    </row>
    <row r="318" spans="5:5" ht="15.05" x14ac:dyDescent="0.3">
      <c r="E318"/>
    </row>
    <row r="319" spans="5:5" ht="15.05" x14ac:dyDescent="0.3">
      <c r="E319"/>
    </row>
    <row r="320" spans="5:5" ht="15.05" x14ac:dyDescent="0.3">
      <c r="E320"/>
    </row>
    <row r="321" spans="5:5" ht="15.05" x14ac:dyDescent="0.3">
      <c r="E321"/>
    </row>
    <row r="322" spans="5:5" ht="15.05" x14ac:dyDescent="0.3">
      <c r="E322"/>
    </row>
    <row r="323" spans="5:5" ht="15.05" x14ac:dyDescent="0.3">
      <c r="E323"/>
    </row>
    <row r="324" spans="5:5" ht="15.05" x14ac:dyDescent="0.3">
      <c r="E324"/>
    </row>
    <row r="325" spans="5:5" ht="15.05" x14ac:dyDescent="0.3">
      <c r="E325"/>
    </row>
    <row r="326" spans="5:5" ht="15.05" x14ac:dyDescent="0.3">
      <c r="E326"/>
    </row>
    <row r="327" spans="5:5" ht="15.05" x14ac:dyDescent="0.3">
      <c r="E327"/>
    </row>
    <row r="328" spans="5:5" ht="15.05" x14ac:dyDescent="0.3">
      <c r="E328"/>
    </row>
    <row r="329" spans="5:5" ht="15.05" x14ac:dyDescent="0.3">
      <c r="E329"/>
    </row>
    <row r="330" spans="5:5" ht="15.05" x14ac:dyDescent="0.3">
      <c r="E330"/>
    </row>
    <row r="331" spans="5:5" ht="15.05" x14ac:dyDescent="0.3">
      <c r="E331"/>
    </row>
    <row r="332" spans="5:5" ht="15.05" x14ac:dyDescent="0.3">
      <c r="E332"/>
    </row>
    <row r="333" spans="5:5" ht="15.05" x14ac:dyDescent="0.3">
      <c r="E333"/>
    </row>
    <row r="334" spans="5:5" ht="15.05" x14ac:dyDescent="0.3">
      <c r="E334"/>
    </row>
    <row r="335" spans="5:5" ht="15.05" x14ac:dyDescent="0.3">
      <c r="E335"/>
    </row>
    <row r="336" spans="5:5" ht="15.05" x14ac:dyDescent="0.3">
      <c r="E336"/>
    </row>
    <row r="337" spans="5:5" ht="15.05" x14ac:dyDescent="0.3">
      <c r="E337"/>
    </row>
    <row r="338" spans="5:5" ht="15.05" x14ac:dyDescent="0.3">
      <c r="E338"/>
    </row>
    <row r="339" spans="5:5" ht="15.05" x14ac:dyDescent="0.3">
      <c r="E339"/>
    </row>
    <row r="340" spans="5:5" ht="15.05" x14ac:dyDescent="0.3">
      <c r="E340"/>
    </row>
    <row r="341" spans="5:5" ht="15.05" x14ac:dyDescent="0.3">
      <c r="E341"/>
    </row>
    <row r="342" spans="5:5" ht="15.05" x14ac:dyDescent="0.3">
      <c r="E342"/>
    </row>
    <row r="343" spans="5:5" ht="15.05" x14ac:dyDescent="0.3">
      <c r="E343"/>
    </row>
    <row r="344" spans="5:5" ht="15.05" x14ac:dyDescent="0.3">
      <c r="E344"/>
    </row>
    <row r="345" spans="5:5" ht="15.05" x14ac:dyDescent="0.3">
      <c r="E345"/>
    </row>
    <row r="346" spans="5:5" ht="15.05" x14ac:dyDescent="0.3">
      <c r="E346"/>
    </row>
    <row r="347" spans="5:5" ht="15.05" x14ac:dyDescent="0.3">
      <c r="E347"/>
    </row>
    <row r="348" spans="5:5" ht="15.05" x14ac:dyDescent="0.3">
      <c r="E348"/>
    </row>
    <row r="349" spans="5:5" ht="15.05" x14ac:dyDescent="0.3">
      <c r="E349"/>
    </row>
    <row r="350" spans="5:5" ht="15.05" x14ac:dyDescent="0.3">
      <c r="E350"/>
    </row>
    <row r="351" spans="5:5" ht="15.05" x14ac:dyDescent="0.3">
      <c r="E351"/>
    </row>
    <row r="352" spans="5:5" ht="15.05" x14ac:dyDescent="0.3">
      <c r="E352"/>
    </row>
    <row r="353" spans="5:5" ht="15.05" x14ac:dyDescent="0.3">
      <c r="E353"/>
    </row>
    <row r="354" spans="5:5" ht="15.05" x14ac:dyDescent="0.3">
      <c r="E354"/>
    </row>
    <row r="355" spans="5:5" ht="15.05" x14ac:dyDescent="0.3">
      <c r="E355"/>
    </row>
    <row r="356" spans="5:5" ht="15.05" x14ac:dyDescent="0.3">
      <c r="E356"/>
    </row>
    <row r="357" spans="5:5" ht="15.05" x14ac:dyDescent="0.3">
      <c r="E357"/>
    </row>
    <row r="358" spans="5:5" ht="15.05" x14ac:dyDescent="0.3">
      <c r="E358"/>
    </row>
    <row r="359" spans="5:5" ht="15.05" x14ac:dyDescent="0.3">
      <c r="E359"/>
    </row>
    <row r="360" spans="5:5" ht="15.05" x14ac:dyDescent="0.3">
      <c r="E360"/>
    </row>
    <row r="361" spans="5:5" ht="15.05" x14ac:dyDescent="0.3">
      <c r="E361"/>
    </row>
    <row r="362" spans="5:5" ht="15.05" x14ac:dyDescent="0.3">
      <c r="E362"/>
    </row>
    <row r="363" spans="5:5" ht="15.05" x14ac:dyDescent="0.3">
      <c r="E363"/>
    </row>
    <row r="364" spans="5:5" ht="15.05" x14ac:dyDescent="0.3">
      <c r="E364"/>
    </row>
    <row r="365" spans="5:5" ht="15.05" x14ac:dyDescent="0.3">
      <c r="E365"/>
    </row>
    <row r="366" spans="5:5" ht="15.05" x14ac:dyDescent="0.3">
      <c r="E366"/>
    </row>
    <row r="367" spans="5:5" ht="15.05" x14ac:dyDescent="0.3">
      <c r="E367"/>
    </row>
    <row r="368" spans="5:5" ht="15.05" x14ac:dyDescent="0.3">
      <c r="E368"/>
    </row>
    <row r="369" spans="5:5" ht="15.05" x14ac:dyDescent="0.3">
      <c r="E369"/>
    </row>
    <row r="370" spans="5:5" ht="15.05" x14ac:dyDescent="0.3">
      <c r="E370"/>
    </row>
    <row r="371" spans="5:5" ht="15.05" x14ac:dyDescent="0.3">
      <c r="E371"/>
    </row>
    <row r="372" spans="5:5" ht="15.05" x14ac:dyDescent="0.3">
      <c r="E372"/>
    </row>
    <row r="373" spans="5:5" ht="15.05" x14ac:dyDescent="0.3">
      <c r="E373"/>
    </row>
    <row r="374" spans="5:5" ht="15.05" x14ac:dyDescent="0.3">
      <c r="E374"/>
    </row>
    <row r="375" spans="5:5" ht="15.05" x14ac:dyDescent="0.3">
      <c r="E375"/>
    </row>
    <row r="376" spans="5:5" ht="15.05" x14ac:dyDescent="0.3">
      <c r="E376"/>
    </row>
    <row r="377" spans="5:5" ht="15.05" x14ac:dyDescent="0.3">
      <c r="E377"/>
    </row>
    <row r="378" spans="5:5" ht="15.05" x14ac:dyDescent="0.3">
      <c r="E378"/>
    </row>
    <row r="379" spans="5:5" ht="15.05" x14ac:dyDescent="0.3">
      <c r="E379"/>
    </row>
    <row r="380" spans="5:5" ht="15.05" x14ac:dyDescent="0.3">
      <c r="E380"/>
    </row>
    <row r="381" spans="5:5" ht="15.05" x14ac:dyDescent="0.3">
      <c r="E381"/>
    </row>
    <row r="382" spans="5:5" ht="15.05" x14ac:dyDescent="0.3">
      <c r="E382"/>
    </row>
    <row r="383" spans="5:5" ht="15.05" x14ac:dyDescent="0.3">
      <c r="E383"/>
    </row>
    <row r="384" spans="5:5" ht="15.05" x14ac:dyDescent="0.3">
      <c r="E384"/>
    </row>
    <row r="385" spans="5:5" ht="15.05" x14ac:dyDescent="0.3">
      <c r="E385"/>
    </row>
    <row r="386" spans="5:5" ht="15.05" x14ac:dyDescent="0.3">
      <c r="E386"/>
    </row>
    <row r="387" spans="5:5" ht="15.05" x14ac:dyDescent="0.3">
      <c r="E387"/>
    </row>
    <row r="388" spans="5:5" ht="15.05" x14ac:dyDescent="0.3">
      <c r="E388"/>
    </row>
    <row r="389" spans="5:5" ht="15.05" x14ac:dyDescent="0.3">
      <c r="E389"/>
    </row>
    <row r="390" spans="5:5" ht="15.05" x14ac:dyDescent="0.3">
      <c r="E390"/>
    </row>
    <row r="391" spans="5:5" ht="15.05" x14ac:dyDescent="0.3">
      <c r="E391"/>
    </row>
    <row r="392" spans="5:5" ht="15.05" x14ac:dyDescent="0.3">
      <c r="E392"/>
    </row>
    <row r="393" spans="5:5" ht="15.05" x14ac:dyDescent="0.3">
      <c r="E393"/>
    </row>
    <row r="394" spans="5:5" ht="15.05" x14ac:dyDescent="0.3">
      <c r="E394"/>
    </row>
    <row r="395" spans="5:5" ht="15.05" x14ac:dyDescent="0.3">
      <c r="E395"/>
    </row>
    <row r="396" spans="5:5" ht="15.05" x14ac:dyDescent="0.3">
      <c r="E396"/>
    </row>
    <row r="397" spans="5:5" ht="15.05" x14ac:dyDescent="0.3">
      <c r="E397"/>
    </row>
    <row r="398" spans="5:5" ht="15.05" x14ac:dyDescent="0.3">
      <c r="E398"/>
    </row>
    <row r="399" spans="5:5" ht="15.05" x14ac:dyDescent="0.3">
      <c r="E399"/>
    </row>
    <row r="400" spans="5:5" ht="15.05" x14ac:dyDescent="0.3">
      <c r="E400"/>
    </row>
    <row r="401" spans="5:5" ht="15.05" x14ac:dyDescent="0.3">
      <c r="E401"/>
    </row>
    <row r="402" spans="5:5" ht="15.05" x14ac:dyDescent="0.3">
      <c r="E402"/>
    </row>
    <row r="403" spans="5:5" ht="15.05" x14ac:dyDescent="0.3">
      <c r="E403"/>
    </row>
    <row r="404" spans="5:5" ht="15.05" x14ac:dyDescent="0.3">
      <c r="E404"/>
    </row>
    <row r="405" spans="5:5" ht="15.05" x14ac:dyDescent="0.3">
      <c r="E405"/>
    </row>
    <row r="406" spans="5:5" ht="15.05" x14ac:dyDescent="0.3">
      <c r="E406"/>
    </row>
    <row r="407" spans="5:5" ht="15.05" x14ac:dyDescent="0.3">
      <c r="E407"/>
    </row>
    <row r="408" spans="5:5" ht="15.05" x14ac:dyDescent="0.3">
      <c r="E408"/>
    </row>
    <row r="409" spans="5:5" ht="15.05" x14ac:dyDescent="0.3">
      <c r="E409"/>
    </row>
    <row r="410" spans="5:5" ht="15.05" x14ac:dyDescent="0.3">
      <c r="E410"/>
    </row>
    <row r="411" spans="5:5" ht="15.05" x14ac:dyDescent="0.3">
      <c r="E411"/>
    </row>
    <row r="412" spans="5:5" ht="15.05" x14ac:dyDescent="0.3">
      <c r="E412"/>
    </row>
    <row r="413" spans="5:5" ht="15.05" x14ac:dyDescent="0.3">
      <c r="E413"/>
    </row>
    <row r="414" spans="5:5" ht="15.05" x14ac:dyDescent="0.3">
      <c r="E414"/>
    </row>
    <row r="415" spans="5:5" ht="15.05" x14ac:dyDescent="0.3">
      <c r="E415"/>
    </row>
    <row r="416" spans="5:5" ht="15.05" x14ac:dyDescent="0.3">
      <c r="E416"/>
    </row>
    <row r="417" spans="5:5" ht="15.05" x14ac:dyDescent="0.3">
      <c r="E417"/>
    </row>
    <row r="418" spans="5:5" ht="15.05" x14ac:dyDescent="0.3">
      <c r="E418"/>
    </row>
    <row r="419" spans="5:5" ht="15.05" x14ac:dyDescent="0.3">
      <c r="E419"/>
    </row>
    <row r="420" spans="5:5" ht="15.05" x14ac:dyDescent="0.3">
      <c r="E420"/>
    </row>
    <row r="421" spans="5:5" ht="15.05" x14ac:dyDescent="0.3">
      <c r="E421"/>
    </row>
    <row r="422" spans="5:5" ht="15.05" x14ac:dyDescent="0.3">
      <c r="E422"/>
    </row>
    <row r="423" spans="5:5" ht="15.05" x14ac:dyDescent="0.3">
      <c r="E423"/>
    </row>
    <row r="424" spans="5:5" ht="15.05" x14ac:dyDescent="0.3">
      <c r="E424"/>
    </row>
    <row r="425" spans="5:5" ht="15.05" x14ac:dyDescent="0.3">
      <c r="E425"/>
    </row>
    <row r="426" spans="5:5" ht="15.05" x14ac:dyDescent="0.3">
      <c r="E426"/>
    </row>
    <row r="427" spans="5:5" ht="15.05" x14ac:dyDescent="0.3">
      <c r="E427"/>
    </row>
    <row r="428" spans="5:5" ht="15.05" x14ac:dyDescent="0.3">
      <c r="E428"/>
    </row>
    <row r="429" spans="5:5" ht="15.05" x14ac:dyDescent="0.3">
      <c r="E429"/>
    </row>
    <row r="430" spans="5:5" ht="15.05" x14ac:dyDescent="0.3">
      <c r="E430"/>
    </row>
    <row r="431" spans="5:5" ht="15.05" x14ac:dyDescent="0.3">
      <c r="E431"/>
    </row>
    <row r="432" spans="5:5" ht="15.05" x14ac:dyDescent="0.3">
      <c r="E432"/>
    </row>
    <row r="433" spans="5:5" ht="15.05" x14ac:dyDescent="0.3">
      <c r="E433"/>
    </row>
    <row r="434" spans="5:5" ht="15.05" x14ac:dyDescent="0.3">
      <c r="E434"/>
    </row>
    <row r="435" spans="5:5" ht="15.05" x14ac:dyDescent="0.3">
      <c r="E435"/>
    </row>
    <row r="436" spans="5:5" ht="15.05" x14ac:dyDescent="0.3">
      <c r="E436"/>
    </row>
    <row r="437" spans="5:5" ht="15.05" x14ac:dyDescent="0.3">
      <c r="E437"/>
    </row>
    <row r="438" spans="5:5" ht="15.05" x14ac:dyDescent="0.3">
      <c r="E438"/>
    </row>
    <row r="439" spans="5:5" ht="15.05" x14ac:dyDescent="0.3">
      <c r="E439"/>
    </row>
    <row r="440" spans="5:5" ht="15.05" x14ac:dyDescent="0.3">
      <c r="E440"/>
    </row>
    <row r="441" spans="5:5" ht="15.05" x14ac:dyDescent="0.3">
      <c r="E441"/>
    </row>
    <row r="442" spans="5:5" ht="15.05" x14ac:dyDescent="0.3">
      <c r="E442"/>
    </row>
    <row r="443" spans="5:5" ht="15.05" x14ac:dyDescent="0.3">
      <c r="E443"/>
    </row>
    <row r="444" spans="5:5" ht="15.05" x14ac:dyDescent="0.3">
      <c r="E444"/>
    </row>
    <row r="445" spans="5:5" ht="15.05" x14ac:dyDescent="0.3">
      <c r="E445"/>
    </row>
    <row r="446" spans="5:5" ht="15.05" x14ac:dyDescent="0.3">
      <c r="E446"/>
    </row>
    <row r="447" spans="5:5" ht="15.05" x14ac:dyDescent="0.3">
      <c r="E447"/>
    </row>
    <row r="448" spans="5:5" ht="15.05" x14ac:dyDescent="0.3">
      <c r="E448"/>
    </row>
    <row r="449" spans="5:5" ht="15.05" x14ac:dyDescent="0.3">
      <c r="E449"/>
    </row>
    <row r="450" spans="5:5" ht="15.05" x14ac:dyDescent="0.3">
      <c r="E450"/>
    </row>
    <row r="451" spans="5:5" ht="15.05" x14ac:dyDescent="0.3">
      <c r="E451"/>
    </row>
    <row r="452" spans="5:5" ht="15.05" x14ac:dyDescent="0.3">
      <c r="E452"/>
    </row>
    <row r="453" spans="5:5" ht="15.05" x14ac:dyDescent="0.3">
      <c r="E453"/>
    </row>
    <row r="454" spans="5:5" ht="15.05" x14ac:dyDescent="0.3">
      <c r="E454"/>
    </row>
    <row r="455" spans="5:5" ht="15.05" x14ac:dyDescent="0.3">
      <c r="E455"/>
    </row>
    <row r="456" spans="5:5" ht="15.05" x14ac:dyDescent="0.3">
      <c r="E456"/>
    </row>
    <row r="457" spans="5:5" ht="15.05" x14ac:dyDescent="0.3">
      <c r="E457"/>
    </row>
    <row r="458" spans="5:5" ht="15.05" x14ac:dyDescent="0.3">
      <c r="E458"/>
    </row>
    <row r="459" spans="5:5" ht="15.05" x14ac:dyDescent="0.3">
      <c r="E459"/>
    </row>
    <row r="460" spans="5:5" ht="15.05" x14ac:dyDescent="0.3">
      <c r="E460"/>
    </row>
    <row r="461" spans="5:5" ht="15.05" x14ac:dyDescent="0.3">
      <c r="E461"/>
    </row>
    <row r="462" spans="5:5" ht="15.05" x14ac:dyDescent="0.3">
      <c r="E462"/>
    </row>
    <row r="463" spans="5:5" ht="15.05" x14ac:dyDescent="0.3">
      <c r="E463"/>
    </row>
    <row r="464" spans="5:5" ht="15.05" x14ac:dyDescent="0.3">
      <c r="E464"/>
    </row>
    <row r="465" spans="5:5" ht="15.05" x14ac:dyDescent="0.3">
      <c r="E465"/>
    </row>
    <row r="466" spans="5:5" ht="15.05" x14ac:dyDescent="0.3">
      <c r="E466"/>
    </row>
    <row r="467" spans="5:5" ht="15.05" x14ac:dyDescent="0.3">
      <c r="E467"/>
    </row>
    <row r="468" spans="5:5" ht="15.05" x14ac:dyDescent="0.3">
      <c r="E468"/>
    </row>
    <row r="469" spans="5:5" ht="15.05" x14ac:dyDescent="0.3">
      <c r="E469"/>
    </row>
    <row r="470" spans="5:5" ht="15.05" x14ac:dyDescent="0.3">
      <c r="E470"/>
    </row>
    <row r="471" spans="5:5" ht="15.05" x14ac:dyDescent="0.3">
      <c r="E471"/>
    </row>
    <row r="472" spans="5:5" ht="15.05" x14ac:dyDescent="0.3">
      <c r="E472"/>
    </row>
    <row r="473" spans="5:5" ht="15.05" x14ac:dyDescent="0.3">
      <c r="E473"/>
    </row>
    <row r="474" spans="5:5" ht="15.05" x14ac:dyDescent="0.3">
      <c r="E474"/>
    </row>
    <row r="475" spans="5:5" ht="15.05" x14ac:dyDescent="0.3">
      <c r="E475"/>
    </row>
    <row r="476" spans="5:5" ht="15.05" x14ac:dyDescent="0.3">
      <c r="E476"/>
    </row>
    <row r="477" spans="5:5" ht="15.05" x14ac:dyDescent="0.3">
      <c r="E477"/>
    </row>
    <row r="478" spans="5:5" ht="15.05" x14ac:dyDescent="0.3">
      <c r="E478"/>
    </row>
    <row r="479" spans="5:5" ht="15.05" x14ac:dyDescent="0.3">
      <c r="E479"/>
    </row>
    <row r="480" spans="5:5" ht="15.05" x14ac:dyDescent="0.3">
      <c r="E480"/>
    </row>
    <row r="481" spans="5:5" ht="15.05" x14ac:dyDescent="0.3">
      <c r="E481"/>
    </row>
    <row r="482" spans="5:5" ht="15.05" x14ac:dyDescent="0.3">
      <c r="E482"/>
    </row>
    <row r="483" spans="5:5" ht="15.05" x14ac:dyDescent="0.3">
      <c r="E483"/>
    </row>
    <row r="484" spans="5:5" ht="15.05" x14ac:dyDescent="0.3">
      <c r="E484"/>
    </row>
    <row r="485" spans="5:5" ht="15.05" x14ac:dyDescent="0.3">
      <c r="E485"/>
    </row>
    <row r="486" spans="5:5" ht="15.05" x14ac:dyDescent="0.3">
      <c r="E486"/>
    </row>
    <row r="487" spans="5:5" ht="15.05" x14ac:dyDescent="0.3">
      <c r="E487"/>
    </row>
    <row r="488" spans="5:5" ht="15.05" x14ac:dyDescent="0.3">
      <c r="E488"/>
    </row>
    <row r="489" spans="5:5" ht="15.05" x14ac:dyDescent="0.3">
      <c r="E489"/>
    </row>
    <row r="490" spans="5:5" ht="15.05" x14ac:dyDescent="0.3">
      <c r="E490"/>
    </row>
    <row r="491" spans="5:5" ht="15.05" x14ac:dyDescent="0.3">
      <c r="E491"/>
    </row>
    <row r="492" spans="5:5" ht="15.05" x14ac:dyDescent="0.3">
      <c r="E492"/>
    </row>
    <row r="493" spans="5:5" ht="15.05" x14ac:dyDescent="0.3">
      <c r="E493"/>
    </row>
    <row r="494" spans="5:5" ht="15.05" x14ac:dyDescent="0.3">
      <c r="E494"/>
    </row>
    <row r="495" spans="5:5" ht="15.05" x14ac:dyDescent="0.3">
      <c r="E495"/>
    </row>
    <row r="496" spans="5:5" ht="15.05" x14ac:dyDescent="0.3">
      <c r="E496"/>
    </row>
    <row r="497" spans="5:5" ht="15.05" x14ac:dyDescent="0.3">
      <c r="E497"/>
    </row>
    <row r="498" spans="5:5" ht="15.05" x14ac:dyDescent="0.3">
      <c r="E498"/>
    </row>
    <row r="499" spans="5:5" ht="15.05" x14ac:dyDescent="0.3">
      <c r="E499"/>
    </row>
    <row r="500" spans="5:5" ht="15.05" x14ac:dyDescent="0.3">
      <c r="E500"/>
    </row>
    <row r="501" spans="5:5" ht="15.05" x14ac:dyDescent="0.3">
      <c r="E501"/>
    </row>
    <row r="502" spans="5:5" ht="15.05" x14ac:dyDescent="0.3">
      <c r="E502"/>
    </row>
    <row r="503" spans="5:5" ht="15.05" x14ac:dyDescent="0.3">
      <c r="E503"/>
    </row>
    <row r="504" spans="5:5" ht="15.05" x14ac:dyDescent="0.3">
      <c r="E504"/>
    </row>
    <row r="505" spans="5:5" ht="15.05" x14ac:dyDescent="0.3">
      <c r="E505"/>
    </row>
    <row r="506" spans="5:5" ht="15.05" x14ac:dyDescent="0.3">
      <c r="E506"/>
    </row>
    <row r="507" spans="5:5" ht="15.05" x14ac:dyDescent="0.3">
      <c r="E507"/>
    </row>
    <row r="508" spans="5:5" ht="15.05" x14ac:dyDescent="0.3">
      <c r="E508"/>
    </row>
    <row r="509" spans="5:5" ht="15.05" x14ac:dyDescent="0.3">
      <c r="E509"/>
    </row>
    <row r="510" spans="5:5" ht="15.05" x14ac:dyDescent="0.3">
      <c r="E510"/>
    </row>
    <row r="511" spans="5:5" ht="15.05" x14ac:dyDescent="0.3">
      <c r="E511"/>
    </row>
    <row r="512" spans="5:5" ht="15.05" x14ac:dyDescent="0.3">
      <c r="E512"/>
    </row>
    <row r="513" spans="5:5" ht="15.05" x14ac:dyDescent="0.3">
      <c r="E513"/>
    </row>
    <row r="514" spans="5:5" ht="15.05" x14ac:dyDescent="0.3">
      <c r="E514"/>
    </row>
    <row r="515" spans="5:5" ht="15.05" x14ac:dyDescent="0.3">
      <c r="E515"/>
    </row>
    <row r="516" spans="5:5" ht="15.05" x14ac:dyDescent="0.3">
      <c r="E516"/>
    </row>
    <row r="517" spans="5:5" ht="15.05" x14ac:dyDescent="0.3">
      <c r="E517"/>
    </row>
    <row r="518" spans="5:5" ht="15.05" x14ac:dyDescent="0.3">
      <c r="E518"/>
    </row>
    <row r="519" spans="5:5" ht="15.05" x14ac:dyDescent="0.3">
      <c r="E519"/>
    </row>
    <row r="520" spans="5:5" ht="15.05" x14ac:dyDescent="0.3">
      <c r="E520"/>
    </row>
    <row r="521" spans="5:5" ht="15.05" x14ac:dyDescent="0.3">
      <c r="E521"/>
    </row>
    <row r="522" spans="5:5" ht="15.05" x14ac:dyDescent="0.3">
      <c r="E522"/>
    </row>
    <row r="523" spans="5:5" ht="15.05" x14ac:dyDescent="0.3">
      <c r="E523"/>
    </row>
    <row r="524" spans="5:5" ht="15.05" x14ac:dyDescent="0.3">
      <c r="E524"/>
    </row>
    <row r="525" spans="5:5" ht="15.05" x14ac:dyDescent="0.3">
      <c r="E525"/>
    </row>
    <row r="526" spans="5:5" ht="15.05" x14ac:dyDescent="0.3">
      <c r="E526"/>
    </row>
    <row r="527" spans="5:5" ht="15.05" x14ac:dyDescent="0.3">
      <c r="E527"/>
    </row>
    <row r="528" spans="5:5" ht="15.05" x14ac:dyDescent="0.3">
      <c r="E528"/>
    </row>
    <row r="529" spans="5:5" ht="15.05" x14ac:dyDescent="0.3">
      <c r="E529"/>
    </row>
    <row r="530" spans="5:5" ht="15.05" x14ac:dyDescent="0.3">
      <c r="E530"/>
    </row>
    <row r="531" spans="5:5" ht="15.05" x14ac:dyDescent="0.3">
      <c r="E531"/>
    </row>
    <row r="532" spans="5:5" ht="15.05" x14ac:dyDescent="0.3">
      <c r="E532"/>
    </row>
    <row r="533" spans="5:5" ht="15.05" x14ac:dyDescent="0.3">
      <c r="E533"/>
    </row>
    <row r="534" spans="5:5" ht="15.05" x14ac:dyDescent="0.3">
      <c r="E534"/>
    </row>
    <row r="535" spans="5:5" ht="15.05" x14ac:dyDescent="0.3">
      <c r="E535"/>
    </row>
    <row r="536" spans="5:5" ht="15.05" x14ac:dyDescent="0.3">
      <c r="E536"/>
    </row>
    <row r="537" spans="5:5" ht="15.05" x14ac:dyDescent="0.3">
      <c r="E537"/>
    </row>
    <row r="538" spans="5:5" ht="15.05" x14ac:dyDescent="0.3">
      <c r="E538"/>
    </row>
    <row r="539" spans="5:5" ht="15.05" x14ac:dyDescent="0.3">
      <c r="E539"/>
    </row>
    <row r="540" spans="5:5" ht="15.05" x14ac:dyDescent="0.3">
      <c r="E540"/>
    </row>
    <row r="541" spans="5:5" ht="15.05" x14ac:dyDescent="0.3">
      <c r="E541"/>
    </row>
    <row r="542" spans="5:5" ht="15.05" x14ac:dyDescent="0.3">
      <c r="E542"/>
    </row>
    <row r="543" spans="5:5" ht="15.05" x14ac:dyDescent="0.3">
      <c r="E543"/>
    </row>
    <row r="544" spans="5:5" ht="15.05" x14ac:dyDescent="0.3">
      <c r="E544"/>
    </row>
    <row r="545" spans="5:5" ht="15.05" x14ac:dyDescent="0.3">
      <c r="E545"/>
    </row>
    <row r="546" spans="5:5" ht="15.05" x14ac:dyDescent="0.3">
      <c r="E546"/>
    </row>
    <row r="547" spans="5:5" ht="15.05" x14ac:dyDescent="0.3">
      <c r="E547"/>
    </row>
    <row r="548" spans="5:5" ht="15.05" x14ac:dyDescent="0.3">
      <c r="E548"/>
    </row>
    <row r="549" spans="5:5" ht="15.05" x14ac:dyDescent="0.3">
      <c r="E549"/>
    </row>
    <row r="550" spans="5:5" ht="15.05" x14ac:dyDescent="0.3">
      <c r="E550"/>
    </row>
    <row r="551" spans="5:5" ht="15.05" x14ac:dyDescent="0.3">
      <c r="E551"/>
    </row>
    <row r="552" spans="5:5" ht="15.05" x14ac:dyDescent="0.3">
      <c r="E552"/>
    </row>
    <row r="553" spans="5:5" ht="15.05" x14ac:dyDescent="0.3">
      <c r="E553"/>
    </row>
    <row r="554" spans="5:5" ht="15.05" x14ac:dyDescent="0.3">
      <c r="E554"/>
    </row>
    <row r="555" spans="5:5" ht="15.05" x14ac:dyDescent="0.3">
      <c r="E555"/>
    </row>
    <row r="556" spans="5:5" ht="15.05" x14ac:dyDescent="0.3">
      <c r="E556"/>
    </row>
    <row r="557" spans="5:5" ht="15.05" x14ac:dyDescent="0.3">
      <c r="E557"/>
    </row>
    <row r="558" spans="5:5" ht="15.05" x14ac:dyDescent="0.3">
      <c r="E558"/>
    </row>
    <row r="559" spans="5:5" ht="15.05" x14ac:dyDescent="0.3">
      <c r="E559"/>
    </row>
    <row r="560" spans="5:5" ht="15.05" x14ac:dyDescent="0.3">
      <c r="E560"/>
    </row>
    <row r="561" spans="5:5" ht="15.05" x14ac:dyDescent="0.3">
      <c r="E561"/>
    </row>
    <row r="562" spans="5:5" ht="15.05" x14ac:dyDescent="0.3">
      <c r="E562"/>
    </row>
    <row r="563" spans="5:5" ht="15.05" x14ac:dyDescent="0.3">
      <c r="E563"/>
    </row>
    <row r="564" spans="5:5" ht="15.05" x14ac:dyDescent="0.3">
      <c r="E564"/>
    </row>
    <row r="565" spans="5:5" ht="15.05" x14ac:dyDescent="0.3">
      <c r="E565"/>
    </row>
    <row r="566" spans="5:5" ht="15.05" x14ac:dyDescent="0.3">
      <c r="E566"/>
    </row>
    <row r="567" spans="5:5" ht="15.05" x14ac:dyDescent="0.3">
      <c r="E567"/>
    </row>
    <row r="568" spans="5:5" ht="15.05" x14ac:dyDescent="0.3">
      <c r="E568"/>
    </row>
    <row r="569" spans="5:5" ht="15.05" x14ac:dyDescent="0.3">
      <c r="E569"/>
    </row>
    <row r="570" spans="5:5" ht="15.05" x14ac:dyDescent="0.3">
      <c r="E570"/>
    </row>
    <row r="571" spans="5:5" ht="15.05" x14ac:dyDescent="0.3">
      <c r="E571"/>
    </row>
    <row r="572" spans="5:5" ht="15.05" x14ac:dyDescent="0.3">
      <c r="E572"/>
    </row>
    <row r="573" spans="5:5" ht="15.05" x14ac:dyDescent="0.3">
      <c r="E573"/>
    </row>
    <row r="574" spans="5:5" ht="15.05" x14ac:dyDescent="0.3">
      <c r="E574"/>
    </row>
    <row r="575" spans="5:5" ht="15.05" x14ac:dyDescent="0.3">
      <c r="E575"/>
    </row>
    <row r="576" spans="5:5" ht="15.05" x14ac:dyDescent="0.3">
      <c r="E576"/>
    </row>
    <row r="577" spans="5:5" ht="15.05" x14ac:dyDescent="0.3">
      <c r="E577"/>
    </row>
    <row r="578" spans="5:5" ht="15.05" x14ac:dyDescent="0.3">
      <c r="E578"/>
    </row>
    <row r="579" spans="5:5" ht="15.05" x14ac:dyDescent="0.3">
      <c r="E579"/>
    </row>
    <row r="580" spans="5:5" ht="15.05" x14ac:dyDescent="0.3">
      <c r="E580"/>
    </row>
    <row r="581" spans="5:5" ht="15.05" x14ac:dyDescent="0.3">
      <c r="E581"/>
    </row>
    <row r="582" spans="5:5" ht="15.05" x14ac:dyDescent="0.3">
      <c r="E582"/>
    </row>
    <row r="583" spans="5:5" ht="15.05" x14ac:dyDescent="0.3">
      <c r="E583"/>
    </row>
    <row r="584" spans="5:5" ht="15.05" x14ac:dyDescent="0.3">
      <c r="E584"/>
    </row>
    <row r="585" spans="5:5" ht="15.05" x14ac:dyDescent="0.3">
      <c r="E585"/>
    </row>
    <row r="586" spans="5:5" ht="15.05" x14ac:dyDescent="0.3">
      <c r="E586"/>
    </row>
    <row r="587" spans="5:5" ht="15.05" x14ac:dyDescent="0.3">
      <c r="E587"/>
    </row>
    <row r="588" spans="5:5" ht="15.05" x14ac:dyDescent="0.3">
      <c r="E588"/>
    </row>
    <row r="589" spans="5:5" ht="15.05" x14ac:dyDescent="0.3">
      <c r="E589"/>
    </row>
    <row r="590" spans="5:5" ht="15.05" x14ac:dyDescent="0.3">
      <c r="E590"/>
    </row>
    <row r="591" spans="5:5" ht="15.05" x14ac:dyDescent="0.3">
      <c r="E591"/>
    </row>
    <row r="592" spans="5:5" ht="15.05" x14ac:dyDescent="0.3">
      <c r="E592"/>
    </row>
    <row r="593" spans="5:5" ht="15.05" x14ac:dyDescent="0.3">
      <c r="E593"/>
    </row>
    <row r="594" spans="5:5" ht="15.05" x14ac:dyDescent="0.3">
      <c r="E594"/>
    </row>
    <row r="595" spans="5:5" ht="15.05" x14ac:dyDescent="0.3">
      <c r="E595"/>
    </row>
    <row r="596" spans="5:5" ht="15.05" x14ac:dyDescent="0.3">
      <c r="E596"/>
    </row>
    <row r="597" spans="5:5" ht="15.05" x14ac:dyDescent="0.3">
      <c r="E597"/>
    </row>
    <row r="598" spans="5:5" ht="15.05" x14ac:dyDescent="0.3">
      <c r="E598"/>
    </row>
    <row r="599" spans="5:5" ht="15.05" x14ac:dyDescent="0.3">
      <c r="E599"/>
    </row>
    <row r="600" spans="5:5" ht="15.05" x14ac:dyDescent="0.3">
      <c r="E600"/>
    </row>
    <row r="601" spans="5:5" ht="15.05" x14ac:dyDescent="0.3">
      <c r="E601"/>
    </row>
    <row r="602" spans="5:5" ht="15.05" x14ac:dyDescent="0.3">
      <c r="E602"/>
    </row>
    <row r="603" spans="5:5" ht="15.05" x14ac:dyDescent="0.3">
      <c r="E603"/>
    </row>
    <row r="604" spans="5:5" ht="15.05" x14ac:dyDescent="0.3">
      <c r="E604"/>
    </row>
    <row r="605" spans="5:5" ht="15.05" x14ac:dyDescent="0.3">
      <c r="E605"/>
    </row>
    <row r="606" spans="5:5" ht="15.05" x14ac:dyDescent="0.3">
      <c r="E606"/>
    </row>
    <row r="607" spans="5:5" ht="15.05" x14ac:dyDescent="0.3">
      <c r="E607"/>
    </row>
    <row r="608" spans="5:5" ht="15.05" x14ac:dyDescent="0.3">
      <c r="E608"/>
    </row>
    <row r="609" spans="5:5" ht="15.05" x14ac:dyDescent="0.3">
      <c r="E609"/>
    </row>
    <row r="610" spans="5:5" ht="15.05" x14ac:dyDescent="0.3">
      <c r="E610"/>
    </row>
    <row r="611" spans="5:5" ht="15.05" x14ac:dyDescent="0.3">
      <c r="E611"/>
    </row>
    <row r="612" spans="5:5" ht="15.05" x14ac:dyDescent="0.3">
      <c r="E612"/>
    </row>
    <row r="613" spans="5:5" ht="15.05" x14ac:dyDescent="0.3">
      <c r="E613"/>
    </row>
    <row r="614" spans="5:5" ht="15.05" x14ac:dyDescent="0.3">
      <c r="E614"/>
    </row>
    <row r="615" spans="5:5" ht="15.05" x14ac:dyDescent="0.3">
      <c r="E615"/>
    </row>
    <row r="616" spans="5:5" ht="15.05" x14ac:dyDescent="0.3">
      <c r="E616"/>
    </row>
    <row r="617" spans="5:5" ht="15.05" x14ac:dyDescent="0.3">
      <c r="E617"/>
    </row>
    <row r="618" spans="5:5" ht="15.05" x14ac:dyDescent="0.3">
      <c r="E618"/>
    </row>
    <row r="619" spans="5:5" ht="15.05" x14ac:dyDescent="0.3">
      <c r="E619"/>
    </row>
    <row r="620" spans="5:5" ht="15.05" x14ac:dyDescent="0.3">
      <c r="E620"/>
    </row>
    <row r="621" spans="5:5" ht="15.05" x14ac:dyDescent="0.3">
      <c r="E621"/>
    </row>
    <row r="622" spans="5:5" ht="15.05" x14ac:dyDescent="0.3">
      <c r="E622"/>
    </row>
    <row r="623" spans="5:5" ht="15.05" x14ac:dyDescent="0.3">
      <c r="E623"/>
    </row>
    <row r="624" spans="5:5" ht="15.05" x14ac:dyDescent="0.3">
      <c r="E624"/>
    </row>
    <row r="625" spans="5:5" ht="15.05" x14ac:dyDescent="0.3">
      <c r="E625"/>
    </row>
    <row r="626" spans="5:5" ht="15.05" x14ac:dyDescent="0.3">
      <c r="E626"/>
    </row>
    <row r="627" spans="5:5" ht="15.05" x14ac:dyDescent="0.3">
      <c r="E627"/>
    </row>
    <row r="628" spans="5:5" ht="15.05" x14ac:dyDescent="0.3">
      <c r="E628"/>
    </row>
    <row r="629" spans="5:5" ht="15.05" x14ac:dyDescent="0.3">
      <c r="E629"/>
    </row>
    <row r="630" spans="5:5" ht="15.05" x14ac:dyDescent="0.3">
      <c r="E630"/>
    </row>
    <row r="631" spans="5:5" ht="15.05" x14ac:dyDescent="0.3">
      <c r="E631"/>
    </row>
    <row r="632" spans="5:5" ht="15.05" x14ac:dyDescent="0.3">
      <c r="E632"/>
    </row>
    <row r="633" spans="5:5" ht="15.05" x14ac:dyDescent="0.3">
      <c r="E633"/>
    </row>
    <row r="634" spans="5:5" ht="15.05" x14ac:dyDescent="0.3">
      <c r="E634"/>
    </row>
    <row r="635" spans="5:5" ht="15.05" x14ac:dyDescent="0.3">
      <c r="E635"/>
    </row>
    <row r="636" spans="5:5" ht="15.05" x14ac:dyDescent="0.3">
      <c r="E636"/>
    </row>
    <row r="637" spans="5:5" ht="15.05" x14ac:dyDescent="0.3">
      <c r="E637"/>
    </row>
    <row r="638" spans="5:5" ht="15.05" x14ac:dyDescent="0.3">
      <c r="E638"/>
    </row>
    <row r="639" spans="5:5" ht="15.05" x14ac:dyDescent="0.3">
      <c r="E639"/>
    </row>
    <row r="640" spans="5:5" ht="15.05" x14ac:dyDescent="0.3">
      <c r="E640"/>
    </row>
    <row r="641" spans="5:5" ht="15.05" x14ac:dyDescent="0.3">
      <c r="E641"/>
    </row>
    <row r="642" spans="5:5" ht="15.05" x14ac:dyDescent="0.3">
      <c r="E642"/>
    </row>
    <row r="643" spans="5:5" ht="15.05" x14ac:dyDescent="0.3">
      <c r="E643"/>
    </row>
    <row r="644" spans="5:5" ht="15.05" x14ac:dyDescent="0.3">
      <c r="E644"/>
    </row>
    <row r="645" spans="5:5" ht="15.05" x14ac:dyDescent="0.3">
      <c r="E645"/>
    </row>
    <row r="646" spans="5:5" ht="15.05" x14ac:dyDescent="0.3">
      <c r="E646"/>
    </row>
    <row r="647" spans="5:5" ht="15.05" x14ac:dyDescent="0.3">
      <c r="E647"/>
    </row>
    <row r="648" spans="5:5" ht="15.05" x14ac:dyDescent="0.3">
      <c r="E648"/>
    </row>
    <row r="649" spans="5:5" ht="15.05" x14ac:dyDescent="0.3">
      <c r="E649"/>
    </row>
    <row r="650" spans="5:5" ht="15.05" x14ac:dyDescent="0.3">
      <c r="E650"/>
    </row>
    <row r="651" spans="5:5" ht="15.05" x14ac:dyDescent="0.3">
      <c r="E651"/>
    </row>
    <row r="652" spans="5:5" ht="15.05" x14ac:dyDescent="0.3">
      <c r="E652"/>
    </row>
    <row r="653" spans="5:5" ht="15.05" x14ac:dyDescent="0.3">
      <c r="E653"/>
    </row>
    <row r="654" spans="5:5" ht="15.05" x14ac:dyDescent="0.3">
      <c r="E654"/>
    </row>
    <row r="655" spans="5:5" ht="15.05" x14ac:dyDescent="0.3">
      <c r="E655"/>
    </row>
    <row r="656" spans="5:5" ht="15.05" x14ac:dyDescent="0.3">
      <c r="E656"/>
    </row>
    <row r="657" spans="5:5" ht="15.05" x14ac:dyDescent="0.3">
      <c r="E657"/>
    </row>
    <row r="658" spans="5:5" ht="15.05" x14ac:dyDescent="0.3">
      <c r="E658"/>
    </row>
    <row r="659" spans="5:5" ht="15.05" x14ac:dyDescent="0.3">
      <c r="E659"/>
    </row>
    <row r="660" spans="5:5" ht="15.05" x14ac:dyDescent="0.3">
      <c r="E660"/>
    </row>
    <row r="661" spans="5:5" ht="15.05" x14ac:dyDescent="0.3">
      <c r="E661"/>
    </row>
    <row r="662" spans="5:5" ht="15.05" x14ac:dyDescent="0.3">
      <c r="E662"/>
    </row>
    <row r="663" spans="5:5" ht="15.05" x14ac:dyDescent="0.3">
      <c r="E663"/>
    </row>
    <row r="664" spans="5:5" ht="15.05" x14ac:dyDescent="0.3">
      <c r="E664"/>
    </row>
    <row r="665" spans="5:5" ht="15.05" x14ac:dyDescent="0.3">
      <c r="E665"/>
    </row>
    <row r="666" spans="5:5" ht="15.05" x14ac:dyDescent="0.3">
      <c r="E666"/>
    </row>
    <row r="667" spans="5:5" ht="15.05" x14ac:dyDescent="0.3">
      <c r="E667"/>
    </row>
    <row r="668" spans="5:5" ht="15.05" x14ac:dyDescent="0.3">
      <c r="E668"/>
    </row>
    <row r="669" spans="5:5" ht="15.05" x14ac:dyDescent="0.3">
      <c r="E669"/>
    </row>
    <row r="670" spans="5:5" ht="15.05" x14ac:dyDescent="0.3">
      <c r="E670"/>
    </row>
    <row r="671" spans="5:5" ht="15.05" x14ac:dyDescent="0.3">
      <c r="E671"/>
    </row>
    <row r="672" spans="5:5" ht="15.05" x14ac:dyDescent="0.3">
      <c r="E672"/>
    </row>
    <row r="673" spans="5:5" ht="15.05" x14ac:dyDescent="0.3">
      <c r="E673"/>
    </row>
    <row r="674" spans="5:5" ht="15.05" x14ac:dyDescent="0.3">
      <c r="E674"/>
    </row>
    <row r="675" spans="5:5" ht="15.05" x14ac:dyDescent="0.3">
      <c r="E675"/>
    </row>
    <row r="676" spans="5:5" ht="15.05" x14ac:dyDescent="0.3">
      <c r="E676"/>
    </row>
    <row r="677" spans="5:5" ht="15.05" x14ac:dyDescent="0.3">
      <c r="E677"/>
    </row>
    <row r="678" spans="5:5" ht="15.05" x14ac:dyDescent="0.3">
      <c r="E678"/>
    </row>
    <row r="679" spans="5:5" ht="15.05" x14ac:dyDescent="0.3">
      <c r="E679"/>
    </row>
    <row r="680" spans="5:5" ht="15.05" x14ac:dyDescent="0.3">
      <c r="E680"/>
    </row>
    <row r="681" spans="5:5" ht="15.05" x14ac:dyDescent="0.3">
      <c r="E681"/>
    </row>
    <row r="682" spans="5:5" ht="15.05" x14ac:dyDescent="0.3">
      <c r="E682"/>
    </row>
    <row r="683" spans="5:5" ht="15.05" x14ac:dyDescent="0.3">
      <c r="E683"/>
    </row>
    <row r="684" spans="5:5" ht="15.05" x14ac:dyDescent="0.3">
      <c r="E684"/>
    </row>
    <row r="685" spans="5:5" ht="15.05" x14ac:dyDescent="0.3">
      <c r="E685"/>
    </row>
    <row r="686" spans="5:5" ht="15.05" x14ac:dyDescent="0.3">
      <c r="E686"/>
    </row>
    <row r="687" spans="5:5" ht="15.05" x14ac:dyDescent="0.3">
      <c r="E687"/>
    </row>
    <row r="688" spans="5:5" ht="15.05" x14ac:dyDescent="0.3">
      <c r="E688"/>
    </row>
    <row r="689" spans="5:5" ht="15.05" x14ac:dyDescent="0.3">
      <c r="E689"/>
    </row>
    <row r="690" spans="5:5" ht="15.05" x14ac:dyDescent="0.3">
      <c r="E690"/>
    </row>
    <row r="691" spans="5:5" ht="15.05" x14ac:dyDescent="0.3">
      <c r="E691"/>
    </row>
    <row r="692" spans="5:5" ht="15.05" x14ac:dyDescent="0.3">
      <c r="E692"/>
    </row>
    <row r="693" spans="5:5" ht="15.05" x14ac:dyDescent="0.3">
      <c r="E693"/>
    </row>
    <row r="694" spans="5:5" ht="15.05" x14ac:dyDescent="0.3">
      <c r="E694"/>
    </row>
    <row r="695" spans="5:5" ht="15.05" x14ac:dyDescent="0.3">
      <c r="E695"/>
    </row>
    <row r="696" spans="5:5" ht="15.05" x14ac:dyDescent="0.3">
      <c r="E696"/>
    </row>
    <row r="697" spans="5:5" ht="15.05" x14ac:dyDescent="0.3">
      <c r="E697"/>
    </row>
    <row r="698" spans="5:5" ht="15.05" x14ac:dyDescent="0.3">
      <c r="E698"/>
    </row>
    <row r="699" spans="5:5" ht="15.05" x14ac:dyDescent="0.3">
      <c r="E699"/>
    </row>
    <row r="700" spans="5:5" ht="15.05" x14ac:dyDescent="0.3">
      <c r="E700"/>
    </row>
    <row r="701" spans="5:5" ht="15.05" x14ac:dyDescent="0.3">
      <c r="E701"/>
    </row>
    <row r="702" spans="5:5" ht="15.05" x14ac:dyDescent="0.3">
      <c r="E702"/>
    </row>
    <row r="703" spans="5:5" ht="15.05" x14ac:dyDescent="0.3">
      <c r="E703"/>
    </row>
    <row r="704" spans="5:5" ht="15.05" x14ac:dyDescent="0.3">
      <c r="E704"/>
    </row>
    <row r="705" spans="5:5" ht="15.05" x14ac:dyDescent="0.3">
      <c r="E705"/>
    </row>
    <row r="706" spans="5:5" ht="15.05" x14ac:dyDescent="0.3">
      <c r="E706"/>
    </row>
    <row r="707" spans="5:5" ht="15.05" x14ac:dyDescent="0.3">
      <c r="E707"/>
    </row>
    <row r="708" spans="5:5" ht="15.05" x14ac:dyDescent="0.3">
      <c r="E708"/>
    </row>
    <row r="709" spans="5:5" ht="15.05" x14ac:dyDescent="0.3">
      <c r="E709"/>
    </row>
    <row r="710" spans="5:5" ht="15.05" x14ac:dyDescent="0.3">
      <c r="E710"/>
    </row>
    <row r="711" spans="5:5" ht="15.05" x14ac:dyDescent="0.3">
      <c r="E711"/>
    </row>
    <row r="712" spans="5:5" ht="15.05" x14ac:dyDescent="0.3">
      <c r="E712"/>
    </row>
    <row r="713" spans="5:5" ht="15.05" x14ac:dyDescent="0.3">
      <c r="E713"/>
    </row>
    <row r="714" spans="5:5" ht="15.05" x14ac:dyDescent="0.3">
      <c r="E714"/>
    </row>
    <row r="715" spans="5:5" ht="15.05" x14ac:dyDescent="0.3">
      <c r="E715"/>
    </row>
    <row r="716" spans="5:5" ht="15.05" x14ac:dyDescent="0.3">
      <c r="E716"/>
    </row>
    <row r="717" spans="5:5" ht="15.05" x14ac:dyDescent="0.3">
      <c r="E717"/>
    </row>
    <row r="718" spans="5:5" ht="15.05" x14ac:dyDescent="0.3">
      <c r="E718"/>
    </row>
    <row r="719" spans="5:5" ht="15.05" x14ac:dyDescent="0.3">
      <c r="E719"/>
    </row>
    <row r="720" spans="5:5" ht="15.05" x14ac:dyDescent="0.3">
      <c r="E720"/>
    </row>
    <row r="721" spans="5:5" ht="15.05" x14ac:dyDescent="0.3">
      <c r="E721"/>
    </row>
    <row r="722" spans="5:5" ht="15.05" x14ac:dyDescent="0.3">
      <c r="E722"/>
    </row>
    <row r="723" spans="5:5" ht="15.05" x14ac:dyDescent="0.3">
      <c r="E723"/>
    </row>
    <row r="724" spans="5:5" ht="15.05" x14ac:dyDescent="0.3">
      <c r="E724"/>
    </row>
    <row r="725" spans="5:5" ht="15.05" x14ac:dyDescent="0.3">
      <c r="E725"/>
    </row>
    <row r="726" spans="5:5" ht="15.05" x14ac:dyDescent="0.3">
      <c r="E726"/>
    </row>
    <row r="727" spans="5:5" ht="15.05" x14ac:dyDescent="0.3">
      <c r="E727"/>
    </row>
    <row r="728" spans="5:5" ht="15.05" x14ac:dyDescent="0.3">
      <c r="E728"/>
    </row>
    <row r="729" spans="5:5" ht="15.05" x14ac:dyDescent="0.3">
      <c r="E729"/>
    </row>
    <row r="730" spans="5:5" ht="15.05" x14ac:dyDescent="0.3">
      <c r="E730"/>
    </row>
    <row r="731" spans="5:5" ht="15.05" x14ac:dyDescent="0.3">
      <c r="E731"/>
    </row>
    <row r="732" spans="5:5" ht="15.05" x14ac:dyDescent="0.3">
      <c r="E732"/>
    </row>
    <row r="733" spans="5:5" ht="15.05" x14ac:dyDescent="0.3">
      <c r="E733"/>
    </row>
    <row r="734" spans="5:5" ht="15.05" x14ac:dyDescent="0.3">
      <c r="E734"/>
    </row>
    <row r="735" spans="5:5" ht="15.05" x14ac:dyDescent="0.3">
      <c r="E735"/>
    </row>
    <row r="736" spans="5:5" ht="15.05" x14ac:dyDescent="0.3">
      <c r="E736"/>
    </row>
    <row r="737" spans="5:5" ht="15.05" x14ac:dyDescent="0.3">
      <c r="E737"/>
    </row>
    <row r="738" spans="5:5" ht="15.05" x14ac:dyDescent="0.3">
      <c r="E738"/>
    </row>
    <row r="739" spans="5:5" ht="15.05" x14ac:dyDescent="0.3">
      <c r="E739"/>
    </row>
    <row r="740" spans="5:5" ht="15.05" x14ac:dyDescent="0.3">
      <c r="E740"/>
    </row>
    <row r="741" spans="5:5" ht="15.05" x14ac:dyDescent="0.3">
      <c r="E741"/>
    </row>
    <row r="742" spans="5:5" ht="15.05" x14ac:dyDescent="0.3">
      <c r="E742"/>
    </row>
    <row r="743" spans="5:5" ht="15.05" x14ac:dyDescent="0.3">
      <c r="E743"/>
    </row>
    <row r="744" spans="5:5" ht="15.05" x14ac:dyDescent="0.3">
      <c r="E744"/>
    </row>
    <row r="745" spans="5:5" ht="15.05" x14ac:dyDescent="0.3">
      <c r="E745"/>
    </row>
    <row r="746" spans="5:5" ht="15.05" x14ac:dyDescent="0.3">
      <c r="E746"/>
    </row>
    <row r="747" spans="5:5" ht="15.05" x14ac:dyDescent="0.3">
      <c r="E747"/>
    </row>
    <row r="748" spans="5:5" ht="15.05" x14ac:dyDescent="0.3">
      <c r="E748"/>
    </row>
    <row r="749" spans="5:5" ht="15.05" x14ac:dyDescent="0.3">
      <c r="E749"/>
    </row>
    <row r="750" spans="5:5" ht="15.05" x14ac:dyDescent="0.3">
      <c r="E750"/>
    </row>
    <row r="751" spans="5:5" ht="15.05" x14ac:dyDescent="0.3">
      <c r="E751"/>
    </row>
    <row r="752" spans="5:5" ht="15.05" x14ac:dyDescent="0.3">
      <c r="E752"/>
    </row>
    <row r="753" spans="5:5" ht="15.05" x14ac:dyDescent="0.3">
      <c r="E753"/>
    </row>
    <row r="754" spans="5:5" ht="15.05" x14ac:dyDescent="0.3">
      <c r="E754"/>
    </row>
    <row r="755" spans="5:5" ht="15.05" x14ac:dyDescent="0.3">
      <c r="E755"/>
    </row>
    <row r="756" spans="5:5" ht="15.05" x14ac:dyDescent="0.3">
      <c r="E756"/>
    </row>
    <row r="757" spans="5:5" ht="15.05" x14ac:dyDescent="0.3">
      <c r="E757"/>
    </row>
    <row r="758" spans="5:5" ht="15.05" x14ac:dyDescent="0.3">
      <c r="E758"/>
    </row>
    <row r="759" spans="5:5" ht="15.05" x14ac:dyDescent="0.3">
      <c r="E759"/>
    </row>
    <row r="760" spans="5:5" ht="15.05" x14ac:dyDescent="0.3">
      <c r="E760"/>
    </row>
    <row r="761" spans="5:5" ht="15.05" x14ac:dyDescent="0.3">
      <c r="E761"/>
    </row>
    <row r="762" spans="5:5" ht="15.05" x14ac:dyDescent="0.3">
      <c r="E762"/>
    </row>
    <row r="763" spans="5:5" ht="15.05" x14ac:dyDescent="0.3">
      <c r="E763"/>
    </row>
    <row r="764" spans="5:5" ht="15.05" x14ac:dyDescent="0.3">
      <c r="E764"/>
    </row>
    <row r="765" spans="5:5" ht="15.05" x14ac:dyDescent="0.3">
      <c r="E765"/>
    </row>
    <row r="766" spans="5:5" ht="15.05" x14ac:dyDescent="0.3">
      <c r="E766"/>
    </row>
    <row r="767" spans="5:5" ht="15.05" x14ac:dyDescent="0.3">
      <c r="E767"/>
    </row>
    <row r="768" spans="5:5" ht="15.05" x14ac:dyDescent="0.3">
      <c r="E768"/>
    </row>
    <row r="769" spans="5:5" ht="15.05" x14ac:dyDescent="0.3">
      <c r="E769"/>
    </row>
    <row r="770" spans="5:5" ht="15.05" x14ac:dyDescent="0.3">
      <c r="E770"/>
    </row>
    <row r="771" spans="5:5" ht="15.05" x14ac:dyDescent="0.3">
      <c r="E771"/>
    </row>
    <row r="772" spans="5:5" ht="15.05" x14ac:dyDescent="0.3">
      <c r="E772"/>
    </row>
    <row r="773" spans="5:5" ht="15.05" x14ac:dyDescent="0.3">
      <c r="E773"/>
    </row>
    <row r="774" spans="5:5" ht="15.05" x14ac:dyDescent="0.3">
      <c r="E774"/>
    </row>
    <row r="775" spans="5:5" ht="15.05" x14ac:dyDescent="0.3">
      <c r="E775"/>
    </row>
    <row r="776" spans="5:5" ht="15.05" x14ac:dyDescent="0.3">
      <c r="E776"/>
    </row>
    <row r="777" spans="5:5" ht="15.05" x14ac:dyDescent="0.3">
      <c r="E777"/>
    </row>
    <row r="778" spans="5:5" ht="15.05" x14ac:dyDescent="0.3">
      <c r="E778"/>
    </row>
    <row r="779" spans="5:5" ht="15.05" x14ac:dyDescent="0.3">
      <c r="E779"/>
    </row>
    <row r="780" spans="5:5" ht="15.05" x14ac:dyDescent="0.3">
      <c r="E780"/>
    </row>
    <row r="781" spans="5:5" ht="15.05" x14ac:dyDescent="0.3">
      <c r="E781"/>
    </row>
    <row r="782" spans="5:5" ht="15.05" x14ac:dyDescent="0.3">
      <c r="E782"/>
    </row>
    <row r="783" spans="5:5" ht="15.05" x14ac:dyDescent="0.3">
      <c r="E783"/>
    </row>
    <row r="784" spans="5:5" ht="15.05" x14ac:dyDescent="0.3">
      <c r="E784"/>
    </row>
    <row r="785" spans="5:5" ht="15.05" x14ac:dyDescent="0.3">
      <c r="E785"/>
    </row>
    <row r="786" spans="5:5" ht="15.05" x14ac:dyDescent="0.3">
      <c r="E786"/>
    </row>
    <row r="787" spans="5:5" ht="15.05" x14ac:dyDescent="0.3">
      <c r="E787"/>
    </row>
    <row r="788" spans="5:5" ht="15.05" x14ac:dyDescent="0.3">
      <c r="E788"/>
    </row>
    <row r="789" spans="5:5" ht="15.05" x14ac:dyDescent="0.3">
      <c r="E789"/>
    </row>
    <row r="790" spans="5:5" ht="15.05" x14ac:dyDescent="0.3">
      <c r="E790"/>
    </row>
    <row r="791" spans="5:5" ht="15.05" x14ac:dyDescent="0.3">
      <c r="E791"/>
    </row>
    <row r="792" spans="5:5" ht="15.05" x14ac:dyDescent="0.3">
      <c r="E792"/>
    </row>
    <row r="793" spans="5:5" ht="15.05" x14ac:dyDescent="0.3">
      <c r="E793"/>
    </row>
    <row r="794" spans="5:5" ht="15.05" x14ac:dyDescent="0.3">
      <c r="E794"/>
    </row>
    <row r="795" spans="5:5" ht="15.05" x14ac:dyDescent="0.3">
      <c r="E795"/>
    </row>
    <row r="796" spans="5:5" ht="15.05" x14ac:dyDescent="0.3">
      <c r="E796"/>
    </row>
    <row r="797" spans="5:5" ht="15.05" x14ac:dyDescent="0.3">
      <c r="E797"/>
    </row>
    <row r="798" spans="5:5" ht="15.05" x14ac:dyDescent="0.3">
      <c r="E798"/>
    </row>
    <row r="799" spans="5:5" ht="15.05" x14ac:dyDescent="0.3">
      <c r="E799"/>
    </row>
    <row r="800" spans="5:5" ht="15.05" x14ac:dyDescent="0.3">
      <c r="E800"/>
    </row>
    <row r="801" spans="5:5" ht="15.05" x14ac:dyDescent="0.3">
      <c r="E801"/>
    </row>
    <row r="802" spans="5:5" ht="15.05" x14ac:dyDescent="0.3">
      <c r="E802"/>
    </row>
    <row r="803" spans="5:5" ht="15.05" x14ac:dyDescent="0.3">
      <c r="E803"/>
    </row>
    <row r="804" spans="5:5" ht="15.05" x14ac:dyDescent="0.3">
      <c r="E804"/>
    </row>
    <row r="805" spans="5:5" ht="15.05" x14ac:dyDescent="0.3">
      <c r="E805"/>
    </row>
    <row r="806" spans="5:5" ht="15.05" x14ac:dyDescent="0.3">
      <c r="E806"/>
    </row>
    <row r="807" spans="5:5" ht="15.05" x14ac:dyDescent="0.3">
      <c r="E807"/>
    </row>
    <row r="808" spans="5:5" ht="15.05" x14ac:dyDescent="0.3">
      <c r="E808"/>
    </row>
    <row r="809" spans="5:5" ht="15.05" x14ac:dyDescent="0.3">
      <c r="E809"/>
    </row>
    <row r="810" spans="5:5" ht="15.05" x14ac:dyDescent="0.3">
      <c r="E810"/>
    </row>
    <row r="811" spans="5:5" ht="15.05" x14ac:dyDescent="0.3">
      <c r="E811"/>
    </row>
    <row r="812" spans="5:5" ht="15.05" x14ac:dyDescent="0.3">
      <c r="E812"/>
    </row>
    <row r="813" spans="5:5" ht="15.05" x14ac:dyDescent="0.3">
      <c r="E813"/>
    </row>
    <row r="814" spans="5:5" ht="15.05" x14ac:dyDescent="0.3">
      <c r="E814"/>
    </row>
    <row r="815" spans="5:5" ht="15.05" x14ac:dyDescent="0.3">
      <c r="E815"/>
    </row>
    <row r="816" spans="5:5" ht="15.05" x14ac:dyDescent="0.3">
      <c r="E816"/>
    </row>
    <row r="817" spans="5:5" ht="15.05" x14ac:dyDescent="0.3">
      <c r="E817"/>
    </row>
    <row r="818" spans="5:5" ht="15.05" x14ac:dyDescent="0.3">
      <c r="E818"/>
    </row>
    <row r="819" spans="5:5" ht="15.05" x14ac:dyDescent="0.3">
      <c r="E819"/>
    </row>
    <row r="820" spans="5:5" ht="15.05" x14ac:dyDescent="0.3">
      <c r="E820"/>
    </row>
    <row r="821" spans="5:5" ht="15.05" x14ac:dyDescent="0.3">
      <c r="E821"/>
    </row>
    <row r="822" spans="5:5" ht="15.05" x14ac:dyDescent="0.3">
      <c r="E822"/>
    </row>
    <row r="823" spans="5:5" ht="15.05" x14ac:dyDescent="0.3">
      <c r="E823"/>
    </row>
    <row r="824" spans="5:5" ht="15.05" x14ac:dyDescent="0.3">
      <c r="E824"/>
    </row>
    <row r="825" spans="5:5" ht="15.05" x14ac:dyDescent="0.3">
      <c r="E825"/>
    </row>
    <row r="826" spans="5:5" ht="15.05" x14ac:dyDescent="0.3">
      <c r="E826"/>
    </row>
    <row r="827" spans="5:5" ht="15.05" x14ac:dyDescent="0.3">
      <c r="E827"/>
    </row>
    <row r="828" spans="5:5" ht="15.05" x14ac:dyDescent="0.3">
      <c r="E828"/>
    </row>
    <row r="829" spans="5:5" ht="15.05" x14ac:dyDescent="0.3">
      <c r="E829"/>
    </row>
    <row r="830" spans="5:5" ht="15.05" x14ac:dyDescent="0.3">
      <c r="E830"/>
    </row>
    <row r="831" spans="5:5" ht="15.05" x14ac:dyDescent="0.3">
      <c r="E831"/>
    </row>
    <row r="832" spans="5:5" ht="15.05" x14ac:dyDescent="0.3">
      <c r="E832"/>
    </row>
    <row r="833" spans="5:5" ht="15.05" x14ac:dyDescent="0.3">
      <c r="E833"/>
    </row>
    <row r="834" spans="5:5" ht="15.05" x14ac:dyDescent="0.3">
      <c r="E834"/>
    </row>
    <row r="835" spans="5:5" ht="15.05" x14ac:dyDescent="0.3">
      <c r="E835"/>
    </row>
    <row r="836" spans="5:5" ht="15.05" x14ac:dyDescent="0.3">
      <c r="E836"/>
    </row>
    <row r="837" spans="5:5" ht="15.05" x14ac:dyDescent="0.3">
      <c r="E837"/>
    </row>
    <row r="838" spans="5:5" ht="15.05" x14ac:dyDescent="0.3">
      <c r="E838"/>
    </row>
    <row r="839" spans="5:5" ht="15.05" x14ac:dyDescent="0.3">
      <c r="E839"/>
    </row>
    <row r="840" spans="5:5" ht="15.05" x14ac:dyDescent="0.3">
      <c r="E840"/>
    </row>
    <row r="841" spans="5:5" ht="15.05" x14ac:dyDescent="0.3">
      <c r="E841"/>
    </row>
    <row r="842" spans="5:5" ht="15.05" x14ac:dyDescent="0.3">
      <c r="E842"/>
    </row>
    <row r="843" spans="5:5" ht="15.05" x14ac:dyDescent="0.3">
      <c r="E843"/>
    </row>
    <row r="844" spans="5:5" ht="15.05" x14ac:dyDescent="0.3">
      <c r="E844"/>
    </row>
    <row r="845" spans="5:5" ht="15.05" x14ac:dyDescent="0.3">
      <c r="E845"/>
    </row>
    <row r="846" spans="5:5" ht="15.05" x14ac:dyDescent="0.3">
      <c r="E846"/>
    </row>
    <row r="847" spans="5:5" ht="15.05" x14ac:dyDescent="0.3">
      <c r="E847"/>
    </row>
    <row r="848" spans="5:5" ht="15.05" x14ac:dyDescent="0.3">
      <c r="E848"/>
    </row>
    <row r="849" spans="5:5" ht="15.05" x14ac:dyDescent="0.3">
      <c r="E849"/>
    </row>
    <row r="850" spans="5:5" ht="15.05" x14ac:dyDescent="0.3">
      <c r="E850"/>
    </row>
    <row r="851" spans="5:5" ht="15.05" x14ac:dyDescent="0.3">
      <c r="E851"/>
    </row>
    <row r="852" spans="5:5" ht="15.05" x14ac:dyDescent="0.3">
      <c r="E852"/>
    </row>
    <row r="853" spans="5:5" ht="15.05" x14ac:dyDescent="0.3">
      <c r="E853"/>
    </row>
    <row r="854" spans="5:5" ht="15.05" x14ac:dyDescent="0.3">
      <c r="E854"/>
    </row>
    <row r="855" spans="5:5" ht="15.05" x14ac:dyDescent="0.3">
      <c r="E855"/>
    </row>
    <row r="856" spans="5:5" ht="15.05" x14ac:dyDescent="0.3">
      <c r="E856"/>
    </row>
    <row r="857" spans="5:5" ht="15.05" x14ac:dyDescent="0.3">
      <c r="E857"/>
    </row>
    <row r="858" spans="5:5" ht="15.05" x14ac:dyDescent="0.3">
      <c r="E858"/>
    </row>
    <row r="859" spans="5:5" ht="15.05" x14ac:dyDescent="0.3">
      <c r="E859"/>
    </row>
    <row r="860" spans="5:5" ht="15.05" x14ac:dyDescent="0.3">
      <c r="E860"/>
    </row>
    <row r="861" spans="5:5" ht="15.05" x14ac:dyDescent="0.3">
      <c r="E861"/>
    </row>
    <row r="862" spans="5:5" ht="15.05" x14ac:dyDescent="0.3">
      <c r="E862"/>
    </row>
    <row r="863" spans="5:5" ht="15.05" x14ac:dyDescent="0.3">
      <c r="E863"/>
    </row>
    <row r="864" spans="5:5" ht="15.05" x14ac:dyDescent="0.3">
      <c r="E864"/>
    </row>
    <row r="865" spans="5:5" ht="15.05" x14ac:dyDescent="0.3">
      <c r="E865"/>
    </row>
    <row r="866" spans="5:5" ht="15.05" x14ac:dyDescent="0.3">
      <c r="E866"/>
    </row>
    <row r="867" spans="5:5" ht="15.05" x14ac:dyDescent="0.3">
      <c r="E867"/>
    </row>
    <row r="868" spans="5:5" ht="15.05" x14ac:dyDescent="0.3">
      <c r="E868"/>
    </row>
    <row r="869" spans="5:5" ht="15.05" x14ac:dyDescent="0.3">
      <c r="E869"/>
    </row>
    <row r="870" spans="5:5" ht="15.05" x14ac:dyDescent="0.3">
      <c r="E870"/>
    </row>
    <row r="871" spans="5:5" ht="15.05" x14ac:dyDescent="0.3">
      <c r="E871"/>
    </row>
    <row r="872" spans="5:5" ht="15.05" x14ac:dyDescent="0.3">
      <c r="E872"/>
    </row>
    <row r="873" spans="5:5" ht="15.05" x14ac:dyDescent="0.3">
      <c r="E873"/>
    </row>
    <row r="874" spans="5:5" ht="15.05" x14ac:dyDescent="0.3">
      <c r="E874"/>
    </row>
    <row r="875" spans="5:5" ht="15.05" x14ac:dyDescent="0.3">
      <c r="E875"/>
    </row>
    <row r="876" spans="5:5" ht="15.05" x14ac:dyDescent="0.3">
      <c r="E876"/>
    </row>
    <row r="877" spans="5:5" ht="15.05" x14ac:dyDescent="0.3">
      <c r="E877"/>
    </row>
    <row r="878" spans="5:5" ht="15.05" x14ac:dyDescent="0.3">
      <c r="E878"/>
    </row>
    <row r="879" spans="5:5" ht="15.05" x14ac:dyDescent="0.3">
      <c r="E879"/>
    </row>
    <row r="880" spans="5:5" ht="15.05" x14ac:dyDescent="0.3">
      <c r="E880"/>
    </row>
    <row r="881" spans="5:5" ht="15.05" x14ac:dyDescent="0.3">
      <c r="E881"/>
    </row>
    <row r="882" spans="5:5" ht="15.05" x14ac:dyDescent="0.3">
      <c r="E882"/>
    </row>
    <row r="883" spans="5:5" ht="15.05" x14ac:dyDescent="0.3">
      <c r="E883"/>
    </row>
    <row r="884" spans="5:5" ht="15.05" x14ac:dyDescent="0.3">
      <c r="E884"/>
    </row>
    <row r="885" spans="5:5" ht="15.05" x14ac:dyDescent="0.3">
      <c r="E885"/>
    </row>
    <row r="886" spans="5:5" ht="15.05" x14ac:dyDescent="0.3">
      <c r="E886"/>
    </row>
    <row r="887" spans="5:5" ht="15.05" x14ac:dyDescent="0.3">
      <c r="E887"/>
    </row>
    <row r="888" spans="5:5" ht="15.05" x14ac:dyDescent="0.3">
      <c r="E888"/>
    </row>
    <row r="889" spans="5:5" ht="15.05" x14ac:dyDescent="0.3">
      <c r="E889"/>
    </row>
    <row r="890" spans="5:5" ht="15.05" x14ac:dyDescent="0.3">
      <c r="E890"/>
    </row>
    <row r="891" spans="5:5" ht="15.05" x14ac:dyDescent="0.3">
      <c r="E891"/>
    </row>
    <row r="892" spans="5:5" ht="15.05" x14ac:dyDescent="0.3">
      <c r="E892"/>
    </row>
    <row r="893" spans="5:5" ht="15.05" x14ac:dyDescent="0.3">
      <c r="E893"/>
    </row>
    <row r="894" spans="5:5" ht="15.05" x14ac:dyDescent="0.3">
      <c r="E894"/>
    </row>
    <row r="895" spans="5:5" ht="15.05" x14ac:dyDescent="0.3">
      <c r="E895"/>
    </row>
    <row r="896" spans="5:5" ht="15.05" x14ac:dyDescent="0.3">
      <c r="E896"/>
    </row>
    <row r="897" spans="5:5" ht="15.05" x14ac:dyDescent="0.3">
      <c r="E897"/>
    </row>
    <row r="898" spans="5:5" ht="15.05" x14ac:dyDescent="0.3">
      <c r="E898"/>
    </row>
    <row r="899" spans="5:5" ht="15.05" x14ac:dyDescent="0.3">
      <c r="E899"/>
    </row>
    <row r="900" spans="5:5" ht="15.05" x14ac:dyDescent="0.3">
      <c r="E900"/>
    </row>
    <row r="901" spans="5:5" ht="15.05" x14ac:dyDescent="0.3">
      <c r="E901"/>
    </row>
    <row r="902" spans="5:5" ht="15.05" x14ac:dyDescent="0.3">
      <c r="E902"/>
    </row>
    <row r="903" spans="5:5" ht="15.05" x14ac:dyDescent="0.3">
      <c r="E903"/>
    </row>
    <row r="904" spans="5:5" ht="15.05" x14ac:dyDescent="0.3">
      <c r="E904"/>
    </row>
    <row r="905" spans="5:5" ht="15.05" x14ac:dyDescent="0.3">
      <c r="E905"/>
    </row>
    <row r="906" spans="5:5" ht="15.05" x14ac:dyDescent="0.3">
      <c r="E906"/>
    </row>
    <row r="907" spans="5:5" ht="15.05" x14ac:dyDescent="0.3">
      <c r="E907"/>
    </row>
    <row r="908" spans="5:5" ht="15.05" x14ac:dyDescent="0.3">
      <c r="E908"/>
    </row>
    <row r="909" spans="5:5" ht="15.05" x14ac:dyDescent="0.3">
      <c r="E909"/>
    </row>
    <row r="910" spans="5:5" ht="15.05" x14ac:dyDescent="0.3">
      <c r="E910"/>
    </row>
    <row r="911" spans="5:5" ht="15.05" x14ac:dyDescent="0.3">
      <c r="E911"/>
    </row>
    <row r="912" spans="5:5" ht="15.05" x14ac:dyDescent="0.3">
      <c r="E912"/>
    </row>
    <row r="913" spans="5:5" ht="15.05" x14ac:dyDescent="0.3">
      <c r="E913"/>
    </row>
    <row r="914" spans="5:5" ht="15.05" x14ac:dyDescent="0.3">
      <c r="E914"/>
    </row>
    <row r="915" spans="5:5" ht="15.05" x14ac:dyDescent="0.3">
      <c r="E915"/>
    </row>
    <row r="916" spans="5:5" ht="15.05" x14ac:dyDescent="0.3">
      <c r="E916"/>
    </row>
    <row r="917" spans="5:5" ht="15.05" x14ac:dyDescent="0.3">
      <c r="E917"/>
    </row>
    <row r="918" spans="5:5" ht="15.05" x14ac:dyDescent="0.3">
      <c r="E918"/>
    </row>
    <row r="919" spans="5:5" ht="15.05" x14ac:dyDescent="0.3">
      <c r="E919"/>
    </row>
    <row r="920" spans="5:5" ht="15.05" x14ac:dyDescent="0.3">
      <c r="E920"/>
    </row>
    <row r="921" spans="5:5" ht="15.05" x14ac:dyDescent="0.3">
      <c r="E921"/>
    </row>
    <row r="922" spans="5:5" ht="15.05" x14ac:dyDescent="0.3">
      <c r="E922"/>
    </row>
    <row r="923" spans="5:5" ht="15.05" x14ac:dyDescent="0.3">
      <c r="E923"/>
    </row>
    <row r="924" spans="5:5" ht="15.05" x14ac:dyDescent="0.3">
      <c r="E924"/>
    </row>
    <row r="925" spans="5:5" ht="15.05" x14ac:dyDescent="0.3">
      <c r="E925"/>
    </row>
    <row r="926" spans="5:5" ht="15.05" x14ac:dyDescent="0.3">
      <c r="E926"/>
    </row>
    <row r="927" spans="5:5" ht="15.05" x14ac:dyDescent="0.3">
      <c r="E927"/>
    </row>
    <row r="928" spans="5:5" ht="15.05" x14ac:dyDescent="0.3">
      <c r="E928"/>
    </row>
    <row r="929" spans="5:5" ht="15.05" x14ac:dyDescent="0.3">
      <c r="E929"/>
    </row>
    <row r="930" spans="5:5" ht="15.05" x14ac:dyDescent="0.3">
      <c r="E930"/>
    </row>
    <row r="931" spans="5:5" ht="15.05" x14ac:dyDescent="0.3">
      <c r="E931"/>
    </row>
    <row r="932" spans="5:5" ht="15.05" x14ac:dyDescent="0.3">
      <c r="E932"/>
    </row>
    <row r="933" spans="5:5" ht="15.05" x14ac:dyDescent="0.3">
      <c r="E933"/>
    </row>
    <row r="934" spans="5:5" ht="15.05" x14ac:dyDescent="0.3">
      <c r="E934"/>
    </row>
    <row r="935" spans="5:5" ht="15.05" x14ac:dyDescent="0.3">
      <c r="E935"/>
    </row>
    <row r="936" spans="5:5" ht="15.05" x14ac:dyDescent="0.3">
      <c r="E936"/>
    </row>
    <row r="937" spans="5:5" ht="15.05" x14ac:dyDescent="0.3">
      <c r="E937"/>
    </row>
    <row r="938" spans="5:5" ht="15.05" x14ac:dyDescent="0.3">
      <c r="E938"/>
    </row>
    <row r="939" spans="5:5" ht="15.05" x14ac:dyDescent="0.3">
      <c r="E939"/>
    </row>
    <row r="940" spans="5:5" ht="15.05" x14ac:dyDescent="0.3">
      <c r="E940"/>
    </row>
    <row r="941" spans="5:5" ht="15.05" x14ac:dyDescent="0.3">
      <c r="E941"/>
    </row>
    <row r="942" spans="5:5" ht="15.05" x14ac:dyDescent="0.3">
      <c r="E942"/>
    </row>
    <row r="943" spans="5:5" ht="15.05" x14ac:dyDescent="0.3">
      <c r="E943"/>
    </row>
    <row r="944" spans="5:5" ht="15.05" x14ac:dyDescent="0.3">
      <c r="E944"/>
    </row>
    <row r="945" spans="5:5" ht="15.05" x14ac:dyDescent="0.3">
      <c r="E945"/>
    </row>
    <row r="946" spans="5:5" ht="15.05" x14ac:dyDescent="0.3">
      <c r="E946"/>
    </row>
    <row r="947" spans="5:5" ht="15.05" x14ac:dyDescent="0.3">
      <c r="E947"/>
    </row>
    <row r="948" spans="5:5" ht="15.05" x14ac:dyDescent="0.3">
      <c r="E948"/>
    </row>
    <row r="949" spans="5:5" ht="15.05" x14ac:dyDescent="0.3">
      <c r="E949"/>
    </row>
    <row r="950" spans="5:5" ht="15.05" x14ac:dyDescent="0.3">
      <c r="E950"/>
    </row>
    <row r="951" spans="5:5" ht="15.05" x14ac:dyDescent="0.3">
      <c r="E951"/>
    </row>
    <row r="952" spans="5:5" ht="15.05" x14ac:dyDescent="0.3">
      <c r="E952"/>
    </row>
    <row r="953" spans="5:5" ht="15.05" x14ac:dyDescent="0.3">
      <c r="E953"/>
    </row>
    <row r="954" spans="5:5" ht="15.05" x14ac:dyDescent="0.3">
      <c r="E954"/>
    </row>
    <row r="955" spans="5:5" ht="15.05" x14ac:dyDescent="0.3">
      <c r="E955"/>
    </row>
    <row r="956" spans="5:5" ht="15.05" x14ac:dyDescent="0.3">
      <c r="E956"/>
    </row>
    <row r="957" spans="5:5" ht="15.05" x14ac:dyDescent="0.3">
      <c r="E957"/>
    </row>
    <row r="958" spans="5:5" ht="15.05" x14ac:dyDescent="0.3">
      <c r="E958"/>
    </row>
    <row r="959" spans="5:5" ht="15.05" x14ac:dyDescent="0.3">
      <c r="E959"/>
    </row>
    <row r="960" spans="5:5" ht="15.05" x14ac:dyDescent="0.3">
      <c r="E960"/>
    </row>
    <row r="961" spans="5:5" ht="15.05" x14ac:dyDescent="0.3">
      <c r="E961"/>
    </row>
    <row r="962" spans="5:5" ht="15.05" x14ac:dyDescent="0.3">
      <c r="E962"/>
    </row>
    <row r="963" spans="5:5" ht="15.05" x14ac:dyDescent="0.3">
      <c r="E963"/>
    </row>
    <row r="964" spans="5:5" ht="15.05" x14ac:dyDescent="0.3">
      <c r="E964"/>
    </row>
    <row r="965" spans="5:5" ht="15.05" x14ac:dyDescent="0.3">
      <c r="E965"/>
    </row>
    <row r="966" spans="5:5" ht="15.05" x14ac:dyDescent="0.3">
      <c r="E966"/>
    </row>
    <row r="967" spans="5:5" ht="15.05" x14ac:dyDescent="0.3">
      <c r="E967"/>
    </row>
    <row r="968" spans="5:5" ht="15.05" x14ac:dyDescent="0.3">
      <c r="E968"/>
    </row>
    <row r="969" spans="5:5" ht="15.05" x14ac:dyDescent="0.3">
      <c r="E969"/>
    </row>
    <row r="970" spans="5:5" ht="15.05" x14ac:dyDescent="0.3">
      <c r="E970"/>
    </row>
    <row r="971" spans="5:5" ht="15.05" x14ac:dyDescent="0.3">
      <c r="E971"/>
    </row>
    <row r="972" spans="5:5" ht="15.05" x14ac:dyDescent="0.3">
      <c r="E972"/>
    </row>
    <row r="973" spans="5:5" ht="15.05" x14ac:dyDescent="0.3">
      <c r="E973"/>
    </row>
    <row r="974" spans="5:5" ht="15.05" x14ac:dyDescent="0.3">
      <c r="E974"/>
    </row>
    <row r="975" spans="5:5" ht="15.05" x14ac:dyDescent="0.3">
      <c r="E975"/>
    </row>
    <row r="976" spans="5:5" ht="15.05" x14ac:dyDescent="0.3">
      <c r="E976"/>
    </row>
    <row r="977" spans="5:5" ht="15.05" x14ac:dyDescent="0.3">
      <c r="E977"/>
    </row>
    <row r="978" spans="5:5" ht="15.05" x14ac:dyDescent="0.3">
      <c r="E978"/>
    </row>
    <row r="979" spans="5:5" ht="15.05" x14ac:dyDescent="0.3">
      <c r="E979"/>
    </row>
    <row r="980" spans="5:5" ht="15.05" x14ac:dyDescent="0.3">
      <c r="E980"/>
    </row>
    <row r="981" spans="5:5" ht="15.05" x14ac:dyDescent="0.3">
      <c r="E981"/>
    </row>
    <row r="982" spans="5:5" ht="15.05" x14ac:dyDescent="0.3">
      <c r="E982"/>
    </row>
    <row r="983" spans="5:5" ht="15.05" x14ac:dyDescent="0.3">
      <c r="E983"/>
    </row>
    <row r="984" spans="5:5" ht="15.05" x14ac:dyDescent="0.3">
      <c r="E984"/>
    </row>
    <row r="985" spans="5:5" ht="15.05" x14ac:dyDescent="0.3">
      <c r="E985"/>
    </row>
    <row r="986" spans="5:5" ht="15.05" x14ac:dyDescent="0.3">
      <c r="E986"/>
    </row>
    <row r="987" spans="5:5" ht="15.05" x14ac:dyDescent="0.3">
      <c r="E987"/>
    </row>
    <row r="988" spans="5:5" ht="15.05" x14ac:dyDescent="0.3">
      <c r="E988"/>
    </row>
    <row r="989" spans="5:5" ht="15.05" x14ac:dyDescent="0.3">
      <c r="E989"/>
    </row>
    <row r="990" spans="5:5" ht="15.05" x14ac:dyDescent="0.3">
      <c r="E990"/>
    </row>
    <row r="991" spans="5:5" ht="15.05" x14ac:dyDescent="0.3">
      <c r="E991"/>
    </row>
    <row r="992" spans="5:5" ht="15.05" x14ac:dyDescent="0.3">
      <c r="E992"/>
    </row>
    <row r="993" spans="5:5" ht="15.05" x14ac:dyDescent="0.3">
      <c r="E993"/>
    </row>
    <row r="994" spans="5:5" ht="15.05" x14ac:dyDescent="0.3">
      <c r="E994"/>
    </row>
    <row r="995" spans="5:5" ht="15.05" x14ac:dyDescent="0.3">
      <c r="E995"/>
    </row>
    <row r="996" spans="5:5" ht="15.05" x14ac:dyDescent="0.3">
      <c r="E996"/>
    </row>
    <row r="997" spans="5:5" ht="15.05" x14ac:dyDescent="0.3">
      <c r="E997"/>
    </row>
    <row r="998" spans="5:5" ht="15.05" x14ac:dyDescent="0.3">
      <c r="E998"/>
    </row>
    <row r="999" spans="5:5" ht="15.05" x14ac:dyDescent="0.3">
      <c r="E999"/>
    </row>
    <row r="1000" spans="5:5" ht="15.05" x14ac:dyDescent="0.3">
      <c r="E1000"/>
    </row>
    <row r="1001" spans="5:5" ht="15.05" x14ac:dyDescent="0.3">
      <c r="E1001"/>
    </row>
    <row r="1002" spans="5:5" ht="15.05" x14ac:dyDescent="0.3">
      <c r="E1002"/>
    </row>
    <row r="1003" spans="5:5" ht="15.05" x14ac:dyDescent="0.3">
      <c r="E1003"/>
    </row>
    <row r="1004" spans="5:5" ht="15.05" x14ac:dyDescent="0.3">
      <c r="E1004"/>
    </row>
    <row r="1005" spans="5:5" ht="15.05" x14ac:dyDescent="0.3">
      <c r="E1005"/>
    </row>
    <row r="1006" spans="5:5" ht="15.05" x14ac:dyDescent="0.3">
      <c r="E1006"/>
    </row>
    <row r="1007" spans="5:5" ht="15.05" x14ac:dyDescent="0.3">
      <c r="E1007"/>
    </row>
    <row r="1008" spans="5:5" ht="15.05" x14ac:dyDescent="0.3">
      <c r="E1008"/>
    </row>
    <row r="1009" spans="5:5" ht="15.05" x14ac:dyDescent="0.3">
      <c r="E1009"/>
    </row>
    <row r="1010" spans="5:5" ht="15.05" x14ac:dyDescent="0.3">
      <c r="E1010"/>
    </row>
    <row r="1011" spans="5:5" ht="15.05" x14ac:dyDescent="0.3">
      <c r="E1011"/>
    </row>
    <row r="1012" spans="5:5" ht="15.05" x14ac:dyDescent="0.3">
      <c r="E1012"/>
    </row>
    <row r="1013" spans="5:5" ht="15.05" x14ac:dyDescent="0.3">
      <c r="E1013"/>
    </row>
    <row r="1014" spans="5:5" ht="15.05" x14ac:dyDescent="0.3">
      <c r="E1014"/>
    </row>
    <row r="1015" spans="5:5" ht="15.05" x14ac:dyDescent="0.3">
      <c r="E1015"/>
    </row>
    <row r="1016" spans="5:5" ht="15.05" x14ac:dyDescent="0.3">
      <c r="E1016"/>
    </row>
    <row r="1017" spans="5:5" ht="15.05" x14ac:dyDescent="0.3">
      <c r="E1017"/>
    </row>
    <row r="1018" spans="5:5" ht="15.05" x14ac:dyDescent="0.3">
      <c r="E1018"/>
    </row>
    <row r="1019" spans="5:5" ht="15.05" x14ac:dyDescent="0.3">
      <c r="E1019"/>
    </row>
    <row r="1020" spans="5:5" ht="15.05" x14ac:dyDescent="0.3">
      <c r="E1020"/>
    </row>
    <row r="1021" spans="5:5" ht="15.05" x14ac:dyDescent="0.3">
      <c r="E1021"/>
    </row>
    <row r="1022" spans="5:5" ht="15.05" x14ac:dyDescent="0.3">
      <c r="E1022"/>
    </row>
    <row r="1023" spans="5:5" ht="15.05" x14ac:dyDescent="0.3">
      <c r="E1023"/>
    </row>
    <row r="1024" spans="5:5" ht="15.05" x14ac:dyDescent="0.3">
      <c r="E1024"/>
    </row>
    <row r="1025" spans="5:5" ht="15.05" x14ac:dyDescent="0.3">
      <c r="E1025"/>
    </row>
    <row r="1026" spans="5:5" ht="15.05" x14ac:dyDescent="0.3">
      <c r="E1026"/>
    </row>
    <row r="1027" spans="5:5" ht="15.05" x14ac:dyDescent="0.3">
      <c r="E1027"/>
    </row>
    <row r="1028" spans="5:5" ht="15.05" x14ac:dyDescent="0.3">
      <c r="E1028"/>
    </row>
    <row r="1029" spans="5:5" ht="15.05" x14ac:dyDescent="0.3">
      <c r="E1029"/>
    </row>
    <row r="1030" spans="5:5" ht="15.05" x14ac:dyDescent="0.3">
      <c r="E1030"/>
    </row>
    <row r="1031" spans="5:5" ht="15.05" x14ac:dyDescent="0.3">
      <c r="E1031"/>
    </row>
    <row r="1032" spans="5:5" ht="15.05" x14ac:dyDescent="0.3">
      <c r="E1032"/>
    </row>
    <row r="1033" spans="5:5" ht="15.05" x14ac:dyDescent="0.3">
      <c r="E1033"/>
    </row>
    <row r="1034" spans="5:5" ht="15.05" x14ac:dyDescent="0.3">
      <c r="E1034"/>
    </row>
    <row r="1035" spans="5:5" ht="15.05" x14ac:dyDescent="0.3">
      <c r="E1035"/>
    </row>
    <row r="1036" spans="5:5" ht="15.05" x14ac:dyDescent="0.3">
      <c r="E1036"/>
    </row>
    <row r="1037" spans="5:5" ht="15.05" x14ac:dyDescent="0.3">
      <c r="E1037"/>
    </row>
    <row r="1038" spans="5:5" ht="15.05" x14ac:dyDescent="0.3">
      <c r="E1038"/>
    </row>
    <row r="1039" spans="5:5" ht="15.05" x14ac:dyDescent="0.3">
      <c r="E1039"/>
    </row>
    <row r="1040" spans="5:5" ht="15.05" x14ac:dyDescent="0.3">
      <c r="E1040"/>
    </row>
    <row r="1041" spans="5:5" ht="15.05" x14ac:dyDescent="0.3">
      <c r="E1041"/>
    </row>
    <row r="1042" spans="5:5" ht="15.05" x14ac:dyDescent="0.3">
      <c r="E1042"/>
    </row>
    <row r="1043" spans="5:5" ht="15.05" x14ac:dyDescent="0.3">
      <c r="E1043"/>
    </row>
    <row r="1044" spans="5:5" ht="15.05" x14ac:dyDescent="0.3">
      <c r="E1044"/>
    </row>
    <row r="1045" spans="5:5" ht="15.05" x14ac:dyDescent="0.3">
      <c r="E1045"/>
    </row>
    <row r="1046" spans="5:5" ht="15.05" x14ac:dyDescent="0.3">
      <c r="E1046"/>
    </row>
    <row r="1047" spans="5:5" ht="15.05" x14ac:dyDescent="0.3">
      <c r="E1047"/>
    </row>
    <row r="1048" spans="5:5" ht="15.05" x14ac:dyDescent="0.3">
      <c r="E1048"/>
    </row>
    <row r="1049" spans="5:5" ht="15.05" x14ac:dyDescent="0.3">
      <c r="E1049"/>
    </row>
    <row r="1050" spans="5:5" ht="15.05" x14ac:dyDescent="0.3">
      <c r="E1050"/>
    </row>
    <row r="1051" spans="5:5" ht="15.05" x14ac:dyDescent="0.3">
      <c r="E1051"/>
    </row>
    <row r="1052" spans="5:5" ht="15.05" x14ac:dyDescent="0.3">
      <c r="E1052"/>
    </row>
    <row r="1053" spans="5:5" ht="15.05" x14ac:dyDescent="0.3">
      <c r="E1053"/>
    </row>
    <row r="1054" spans="5:5" ht="15.05" x14ac:dyDescent="0.3">
      <c r="E1054"/>
    </row>
    <row r="1055" spans="5:5" ht="15.05" x14ac:dyDescent="0.3">
      <c r="E1055"/>
    </row>
    <row r="1056" spans="5:5" ht="15.05" x14ac:dyDescent="0.3">
      <c r="E1056"/>
    </row>
    <row r="1057" spans="5:5" ht="15.05" x14ac:dyDescent="0.3">
      <c r="E1057"/>
    </row>
    <row r="1058" spans="5:5" ht="15.05" x14ac:dyDescent="0.3">
      <c r="E1058"/>
    </row>
    <row r="1059" spans="5:5" ht="15.05" x14ac:dyDescent="0.3">
      <c r="E1059"/>
    </row>
    <row r="1060" spans="5:5" ht="15.05" x14ac:dyDescent="0.3">
      <c r="E1060"/>
    </row>
    <row r="1061" spans="5:5" ht="15.05" x14ac:dyDescent="0.3">
      <c r="E1061"/>
    </row>
    <row r="1062" spans="5:5" ht="15.05" x14ac:dyDescent="0.3">
      <c r="E1062"/>
    </row>
    <row r="1063" spans="5:5" ht="15.05" x14ac:dyDescent="0.3">
      <c r="E1063"/>
    </row>
    <row r="1064" spans="5:5" ht="15.05" x14ac:dyDescent="0.3">
      <c r="E1064"/>
    </row>
    <row r="1065" spans="5:5" ht="15.05" x14ac:dyDescent="0.3">
      <c r="E1065"/>
    </row>
    <row r="1066" spans="5:5" ht="15.05" x14ac:dyDescent="0.3">
      <c r="E1066"/>
    </row>
    <row r="1067" spans="5:5" ht="15.05" x14ac:dyDescent="0.3">
      <c r="E1067"/>
    </row>
    <row r="1068" spans="5:5" ht="15.05" x14ac:dyDescent="0.3">
      <c r="E1068"/>
    </row>
    <row r="1069" spans="5:5" ht="15.05" x14ac:dyDescent="0.3">
      <c r="E1069"/>
    </row>
    <row r="1070" spans="5:5" ht="15.05" x14ac:dyDescent="0.3">
      <c r="E1070"/>
    </row>
    <row r="1071" spans="5:5" ht="15.05" x14ac:dyDescent="0.3">
      <c r="E1071"/>
    </row>
    <row r="1072" spans="5:5" ht="15.05" x14ac:dyDescent="0.3">
      <c r="E1072"/>
    </row>
    <row r="1073" spans="5:5" ht="15.05" x14ac:dyDescent="0.3">
      <c r="E1073"/>
    </row>
    <row r="1074" spans="5:5" ht="15.05" x14ac:dyDescent="0.3">
      <c r="E1074"/>
    </row>
    <row r="1075" spans="5:5" ht="15.05" x14ac:dyDescent="0.3">
      <c r="E1075"/>
    </row>
    <row r="1076" spans="5:5" ht="15.05" x14ac:dyDescent="0.3">
      <c r="E1076"/>
    </row>
    <row r="1077" spans="5:5" ht="15.05" x14ac:dyDescent="0.3">
      <c r="E1077"/>
    </row>
    <row r="1078" spans="5:5" ht="15.05" x14ac:dyDescent="0.3">
      <c r="E1078"/>
    </row>
    <row r="1079" spans="5:5" ht="15.05" x14ac:dyDescent="0.3">
      <c r="E1079"/>
    </row>
    <row r="1080" spans="5:5" ht="15.05" x14ac:dyDescent="0.3">
      <c r="E1080"/>
    </row>
    <row r="1081" spans="5:5" ht="15.05" x14ac:dyDescent="0.3">
      <c r="E1081"/>
    </row>
    <row r="1082" spans="5:5" ht="15.05" x14ac:dyDescent="0.3">
      <c r="E1082"/>
    </row>
    <row r="1083" spans="5:5" ht="15.05" x14ac:dyDescent="0.3">
      <c r="E1083"/>
    </row>
    <row r="1084" spans="5:5" ht="15.05" x14ac:dyDescent="0.3">
      <c r="E1084"/>
    </row>
    <row r="1085" spans="5:5" ht="15.05" x14ac:dyDescent="0.3">
      <c r="E1085"/>
    </row>
    <row r="1086" spans="5:5" ht="15.05" x14ac:dyDescent="0.3">
      <c r="E1086"/>
    </row>
    <row r="1087" spans="5:5" ht="15.05" x14ac:dyDescent="0.3">
      <c r="E1087"/>
    </row>
    <row r="1088" spans="5:5" ht="15.05" x14ac:dyDescent="0.3">
      <c r="E1088"/>
    </row>
    <row r="1089" spans="5:5" ht="15.05" x14ac:dyDescent="0.3">
      <c r="E1089"/>
    </row>
    <row r="1090" spans="5:5" ht="15.05" x14ac:dyDescent="0.3">
      <c r="E1090"/>
    </row>
    <row r="1091" spans="5:5" ht="15.05" x14ac:dyDescent="0.3">
      <c r="E1091"/>
    </row>
    <row r="1092" spans="5:5" ht="15.05" x14ac:dyDescent="0.3">
      <c r="E1092"/>
    </row>
    <row r="1093" spans="5:5" ht="15.05" x14ac:dyDescent="0.3">
      <c r="E1093"/>
    </row>
    <row r="1094" spans="5:5" ht="15.05" x14ac:dyDescent="0.3">
      <c r="E1094"/>
    </row>
    <row r="1095" spans="5:5" ht="15.05" x14ac:dyDescent="0.3">
      <c r="E1095"/>
    </row>
    <row r="1096" spans="5:5" ht="15.05" x14ac:dyDescent="0.3">
      <c r="E1096"/>
    </row>
    <row r="1097" spans="5:5" ht="15.05" x14ac:dyDescent="0.3">
      <c r="E1097"/>
    </row>
    <row r="1098" spans="5:5" ht="15.05" x14ac:dyDescent="0.3">
      <c r="E1098"/>
    </row>
    <row r="1099" spans="5:5" ht="15.05" x14ac:dyDescent="0.3">
      <c r="E1099"/>
    </row>
    <row r="1100" spans="5:5" ht="15.05" x14ac:dyDescent="0.3">
      <c r="E1100"/>
    </row>
    <row r="1101" spans="5:5" ht="15.05" x14ac:dyDescent="0.3">
      <c r="E1101"/>
    </row>
    <row r="1102" spans="5:5" ht="15.05" x14ac:dyDescent="0.3">
      <c r="E1102"/>
    </row>
    <row r="1103" spans="5:5" ht="15.05" x14ac:dyDescent="0.3">
      <c r="E1103"/>
    </row>
    <row r="1104" spans="5:5" ht="15.05" x14ac:dyDescent="0.3">
      <c r="E1104"/>
    </row>
    <row r="1105" spans="5:5" ht="15.05" x14ac:dyDescent="0.3">
      <c r="E1105"/>
    </row>
    <row r="1106" spans="5:5" ht="15.05" x14ac:dyDescent="0.3">
      <c r="E1106"/>
    </row>
    <row r="1107" spans="5:5" ht="15.05" x14ac:dyDescent="0.3">
      <c r="E1107"/>
    </row>
    <row r="1108" spans="5:5" ht="15.05" x14ac:dyDescent="0.3">
      <c r="E1108"/>
    </row>
    <row r="1109" spans="5:5" ht="15.05" x14ac:dyDescent="0.3">
      <c r="E1109"/>
    </row>
    <row r="1110" spans="5:5" ht="15.05" x14ac:dyDescent="0.3">
      <c r="E1110"/>
    </row>
    <row r="1111" spans="5:5" ht="15.05" x14ac:dyDescent="0.3">
      <c r="E1111"/>
    </row>
    <row r="1112" spans="5:5" ht="15.05" x14ac:dyDescent="0.3">
      <c r="E1112"/>
    </row>
    <row r="1113" spans="5:5" ht="15.05" x14ac:dyDescent="0.3">
      <c r="E1113"/>
    </row>
    <row r="1114" spans="5:5" ht="15.05" x14ac:dyDescent="0.3">
      <c r="E1114"/>
    </row>
    <row r="1115" spans="5:5" ht="15.05" x14ac:dyDescent="0.3">
      <c r="E1115"/>
    </row>
    <row r="1116" spans="5:5" ht="15.05" x14ac:dyDescent="0.3">
      <c r="E1116"/>
    </row>
    <row r="1117" spans="5:5" ht="15.05" x14ac:dyDescent="0.3">
      <c r="E1117"/>
    </row>
    <row r="1118" spans="5:5" ht="15.05" x14ac:dyDescent="0.3">
      <c r="E1118"/>
    </row>
    <row r="1119" spans="5:5" ht="15.05" x14ac:dyDescent="0.3">
      <c r="E1119"/>
    </row>
    <row r="1120" spans="5:5" ht="15.05" x14ac:dyDescent="0.3">
      <c r="E1120"/>
    </row>
    <row r="1121" spans="5:5" ht="15.05" x14ac:dyDescent="0.3">
      <c r="E1121"/>
    </row>
    <row r="1122" spans="5:5" ht="15.05" x14ac:dyDescent="0.3">
      <c r="E1122"/>
    </row>
    <row r="1123" spans="5:5" ht="15.05" x14ac:dyDescent="0.3">
      <c r="E1123"/>
    </row>
    <row r="1124" spans="5:5" ht="15.05" x14ac:dyDescent="0.3">
      <c r="E1124"/>
    </row>
    <row r="1125" spans="5:5" ht="15.05" x14ac:dyDescent="0.3">
      <c r="E1125"/>
    </row>
    <row r="1126" spans="5:5" ht="15.05" x14ac:dyDescent="0.3">
      <c r="E1126"/>
    </row>
    <row r="1127" spans="5:5" ht="15.05" x14ac:dyDescent="0.3">
      <c r="E1127"/>
    </row>
    <row r="1128" spans="5:5" ht="15.05" x14ac:dyDescent="0.3">
      <c r="E1128"/>
    </row>
    <row r="1129" spans="5:5" ht="15.05" x14ac:dyDescent="0.3">
      <c r="E1129"/>
    </row>
    <row r="1130" spans="5:5" ht="15.05" x14ac:dyDescent="0.3">
      <c r="E1130"/>
    </row>
    <row r="1131" spans="5:5" ht="15.05" x14ac:dyDescent="0.3">
      <c r="E1131"/>
    </row>
    <row r="1132" spans="5:5" ht="15.05" x14ac:dyDescent="0.3">
      <c r="E1132"/>
    </row>
    <row r="1133" spans="5:5" ht="15.05" x14ac:dyDescent="0.3">
      <c r="E1133"/>
    </row>
    <row r="1134" spans="5:5" ht="15.05" x14ac:dyDescent="0.3">
      <c r="E1134"/>
    </row>
    <row r="1135" spans="5:5" ht="15.05" x14ac:dyDescent="0.3">
      <c r="E1135"/>
    </row>
    <row r="1136" spans="5:5" ht="15.05" x14ac:dyDescent="0.3">
      <c r="E1136"/>
    </row>
    <row r="1137" spans="5:5" ht="15.05" x14ac:dyDescent="0.3">
      <c r="E1137"/>
    </row>
    <row r="1138" spans="5:5" ht="15.05" x14ac:dyDescent="0.3">
      <c r="E1138"/>
    </row>
    <row r="1139" spans="5:5" ht="15.05" x14ac:dyDescent="0.3">
      <c r="E1139"/>
    </row>
    <row r="1140" spans="5:5" ht="15.05" x14ac:dyDescent="0.3">
      <c r="E1140"/>
    </row>
    <row r="1141" spans="5:5" ht="15.05" x14ac:dyDescent="0.3">
      <c r="E1141"/>
    </row>
    <row r="1142" spans="5:5" ht="15.05" x14ac:dyDescent="0.3">
      <c r="E1142"/>
    </row>
    <row r="1143" spans="5:5" ht="15.05" x14ac:dyDescent="0.3">
      <c r="E1143"/>
    </row>
    <row r="1144" spans="5:5" ht="15.05" x14ac:dyDescent="0.3">
      <c r="E1144"/>
    </row>
    <row r="1145" spans="5:5" ht="15.05" x14ac:dyDescent="0.3">
      <c r="E1145"/>
    </row>
    <row r="1146" spans="5:5" ht="15.05" x14ac:dyDescent="0.3">
      <c r="E1146"/>
    </row>
    <row r="1147" spans="5:5" ht="15.05" x14ac:dyDescent="0.3">
      <c r="E1147"/>
    </row>
    <row r="1148" spans="5:5" ht="15.05" x14ac:dyDescent="0.3">
      <c r="E1148"/>
    </row>
    <row r="1149" spans="5:5" ht="15.05" x14ac:dyDescent="0.3">
      <c r="E1149"/>
    </row>
    <row r="1150" spans="5:5" ht="15.05" x14ac:dyDescent="0.3">
      <c r="E1150"/>
    </row>
    <row r="1151" spans="5:5" ht="15.05" x14ac:dyDescent="0.3">
      <c r="E1151"/>
    </row>
    <row r="1152" spans="5:5" ht="15.05" x14ac:dyDescent="0.3">
      <c r="E1152"/>
    </row>
    <row r="1153" spans="5:5" ht="15.05" x14ac:dyDescent="0.3">
      <c r="E1153"/>
    </row>
    <row r="1154" spans="5:5" ht="15.05" x14ac:dyDescent="0.3">
      <c r="E1154"/>
    </row>
    <row r="1155" spans="5:5" ht="15.05" x14ac:dyDescent="0.3">
      <c r="E1155"/>
    </row>
    <row r="1156" spans="5:5" ht="15.05" x14ac:dyDescent="0.3">
      <c r="E1156"/>
    </row>
    <row r="1157" spans="5:5" ht="15.05" x14ac:dyDescent="0.3">
      <c r="E1157"/>
    </row>
    <row r="1158" spans="5:5" ht="15.05" x14ac:dyDescent="0.3">
      <c r="E1158"/>
    </row>
    <row r="1159" spans="5:5" ht="15.05" x14ac:dyDescent="0.3">
      <c r="E1159"/>
    </row>
    <row r="1160" spans="5:5" ht="15.05" x14ac:dyDescent="0.3">
      <c r="E1160"/>
    </row>
    <row r="1161" spans="5:5" ht="15.05" x14ac:dyDescent="0.3">
      <c r="E1161"/>
    </row>
    <row r="1162" spans="5:5" ht="15.05" x14ac:dyDescent="0.3">
      <c r="E1162"/>
    </row>
    <row r="1163" spans="5:5" ht="15.05" x14ac:dyDescent="0.3">
      <c r="E1163"/>
    </row>
    <row r="1164" spans="5:5" ht="15.05" x14ac:dyDescent="0.3">
      <c r="E1164"/>
    </row>
    <row r="1165" spans="5:5" ht="15.05" x14ac:dyDescent="0.3">
      <c r="E1165"/>
    </row>
    <row r="1166" spans="5:5" ht="15.05" x14ac:dyDescent="0.3">
      <c r="E1166"/>
    </row>
    <row r="1167" spans="5:5" ht="15.05" x14ac:dyDescent="0.3">
      <c r="E1167"/>
    </row>
    <row r="1168" spans="5:5" ht="15.05" x14ac:dyDescent="0.3">
      <c r="E1168"/>
    </row>
    <row r="1169" spans="5:5" ht="15.05" x14ac:dyDescent="0.3">
      <c r="E1169"/>
    </row>
    <row r="1170" spans="5:5" ht="15.05" x14ac:dyDescent="0.3">
      <c r="E1170"/>
    </row>
    <row r="1171" spans="5:5" ht="15.05" x14ac:dyDescent="0.3">
      <c r="E1171"/>
    </row>
    <row r="1172" spans="5:5" ht="15.05" x14ac:dyDescent="0.3">
      <c r="E1172"/>
    </row>
    <row r="1173" spans="5:5" ht="15.05" x14ac:dyDescent="0.3">
      <c r="E1173"/>
    </row>
    <row r="1174" spans="5:5" ht="15.05" x14ac:dyDescent="0.3">
      <c r="E1174"/>
    </row>
    <row r="1175" spans="5:5" ht="15.05" x14ac:dyDescent="0.3">
      <c r="E1175"/>
    </row>
    <row r="1176" spans="5:5" ht="15.05" x14ac:dyDescent="0.3">
      <c r="E1176"/>
    </row>
    <row r="1177" spans="5:5" ht="15.05" x14ac:dyDescent="0.3">
      <c r="E1177"/>
    </row>
    <row r="1178" spans="5:5" ht="15.05" x14ac:dyDescent="0.3">
      <c r="E1178"/>
    </row>
    <row r="1179" spans="5:5" ht="15.05" x14ac:dyDescent="0.3">
      <c r="E1179"/>
    </row>
    <row r="1180" spans="5:5" ht="15.05" x14ac:dyDescent="0.3">
      <c r="E1180"/>
    </row>
    <row r="1181" spans="5:5" ht="15.05" x14ac:dyDescent="0.3">
      <c r="E1181"/>
    </row>
    <row r="1182" spans="5:5" ht="15.05" x14ac:dyDescent="0.3">
      <c r="E1182"/>
    </row>
    <row r="1183" spans="5:5" ht="15.05" x14ac:dyDescent="0.3">
      <c r="E1183"/>
    </row>
    <row r="1184" spans="5:5" ht="15.05" x14ac:dyDescent="0.3">
      <c r="E1184"/>
    </row>
    <row r="1185" spans="5:5" ht="15.05" x14ac:dyDescent="0.3">
      <c r="E1185"/>
    </row>
    <row r="1186" spans="5:5" ht="15.05" x14ac:dyDescent="0.3">
      <c r="E1186"/>
    </row>
    <row r="1187" spans="5:5" ht="15.05" x14ac:dyDescent="0.3">
      <c r="E1187"/>
    </row>
    <row r="1188" spans="5:5" ht="15.05" x14ac:dyDescent="0.3">
      <c r="E1188"/>
    </row>
    <row r="1189" spans="5:5" ht="15.05" x14ac:dyDescent="0.3">
      <c r="E1189"/>
    </row>
    <row r="1190" spans="5:5" ht="15.05" x14ac:dyDescent="0.3">
      <c r="E1190"/>
    </row>
    <row r="1191" spans="5:5" ht="15.05" x14ac:dyDescent="0.3">
      <c r="E1191"/>
    </row>
    <row r="1192" spans="5:5" ht="15.05" x14ac:dyDescent="0.3">
      <c r="E1192"/>
    </row>
    <row r="1193" spans="5:5" ht="15.05" x14ac:dyDescent="0.3">
      <c r="E1193"/>
    </row>
    <row r="1194" spans="5:5" ht="15.05" x14ac:dyDescent="0.3">
      <c r="E1194"/>
    </row>
    <row r="1195" spans="5:5" ht="15.05" x14ac:dyDescent="0.3">
      <c r="E1195"/>
    </row>
    <row r="1196" spans="5:5" ht="15.05" x14ac:dyDescent="0.3">
      <c r="E1196"/>
    </row>
    <row r="1197" spans="5:5" ht="15.05" x14ac:dyDescent="0.3">
      <c r="E1197"/>
    </row>
    <row r="1198" spans="5:5" ht="15.05" x14ac:dyDescent="0.3">
      <c r="E1198"/>
    </row>
    <row r="1199" spans="5:5" ht="15.05" x14ac:dyDescent="0.3">
      <c r="E1199"/>
    </row>
    <row r="1200" spans="5:5" ht="15.05" x14ac:dyDescent="0.3">
      <c r="E1200"/>
    </row>
    <row r="1201" spans="5:5" ht="15.05" x14ac:dyDescent="0.3">
      <c r="E1201"/>
    </row>
    <row r="1202" spans="5:5" ht="15.05" x14ac:dyDescent="0.3">
      <c r="E1202"/>
    </row>
    <row r="1203" spans="5:5" ht="15.05" x14ac:dyDescent="0.3">
      <c r="E1203"/>
    </row>
    <row r="1204" spans="5:5" ht="15.05" x14ac:dyDescent="0.3">
      <c r="E1204"/>
    </row>
    <row r="1205" spans="5:5" ht="15.05" x14ac:dyDescent="0.3">
      <c r="E1205"/>
    </row>
    <row r="1206" spans="5:5" ht="15.05" x14ac:dyDescent="0.3">
      <c r="E1206"/>
    </row>
    <row r="1207" spans="5:5" ht="15.05" x14ac:dyDescent="0.3">
      <c r="E1207"/>
    </row>
    <row r="1208" spans="5:5" ht="15.05" x14ac:dyDescent="0.3">
      <c r="E1208"/>
    </row>
    <row r="1209" spans="5:5" ht="15.05" x14ac:dyDescent="0.3">
      <c r="E1209"/>
    </row>
    <row r="1210" spans="5:5" ht="15.05" x14ac:dyDescent="0.3">
      <c r="E1210"/>
    </row>
    <row r="1211" spans="5:5" ht="15.05" x14ac:dyDescent="0.3">
      <c r="E1211"/>
    </row>
    <row r="1212" spans="5:5" ht="15.05" x14ac:dyDescent="0.3">
      <c r="E1212"/>
    </row>
    <row r="1213" spans="5:5" ht="15.05" x14ac:dyDescent="0.3">
      <c r="E1213"/>
    </row>
    <row r="1214" spans="5:5" ht="15.05" x14ac:dyDescent="0.3">
      <c r="E1214"/>
    </row>
    <row r="1215" spans="5:5" ht="15.05" x14ac:dyDescent="0.3">
      <c r="E1215"/>
    </row>
    <row r="1216" spans="5:5" ht="15.05" x14ac:dyDescent="0.3">
      <c r="E1216"/>
    </row>
    <row r="1217" spans="5:5" ht="15.05" x14ac:dyDescent="0.3">
      <c r="E1217"/>
    </row>
    <row r="1218" spans="5:5" ht="15.05" x14ac:dyDescent="0.3">
      <c r="E1218"/>
    </row>
    <row r="1219" spans="5:5" ht="15.05" x14ac:dyDescent="0.3">
      <c r="E1219"/>
    </row>
    <row r="1220" spans="5:5" ht="15.05" x14ac:dyDescent="0.3">
      <c r="E1220"/>
    </row>
    <row r="1221" spans="5:5" ht="15.05" x14ac:dyDescent="0.3">
      <c r="E1221"/>
    </row>
    <row r="1222" spans="5:5" ht="15.05" x14ac:dyDescent="0.3">
      <c r="E1222"/>
    </row>
    <row r="1223" spans="5:5" ht="15.05" x14ac:dyDescent="0.3">
      <c r="E1223"/>
    </row>
    <row r="1224" spans="5:5" ht="15.05" x14ac:dyDescent="0.3">
      <c r="E1224"/>
    </row>
    <row r="1225" spans="5:5" ht="15.05" x14ac:dyDescent="0.3">
      <c r="E1225"/>
    </row>
    <row r="1226" spans="5:5" ht="15.05" x14ac:dyDescent="0.3">
      <c r="E1226"/>
    </row>
    <row r="1227" spans="5:5" ht="15.05" x14ac:dyDescent="0.3">
      <c r="E1227"/>
    </row>
    <row r="1228" spans="5:5" ht="15.05" x14ac:dyDescent="0.3">
      <c r="E1228"/>
    </row>
    <row r="1229" spans="5:5" ht="15.05" x14ac:dyDescent="0.3">
      <c r="E1229"/>
    </row>
    <row r="1230" spans="5:5" ht="15.05" x14ac:dyDescent="0.3">
      <c r="E1230"/>
    </row>
    <row r="1231" spans="5:5" ht="15.05" x14ac:dyDescent="0.3">
      <c r="E1231"/>
    </row>
    <row r="1232" spans="5:5" ht="15.05" x14ac:dyDescent="0.3">
      <c r="E1232"/>
    </row>
    <row r="1233" spans="5:5" ht="15.05" x14ac:dyDescent="0.3">
      <c r="E1233"/>
    </row>
    <row r="1234" spans="5:5" ht="15.05" x14ac:dyDescent="0.3">
      <c r="E1234"/>
    </row>
    <row r="1235" spans="5:5" ht="15.05" x14ac:dyDescent="0.3">
      <c r="E1235"/>
    </row>
    <row r="1236" spans="5:5" ht="15.05" x14ac:dyDescent="0.3">
      <c r="E1236"/>
    </row>
    <row r="1237" spans="5:5" ht="15.05" x14ac:dyDescent="0.3">
      <c r="E1237"/>
    </row>
    <row r="1238" spans="5:5" ht="15.05" x14ac:dyDescent="0.3">
      <c r="E1238"/>
    </row>
    <row r="1239" spans="5:5" ht="15.05" x14ac:dyDescent="0.3">
      <c r="E1239"/>
    </row>
    <row r="1240" spans="5:5" ht="15.05" x14ac:dyDescent="0.3">
      <c r="E1240"/>
    </row>
    <row r="1241" spans="5:5" ht="15.05" x14ac:dyDescent="0.3">
      <c r="E1241"/>
    </row>
    <row r="1242" spans="5:5" ht="15.05" x14ac:dyDescent="0.3">
      <c r="E1242"/>
    </row>
    <row r="1243" spans="5:5" ht="15.05" x14ac:dyDescent="0.3">
      <c r="E1243"/>
    </row>
    <row r="1244" spans="5:5" ht="15.05" x14ac:dyDescent="0.3">
      <c r="E1244"/>
    </row>
    <row r="1245" spans="5:5" ht="15.05" x14ac:dyDescent="0.3">
      <c r="E1245"/>
    </row>
    <row r="1246" spans="5:5" ht="15.05" x14ac:dyDescent="0.3">
      <c r="E1246"/>
    </row>
    <row r="1247" spans="5:5" ht="15.05" x14ac:dyDescent="0.3">
      <c r="E1247"/>
    </row>
    <row r="1248" spans="5:5" ht="15.05" x14ac:dyDescent="0.3">
      <c r="E1248"/>
    </row>
    <row r="1249" spans="5:5" ht="15.05" x14ac:dyDescent="0.3">
      <c r="E1249"/>
    </row>
    <row r="1250" spans="5:5" ht="15.05" x14ac:dyDescent="0.3">
      <c r="E1250"/>
    </row>
    <row r="1251" spans="5:5" ht="15.05" x14ac:dyDescent="0.3">
      <c r="E1251"/>
    </row>
    <row r="1252" spans="5:5" ht="15.05" x14ac:dyDescent="0.3">
      <c r="E1252"/>
    </row>
    <row r="1253" spans="5:5" ht="15.05" x14ac:dyDescent="0.3">
      <c r="E1253"/>
    </row>
    <row r="1254" spans="5:5" ht="15.05" x14ac:dyDescent="0.3">
      <c r="E1254"/>
    </row>
    <row r="1255" spans="5:5" ht="15.05" x14ac:dyDescent="0.3">
      <c r="E1255"/>
    </row>
    <row r="1256" spans="5:5" ht="15.05" x14ac:dyDescent="0.3">
      <c r="E1256"/>
    </row>
    <row r="1257" spans="5:5" ht="15.05" x14ac:dyDescent="0.3">
      <c r="E1257"/>
    </row>
    <row r="1258" spans="5:5" ht="15.05" x14ac:dyDescent="0.3">
      <c r="E1258"/>
    </row>
    <row r="1259" spans="5:5" ht="15.05" x14ac:dyDescent="0.3">
      <c r="E1259"/>
    </row>
    <row r="1260" spans="5:5" ht="15.05" x14ac:dyDescent="0.3">
      <c r="E1260"/>
    </row>
    <row r="1261" spans="5:5" ht="15.05" x14ac:dyDescent="0.3">
      <c r="E1261"/>
    </row>
    <row r="1262" spans="5:5" ht="15.05" x14ac:dyDescent="0.3">
      <c r="E1262"/>
    </row>
    <row r="1263" spans="5:5" ht="15.05" x14ac:dyDescent="0.3">
      <c r="E1263"/>
    </row>
    <row r="1264" spans="5:5" ht="15.05" x14ac:dyDescent="0.3">
      <c r="E1264"/>
    </row>
    <row r="1265" spans="5:5" ht="15.05" x14ac:dyDescent="0.3">
      <c r="E1265"/>
    </row>
    <row r="1266" spans="5:5" ht="15.05" x14ac:dyDescent="0.3">
      <c r="E1266"/>
    </row>
    <row r="1267" spans="5:5" ht="15.05" x14ac:dyDescent="0.3">
      <c r="E1267"/>
    </row>
    <row r="1268" spans="5:5" ht="15.05" x14ac:dyDescent="0.3">
      <c r="E1268"/>
    </row>
    <row r="1269" spans="5:5" ht="15.05" x14ac:dyDescent="0.3">
      <c r="E1269"/>
    </row>
    <row r="1270" spans="5:5" ht="15.05" x14ac:dyDescent="0.3">
      <c r="E1270"/>
    </row>
    <row r="1271" spans="5:5" ht="15.05" x14ac:dyDescent="0.3">
      <c r="E1271"/>
    </row>
    <row r="1272" spans="5:5" ht="15.05" x14ac:dyDescent="0.3">
      <c r="E1272"/>
    </row>
    <row r="1273" spans="5:5" ht="15.05" x14ac:dyDescent="0.3">
      <c r="E1273"/>
    </row>
    <row r="1274" spans="5:5" ht="15.05" x14ac:dyDescent="0.3">
      <c r="E1274"/>
    </row>
    <row r="1275" spans="5:5" ht="15.05" x14ac:dyDescent="0.3">
      <c r="E1275"/>
    </row>
    <row r="1276" spans="5:5" ht="15.05" x14ac:dyDescent="0.3">
      <c r="E1276"/>
    </row>
    <row r="1277" spans="5:5" ht="15.05" x14ac:dyDescent="0.3">
      <c r="E1277"/>
    </row>
    <row r="1278" spans="5:5" ht="15.05" x14ac:dyDescent="0.3">
      <c r="E1278"/>
    </row>
    <row r="1279" spans="5:5" ht="15.05" x14ac:dyDescent="0.3">
      <c r="E1279"/>
    </row>
    <row r="1280" spans="5:5" ht="15.05" x14ac:dyDescent="0.3">
      <c r="E1280"/>
    </row>
    <row r="1281" spans="5:5" ht="15.05" x14ac:dyDescent="0.3">
      <c r="E1281"/>
    </row>
    <row r="1282" spans="5:5" ht="15.05" x14ac:dyDescent="0.3">
      <c r="E1282"/>
    </row>
    <row r="1283" spans="5:5" ht="15.05" x14ac:dyDescent="0.3">
      <c r="E1283"/>
    </row>
    <row r="1284" spans="5:5" ht="15.05" x14ac:dyDescent="0.3">
      <c r="E1284"/>
    </row>
    <row r="1285" spans="5:5" ht="15.05" x14ac:dyDescent="0.3">
      <c r="E1285"/>
    </row>
    <row r="1286" spans="5:5" ht="15.05" x14ac:dyDescent="0.3">
      <c r="E1286"/>
    </row>
    <row r="1287" spans="5:5" ht="15.05" x14ac:dyDescent="0.3">
      <c r="E1287"/>
    </row>
    <row r="1288" spans="5:5" ht="15.05" x14ac:dyDescent="0.3">
      <c r="E1288"/>
    </row>
    <row r="1289" spans="5:5" ht="15.05" x14ac:dyDescent="0.3">
      <c r="E1289"/>
    </row>
    <row r="1290" spans="5:5" ht="15.05" x14ac:dyDescent="0.3">
      <c r="E1290"/>
    </row>
    <row r="1291" spans="5:5" ht="15.05" x14ac:dyDescent="0.3">
      <c r="E1291"/>
    </row>
    <row r="1292" spans="5:5" ht="15.05" x14ac:dyDescent="0.3">
      <c r="E1292"/>
    </row>
    <row r="1293" spans="5:5" ht="15.05" x14ac:dyDescent="0.3">
      <c r="E1293"/>
    </row>
    <row r="1294" spans="5:5" ht="15.05" x14ac:dyDescent="0.3">
      <c r="E1294"/>
    </row>
    <row r="1295" spans="5:5" ht="15.05" x14ac:dyDescent="0.3">
      <c r="E1295"/>
    </row>
    <row r="1296" spans="5:5" ht="15.05" x14ac:dyDescent="0.3">
      <c r="E1296"/>
    </row>
    <row r="1297" spans="5:5" ht="15.05" x14ac:dyDescent="0.3">
      <c r="E1297"/>
    </row>
    <row r="1298" spans="5:5" ht="15.05" x14ac:dyDescent="0.3">
      <c r="E1298"/>
    </row>
    <row r="1299" spans="5:5" ht="15.05" x14ac:dyDescent="0.3">
      <c r="E1299"/>
    </row>
    <row r="1300" spans="5:5" ht="15.05" x14ac:dyDescent="0.3">
      <c r="E1300"/>
    </row>
    <row r="1301" spans="5:5" ht="15.05" x14ac:dyDescent="0.3">
      <c r="E1301"/>
    </row>
    <row r="1302" spans="5:5" ht="15.05" x14ac:dyDescent="0.3">
      <c r="E1302"/>
    </row>
    <row r="1303" spans="5:5" ht="15.05" x14ac:dyDescent="0.3">
      <c r="E1303"/>
    </row>
    <row r="1304" spans="5:5" ht="15.05" x14ac:dyDescent="0.3">
      <c r="E1304"/>
    </row>
    <row r="1305" spans="5:5" ht="15.05" x14ac:dyDescent="0.3">
      <c r="E1305"/>
    </row>
    <row r="1306" spans="5:5" ht="15.05" x14ac:dyDescent="0.3">
      <c r="E1306"/>
    </row>
    <row r="1307" spans="5:5" ht="15.05" x14ac:dyDescent="0.3">
      <c r="E1307"/>
    </row>
    <row r="1308" spans="5:5" ht="15.05" x14ac:dyDescent="0.3">
      <c r="E1308"/>
    </row>
    <row r="1309" spans="5:5" ht="15.05" x14ac:dyDescent="0.3">
      <c r="E1309"/>
    </row>
    <row r="1310" spans="5:5" ht="15.05" x14ac:dyDescent="0.3">
      <c r="E1310"/>
    </row>
    <row r="1311" spans="5:5" ht="15.05" x14ac:dyDescent="0.3">
      <c r="E1311"/>
    </row>
    <row r="1312" spans="5:5" ht="15.05" x14ac:dyDescent="0.3">
      <c r="E1312"/>
    </row>
    <row r="1313" spans="5:5" ht="15.05" x14ac:dyDescent="0.3">
      <c r="E1313"/>
    </row>
    <row r="1314" spans="5:5" ht="15.05" x14ac:dyDescent="0.3">
      <c r="E1314"/>
    </row>
    <row r="1315" spans="5:5" ht="15.05" x14ac:dyDescent="0.3">
      <c r="E1315"/>
    </row>
    <row r="1316" spans="5:5" ht="15.05" x14ac:dyDescent="0.3">
      <c r="E1316"/>
    </row>
    <row r="1317" spans="5:5" ht="15.05" x14ac:dyDescent="0.3">
      <c r="E1317"/>
    </row>
    <row r="1318" spans="5:5" ht="15.05" x14ac:dyDescent="0.3">
      <c r="E1318"/>
    </row>
    <row r="1319" spans="5:5" ht="15.05" x14ac:dyDescent="0.3">
      <c r="E1319"/>
    </row>
    <row r="1320" spans="5:5" ht="15.05" x14ac:dyDescent="0.3">
      <c r="E1320"/>
    </row>
    <row r="1321" spans="5:5" ht="15.05" x14ac:dyDescent="0.3">
      <c r="E1321"/>
    </row>
    <row r="1322" spans="5:5" ht="15.05" x14ac:dyDescent="0.3">
      <c r="E1322"/>
    </row>
    <row r="1323" spans="5:5" ht="15.05" x14ac:dyDescent="0.3">
      <c r="E1323"/>
    </row>
    <row r="1324" spans="5:5" ht="15.05" x14ac:dyDescent="0.3">
      <c r="E1324"/>
    </row>
    <row r="1325" spans="5:5" ht="15.05" x14ac:dyDescent="0.3">
      <c r="E1325"/>
    </row>
    <row r="1326" spans="5:5" ht="15.05" x14ac:dyDescent="0.3">
      <c r="E1326"/>
    </row>
    <row r="1327" spans="5:5" ht="15.05" x14ac:dyDescent="0.3">
      <c r="E1327"/>
    </row>
    <row r="1328" spans="5:5" ht="15.05" x14ac:dyDescent="0.3">
      <c r="E1328"/>
    </row>
    <row r="1329" spans="5:5" ht="15.05" x14ac:dyDescent="0.3">
      <c r="E1329"/>
    </row>
    <row r="1330" spans="5:5" ht="15.05" x14ac:dyDescent="0.3">
      <c r="E1330"/>
    </row>
    <row r="1331" spans="5:5" ht="15.05" x14ac:dyDescent="0.3">
      <c r="E1331"/>
    </row>
    <row r="1332" spans="5:5" ht="15.05" x14ac:dyDescent="0.3">
      <c r="E1332"/>
    </row>
    <row r="1333" spans="5:5" ht="15.05" x14ac:dyDescent="0.3">
      <c r="E1333"/>
    </row>
    <row r="1334" spans="5:5" ht="15.05" x14ac:dyDescent="0.3">
      <c r="E1334"/>
    </row>
    <row r="1335" spans="5:5" ht="15.05" x14ac:dyDescent="0.3">
      <c r="E1335"/>
    </row>
    <row r="1336" spans="5:5" ht="15.05" x14ac:dyDescent="0.3">
      <c r="E1336"/>
    </row>
    <row r="1337" spans="5:5" ht="15.05" x14ac:dyDescent="0.3">
      <c r="E1337"/>
    </row>
    <row r="1338" spans="5:5" ht="15.05" x14ac:dyDescent="0.3">
      <c r="E1338"/>
    </row>
    <row r="1339" spans="5:5" ht="15.05" x14ac:dyDescent="0.3">
      <c r="E1339"/>
    </row>
    <row r="1340" spans="5:5" ht="15.05" x14ac:dyDescent="0.3">
      <c r="E1340"/>
    </row>
    <row r="1341" spans="5:5" ht="15.05" x14ac:dyDescent="0.3">
      <c r="E1341"/>
    </row>
    <row r="1342" spans="5:5" ht="15.05" x14ac:dyDescent="0.3">
      <c r="E1342"/>
    </row>
    <row r="1343" spans="5:5" ht="15.05" x14ac:dyDescent="0.3">
      <c r="E1343"/>
    </row>
    <row r="1344" spans="5:5" ht="15.05" x14ac:dyDescent="0.3">
      <c r="E1344"/>
    </row>
    <row r="1345" spans="5:5" ht="15.05" x14ac:dyDescent="0.3">
      <c r="E1345"/>
    </row>
    <row r="1346" spans="5:5" ht="15.05" x14ac:dyDescent="0.3">
      <c r="E1346"/>
    </row>
    <row r="1347" spans="5:5" ht="15.05" x14ac:dyDescent="0.3">
      <c r="E1347"/>
    </row>
    <row r="1348" spans="5:5" ht="15.05" x14ac:dyDescent="0.3">
      <c r="E1348"/>
    </row>
    <row r="1349" spans="5:5" ht="15.05" x14ac:dyDescent="0.3">
      <c r="E1349"/>
    </row>
    <row r="1350" spans="5:5" ht="15.05" x14ac:dyDescent="0.3">
      <c r="E1350"/>
    </row>
    <row r="1351" spans="5:5" ht="15.05" x14ac:dyDescent="0.3">
      <c r="E1351"/>
    </row>
    <row r="1352" spans="5:5" ht="15.05" x14ac:dyDescent="0.3">
      <c r="E1352"/>
    </row>
    <row r="1353" spans="5:5" ht="15.05" x14ac:dyDescent="0.3">
      <c r="E1353"/>
    </row>
    <row r="1354" spans="5:5" ht="15.05" x14ac:dyDescent="0.3">
      <c r="E1354"/>
    </row>
    <row r="1355" spans="5:5" ht="15.05" x14ac:dyDescent="0.3">
      <c r="E1355"/>
    </row>
    <row r="1356" spans="5:5" ht="15.05" x14ac:dyDescent="0.3">
      <c r="E1356"/>
    </row>
    <row r="1357" spans="5:5" ht="15.05" x14ac:dyDescent="0.3">
      <c r="E1357"/>
    </row>
    <row r="1358" spans="5:5" ht="15.05" x14ac:dyDescent="0.3">
      <c r="E1358"/>
    </row>
    <row r="1359" spans="5:5" ht="15.05" x14ac:dyDescent="0.3">
      <c r="E1359"/>
    </row>
    <row r="1360" spans="5:5" ht="15.05" x14ac:dyDescent="0.3">
      <c r="E1360"/>
    </row>
    <row r="1361" spans="5:5" ht="15.05" x14ac:dyDescent="0.3">
      <c r="E1361"/>
    </row>
    <row r="1362" spans="5:5" ht="15.05" x14ac:dyDescent="0.3">
      <c r="E1362"/>
    </row>
    <row r="1363" spans="5:5" ht="15.05" x14ac:dyDescent="0.3">
      <c r="E1363"/>
    </row>
    <row r="1364" spans="5:5" ht="15.05" x14ac:dyDescent="0.3">
      <c r="E1364"/>
    </row>
    <row r="1365" spans="5:5" ht="15.05" x14ac:dyDescent="0.3">
      <c r="E1365"/>
    </row>
    <row r="1366" spans="5:5" ht="15.05" x14ac:dyDescent="0.3">
      <c r="E1366"/>
    </row>
    <row r="1367" spans="5:5" ht="15.05" x14ac:dyDescent="0.3">
      <c r="E1367"/>
    </row>
    <row r="1368" spans="5:5" ht="15.05" x14ac:dyDescent="0.3">
      <c r="E1368"/>
    </row>
    <row r="1369" spans="5:5" ht="15.05" x14ac:dyDescent="0.3">
      <c r="E1369"/>
    </row>
    <row r="1370" spans="5:5" ht="15.05" x14ac:dyDescent="0.3">
      <c r="E1370"/>
    </row>
    <row r="1371" spans="5:5" ht="15.05" x14ac:dyDescent="0.3">
      <c r="E1371"/>
    </row>
    <row r="1372" spans="5:5" ht="15.05" x14ac:dyDescent="0.3">
      <c r="E1372"/>
    </row>
    <row r="1373" spans="5:5" ht="15.05" x14ac:dyDescent="0.3">
      <c r="E1373"/>
    </row>
    <row r="1374" spans="5:5" ht="15.05" x14ac:dyDescent="0.3">
      <c r="E1374"/>
    </row>
    <row r="1375" spans="5:5" ht="15.05" x14ac:dyDescent="0.3">
      <c r="E1375"/>
    </row>
    <row r="1376" spans="5:5" ht="15.05" x14ac:dyDescent="0.3">
      <c r="E1376"/>
    </row>
    <row r="1377" spans="5:5" ht="15.05" x14ac:dyDescent="0.3">
      <c r="E1377"/>
    </row>
    <row r="1378" spans="5:5" ht="15.05" x14ac:dyDescent="0.3">
      <c r="E1378"/>
    </row>
    <row r="1379" spans="5:5" ht="15.05" x14ac:dyDescent="0.3">
      <c r="E1379"/>
    </row>
    <row r="1380" spans="5:5" ht="15.05" x14ac:dyDescent="0.3">
      <c r="E1380"/>
    </row>
    <row r="1381" spans="5:5" ht="15.05" x14ac:dyDescent="0.3">
      <c r="E1381"/>
    </row>
    <row r="1382" spans="5:5" ht="15.05" x14ac:dyDescent="0.3">
      <c r="E1382"/>
    </row>
    <row r="1383" spans="5:5" ht="15.05" x14ac:dyDescent="0.3">
      <c r="E1383"/>
    </row>
    <row r="1384" spans="5:5" ht="15.05" x14ac:dyDescent="0.3">
      <c r="E1384"/>
    </row>
    <row r="1385" spans="5:5" ht="15.05" x14ac:dyDescent="0.3">
      <c r="E1385"/>
    </row>
    <row r="1386" spans="5:5" ht="15.05" x14ac:dyDescent="0.3">
      <c r="E1386"/>
    </row>
    <row r="1387" spans="5:5" ht="15.05" x14ac:dyDescent="0.3">
      <c r="E1387"/>
    </row>
    <row r="1388" spans="5:5" ht="15.05" x14ac:dyDescent="0.3">
      <c r="E1388"/>
    </row>
    <row r="1389" spans="5:5" ht="15.05" x14ac:dyDescent="0.3">
      <c r="E1389"/>
    </row>
    <row r="1390" spans="5:5" ht="15.05" x14ac:dyDescent="0.3">
      <c r="E1390"/>
    </row>
    <row r="1391" spans="5:5" ht="15.05" x14ac:dyDescent="0.3">
      <c r="E1391"/>
    </row>
    <row r="1392" spans="5:5" ht="15.05" x14ac:dyDescent="0.3">
      <c r="E1392"/>
    </row>
    <row r="1393" spans="5:5" ht="15.05" x14ac:dyDescent="0.3">
      <c r="E1393"/>
    </row>
    <row r="1394" spans="5:5" ht="15.05" x14ac:dyDescent="0.3">
      <c r="E1394"/>
    </row>
    <row r="1395" spans="5:5" ht="15.05" x14ac:dyDescent="0.3">
      <c r="E1395"/>
    </row>
    <row r="1396" spans="5:5" ht="15.05" x14ac:dyDescent="0.3">
      <c r="E1396"/>
    </row>
    <row r="1397" spans="5:5" ht="15.05" x14ac:dyDescent="0.3">
      <c r="E1397"/>
    </row>
    <row r="1398" spans="5:5" ht="15.05" x14ac:dyDescent="0.3">
      <c r="E1398"/>
    </row>
    <row r="1399" spans="5:5" ht="15.05" x14ac:dyDescent="0.3">
      <c r="E1399"/>
    </row>
    <row r="1400" spans="5:5" ht="15.05" x14ac:dyDescent="0.3">
      <c r="E1400"/>
    </row>
    <row r="1401" spans="5:5" ht="15.05" x14ac:dyDescent="0.3">
      <c r="E1401"/>
    </row>
    <row r="1402" spans="5:5" ht="15.05" x14ac:dyDescent="0.3">
      <c r="E1402"/>
    </row>
    <row r="1403" spans="5:5" ht="15.05" x14ac:dyDescent="0.3">
      <c r="E1403"/>
    </row>
    <row r="1404" spans="5:5" ht="15.05" x14ac:dyDescent="0.3">
      <c r="E1404"/>
    </row>
    <row r="1405" spans="5:5" ht="15.05" x14ac:dyDescent="0.3">
      <c r="E1405"/>
    </row>
    <row r="1406" spans="5:5" ht="15.05" x14ac:dyDescent="0.3">
      <c r="E1406"/>
    </row>
    <row r="1407" spans="5:5" ht="15.05" x14ac:dyDescent="0.3">
      <c r="E1407"/>
    </row>
    <row r="1408" spans="5:5" ht="15.05" x14ac:dyDescent="0.3">
      <c r="E1408"/>
    </row>
    <row r="1409" spans="5:5" ht="15.05" x14ac:dyDescent="0.3">
      <c r="E1409"/>
    </row>
    <row r="1410" spans="5:5" ht="15.05" x14ac:dyDescent="0.3">
      <c r="E1410"/>
    </row>
    <row r="1411" spans="5:5" ht="15.05" x14ac:dyDescent="0.3">
      <c r="E1411"/>
    </row>
    <row r="1412" spans="5:5" ht="15.05" x14ac:dyDescent="0.3">
      <c r="E1412"/>
    </row>
    <row r="1413" spans="5:5" ht="15.05" x14ac:dyDescent="0.3">
      <c r="E1413"/>
    </row>
    <row r="1414" spans="5:5" ht="15.05" x14ac:dyDescent="0.3">
      <c r="E1414"/>
    </row>
    <row r="1415" spans="5:5" ht="15.05" x14ac:dyDescent="0.3">
      <c r="E1415"/>
    </row>
    <row r="1416" spans="5:5" ht="15.05" x14ac:dyDescent="0.3">
      <c r="E1416"/>
    </row>
    <row r="1417" spans="5:5" ht="15.05" x14ac:dyDescent="0.3">
      <c r="E1417"/>
    </row>
    <row r="1418" spans="5:5" ht="15.05" x14ac:dyDescent="0.3">
      <c r="E1418"/>
    </row>
    <row r="1419" spans="5:5" ht="15.05" x14ac:dyDescent="0.3">
      <c r="E1419"/>
    </row>
    <row r="1420" spans="5:5" ht="15.05" x14ac:dyDescent="0.3">
      <c r="E1420"/>
    </row>
    <row r="1421" spans="5:5" ht="15.05" x14ac:dyDescent="0.3">
      <c r="E1421"/>
    </row>
    <row r="1422" spans="5:5" ht="15.05" x14ac:dyDescent="0.3">
      <c r="E1422"/>
    </row>
    <row r="1423" spans="5:5" ht="15.05" x14ac:dyDescent="0.3">
      <c r="E1423"/>
    </row>
    <row r="1424" spans="5:5" ht="15.05" x14ac:dyDescent="0.3">
      <c r="E1424"/>
    </row>
    <row r="1425" spans="5:5" ht="15.05" x14ac:dyDescent="0.3">
      <c r="E1425"/>
    </row>
    <row r="1426" spans="5:5" ht="15.05" x14ac:dyDescent="0.3">
      <c r="E1426"/>
    </row>
    <row r="1427" spans="5:5" ht="15.05" x14ac:dyDescent="0.3">
      <c r="E1427"/>
    </row>
    <row r="1428" spans="5:5" ht="15.05" x14ac:dyDescent="0.3">
      <c r="E1428"/>
    </row>
    <row r="1429" spans="5:5" ht="15.05" x14ac:dyDescent="0.3">
      <c r="E1429"/>
    </row>
    <row r="1430" spans="5:5" ht="15.05" x14ac:dyDescent="0.3">
      <c r="E1430"/>
    </row>
    <row r="1431" spans="5:5" ht="15.05" x14ac:dyDescent="0.3">
      <c r="E1431"/>
    </row>
    <row r="1432" spans="5:5" ht="15.05" x14ac:dyDescent="0.3">
      <c r="E1432"/>
    </row>
    <row r="1433" spans="5:5" ht="15.05" x14ac:dyDescent="0.3">
      <c r="E1433"/>
    </row>
    <row r="1434" spans="5:5" ht="15.05" x14ac:dyDescent="0.3">
      <c r="E1434"/>
    </row>
    <row r="1435" spans="5:5" ht="15.05" x14ac:dyDescent="0.3">
      <c r="E1435"/>
    </row>
    <row r="1436" spans="5:5" ht="15.05" x14ac:dyDescent="0.3">
      <c r="E1436"/>
    </row>
    <row r="1437" spans="5:5" ht="15.05" x14ac:dyDescent="0.3">
      <c r="E1437"/>
    </row>
    <row r="1438" spans="5:5" ht="15.05" x14ac:dyDescent="0.3">
      <c r="E1438"/>
    </row>
    <row r="1439" spans="5:5" ht="15.05" x14ac:dyDescent="0.3">
      <c r="E1439"/>
    </row>
    <row r="1440" spans="5:5" ht="15.05" x14ac:dyDescent="0.3">
      <c r="E1440"/>
    </row>
    <row r="1441" spans="5:5" ht="15.05" x14ac:dyDescent="0.3">
      <c r="E1441"/>
    </row>
    <row r="1442" spans="5:5" ht="15.05" x14ac:dyDescent="0.3">
      <c r="E1442"/>
    </row>
    <row r="1443" spans="5:5" ht="15.05" x14ac:dyDescent="0.3">
      <c r="E1443"/>
    </row>
    <row r="1444" spans="5:5" ht="15.05" x14ac:dyDescent="0.3">
      <c r="E1444"/>
    </row>
    <row r="1445" spans="5:5" ht="15.05" x14ac:dyDescent="0.3">
      <c r="E1445"/>
    </row>
    <row r="1446" spans="5:5" ht="15.05" x14ac:dyDescent="0.3">
      <c r="E1446"/>
    </row>
    <row r="1447" spans="5:5" ht="15.05" x14ac:dyDescent="0.3">
      <c r="E1447"/>
    </row>
    <row r="1448" spans="5:5" ht="15.05" x14ac:dyDescent="0.3">
      <c r="E1448"/>
    </row>
    <row r="1449" spans="5:5" ht="15.05" x14ac:dyDescent="0.3">
      <c r="E1449"/>
    </row>
    <row r="1450" spans="5:5" ht="15.05" x14ac:dyDescent="0.3">
      <c r="E1450"/>
    </row>
    <row r="1451" spans="5:5" ht="15.05" x14ac:dyDescent="0.3">
      <c r="E1451"/>
    </row>
    <row r="1452" spans="5:5" ht="15.05" x14ac:dyDescent="0.3">
      <c r="E1452"/>
    </row>
    <row r="1453" spans="5:5" ht="15.05" x14ac:dyDescent="0.3">
      <c r="E1453"/>
    </row>
    <row r="1454" spans="5:5" ht="15.05" x14ac:dyDescent="0.3">
      <c r="E1454"/>
    </row>
    <row r="1455" spans="5:5" ht="15.05" x14ac:dyDescent="0.3">
      <c r="E1455"/>
    </row>
    <row r="1456" spans="5:5" ht="15.05" x14ac:dyDescent="0.3">
      <c r="E1456"/>
    </row>
    <row r="1457" spans="5:5" ht="15.05" x14ac:dyDescent="0.3">
      <c r="E1457"/>
    </row>
    <row r="1458" spans="5:5" ht="15.05" x14ac:dyDescent="0.3">
      <c r="E1458"/>
    </row>
    <row r="1459" spans="5:5" ht="15.05" x14ac:dyDescent="0.3">
      <c r="E1459"/>
    </row>
    <row r="1460" spans="5:5" ht="15.05" x14ac:dyDescent="0.3">
      <c r="E1460"/>
    </row>
    <row r="1461" spans="5:5" ht="15.05" x14ac:dyDescent="0.3">
      <c r="E1461"/>
    </row>
    <row r="1462" spans="5:5" ht="15.05" x14ac:dyDescent="0.3">
      <c r="E1462"/>
    </row>
    <row r="1463" spans="5:5" ht="15.05" x14ac:dyDescent="0.3">
      <c r="E1463"/>
    </row>
    <row r="1464" spans="5:5" ht="15.05" x14ac:dyDescent="0.3">
      <c r="E1464"/>
    </row>
    <row r="1465" spans="5:5" ht="15.05" x14ac:dyDescent="0.3">
      <c r="E1465"/>
    </row>
    <row r="1466" spans="5:5" ht="15.05" x14ac:dyDescent="0.3">
      <c r="E1466"/>
    </row>
    <row r="1467" spans="5:5" ht="15.05" x14ac:dyDescent="0.3">
      <c r="E1467"/>
    </row>
    <row r="1468" spans="5:5" ht="15.05" x14ac:dyDescent="0.3">
      <c r="E1468"/>
    </row>
    <row r="1469" spans="5:5" ht="15.05" x14ac:dyDescent="0.3">
      <c r="E1469"/>
    </row>
    <row r="1470" spans="5:5" ht="15.05" x14ac:dyDescent="0.3">
      <c r="E1470"/>
    </row>
    <row r="1471" spans="5:5" ht="15.05" x14ac:dyDescent="0.3">
      <c r="E1471"/>
    </row>
    <row r="1472" spans="5:5" ht="15.05" x14ac:dyDescent="0.3">
      <c r="E1472"/>
    </row>
    <row r="1473" spans="5:5" ht="15.05" x14ac:dyDescent="0.3">
      <c r="E1473"/>
    </row>
    <row r="1474" spans="5:5" ht="15.05" x14ac:dyDescent="0.3">
      <c r="E1474"/>
    </row>
    <row r="1475" spans="5:5" ht="15.05" x14ac:dyDescent="0.3">
      <c r="E1475"/>
    </row>
    <row r="1476" spans="5:5" ht="15.05" x14ac:dyDescent="0.3">
      <c r="E1476"/>
    </row>
    <row r="1477" spans="5:5" ht="15.05" x14ac:dyDescent="0.3">
      <c r="E1477"/>
    </row>
    <row r="1478" spans="5:5" ht="15.05" x14ac:dyDescent="0.3">
      <c r="E1478"/>
    </row>
    <row r="1479" spans="5:5" ht="15.05" x14ac:dyDescent="0.3">
      <c r="E1479"/>
    </row>
    <row r="1480" spans="5:5" ht="15.05" x14ac:dyDescent="0.3">
      <c r="E1480"/>
    </row>
    <row r="1481" spans="5:5" ht="15.05" x14ac:dyDescent="0.3">
      <c r="E1481"/>
    </row>
    <row r="1482" spans="5:5" ht="15.05" x14ac:dyDescent="0.3">
      <c r="E1482"/>
    </row>
    <row r="1483" spans="5:5" ht="15.05" x14ac:dyDescent="0.3">
      <c r="E1483"/>
    </row>
    <row r="1484" spans="5:5" ht="15.05" x14ac:dyDescent="0.3">
      <c r="E1484"/>
    </row>
    <row r="1485" spans="5:5" ht="15.05" x14ac:dyDescent="0.3">
      <c r="E1485"/>
    </row>
    <row r="1486" spans="5:5" ht="15.05" x14ac:dyDescent="0.3">
      <c r="E1486"/>
    </row>
    <row r="1487" spans="5:5" ht="15.05" x14ac:dyDescent="0.3">
      <c r="E1487"/>
    </row>
    <row r="1488" spans="5:5" ht="15.05" x14ac:dyDescent="0.3">
      <c r="E1488"/>
    </row>
    <row r="1489" spans="5:5" ht="15.05" x14ac:dyDescent="0.3">
      <c r="E1489"/>
    </row>
    <row r="1490" spans="5:5" ht="15.05" x14ac:dyDescent="0.3">
      <c r="E1490"/>
    </row>
    <row r="1491" spans="5:5" ht="15.05" x14ac:dyDescent="0.3">
      <c r="E1491"/>
    </row>
    <row r="1492" spans="5:5" ht="15.05" x14ac:dyDescent="0.3">
      <c r="E1492"/>
    </row>
    <row r="1493" spans="5:5" ht="15.05" x14ac:dyDescent="0.3">
      <c r="E1493"/>
    </row>
    <row r="1494" spans="5:5" ht="15.05" x14ac:dyDescent="0.3">
      <c r="E1494"/>
    </row>
    <row r="1495" spans="5:5" ht="15.05" x14ac:dyDescent="0.3">
      <c r="E1495"/>
    </row>
    <row r="1496" spans="5:5" ht="15.05" x14ac:dyDescent="0.3">
      <c r="E1496"/>
    </row>
    <row r="1497" spans="5:5" ht="15.05" x14ac:dyDescent="0.3">
      <c r="E1497"/>
    </row>
    <row r="1498" spans="5:5" ht="15.05" x14ac:dyDescent="0.3">
      <c r="E1498"/>
    </row>
    <row r="1499" spans="5:5" ht="15.05" x14ac:dyDescent="0.3">
      <c r="E1499"/>
    </row>
    <row r="1500" spans="5:5" ht="15.05" x14ac:dyDescent="0.3">
      <c r="E1500"/>
    </row>
  </sheetData>
  <sheetProtection formatCells="0" formatColumns="0" formatRows="0" sort="0" autoFilter="0"/>
  <protectedRanges>
    <protectedRange sqref="B107 F105:H106" name="Range1_1_3"/>
  </protectedRanges>
  <mergeCells count="1">
    <mergeCell ref="H189:O189"/>
  </mergeCells>
  <conditionalFormatting sqref="D27">
    <cfRule type="expression" dxfId="30" priority="1" stopIfTrue="1">
      <formula>NOT(ISBLANK(C27))</formula>
    </cfRule>
  </conditionalFormatting>
  <conditionalFormatting sqref="D68">
    <cfRule type="expression" dxfId="29" priority="2" stopIfTrue="1">
      <formula>NOT(ISBLANK(C68))</formula>
    </cfRule>
  </conditionalFormatting>
  <hyperlinks>
    <hyperlink ref="B83" location="Noty!$N$6" display="0." xr:uid="{00000000-0004-0000-0700-000000000000}"/>
    <hyperlink ref="B84" location="Noty!$N$8" display="0.0" xr:uid="{00000000-0004-0000-0700-000001000000}"/>
    <hyperlink ref="B85" location="Noty!$N$59" display="0.0" xr:uid="{00000000-0004-0000-0700-000002000000}"/>
    <hyperlink ref="B86" location="Noty!$N$66" display="0.0" xr:uid="{00000000-0004-0000-0700-000003000000}"/>
    <hyperlink ref="B87" location="Noty!$N$70" display="0.0" xr:uid="{00000000-0004-0000-0700-000004000000}"/>
    <hyperlink ref="B88" location="Noty!$N$77" display="0." xr:uid="{00000000-0004-0000-0700-000005000000}"/>
    <hyperlink ref="B89" location="Noty!$N$79" display="0.0" xr:uid="{00000000-0004-0000-0700-000006000000}"/>
    <hyperlink ref="B90" location="Noty!$N$131" display="0.0" xr:uid="{00000000-0004-0000-0700-000007000000}"/>
    <hyperlink ref="B91" location="Noty!$N$145" display="0.0" xr:uid="{00000000-0004-0000-0700-000008000000}"/>
    <hyperlink ref="B92" location="Noty!$N$154" display="0.0" xr:uid="{00000000-0004-0000-0700-000009000000}"/>
    <hyperlink ref="B93" location="Noty!$N$162" display="0.0" xr:uid="{00000000-0004-0000-0700-00000A000000}"/>
    <hyperlink ref="B94" location="Noty!$N$166" display="0." xr:uid="{00000000-0004-0000-0700-00000B000000}"/>
    <hyperlink ref="B95" location="Noty!$N$195" display="0." xr:uid="{00000000-0004-0000-0700-00000C000000}"/>
    <hyperlink ref="B96" location="Noty!$N$197" display="0.0" xr:uid="{00000000-0004-0000-0700-00000D000000}"/>
    <hyperlink ref="B97" location="Noty!$N$205" display="0.0" xr:uid="{00000000-0004-0000-0700-00000E000000}"/>
    <hyperlink ref="B98" location="Noty!$N$218" display="0.0" xr:uid="{00000000-0004-0000-0700-00000F000000}"/>
    <hyperlink ref="B99" location="Noty!$N$232" display="0." xr:uid="{00000000-0004-0000-0700-000010000000}"/>
    <hyperlink ref="B100" location="Noty!$N$234" display="0.0" xr:uid="{00000000-0004-0000-0700-000011000000}"/>
    <hyperlink ref="B101" location="Noty!$N$296" display="0.0" xr:uid="{00000000-0004-0000-0700-000012000000}"/>
    <hyperlink ref="B102" location="Noty!$N$318" display="0.0" xr:uid="{00000000-0004-0000-0700-000013000000}"/>
    <hyperlink ref="B103" location="Noty!$N$334" display="0.0" xr:uid="{00000000-0004-0000-0700-000014000000}"/>
    <hyperlink ref="B104" location="Noty!$N$350" display="0.0" xr:uid="{00000000-0004-0000-0700-000015000000}"/>
    <hyperlink ref="B105" location="Noty!$N$366" display="0.0" xr:uid="{00000000-0004-0000-0700-000016000000}"/>
    <hyperlink ref="B107" location="Noty!$N$390" display="0." xr:uid="{00000000-0004-0000-0700-000017000000}"/>
    <hyperlink ref="B108" location="Noty!$N$422" display="0." xr:uid="{00000000-0004-0000-0700-000018000000}"/>
    <hyperlink ref="B109" location="Noty!$N$424" display="0.0" xr:uid="{00000000-0004-0000-0700-000019000000}"/>
    <hyperlink ref="B110" location="Noty!$N$438" display="0.0" xr:uid="{00000000-0004-0000-0700-00001A000000}"/>
    <hyperlink ref="B111" location="Noty!$N$448" display="0.0" xr:uid="{00000000-0004-0000-0700-00001B000000}"/>
    <hyperlink ref="B112" location="Noty!$N$463" display="0." xr:uid="{00000000-0004-0000-0700-00001C000000}"/>
    <hyperlink ref="B113" location="Noty!$N$465" display="0.0" xr:uid="{00000000-0004-0000-0700-00001D000000}"/>
    <hyperlink ref="B114" location="Noty!$N$509" display="0.0" xr:uid="{00000000-0004-0000-0700-00001E000000}"/>
    <hyperlink ref="B115" location="Noty!$N$535" display="0.0" xr:uid="{00000000-0004-0000-0700-00001F000000}"/>
    <hyperlink ref="B118" location="Noty!$N$562" display="0." xr:uid="{00000000-0004-0000-0700-000020000000}"/>
    <hyperlink ref="B119" location="Noty!$N$564" display="0.0" xr:uid="{00000000-0004-0000-0700-000021000000}"/>
    <hyperlink ref="B120" location="Noty!$N$589" display="0.0" xr:uid="{00000000-0004-0000-0700-000022000000}"/>
    <hyperlink ref="B122" location="Noty!$N$609" display="0." xr:uid="{00000000-0004-0000-0700-000023000000}"/>
    <hyperlink ref="B123" location="Noty!$N$613" display="0." xr:uid="{00000000-0004-0000-0700-000024000000}"/>
    <hyperlink ref="B124" location="Noty!$N$617" display="0." xr:uid="{00000000-0004-0000-0700-000025000000}"/>
    <hyperlink ref="B125" location="Noty!$N$619" display="0.0" xr:uid="{00000000-0004-0000-0700-000026000000}"/>
    <hyperlink ref="B126" location="Noty!$N$629" display="0.0" xr:uid="{00000000-0004-0000-0700-000027000000}"/>
    <hyperlink ref="B127" location="Noty!$N$639" display="0.0" xr:uid="{00000000-0004-0000-0700-000028000000}"/>
    <hyperlink ref="B128" location="Noty!$N$655" display="0." xr:uid="{00000000-0004-0000-0700-000029000000}"/>
    <hyperlink ref="B129" location="Noty!$N$668" display="0.0" xr:uid="{00000000-0004-0000-0700-00002A000000}"/>
    <hyperlink ref="B130" location="Noty!$N$681" display="0.0" xr:uid="{00000000-0004-0000-0700-00002B000000}"/>
    <hyperlink ref="B131" location="Noty!$N$694" display="0.0" xr:uid="{00000000-0004-0000-0700-00002C000000}"/>
    <hyperlink ref="B132" location="Noty!$N$707" display="0." xr:uid="{00000000-0004-0000-0700-00002D000000}"/>
    <hyperlink ref="B133" location="Noty!$N$716" display="1." xr:uid="{00000000-0004-0000-0700-00002E000000}"/>
    <hyperlink ref="B134" location="Noty!$N$734" display="1." xr:uid="{00000000-0004-0000-0700-00002F000000}"/>
    <hyperlink ref="B136" location="Noty!$N$768" display="1." xr:uid="{00000000-0004-0000-0700-000030000000}"/>
    <hyperlink ref="B137" location="Noty!$N$770" display="1.0" xr:uid="{00000000-0004-0000-0700-000031000000}"/>
    <hyperlink ref="B138" location="Noty!$N$780" display="1.0" xr:uid="{00000000-0004-0000-0700-000032000000}"/>
    <hyperlink ref="B139" location="Noty!$N$792" display="1." xr:uid="{00000000-0004-0000-0700-000033000000}"/>
    <hyperlink ref="B140" location="Noty!$N$794" display="1.0" xr:uid="{00000000-0004-0000-0700-000034000000}"/>
    <hyperlink ref="B141" location="Noty!$N$798" display="1.0" xr:uid="{00000000-0004-0000-0700-000035000000}"/>
    <hyperlink ref="B142" location="Noty!$N$809" display="1.0" xr:uid="{00000000-0004-0000-0700-000036000000}"/>
    <hyperlink ref="B143" location="Noty!$N$820" display="1." xr:uid="{00000000-0004-0000-0700-000037000000}"/>
    <hyperlink ref="B144" location="Noty!$N$822" display="1.0" xr:uid="{00000000-0004-0000-0700-000038000000}"/>
    <hyperlink ref="B145" location="Noty!$N$847" display="1.0" xr:uid="{00000000-0004-0000-0700-000039000000}"/>
    <hyperlink ref="B146" location="Noty!$N$872" display="1.0" xr:uid="{00000000-0004-0000-0700-00003A000000}"/>
    <hyperlink ref="B147" location="Noty!$N$889" display="1.0" xr:uid="{00000000-0004-0000-0700-00003B000000}"/>
    <hyperlink ref="B148" location="Noty!$N$915" display="1." xr:uid="{00000000-0004-0000-0700-00003C000000}"/>
    <hyperlink ref="B149" location="Noty!$N$917" display="1.0" xr:uid="{00000000-0004-0000-0700-00003D000000}"/>
    <hyperlink ref="B150" location="Noty!$N$931" display="1.0" xr:uid="{00000000-0004-0000-0700-00003E000000}"/>
    <hyperlink ref="B152" location="Noty!$N$962" display="1." xr:uid="{00000000-0004-0000-0700-00003F000000}"/>
    <hyperlink ref="B153" location="Noty!$N$990" display="1." xr:uid="{00000000-0004-0000-0700-000040000000}"/>
    <hyperlink ref="B154" location="Noty!$N$1016" display="1." xr:uid="{00000000-0004-0000-0700-000041000000}"/>
    <hyperlink ref="B155" location="Noty!$N$1018" display="1.0" xr:uid="{00000000-0004-0000-0700-000042000000}"/>
    <hyperlink ref="B156" location="Noty!$N$1035" display="1.0" xr:uid="{00000000-0004-0000-0700-000043000000}"/>
    <hyperlink ref="B157" location="Noty!$N$1067" display="1.0" xr:uid="{00000000-0004-0000-0700-000044000000}"/>
    <hyperlink ref="B158" location="Noty!$N$1087" display="1." xr:uid="{00000000-0004-0000-0700-000045000000}"/>
    <hyperlink ref="B159" location="Noty!$N$1089" display="1.0" xr:uid="{00000000-0004-0000-0700-000046000000}"/>
    <hyperlink ref="B160" location="Noty!$N$1108" display="1.0" xr:uid="{00000000-0004-0000-0700-000047000000}"/>
    <hyperlink ref="B161" location="Noty!$N$1131" display="1.0" xr:uid="{00000000-0004-0000-0700-000048000000}"/>
    <hyperlink ref="B167" location="Noty!$N$1266" display="3." xr:uid="{00000000-0004-0000-0700-000049000000}"/>
    <hyperlink ref="B163" location="Noty!$N$1162" display="2." xr:uid="{00000000-0004-0000-0700-00004A000000}"/>
    <hyperlink ref="B165" location="Noty!$N$1183" display="2." xr:uid="{00000000-0004-0000-0700-00004B000000}"/>
    <hyperlink ref="B166" location="Noty!$N$1260" display="2." xr:uid="{00000000-0004-0000-0700-00004C000000}"/>
    <hyperlink ref="B168" location="Noty!$N$1277" display="4." xr:uid="{00000000-0004-0000-0700-00004D000000}"/>
    <hyperlink ref="B169" location="Noty!$N$1282" display="5." xr:uid="{00000000-0004-0000-0700-00004E000000}"/>
    <hyperlink ref="B170" location="Noty!$N$1361" display="6." xr:uid="{00000000-0004-0000-0700-00004F000000}"/>
    <hyperlink ref="B172" location="Noty!$N$1389" display="8." xr:uid="{00000000-0004-0000-0700-000050000000}"/>
    <hyperlink ref="B173" location="Noty!$N$1396" display="9." xr:uid="{00000000-0004-0000-0700-000051000000}"/>
    <hyperlink ref="B174" location="Noty!$N$1403" display="10." xr:uid="{00000000-0004-0000-0700-000052000000}"/>
    <hyperlink ref="B175" location="Noty!$N$1410" display="11." xr:uid="{00000000-0004-0000-0700-000053000000}"/>
    <hyperlink ref="B176" location="Noty!$N$1422" display="12." xr:uid="{00000000-0004-0000-0700-000054000000}"/>
    <hyperlink ref="B177" location="Noty!$N$1435" display="13." xr:uid="{00000000-0004-0000-0700-000055000000}"/>
    <hyperlink ref="B182" location="Noty!$N$1473" display="14." xr:uid="{00000000-0004-0000-0700-000056000000}"/>
    <hyperlink ref="B183" location="Noty!$N$1488" display="15." xr:uid="{00000000-0004-0000-0700-000057000000}"/>
    <hyperlink ref="B184" location="Noty!$N$1495" display="15." xr:uid="{00000000-0004-0000-0700-000058000000}"/>
    <hyperlink ref="B185" location="Noty!$N$1508" display="16." xr:uid="{00000000-0004-0000-0700-000059000000}"/>
    <hyperlink ref="B186" location="Noty!$N$1518" display="17." xr:uid="{00000000-0004-0000-0700-00005A000000}"/>
    <hyperlink ref="B187" location="Noty!$N$1601" display="18." xr:uid="{00000000-0004-0000-0700-00005B000000}"/>
    <hyperlink ref="B188" location="Noty!$N$1644" display="19." xr:uid="{00000000-0004-0000-0700-00005C000000}"/>
    <hyperlink ref="B189" location="Noty!$N$1651" display="19." xr:uid="{00000000-0004-0000-0700-00005D000000}"/>
    <hyperlink ref="B190" location="Noty!$N$1667" display="20." xr:uid="{00000000-0004-0000-0700-00005E000000}"/>
    <hyperlink ref="B106" location="Noty!$N$382" display="0.0" xr:uid="{00000000-0004-0000-0700-00005F000000}"/>
    <hyperlink ref="C83" location="Notes!$N$6" display="0." xr:uid="{00000000-0004-0000-0700-000060000000}"/>
    <hyperlink ref="C84" location="Notes!$N$8" display="0.0" xr:uid="{00000000-0004-0000-0700-000061000000}"/>
    <hyperlink ref="C85" location="Notes!$N$59" display="0.0" xr:uid="{00000000-0004-0000-0700-000062000000}"/>
    <hyperlink ref="C86" location="Notes!$N$66" display="0.0" xr:uid="{00000000-0004-0000-0700-000063000000}"/>
    <hyperlink ref="C87" location="Notes!$N$70" display="0.0" xr:uid="{00000000-0004-0000-0700-000064000000}"/>
    <hyperlink ref="C88" location="Notes!$N$77" display="0." xr:uid="{00000000-0004-0000-0700-000065000000}"/>
    <hyperlink ref="C89" location="Notes!$N$79" display="0.0" xr:uid="{00000000-0004-0000-0700-000066000000}"/>
    <hyperlink ref="C90" location="Notes!$N$131" display="0.0" xr:uid="{00000000-0004-0000-0700-000067000000}"/>
    <hyperlink ref="C91" location="Notes!$N$145" display="0.0" xr:uid="{00000000-0004-0000-0700-000068000000}"/>
    <hyperlink ref="C92" location="Notes!$N$154" display="0.0" xr:uid="{00000000-0004-0000-0700-000069000000}"/>
    <hyperlink ref="C93" location="Notes!$N$162" display="0.0" xr:uid="{00000000-0004-0000-0700-00006A000000}"/>
    <hyperlink ref="C94" location="Notes!$N$166" display="0." xr:uid="{00000000-0004-0000-0700-00006B000000}"/>
    <hyperlink ref="C95" location="Notes!$N$195" display="0." xr:uid="{00000000-0004-0000-0700-00006C000000}"/>
    <hyperlink ref="C96" location="Notes!$N$197" display="0.0" xr:uid="{00000000-0004-0000-0700-00006D000000}"/>
    <hyperlink ref="C97" location="Notes!$N$205" display="0.0" xr:uid="{00000000-0004-0000-0700-00006E000000}"/>
    <hyperlink ref="C98" location="Notes!$N$218" display="0.0" xr:uid="{00000000-0004-0000-0700-00006F000000}"/>
    <hyperlink ref="C99" location="Notes!$N$232" display="0." xr:uid="{00000000-0004-0000-0700-000070000000}"/>
    <hyperlink ref="C100" location="Notes!$N$234" display="0.0" xr:uid="{00000000-0004-0000-0700-000071000000}"/>
    <hyperlink ref="C101" location="Notes!$N$296" display="0.0" xr:uid="{00000000-0004-0000-0700-000072000000}"/>
    <hyperlink ref="C102" location="Notes!$N$318" display="0.0" xr:uid="{00000000-0004-0000-0700-000073000000}"/>
    <hyperlink ref="C103" location="Notes!$N$334" display="0.0" xr:uid="{00000000-0004-0000-0700-000074000000}"/>
    <hyperlink ref="C104" location="Notes!$N$350" display="0.0" xr:uid="{00000000-0004-0000-0700-000075000000}"/>
    <hyperlink ref="C105" location="Notes!$N$366" display="0.0" xr:uid="{00000000-0004-0000-0700-000076000000}"/>
    <hyperlink ref="C106" location="Notes!$N$382" display="0.0" xr:uid="{00000000-0004-0000-0700-000077000000}"/>
    <hyperlink ref="C107" location="Notes!$N$390" display="0." xr:uid="{00000000-0004-0000-0700-000078000000}"/>
    <hyperlink ref="C108" location="Notes!$N$422" display="0." xr:uid="{00000000-0004-0000-0700-000079000000}"/>
    <hyperlink ref="C109" location="Notes!$N$424" display="0.0" xr:uid="{00000000-0004-0000-0700-00007A000000}"/>
    <hyperlink ref="C110" location="Notes!$N$438" display="0.0" xr:uid="{00000000-0004-0000-0700-00007B000000}"/>
    <hyperlink ref="C111" location="Notes!$N$448" display="0.0" xr:uid="{00000000-0004-0000-0700-00007C000000}"/>
    <hyperlink ref="C112" location="Notes!$N$463" display="0." xr:uid="{00000000-0004-0000-0700-00007D000000}"/>
    <hyperlink ref="C113" location="Notes!$N$465" display="0.0" xr:uid="{00000000-0004-0000-0700-00007E000000}"/>
    <hyperlink ref="C114" location="Notes!$N$509" display="0.0" xr:uid="{00000000-0004-0000-0700-00007F000000}"/>
    <hyperlink ref="C115" location="Notes!$N$535" display="0.0" xr:uid="{00000000-0004-0000-0700-000080000000}"/>
    <hyperlink ref="C118" location="Notes!$N$562" display="0." xr:uid="{00000000-0004-0000-0700-000081000000}"/>
    <hyperlink ref="C119" location="Notes!$N$564" display="0.0" xr:uid="{00000000-0004-0000-0700-000082000000}"/>
    <hyperlink ref="C120" location="Notes!$N$589" display="0.0" xr:uid="{00000000-0004-0000-0700-000083000000}"/>
    <hyperlink ref="C122" location="Notes!$N$609" display="0." xr:uid="{00000000-0004-0000-0700-000084000000}"/>
    <hyperlink ref="C123" location="Notes!$N$613" display="0." xr:uid="{00000000-0004-0000-0700-000085000000}"/>
    <hyperlink ref="C124" location="Notes!$N$617" display="0." xr:uid="{00000000-0004-0000-0700-000086000000}"/>
    <hyperlink ref="C125" location="Notes!$N$619" display="0.0" xr:uid="{00000000-0004-0000-0700-000087000000}"/>
    <hyperlink ref="C126" location="Notes!$N$629" display="0.0" xr:uid="{00000000-0004-0000-0700-000088000000}"/>
    <hyperlink ref="C127" location="Notes!$N$639" display="0.0" xr:uid="{00000000-0004-0000-0700-000089000000}"/>
    <hyperlink ref="C128" location="Notes!$N$655" display="0." xr:uid="{00000000-0004-0000-0700-00008A000000}"/>
    <hyperlink ref="C129" location="Notes!$N$668" display="0.0" xr:uid="{00000000-0004-0000-0700-00008B000000}"/>
    <hyperlink ref="C130" location="Notes!$N$681" display="0.0" xr:uid="{00000000-0004-0000-0700-00008C000000}"/>
    <hyperlink ref="C131" location="Notes!$N$694" display="0.0" xr:uid="{00000000-0004-0000-0700-00008D000000}"/>
    <hyperlink ref="C132" location="Notes!$N$707" display="0." xr:uid="{00000000-0004-0000-0700-00008E000000}"/>
    <hyperlink ref="C133" location="Notes!$N$716" display="1." xr:uid="{00000000-0004-0000-0700-00008F000000}"/>
    <hyperlink ref="C134" location="Notes!$N$734" display="1." xr:uid="{00000000-0004-0000-0700-000090000000}"/>
    <hyperlink ref="C136" location="Notes!$N$768" display="1." xr:uid="{00000000-0004-0000-0700-000091000000}"/>
    <hyperlink ref="C137" location="Notes!$N$770" display="1.0" xr:uid="{00000000-0004-0000-0700-000092000000}"/>
    <hyperlink ref="C138" location="Notes!$N$780" display="1.0" xr:uid="{00000000-0004-0000-0700-000093000000}"/>
    <hyperlink ref="C139" location="Notes!$N$792" display="1." xr:uid="{00000000-0004-0000-0700-000094000000}"/>
    <hyperlink ref="C140" location="Notes!$N$794" display="1.0" xr:uid="{00000000-0004-0000-0700-000095000000}"/>
    <hyperlink ref="C141" location="Notes!$N$798" display="1.0" xr:uid="{00000000-0004-0000-0700-000096000000}"/>
    <hyperlink ref="C142" location="Notes!$N$809" display="1.0" xr:uid="{00000000-0004-0000-0700-000097000000}"/>
    <hyperlink ref="C143" location="Notes!$N$820" display="1." xr:uid="{00000000-0004-0000-0700-000098000000}"/>
    <hyperlink ref="C144" location="Notes!$N$822" display="1.0" xr:uid="{00000000-0004-0000-0700-000099000000}"/>
    <hyperlink ref="C145" location="Notes!$N$847" display="1.0" xr:uid="{00000000-0004-0000-0700-00009A000000}"/>
    <hyperlink ref="C146" location="Notes!$N$872" display="1.0" xr:uid="{00000000-0004-0000-0700-00009B000000}"/>
    <hyperlink ref="C147" location="Notes!$N$889" display="1.0" xr:uid="{00000000-0004-0000-0700-00009C000000}"/>
    <hyperlink ref="C148" location="Notes!$N$915" display="1." xr:uid="{00000000-0004-0000-0700-00009D000000}"/>
    <hyperlink ref="C149" location="Notes!$N$917" display="1.0" xr:uid="{00000000-0004-0000-0700-00009E000000}"/>
    <hyperlink ref="C150" location="Notes!$N$931" display="1.0" xr:uid="{00000000-0004-0000-0700-00009F000000}"/>
    <hyperlink ref="C152" location="Notes!$N$962" display="1." xr:uid="{00000000-0004-0000-0700-0000A0000000}"/>
    <hyperlink ref="C153" location="Notes!$N$990" display="1." xr:uid="{00000000-0004-0000-0700-0000A1000000}"/>
    <hyperlink ref="C154" location="Notes!$N$1016" display="1." xr:uid="{00000000-0004-0000-0700-0000A2000000}"/>
    <hyperlink ref="C155" location="Notes!$N$1018" display="1.0" xr:uid="{00000000-0004-0000-0700-0000A3000000}"/>
    <hyperlink ref="C156" location="Notes!$N$1035" display="1.0" xr:uid="{00000000-0004-0000-0700-0000A4000000}"/>
    <hyperlink ref="C157" location="Notes!$N$1067" display="1.0" xr:uid="{00000000-0004-0000-0700-0000A5000000}"/>
    <hyperlink ref="C158" location="Notes!$N$1087" display="1." xr:uid="{00000000-0004-0000-0700-0000A6000000}"/>
    <hyperlink ref="C159" location="Notes!$N$1089" display="1.0" xr:uid="{00000000-0004-0000-0700-0000A7000000}"/>
    <hyperlink ref="C160" location="Notes!$N$1108" display="1.0" xr:uid="{00000000-0004-0000-0700-0000A8000000}"/>
    <hyperlink ref="C161" location="Notes!$N$1131" display="1.0" xr:uid="{00000000-0004-0000-0700-0000A9000000}"/>
    <hyperlink ref="C163" location="Notes!$N$1162" display="2." xr:uid="{00000000-0004-0000-0700-0000AA000000}"/>
    <hyperlink ref="C165" location="Notes!$N$1183" display="2." xr:uid="{00000000-0004-0000-0700-0000AB000000}"/>
    <hyperlink ref="C166" location="Notes!$N$1260" display="2." xr:uid="{00000000-0004-0000-0700-0000AC000000}"/>
    <hyperlink ref="C167" location="Notes!$N$1266" display="3." xr:uid="{00000000-0004-0000-0700-0000AD000000}"/>
    <hyperlink ref="C168" location="Notes!$N$1277" display="4." xr:uid="{00000000-0004-0000-0700-0000AE000000}"/>
    <hyperlink ref="C169" location="Notes!$N$1282" display="5." xr:uid="{00000000-0004-0000-0700-0000AF000000}"/>
    <hyperlink ref="C170" location="Notes!$N$1361" display="6." xr:uid="{00000000-0004-0000-0700-0000B0000000}"/>
    <hyperlink ref="C172" location="Notes!$N$1389" display="8." xr:uid="{00000000-0004-0000-0700-0000B1000000}"/>
    <hyperlink ref="C173" location="Notes!$N$1396" display="9." xr:uid="{00000000-0004-0000-0700-0000B2000000}"/>
    <hyperlink ref="C174" location="Notes!$N$1403" display="10." xr:uid="{00000000-0004-0000-0700-0000B3000000}"/>
    <hyperlink ref="C175" location="Notes!$N$1410" display="11." xr:uid="{00000000-0004-0000-0700-0000B4000000}"/>
    <hyperlink ref="C176" location="Notes!$N$1422" display="12." xr:uid="{00000000-0004-0000-0700-0000B5000000}"/>
    <hyperlink ref="C177" location="Notes!$N$1435" display="13." xr:uid="{00000000-0004-0000-0700-0000B6000000}"/>
    <hyperlink ref="C182" location="Notes!$N$1473" display="14." xr:uid="{00000000-0004-0000-0700-0000B7000000}"/>
    <hyperlink ref="C183" location="Notes!$N$1488" display="15." xr:uid="{00000000-0004-0000-0700-0000B8000000}"/>
    <hyperlink ref="C184" location="Notes!$N$1495" display="15." xr:uid="{00000000-0004-0000-0700-0000B9000000}"/>
    <hyperlink ref="C185" location="Notes!$N$1508" display="16." xr:uid="{00000000-0004-0000-0700-0000BA000000}"/>
    <hyperlink ref="C186" location="Notes!$N$1518" display="17." xr:uid="{00000000-0004-0000-0700-0000BB000000}"/>
    <hyperlink ref="C187" location="Notes!$N$1601" display="18." xr:uid="{00000000-0004-0000-0700-0000BC000000}"/>
    <hyperlink ref="C188" location="Notes!$N$1644" display="19." xr:uid="{00000000-0004-0000-0700-0000BD000000}"/>
    <hyperlink ref="C189" location="Notes!$N$1651" display="19." xr:uid="{00000000-0004-0000-0700-0000BE000000}"/>
    <hyperlink ref="C190" location="Notes!$N$1667" display="20." xr:uid="{00000000-0004-0000-0700-0000BF000000}"/>
    <hyperlink ref="B121" location="Noty!$N$599" display="0.0" xr:uid="{00000000-0004-0000-0700-0000C0000000}"/>
    <hyperlink ref="C121" location="Notes!$N$599" display="0.0" xr:uid="{00000000-0004-0000-0700-0000C1000000}"/>
    <hyperlink ref="B116" location="Noty!$N$551" display="0." xr:uid="{00000000-0004-0000-0700-0000C2000000}"/>
    <hyperlink ref="C116" location="Notes!$N$551" display="0." xr:uid="{00000000-0004-0000-0700-0000C3000000}"/>
    <hyperlink ref="B117" location="Noty!$N$553" display="0.0" xr:uid="{00000000-0004-0000-0700-0000C4000000}"/>
    <hyperlink ref="C117" location="Notes!$N$553" display="0.0" xr:uid="{00000000-0004-0000-0700-0000C5000000}"/>
    <hyperlink ref="B178" location="Noty!$N$1441" display="13.0" xr:uid="{00000000-0004-0000-0700-0000C6000000}"/>
    <hyperlink ref="C178" location="Notes!$N$1441" display="13.0" xr:uid="{00000000-0004-0000-0700-0000C7000000}"/>
    <hyperlink ref="B179" location="Noty!$N$1449" display="13.0" xr:uid="{00000000-0004-0000-0700-0000C8000000}"/>
    <hyperlink ref="C179" location="Notes!$N$1449" display="13.0" xr:uid="{00000000-0004-0000-0700-0000C9000000}"/>
    <hyperlink ref="B180" location="Noty!$N$1457" display="13.0" xr:uid="{00000000-0004-0000-0700-0000CA000000}"/>
    <hyperlink ref="C180" location="Notes!$N$1457" display="13.0" xr:uid="{00000000-0004-0000-0700-0000CB000000}"/>
    <hyperlink ref="B181" location="Noty!$N$1465" display="13.0" xr:uid="{00000000-0004-0000-0700-0000CC000000}"/>
    <hyperlink ref="C181" location="Notes!$N$1465" display="13.0" xr:uid="{00000000-0004-0000-0700-0000CD000000}"/>
    <hyperlink ref="B192" location="Noty!$N$1682" display="21." xr:uid="{00000000-0004-0000-0700-0000CE000000}"/>
    <hyperlink ref="C192" location="Notes!$N$1682" display="21." xr:uid="{00000000-0004-0000-0700-0000CF000000}"/>
    <hyperlink ref="B162" location="Noty!$N$1150" display="2." xr:uid="{00000000-0004-0000-0700-0000D0000000}"/>
    <hyperlink ref="B196" location="Noty!$N$1705" display="22." xr:uid="{00000000-0004-0000-0700-0000D1000000}"/>
    <hyperlink ref="C162" location="Notes!$N$1150" display="2." xr:uid="{00000000-0004-0000-0700-0000D2000000}"/>
    <hyperlink ref="C196" location="Notes!$N$1705" display="22." xr:uid="{00000000-0004-0000-0700-0000D3000000}"/>
    <hyperlink ref="B135" location="Noty!$N$748" display="1." xr:uid="{00000000-0004-0000-0700-0000D4000000}"/>
    <hyperlink ref="C135" location="Notes!$N$748" display="1." xr:uid="{00000000-0004-0000-0700-0000D5000000}"/>
    <hyperlink ref="B151" location="Noty!$N$946" display="1." xr:uid="{A0FBC1E2-B9EC-441A-B71C-764DA82BAD09}"/>
    <hyperlink ref="B171" location="Noty!$N$1382" display="7." xr:uid="{DF562772-F6F2-4657-BEC9-A382C70AB75E}"/>
    <hyperlink ref="B191" location="Noty!$N$1675" display="21." xr:uid="{EFB54D40-BE6B-4AA2-AE91-01CE206AE3B9}"/>
    <hyperlink ref="C151" location="Notes!$N$946" display="1." xr:uid="{58D0DA17-71E6-4639-AEAE-E4BB0317E687}"/>
    <hyperlink ref="C171" location="Notes!$N$1382" display="7." xr:uid="{6F1B73B6-A6F6-42A6-BADC-1110BE4DAD1B}"/>
    <hyperlink ref="C191" location="Notes!$N$1675" display="21." xr:uid="{14EB56B7-D0C0-4463-9B81-7D67D5553441}"/>
    <hyperlink ref="B164" location="Noty!$N$1175" display="3." xr:uid="{B45B5F49-8F44-409C-973D-4A8D85AB3C73}"/>
    <hyperlink ref="B195" location="Noty!$N$1686" display="22." xr:uid="{F2302823-89C9-4B79-A78E-5C35D06129C1}"/>
    <hyperlink ref="C164" location="Notes!$N$1175" display="3." xr:uid="{ECCF82E2-07A3-46B0-9576-C7CA223C1C55}"/>
    <hyperlink ref="C195" location="Notes!$N$1686" display="22." xr:uid="{A9C61FB5-6F12-4718-9131-88D5D6542DBD}"/>
  </hyperlinks>
  <pageMargins left="0.74803149606299213" right="0.74803149606299213" top="0.98425196850393704" bottom="0.98425196850393704" header="0.51181102362204722" footer="0.51181102362204722"/>
  <pageSetup paperSize="9" scale="56" firstPageNumber="2" orientation="portrait" blackAndWhite="1" useFirstPageNumber="1" r:id="rId1"/>
  <headerFooter alignWithMargins="0"/>
  <drawing r:id="rId2"/>
  <legacyDrawing r:id="rId3"/>
  <controls>
    <mc:AlternateContent xmlns:mc="http://schemas.openxmlformats.org/markup-compatibility/2006">
      <mc:Choice Requires="x14">
        <control shapeId="58388" r:id="rId4" name="CommandButton2">
          <controlPr defaultSize="0" autoLine="0" r:id="rId5">
            <anchor moveWithCells="1">
              <from>
                <xdr:col>3</xdr:col>
                <xdr:colOff>548640</xdr:colOff>
                <xdr:row>43</xdr:row>
                <xdr:rowOff>0</xdr:rowOff>
              </from>
              <to>
                <xdr:col>3</xdr:col>
                <xdr:colOff>756458</xdr:colOff>
                <xdr:row>53</xdr:row>
                <xdr:rowOff>58189</xdr:rowOff>
              </to>
            </anchor>
          </controlPr>
        </control>
      </mc:Choice>
      <mc:Fallback>
        <control shapeId="58388" r:id="rId4" name="CommandButton2"/>
      </mc:Fallback>
    </mc:AlternateContent>
    <mc:AlternateContent xmlns:mc="http://schemas.openxmlformats.org/markup-compatibility/2006">
      <mc:Choice Requires="x14">
        <control shapeId="58387" r:id="rId6" name="CommandButton1">
          <controlPr defaultSize="0" autoLine="0" autoPict="0" r:id="rId7">
            <anchor moveWithCells="1">
              <from>
                <xdr:col>3</xdr:col>
                <xdr:colOff>224444</xdr:colOff>
                <xdr:row>43</xdr:row>
                <xdr:rowOff>0</xdr:rowOff>
              </from>
              <to>
                <xdr:col>3</xdr:col>
                <xdr:colOff>432262</xdr:colOff>
                <xdr:row>53</xdr:row>
                <xdr:rowOff>58189</xdr:rowOff>
              </to>
            </anchor>
          </controlPr>
        </control>
      </mc:Choice>
      <mc:Fallback>
        <control shapeId="58387" r:id="rId6" name="CommandButton1"/>
      </mc:Fallback>
    </mc:AlternateContent>
    <mc:AlternateContent xmlns:mc="http://schemas.openxmlformats.org/markup-compatibility/2006">
      <mc:Choice Requires="x14">
        <control shapeId="58382" r:id="rId8" name="WersjaJezykowa">
          <controlPr defaultSize="0" autoLine="0" autoPict="0" macro="[0]!call_Wersja_PL_ENG">
            <anchor moveWithCells="1">
              <from>
                <xdr:col>7</xdr:col>
                <xdr:colOff>33251</xdr:colOff>
                <xdr:row>62</xdr:row>
                <xdr:rowOff>0</xdr:rowOff>
              </from>
              <to>
                <xdr:col>8</xdr:col>
                <xdr:colOff>432262</xdr:colOff>
                <xdr:row>63</xdr:row>
                <xdr:rowOff>41564</xdr:rowOff>
              </to>
            </anchor>
          </controlPr>
        </control>
      </mc:Choice>
    </mc:AlternateContent>
    <mc:AlternateContent xmlns:mc="http://schemas.openxmlformats.org/markup-compatibility/2006">
      <mc:Choice Requires="x14">
        <control shapeId="58383" r:id="rId9" name="DanePrzeksztalcone1">
          <controlPr defaultSize="0" autoLine="0" autoPict="0" macro="[0]!DaneC_Change">
            <anchor moveWithCells="1">
              <from>
                <xdr:col>7</xdr:col>
                <xdr:colOff>33251</xdr:colOff>
                <xdr:row>64</xdr:row>
                <xdr:rowOff>0</xdr:rowOff>
              </from>
              <to>
                <xdr:col>8</xdr:col>
                <xdr:colOff>432262</xdr:colOff>
                <xdr:row>65</xdr:row>
                <xdr:rowOff>41564</xdr:rowOff>
              </to>
            </anchor>
          </controlPr>
        </control>
      </mc:Choice>
    </mc:AlternateContent>
    <mc:AlternateContent xmlns:mc="http://schemas.openxmlformats.org/markup-compatibility/2006">
      <mc:Choice Requires="x14">
        <control shapeId="58384" r:id="rId10" name="KwotyWZlotych">
          <controlPr defaultSize="0" autoLine="0" autoPict="0" macro="[0]!call_kwoty_w_PLN_change">
            <anchor moveWithCells="1">
              <from>
                <xdr:col>7</xdr:col>
                <xdr:colOff>33251</xdr:colOff>
                <xdr:row>60</xdr:row>
                <xdr:rowOff>0</xdr:rowOff>
              </from>
              <to>
                <xdr:col>8</xdr:col>
                <xdr:colOff>432262</xdr:colOff>
                <xdr:row>61</xdr:row>
                <xdr:rowOff>41564</xdr:rowOff>
              </to>
            </anchor>
          </controlPr>
        </control>
      </mc:Choice>
    </mc:AlternateContent>
    <mc:AlternateContent xmlns:mc="http://schemas.openxmlformats.org/markup-compatibility/2006">
      <mc:Choice Requires="x14">
        <control shapeId="58392" r:id="rId11" name="NotaPodatkowa1">
          <controlPr defaultSize="0" autoLine="0" autoPict="0" macro="[0]!Nota24_Change">
            <anchor moveWithCells="1">
              <from>
                <xdr:col>7</xdr:col>
                <xdr:colOff>33251</xdr:colOff>
                <xdr:row>66</xdr:row>
                <xdr:rowOff>0</xdr:rowOff>
              </from>
              <to>
                <xdr:col>8</xdr:col>
                <xdr:colOff>432262</xdr:colOff>
                <xdr:row>67</xdr:row>
                <xdr:rowOff>41564</xdr:rowOff>
              </to>
            </anchor>
          </controlPr>
        </control>
      </mc:Choice>
    </mc:AlternateContent>
    <mc:AlternateContent xmlns:mc="http://schemas.openxmlformats.org/markup-compatibility/2006">
      <mc:Choice Requires="x14">
        <control shapeId="58393" r:id="rId12" name="RPP">
          <controlPr defaultSize="0" autoLine="0" autoPict="0" macro="[0]!Przeplywy_Change">
            <anchor moveWithCells="1">
              <from>
                <xdr:col>7</xdr:col>
                <xdr:colOff>33251</xdr:colOff>
                <xdr:row>68</xdr:row>
                <xdr:rowOff>0</xdr:rowOff>
              </from>
              <to>
                <xdr:col>8</xdr:col>
                <xdr:colOff>432262</xdr:colOff>
                <xdr:row>69</xdr:row>
                <xdr:rowOff>41564</xdr:rowOff>
              </to>
            </anchor>
          </controlPr>
        </control>
      </mc:Choice>
    </mc:AlternateContent>
    <mc:AlternateContent xmlns:mc="http://schemas.openxmlformats.org/markup-compatibility/2006">
      <mc:Choice Requires="x14">
        <control shapeId="58394" r:id="rId13" name="ZZwKW">
          <controlPr defaultSize="0" autoLine="0" autoPict="0" macro="[0]!Kapital_Change">
            <anchor moveWithCells="1">
              <from>
                <xdr:col>7</xdr:col>
                <xdr:colOff>33251</xdr:colOff>
                <xdr:row>70</xdr:row>
                <xdr:rowOff>0</xdr:rowOff>
              </from>
              <to>
                <xdr:col>8</xdr:col>
                <xdr:colOff>432262</xdr:colOff>
                <xdr:row>71</xdr:row>
                <xdr:rowOff>33251</xdr:rowOff>
              </to>
            </anchor>
          </controlPr>
        </control>
      </mc:Choice>
    </mc:AlternateContent>
    <mc:AlternateContent xmlns:mc="http://schemas.openxmlformats.org/markup-compatibility/2006">
      <mc:Choice Requires="x14">
        <control shapeId="58395" r:id="rId14" name="RokObrotowy">
          <controlPr defaultSize="0" autoLine="0" autoPict="0" macro="[0]!RokObrotowy_Change">
            <anchor moveWithCells="1">
              <from>
                <xdr:col>7</xdr:col>
                <xdr:colOff>33251</xdr:colOff>
                <xdr:row>72</xdr:row>
                <xdr:rowOff>0</xdr:rowOff>
              </from>
              <to>
                <xdr:col>8</xdr:col>
                <xdr:colOff>432262</xdr:colOff>
                <xdr:row>73</xdr:row>
                <xdr:rowOff>33251</xdr:rowOff>
              </to>
            </anchor>
          </controlPr>
        </control>
      </mc:Choice>
    </mc:AlternateContent>
    <mc:AlternateContent xmlns:mc="http://schemas.openxmlformats.org/markup-compatibility/2006">
      <mc:Choice Requires="x14">
        <control shapeId="58410" r:id="rId15" name="WariantRZIS">
          <controlPr defaultSize="0" autoFill="0" autoPict="0">
            <anchor moveWithCells="1">
              <from>
                <xdr:col>7</xdr:col>
                <xdr:colOff>33251</xdr:colOff>
                <xdr:row>74</xdr:row>
                <xdr:rowOff>0</xdr:rowOff>
              </from>
              <to>
                <xdr:col>8</xdr:col>
                <xdr:colOff>415636</xdr:colOff>
                <xdr:row>75</xdr:row>
                <xdr:rowOff>33251</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700-000000000000}">
          <x14:formula1>
            <xm:f>definicje!$N$3:$N$4</xm:f>
          </x14:formula1>
          <xm:sqref>C25:C26 C19:C20 C23 D83:D196</xm:sqref>
        </x14:dataValidation>
        <x14:dataValidation type="list" allowBlank="1" showInputMessage="1" showErrorMessage="1" xr:uid="{00000000-0002-0000-0700-000001000000}">
          <x14:formula1>
            <xm:f>definicje!$T$2:$T$4</xm:f>
          </x14:formula1>
          <xm:sqref>C4</xm:sqref>
        </x14:dataValidation>
        <x14:dataValidation type="list" allowBlank="1" showInputMessage="1" showErrorMessage="1" error="Wpisz poprawny kod PKD" xr:uid="{00000000-0002-0000-0700-000002000000}">
          <x14:formula1>
            <xm:f>'Kody PKD'!$A$2:$A$657</xm:f>
          </x14:formula1>
          <xm:sqref>C44:C53</xm:sqref>
        </x14:dataValidation>
        <x14:dataValidation type="list" allowBlank="1" showInputMessage="1" showErrorMessage="1" xr:uid="{00000000-0002-0000-0700-000003000000}">
          <x14:formula1>
            <xm:f>definicje!$V$2:$V$16</xm:f>
          </x14:formula1>
          <xm:sqref>C31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pageSetUpPr fitToPage="1"/>
  </sheetPr>
  <dimension ref="A1:N16"/>
  <sheetViews>
    <sheetView view="pageBreakPreview" zoomScale="80" zoomScaleNormal="100" zoomScaleSheetLayoutView="80" workbookViewId="0"/>
  </sheetViews>
  <sheetFormatPr defaultColWidth="0" defaultRowHeight="20.3" zeroHeight="1" x14ac:dyDescent="0.35"/>
  <cols>
    <col min="1" max="2" width="116.109375" style="75" customWidth="1"/>
    <col min="3" max="3" width="2.33203125" style="71" customWidth="1"/>
    <col min="4" max="4" width="0.5546875" style="71" customWidth="1"/>
    <col min="5" max="5" width="9.109375" style="71" customWidth="1"/>
    <col min="6" max="6" width="9.109375" customWidth="1"/>
    <col min="7" max="14" width="9.109375" hidden="1" customWidth="1"/>
    <col min="15" max="16384" width="9.109375" style="71" hidden="1"/>
  </cols>
  <sheetData>
    <row r="1" spans="1:14" ht="115.55" customHeight="1" x14ac:dyDescent="0.4">
      <c r="A1" s="70" t="str">
        <f>UPPER(NazwaFirmy)</f>
        <v>TESTOWA 185 SP. Z O.O.</v>
      </c>
      <c r="B1" s="70" t="str">
        <f>UPPER(NazwaFirmy)</f>
        <v>TESTOWA 185 SP. Z O.O.</v>
      </c>
    </row>
    <row r="2" spans="1:14" ht="15.75" customHeight="1" x14ac:dyDescent="0.3">
      <c r="A2" s="72"/>
      <c r="B2" s="72"/>
    </row>
    <row r="3" spans="1:14" s="74" customFormat="1" ht="25.55" customHeight="1" x14ac:dyDescent="0.4">
      <c r="A3" s="73" t="s">
        <v>7493</v>
      </c>
      <c r="B3" s="73" t="s">
        <v>7494</v>
      </c>
      <c r="F3"/>
      <c r="G3"/>
      <c r="H3"/>
      <c r="I3"/>
      <c r="J3"/>
      <c r="K3"/>
      <c r="L3"/>
      <c r="M3"/>
      <c r="N3"/>
    </row>
    <row r="4" spans="1:14" s="74" customFormat="1" ht="28.5" customHeight="1" x14ac:dyDescent="0.4">
      <c r="A4" s="72" t="str">
        <f>CONCATENATE("ZA OKRES OD ",Input!P6," DO ",Input!P7,)</f>
        <v>ZA OKRES OD 01.01.2020 DO 31.12.2020</v>
      </c>
      <c r="B4" s="72" t="str">
        <f>CONCATENATE("FOR THE PERIOD FROM  ",Input!P6," TO ",Input!P7,)</f>
        <v>FOR THE PERIOD FROM  01.01.2020 TO 31.12.2020</v>
      </c>
      <c r="F4"/>
      <c r="G4"/>
      <c r="H4"/>
      <c r="I4"/>
      <c r="J4"/>
      <c r="K4"/>
      <c r="L4"/>
      <c r="M4"/>
      <c r="N4"/>
    </row>
    <row r="5" spans="1:14" x14ac:dyDescent="0.35"/>
    <row r="6" spans="1:14" customFormat="1" ht="15.05" hidden="1" x14ac:dyDescent="0.3"/>
    <row r="7" spans="1:14" customFormat="1" ht="15.05" hidden="1" x14ac:dyDescent="0.3"/>
    <row r="8" spans="1:14" customFormat="1" ht="15.05" hidden="1" x14ac:dyDescent="0.3"/>
    <row r="9" spans="1:14" customFormat="1" ht="15.05" hidden="1" x14ac:dyDescent="0.3"/>
    <row r="10" spans="1:14" customFormat="1" ht="15.05" hidden="1" x14ac:dyDescent="0.3"/>
    <row r="11" spans="1:14" customFormat="1" ht="15.05" hidden="1" x14ac:dyDescent="0.3"/>
    <row r="12" spans="1:14" customFormat="1" ht="15.05" hidden="1" x14ac:dyDescent="0.3"/>
    <row r="13" spans="1:14" customFormat="1" ht="15.05" hidden="1" x14ac:dyDescent="0.3"/>
    <row r="14" spans="1:14" customFormat="1" ht="15.05" hidden="1" x14ac:dyDescent="0.3"/>
    <row r="15" spans="1:14" customFormat="1" ht="15.05" hidden="1" x14ac:dyDescent="0.3"/>
    <row r="16" spans="1:14" customFormat="1" ht="15.05" hidden="1" x14ac:dyDescent="0.3"/>
  </sheetData>
  <sheetProtection formatCells="0" formatColumns="0" formatRows="0" sort="0" autoFilter="0"/>
  <printOptions horizontalCentered="1"/>
  <pageMargins left="1.37795275590551" right="3.1496062992125999" top="6.81102362204724" bottom="2.0078740157480301" header="0.511811023622047" footer="0.511811023622047"/>
  <pageSetup paperSize="9" scale="20" firstPageNumber="2" orientation="portrait" blackAndWhite="1"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N15"/>
  <sheetViews>
    <sheetView view="pageBreakPreview" zoomScale="90" zoomScaleNormal="100" zoomScaleSheetLayoutView="90" workbookViewId="0"/>
  </sheetViews>
  <sheetFormatPr defaultColWidth="0" defaultRowHeight="15.05" zeroHeight="1" x14ac:dyDescent="0.3"/>
  <cols>
    <col min="1" max="2" width="94" style="26" customWidth="1"/>
    <col min="3" max="4" width="0.109375" style="26" customWidth="1"/>
    <col min="5" max="5" width="3.33203125" style="26" customWidth="1"/>
    <col min="6" max="6" width="9.109375" style="26" customWidth="1"/>
    <col min="7" max="9" width="9.109375" style="26" hidden="1" customWidth="1"/>
    <col min="10" max="10" width="9.109375" hidden="1" customWidth="1"/>
    <col min="11" max="11" width="9.109375" style="26" customWidth="1"/>
    <col min="12" max="12" width="25.44140625" customWidth="1"/>
    <col min="13" max="14" width="9.109375" style="26" customWidth="1"/>
    <col min="15" max="16384" width="9.109375" style="26" hidden="1"/>
  </cols>
  <sheetData>
    <row r="1" spans="1:11" ht="25.55" customHeight="1" x14ac:dyDescent="0.4">
      <c r="A1" s="600" t="str">
        <f>UPPER(NazwaFirmy)</f>
        <v>TESTOWA 185 SP. Z O.O.</v>
      </c>
      <c r="B1" s="774" t="str">
        <f>UPPER(NazwaFirmy)</f>
        <v>TESTOWA 185 SP. Z O.O.</v>
      </c>
      <c r="C1" s="600"/>
      <c r="D1" s="76"/>
      <c r="E1" s="174"/>
      <c r="F1" s="174"/>
      <c r="K1" s="174"/>
    </row>
    <row r="2" spans="1:11" ht="15.75" customHeight="1" x14ac:dyDescent="0.3">
      <c r="A2" s="601" t="str">
        <f>Input!$C$5</f>
        <v>Sprawozdanie finansowe za okres od 01.01.2020 do 31.12.2020</v>
      </c>
      <c r="B2" s="775" t="str">
        <f>CONCATENATE("Financial statements for the period from ",Input!$P$6," to ",Input!$P$7)</f>
        <v>Financial statements for the period from 01.01.2020 to 31.12.2020</v>
      </c>
      <c r="C2" s="601"/>
      <c r="D2" s="77"/>
      <c r="E2" s="174"/>
      <c r="F2" s="174"/>
      <c r="K2" s="174"/>
    </row>
    <row r="3" spans="1:11" ht="15.05" customHeight="1" x14ac:dyDescent="0.3">
      <c r="A3" s="174"/>
      <c r="C3" s="174"/>
      <c r="E3" s="174"/>
      <c r="F3" s="174"/>
      <c r="K3" s="174"/>
    </row>
    <row r="4" spans="1:11" ht="99.85" customHeight="1" x14ac:dyDescent="0.3">
      <c r="A4" s="174"/>
      <c r="C4" s="174"/>
      <c r="E4" s="174"/>
      <c r="F4" s="174"/>
      <c r="K4" s="174"/>
    </row>
    <row r="5" spans="1:11" ht="20.3" customHeight="1" x14ac:dyDescent="0.3">
      <c r="A5" s="559" t="s">
        <v>7495</v>
      </c>
      <c r="B5" s="776" t="s">
        <v>7496</v>
      </c>
      <c r="C5" s="559"/>
      <c r="D5" s="78"/>
      <c r="E5" s="174"/>
      <c r="F5" s="174"/>
      <c r="K5" s="174"/>
    </row>
    <row r="6" spans="1:11" ht="15.75" customHeight="1" x14ac:dyDescent="0.3">
      <c r="A6" s="174"/>
      <c r="B6" s="773"/>
      <c r="C6" s="174"/>
      <c r="D6" s="71"/>
      <c r="E6" s="174"/>
      <c r="F6" s="174"/>
      <c r="K6" s="979" t="s">
        <v>5070</v>
      </c>
    </row>
    <row r="7" spans="1:11" ht="21.95" customHeight="1" x14ac:dyDescent="0.3">
      <c r="A7" s="174" t="str">
        <f>UPPER(oświadczenie!A2)</f>
        <v>OŚWIADCZENIE ZARZĄDU</v>
      </c>
      <c r="B7" s="773" t="str">
        <f>UPPER(oświadczenie!B2)</f>
        <v>STATEMENT OF THE BOARD OF DIRECTORS</v>
      </c>
      <c r="C7" s="174"/>
      <c r="D7" s="71"/>
      <c r="E7" s="602">
        <v>3</v>
      </c>
      <c r="F7" s="174"/>
      <c r="K7" s="979" t="s">
        <v>5070</v>
      </c>
    </row>
    <row r="8" spans="1:11" ht="21.95" customHeight="1" x14ac:dyDescent="0.3">
      <c r="A8" s="174" t="str">
        <f>UPPER(wstęp!A3)</f>
        <v>WPROWADZENIE DO SPRAWOZDANIA FINANSOWEGO</v>
      </c>
      <c r="B8" s="773" t="str">
        <f>UPPER(introduction!A3)</f>
        <v>INTRODUCTION TO THE FINANCIAL STATEMENTS</v>
      </c>
      <c r="C8" s="174"/>
      <c r="D8" s="71"/>
      <c r="E8" s="602">
        <v>4</v>
      </c>
      <c r="F8" s="174"/>
      <c r="K8" s="979" t="s">
        <v>5070</v>
      </c>
    </row>
    <row r="9" spans="1:11" ht="21.95" customHeight="1" x14ac:dyDescent="0.3">
      <c r="A9" s="174" t="str">
        <f>UPPER(_aktywa!A3)</f>
        <v>BILANS</v>
      </c>
      <c r="B9" s="773" t="str">
        <f>UPPER(_aktywa!B3)</f>
        <v xml:space="preserve">BALANCE SHEET </v>
      </c>
      <c r="C9" s="174"/>
      <c r="D9" s="71"/>
      <c r="E9" s="602">
        <v>20</v>
      </c>
      <c r="F9" s="174"/>
      <c r="K9" s="979" t="s">
        <v>5070</v>
      </c>
    </row>
    <row r="10" spans="1:11" ht="21.95" customHeight="1" x14ac:dyDescent="0.3">
      <c r="A10" s="174" t="str">
        <f>UPPER(rzis!A3)</f>
        <v>RACHUNEK ZYSKÓW I STRAT</v>
      </c>
      <c r="B10" s="773" t="str">
        <f>UPPER(rzis!B3)</f>
        <v>INCOME STATEMENT</v>
      </c>
      <c r="C10" s="174"/>
      <c r="D10" s="71"/>
      <c r="E10" s="602">
        <v>26</v>
      </c>
      <c r="F10" s="174"/>
      <c r="K10" s="979" t="s">
        <v>5070</v>
      </c>
    </row>
    <row r="11" spans="1:11" ht="21.95" customHeight="1" x14ac:dyDescent="0.3">
      <c r="A11" s="174" t="str">
        <f>UPPER(kapitał!A3)</f>
        <v xml:space="preserve">ZESTAWIENIE ZMIAN W KAPITALE WŁASNYM </v>
      </c>
      <c r="B11" s="174" t="str">
        <f>UPPER(kapitał!B3)</f>
        <v>STATEMENT OF CHANGES IN EQUITY</v>
      </c>
      <c r="C11" s="1169"/>
      <c r="D11" s="1169"/>
      <c r="E11" s="602">
        <v>28</v>
      </c>
      <c r="K11" s="85" t="str">
        <f>IF(ZestKapital= 1,"odkryj","ukryj")</f>
        <v>odkryj</v>
      </c>
    </row>
    <row r="12" spans="1:11" ht="21.95" customHeight="1" x14ac:dyDescent="0.3">
      <c r="A12" s="174" t="str">
        <f>UPPER(przepływy!A3)</f>
        <v xml:space="preserve">RACHUNEK PRZEPŁYWÓW PIENIĘŻNYCH  </v>
      </c>
      <c r="B12" s="174" t="str">
        <f>UPPER(przepływy!B3)</f>
        <v>STATEMENT OF CASH FLOWS</v>
      </c>
      <c r="C12" s="1169"/>
      <c r="D12" s="1169"/>
      <c r="E12" s="602">
        <v>31</v>
      </c>
      <c r="K12" s="85" t="str">
        <f>IF(Przeplyw= 1,"odkryj","ukryj")</f>
        <v>odkryj</v>
      </c>
    </row>
    <row r="13" spans="1:11" ht="21.95" customHeight="1" x14ac:dyDescent="0.3">
      <c r="A13" s="174" t="str">
        <f>UPPER(NotaPodatkowa!A3)</f>
        <v>DODATKOWE INFORMACJE I OBJAŚNIENIA</v>
      </c>
      <c r="B13" s="773" t="str">
        <f>UPPER(Notes!A3)</f>
        <v>SUPPLEMENTARY INFORMATION AND EXPLANATIONS</v>
      </c>
      <c r="C13" s="174"/>
      <c r="D13" s="71"/>
      <c r="E13" s="602">
        <v>34</v>
      </c>
      <c r="F13" s="174"/>
      <c r="K13" s="979" t="s">
        <v>5070</v>
      </c>
    </row>
    <row r="14" spans="1:11" x14ac:dyDescent="0.3">
      <c r="A14" s="174"/>
      <c r="C14" s="174"/>
      <c r="E14" s="174"/>
      <c r="F14" s="174"/>
      <c r="K14" s="174"/>
    </row>
    <row r="15" spans="1:11" x14ac:dyDescent="0.3"/>
  </sheetData>
  <sheetProtection formatCells="0" formatColumns="0" formatRows="0" sort="0" autoFilter="0"/>
  <autoFilter ref="K6:K13" xr:uid="{00000000-0009-0000-0000-000009000000}"/>
  <dataConsolidate/>
  <printOptions horizontalCentered="1"/>
  <pageMargins left="0.70866141732283472" right="0.70866141732283472" top="0.74803149606299213" bottom="0.74803149606299213" header="0.31496062992125984" footer="0.31496062992125984"/>
  <pageSetup paperSize="9" scale="90" firstPageNumber="2" orientation="portrait"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4931" r:id="rId4" name="Button 3">
              <controlPr defaultSize="0" print="0" autoFill="0" autoPict="0" macro="[0]!filtr_Odkryj">
                <anchor moveWithCells="1" sizeWithCells="1">
                  <from>
                    <xdr:col>5</xdr:col>
                    <xdr:colOff>415636</xdr:colOff>
                    <xdr:row>3</xdr:row>
                    <xdr:rowOff>756458</xdr:rowOff>
                  </from>
                  <to>
                    <xdr:col>11</xdr:col>
                    <xdr:colOff>307571</xdr:colOff>
                    <xdr:row>3</xdr:row>
                    <xdr:rowOff>1197033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XFC59"/>
  <sheetViews>
    <sheetView view="pageBreakPreview" zoomScale="85" zoomScaleNormal="100" zoomScaleSheetLayoutView="85" workbookViewId="0"/>
  </sheetViews>
  <sheetFormatPr defaultColWidth="0" defaultRowHeight="15.05" zeroHeight="1" x14ac:dyDescent="0.3"/>
  <cols>
    <col min="1" max="2" width="96.5546875" style="57" customWidth="1"/>
    <col min="3" max="3" width="0.6640625" style="93" customWidth="1"/>
    <col min="4" max="4" width="3.44140625" style="93" customWidth="1"/>
    <col min="5" max="5" width="3.5546875" hidden="1" customWidth="1"/>
    <col min="6" max="6" width="2.33203125" hidden="1" customWidth="1"/>
    <col min="7" max="7" width="29.33203125" style="93" customWidth="1"/>
    <col min="8" max="10" width="9.109375" style="93" hidden="1" customWidth="1"/>
    <col min="11" max="11" width="8.109375" style="93" bestFit="1" customWidth="1"/>
    <col min="12" max="12" width="1.88671875" style="93" hidden="1" customWidth="1"/>
    <col min="13" max="13" width="9.6640625" style="93" customWidth="1"/>
    <col min="14" max="14" width="11.44140625" customWidth="1"/>
    <col min="15" max="57" width="9.109375" hidden="1"/>
    <col min="58" max="16383" width="11.44140625" hidden="1"/>
    <col min="16384" max="16384" width="1.44140625" hidden="1"/>
  </cols>
  <sheetData>
    <row r="1" spans="1:12" ht="15.75" customHeight="1" x14ac:dyDescent="0.3">
      <c r="A1" s="951" t="str">
        <f>UPPER(NazwaFirmy)</f>
        <v>TESTOWA 185 SP. Z O.O.</v>
      </c>
      <c r="B1" s="951" t="str">
        <f>UPPER(NazwaFirmy)</f>
        <v>TESTOWA 185 SP. Z O.O.</v>
      </c>
    </row>
    <row r="2" spans="1:12" ht="15.75" customHeight="1" x14ac:dyDescent="0.3">
      <c r="A2" s="952" t="s">
        <v>7497</v>
      </c>
      <c r="B2" s="952" t="s">
        <v>7498</v>
      </c>
    </row>
    <row r="3" spans="1:12" ht="15.75" customHeight="1" x14ac:dyDescent="0.3">
      <c r="C3" s="94"/>
      <c r="D3" s="94"/>
      <c r="K3" s="1042" t="s">
        <v>5070</v>
      </c>
    </row>
    <row r="4" spans="1:12" ht="101.3" customHeight="1" x14ac:dyDescent="0.3">
      <c r="A4" s="603" t="s">
        <v>7499</v>
      </c>
      <c r="B4" s="603" t="s">
        <v>7500</v>
      </c>
      <c r="C4" s="95"/>
      <c r="D4" s="95"/>
      <c r="K4" s="1042" t="s">
        <v>5070</v>
      </c>
    </row>
    <row r="5" spans="1:12" ht="15.75" customHeight="1" x14ac:dyDescent="0.3">
      <c r="A5" s="158"/>
      <c r="B5" s="158"/>
      <c r="C5" s="158"/>
      <c r="D5" s="158"/>
      <c r="K5" s="1042" t="s">
        <v>5070</v>
      </c>
    </row>
    <row r="6" spans="1:12" ht="15.05" customHeight="1" x14ac:dyDescent="0.3">
      <c r="A6" s="798" t="s">
        <v>7501</v>
      </c>
      <c r="B6" s="798" t="s">
        <v>7502</v>
      </c>
      <c r="C6" s="158"/>
      <c r="D6" s="158"/>
      <c r="K6" s="1042" t="s">
        <v>5070</v>
      </c>
    </row>
    <row r="7" spans="1:12" ht="15.75" customHeight="1" x14ac:dyDescent="0.3">
      <c r="A7" s="158"/>
      <c r="B7" s="158"/>
      <c r="C7" s="158"/>
      <c r="D7" s="158"/>
      <c r="K7" s="1042" t="s">
        <v>5070</v>
      </c>
    </row>
    <row r="8" spans="1:12" ht="15.75" customHeight="1" x14ac:dyDescent="0.3">
      <c r="A8" s="603" t="s">
        <v>7503</v>
      </c>
      <c r="B8" s="603" t="s">
        <v>7504</v>
      </c>
      <c r="C8" s="798"/>
      <c r="D8" s="798"/>
      <c r="K8" s="1042" t="s">
        <v>5070</v>
      </c>
    </row>
    <row r="9" spans="1:12" ht="15.75" customHeight="1" x14ac:dyDescent="0.3">
      <c r="A9" s="98"/>
      <c r="B9" s="98"/>
      <c r="C9" s="798"/>
      <c r="D9" s="798"/>
      <c r="K9" s="1042" t="s">
        <v>5070</v>
      </c>
    </row>
    <row r="10" spans="1:12" ht="15.05" customHeight="1" x14ac:dyDescent="0.3">
      <c r="A10" s="603" t="str">
        <f>CONCATENATE("2) bilansu sporządzonego na dzień ",Input!$P$7,", który po stronie aktywów i pasywów wykazuje sumę ", TEXT(ABS(Aktywa_KwotaA),"# ##0,00"),IF(Zlote=2," tys.","")," zł;")</f>
        <v>2) bilansu sporządzonego na dzień 31.12.2020, który po stronie aktywów i pasywów wykazuje sumę 0,00 zł;</v>
      </c>
      <c r="B10" s="603" t="str">
        <f>CONCATENATE("2) Balance sheet as at ",  Input!$P$7," with total assets and total liabilities and equity of",IF(Zlote=2," thousand","")," PLN ", TEXT(ABS(Aktywa_KwotaA),"# ##0,00"),";")</f>
        <v>2) Balance sheet as at 31.12.2020 with total assets and total liabilities and equity of PLN 0,00;</v>
      </c>
      <c r="K10" s="1042" t="s">
        <v>5070</v>
      </c>
    </row>
    <row r="11" spans="1:12" ht="15.75" customHeight="1" x14ac:dyDescent="0.3">
      <c r="A11" s="98"/>
      <c r="B11" s="98"/>
      <c r="C11" s="798"/>
      <c r="D11" s="798"/>
      <c r="K11" s="1042" t="s">
        <v>5070</v>
      </c>
    </row>
    <row r="12" spans="1:12" ht="15.05" customHeight="1" x14ac:dyDescent="0.3">
      <c r="A12" s="603" t="str">
        <f>CONCATENATE("3) rachunku zysków i strat za okres od ",Input!$P$6," do ",Input!$P$7," wykazującego ",rzis!$L$58," netto w wysokości ",TEXT(ABS(IF(WariantRZiS=1,RZISPorL_KwotaA,RzisKalkO_KwotaA)),"# ##0,00"),IF(Zlote=2," tys.","")," zł;")</f>
        <v>3) rachunku zysków i strat za okres od 01.01.2020 do 31.12.2020 wykazującego zysk netto w wysokości 0,00 zł;</v>
      </c>
      <c r="B12" s="603" t="str">
        <f>CONCATENATE("3) Income statement for the period from ",Input!$P$6," to ",Input!$P$7," with a net ",rzis!$M$58," of",IF(Zlote=2," thousand","")," PLN ",TEXT(ABS(IF(WariantRZiS=1,RZISPorL_KwotaA,RzisKalkO_KwotaA)),"# ##0,00"),";")</f>
        <v>3) Income statement for the period from 01.01.2020 to 31.12.2020 with a net profit of PLN 0,00;</v>
      </c>
      <c r="C12" s="96"/>
      <c r="D12" s="96"/>
      <c r="K12" s="1042" t="s">
        <v>5070</v>
      </c>
      <c r="L12" s="93">
        <v>3</v>
      </c>
    </row>
    <row r="13" spans="1:12" ht="15.75" customHeight="1" x14ac:dyDescent="0.3">
      <c r="A13" s="98"/>
      <c r="B13" s="98"/>
      <c r="C13" s="97"/>
      <c r="D13" s="97"/>
      <c r="K13" s="1042" t="str">
        <f>oświadczenie!K14</f>
        <v>odkryj</v>
      </c>
    </row>
    <row r="14" spans="1:12" ht="28.5" customHeight="1" x14ac:dyDescent="0.3">
      <c r="A14" s="603" t="str">
        <f>CONCATENATE($L$14,") zestawienia zmian w kapitale własnym za okres od ",Input!$P$6," do ",Input!$P$7,IF(ABS(Kapital_2_KwotaA-Kapital_2_KwotaB) = 0,", które nie wykazuje zmian;"," wykazującego "&amp;kapitał!$L$61&amp;" stanu kapitału własnego o kwotę " &amp; TEXT(ABS(Kapital_2_KwotaA - Kapital_2_KwotaB), "# ##0,00") &amp; IF(Zlote=2," tys.","")&amp;" zł;"))</f>
        <v>4) zestawienia zmian w kapitale własnym za okres od 01.01.2020 do 31.12.2020, które nie wykazuje zmian;</v>
      </c>
      <c r="B14" s="603" t="str">
        <f>CONCATENATE($L$14,") Statement of changes in equity for the period from ",Input!$P$6," to ",Input!$P$7," with an equity ",IF(ABS(Kapital_2_KwotaA-Kapital_2_KwotaB) = 0," which shows no change;",kapitał!$M$61&amp;" of"&amp;IF(Zlote=2," thousand","")&amp;" PLN " &amp; TEXT(ABS(Kapital_2_KwotaA - Kapital_2_KwotaB), "# ##0,00") &amp; ";"))</f>
        <v>4) Statement of changes in equity for the period from 01.01.2020 to 31.12.2020 with an equity  which shows no change;</v>
      </c>
      <c r="C14" s="98"/>
      <c r="D14" s="98"/>
      <c r="K14" s="1042" t="str">
        <f>IF(ZestKapital=1,"odkryj","ukryj")</f>
        <v>odkryj</v>
      </c>
      <c r="L14" s="93">
        <f>IF(K14="ukryj",L12,L12+1)</f>
        <v>4</v>
      </c>
    </row>
    <row r="15" spans="1:12" ht="15.75" customHeight="1" x14ac:dyDescent="0.3">
      <c r="A15" s="98"/>
      <c r="B15" s="98"/>
      <c r="C15" s="99"/>
      <c r="D15" s="99"/>
      <c r="K15" s="1042" t="str">
        <f>oświadczenie!K14</f>
        <v>odkryj</v>
      </c>
    </row>
    <row r="16" spans="1:12" ht="31.6" customHeight="1" x14ac:dyDescent="0.3">
      <c r="A16" s="603" t="str">
        <f>CONCATENATE($L$16,") rachunku przepływów pieniężnych za okres od ",Input!$P$6," do ",Input!$P$7,IF(ABS(CFPosr_G_KwotaA-CFPosr_G_KwotaB) = 0,", który nie wykazuje zmian w stanie środków pieniężnych;"," wykazującego "&amp;przepływy!$L$62&amp;" stanu środków pieniężnych netto na sumę "&amp;TEXT(ABS(CFPosr_D_KwotaA),"# ##0,00")&amp;IF(Zlote=2," tys.","")&amp;" zł;"))</f>
        <v>5) rachunku przepływów pieniężnych za okres od 01.01.2020 do 31.12.2020, który nie wykazuje zmian w stanie środków pieniężnych;</v>
      </c>
      <c r="B16" s="603" t="str">
        <f>CONCATENATE($L$16,") Statement of cash flows for the period from ",Input!$P$6," to ",Input!$P$7," with a net cash ", IF(ABS(Kapital_2_KwotaA-Kapital_2_KwotaB) = 0," which shows no change;"," "&amp;przepływy!$M$62&amp;" of"&amp;IF(Zlote=2," thousand","")&amp;" PLN "&amp;TEXT(ABS(CFPosr_D_KwotaA),"# ##0,00")&amp;";"))</f>
        <v>5) Statement of cash flows for the period from 01.01.2020 to 31.12.2020 with a net cash  which shows no change;</v>
      </c>
      <c r="C16" s="99"/>
      <c r="D16" s="99"/>
      <c r="G16" s="100"/>
      <c r="K16" s="1042" t="str">
        <f>IF(Przeplyw=1,"odkryj","ukryj")</f>
        <v>odkryj</v>
      </c>
      <c r="L16" s="93">
        <f>IF(K16="ukryj",L14,L14+1)</f>
        <v>5</v>
      </c>
    </row>
    <row r="17" spans="1:13" ht="15.75" customHeight="1" x14ac:dyDescent="0.3">
      <c r="A17" s="98"/>
      <c r="B17" s="98"/>
      <c r="K17" s="1042" t="s">
        <v>5070</v>
      </c>
    </row>
    <row r="18" spans="1:13" ht="15.05" customHeight="1" x14ac:dyDescent="0.3">
      <c r="A18" s="603" t="str">
        <f>CONCATENATE(L18,") dodatkowych informacji i objaśnień.")</f>
        <v>6) dodatkowych informacji i objaśnień.</v>
      </c>
      <c r="B18" s="603" t="str">
        <f>CONCATENATE(L18,") Supplementary information and explanations. ")</f>
        <v xml:space="preserve">6) Supplementary information and explanations. </v>
      </c>
      <c r="C18" s="100"/>
      <c r="D18" s="100"/>
      <c r="K18" s="1042" t="s">
        <v>5070</v>
      </c>
      <c r="L18" s="93">
        <f>L16+1</f>
        <v>6</v>
      </c>
    </row>
    <row r="19" spans="1:13" ht="15.75" customHeight="1" x14ac:dyDescent="0.3">
      <c r="K19" s="1042" t="s">
        <v>5070</v>
      </c>
    </row>
    <row r="20" spans="1:13" ht="15.75" customHeight="1" x14ac:dyDescent="0.3">
      <c r="K20" s="1042" t="s">
        <v>5070</v>
      </c>
    </row>
    <row r="21" spans="1:13" ht="15.75" customHeight="1" x14ac:dyDescent="0.3">
      <c r="C21" s="57"/>
      <c r="D21" s="57"/>
      <c r="K21" s="1042" t="str">
        <f>oświadczenie!K22</f>
        <v>odkryj</v>
      </c>
    </row>
    <row r="22" spans="1:13" ht="15.75" customHeight="1" x14ac:dyDescent="0.3">
      <c r="A22" s="953" t="str">
        <f>IF(Input!D61="","",Input!D61)</f>
        <v>test</v>
      </c>
      <c r="B22" s="953" t="str">
        <f>IF(Input!D61="","",Input!D61)</f>
        <v>test</v>
      </c>
      <c r="C22" s="101"/>
      <c r="D22" s="101"/>
      <c r="K22" s="1042" t="str">
        <f>IF(oświadczenie!A22="","ukryj","odkryj")</f>
        <v>odkryj</v>
      </c>
    </row>
    <row r="23" spans="1:13" ht="15.75" customHeight="1" x14ac:dyDescent="0.3">
      <c r="A23" s="104" t="str">
        <f>Input!B61</f>
        <v>Prezes zarządu</v>
      </c>
      <c r="B23" s="104" t="str">
        <f>Input!C61</f>
        <v>Chairman of the Board of Directors</v>
      </c>
      <c r="C23" s="102"/>
      <c r="D23" s="102"/>
      <c r="K23" s="1042" t="str">
        <f>oświadczenie!K22</f>
        <v>odkryj</v>
      </c>
    </row>
    <row r="24" spans="1:13" ht="15.75" customHeight="1" x14ac:dyDescent="0.3">
      <c r="A24" s="93"/>
      <c r="B24" s="93"/>
      <c r="K24" s="1042" t="str">
        <f>oświadczenie!K23</f>
        <v>odkryj</v>
      </c>
    </row>
    <row r="25" spans="1:13" ht="15.75" customHeight="1" x14ac:dyDescent="0.3">
      <c r="A25" s="93"/>
      <c r="B25" s="93"/>
      <c r="E25" s="106"/>
      <c r="F25" s="106"/>
      <c r="G25" s="106"/>
      <c r="H25" s="106"/>
      <c r="I25" s="106"/>
      <c r="J25" s="106"/>
      <c r="K25" s="1042" t="str">
        <f>oświadczenie!K24</f>
        <v>odkryj</v>
      </c>
      <c r="L25" s="106"/>
      <c r="M25" s="106"/>
    </row>
    <row r="26" spans="1:13" ht="15.75" customHeight="1" x14ac:dyDescent="0.3">
      <c r="A26" s="93"/>
      <c r="B26" s="93"/>
      <c r="K26" s="1042" t="str">
        <f>oświadczenie!K27</f>
        <v>odkryj</v>
      </c>
    </row>
    <row r="27" spans="1:13" ht="15.75" customHeight="1" x14ac:dyDescent="0.3">
      <c r="A27" s="953" t="str">
        <f>IF(Input!D62="","",Input!D62)</f>
        <v>test1</v>
      </c>
      <c r="B27" s="953" t="str">
        <f>IF(Input!D62="","",Input!D62)</f>
        <v>test1</v>
      </c>
      <c r="C27" s="101"/>
      <c r="D27" s="101"/>
      <c r="K27" s="1042" t="str">
        <f>IF(oświadczenie!A27="","ukryj","odkryj")</f>
        <v>odkryj</v>
      </c>
    </row>
    <row r="28" spans="1:13" ht="15.75" customHeight="1" x14ac:dyDescent="0.3">
      <c r="A28" s="104" t="str">
        <f>Input!B62</f>
        <v>Członek zarządu</v>
      </c>
      <c r="B28" s="104" t="str">
        <f>Input!C62</f>
        <v>Member of the Board of Directors</v>
      </c>
      <c r="C28" s="102"/>
      <c r="D28" s="102"/>
      <c r="K28" s="1042" t="str">
        <f>oświadczenie!K27</f>
        <v>odkryj</v>
      </c>
    </row>
    <row r="29" spans="1:13" ht="15.75" customHeight="1" x14ac:dyDescent="0.3">
      <c r="A29" s="93"/>
      <c r="B29" s="93"/>
      <c r="K29" s="1042" t="str">
        <f>oświadczenie!K28</f>
        <v>odkryj</v>
      </c>
    </row>
    <row r="30" spans="1:13" ht="15.75" customHeight="1" x14ac:dyDescent="0.3">
      <c r="A30" s="93"/>
      <c r="B30" s="93"/>
      <c r="K30" s="1042" t="str">
        <f>oświadczenie!K29</f>
        <v>odkryj</v>
      </c>
    </row>
    <row r="31" spans="1:13" ht="15.75" customHeight="1" x14ac:dyDescent="0.3">
      <c r="A31" s="93"/>
      <c r="B31" s="93"/>
      <c r="K31" s="1042" t="str">
        <f>oświadczenie!K32</f>
        <v>odkryj</v>
      </c>
    </row>
    <row r="32" spans="1:13" ht="15.75" customHeight="1" x14ac:dyDescent="0.3">
      <c r="A32" s="953" t="str">
        <f>IF(Input!D63="","",Input!D63)</f>
        <v>tst2</v>
      </c>
      <c r="B32" s="953" t="str">
        <f>IF(Input!D63="","",Input!D63)</f>
        <v>tst2</v>
      </c>
      <c r="C32" s="101"/>
      <c r="D32" s="101"/>
      <c r="K32" s="1042" t="str">
        <f>IF(oświadczenie!A32="","ukryj","odkryj")</f>
        <v>odkryj</v>
      </c>
    </row>
    <row r="33" spans="1:11" ht="15.75" customHeight="1" x14ac:dyDescent="0.3">
      <c r="A33" s="104" t="str">
        <f>Input!B63</f>
        <v>Członek zarządu</v>
      </c>
      <c r="B33" s="104" t="str">
        <f>Input!C63</f>
        <v>Member of the Board of Directors</v>
      </c>
      <c r="C33" s="102"/>
      <c r="D33" s="102"/>
      <c r="K33" s="1042" t="str">
        <f>oświadczenie!K32</f>
        <v>odkryj</v>
      </c>
    </row>
    <row r="34" spans="1:11" ht="15.75" customHeight="1" x14ac:dyDescent="0.3">
      <c r="A34" s="93"/>
      <c r="B34" s="93"/>
      <c r="K34" s="1042" t="str">
        <f>oświadczenie!K33</f>
        <v>odkryj</v>
      </c>
    </row>
    <row r="35" spans="1:11" ht="15.75" customHeight="1" x14ac:dyDescent="0.3">
      <c r="A35" s="93"/>
      <c r="B35" s="93"/>
      <c r="K35" s="1042" t="str">
        <f>oświadczenie!K34</f>
        <v>odkryj</v>
      </c>
    </row>
    <row r="36" spans="1:11" ht="15.75" customHeight="1" x14ac:dyDescent="0.3">
      <c r="A36" s="93"/>
      <c r="B36" s="93"/>
      <c r="K36" s="1042" t="str">
        <f>oświadczenie!K37</f>
        <v>ukryj</v>
      </c>
    </row>
    <row r="37" spans="1:11" ht="15.75" customHeight="1" x14ac:dyDescent="0.3">
      <c r="A37" s="953" t="str">
        <f>IF(Input!D64="","",Input!D64)</f>
        <v/>
      </c>
      <c r="B37" s="953" t="str">
        <f>IF(Input!D64="","",Input!D64)</f>
        <v/>
      </c>
      <c r="C37" s="101"/>
      <c r="D37" s="101"/>
      <c r="K37" s="1042" t="str">
        <f>IF(oświadczenie!A37="","ukryj","odkryj")</f>
        <v>ukryj</v>
      </c>
    </row>
    <row r="38" spans="1:11" ht="15.75" customHeight="1" x14ac:dyDescent="0.3">
      <c r="A38" s="104" t="str">
        <f>Input!B64</f>
        <v>Członek zarządu</v>
      </c>
      <c r="B38" s="104" t="str">
        <f>Input!C64</f>
        <v>Member of the Board of Directors</v>
      </c>
      <c r="C38" s="102"/>
      <c r="D38" s="102"/>
      <c r="K38" s="1042" t="str">
        <f>oświadczenie!K37</f>
        <v>ukryj</v>
      </c>
    </row>
    <row r="39" spans="1:11" ht="15.75" customHeight="1" x14ac:dyDescent="0.3">
      <c r="A39" s="93"/>
      <c r="B39" s="93"/>
      <c r="K39" s="1042" t="str">
        <f>oświadczenie!K38</f>
        <v>ukryj</v>
      </c>
    </row>
    <row r="40" spans="1:11" ht="15.75" customHeight="1" x14ac:dyDescent="0.3">
      <c r="A40" s="93"/>
      <c r="B40" s="93"/>
      <c r="K40" s="1042" t="str">
        <f>oświadczenie!K39</f>
        <v>ukryj</v>
      </c>
    </row>
    <row r="41" spans="1:11" ht="15.75" customHeight="1" x14ac:dyDescent="0.3">
      <c r="A41" s="93"/>
      <c r="B41" s="93"/>
      <c r="K41" s="1042" t="str">
        <f>oświadczenie!K42</f>
        <v>ukryj</v>
      </c>
    </row>
    <row r="42" spans="1:11" ht="15.75" customHeight="1" x14ac:dyDescent="0.3">
      <c r="A42" s="953" t="str">
        <f>IF(Input!D65="","",Input!D65)</f>
        <v/>
      </c>
      <c r="B42" s="953" t="str">
        <f>IF(Input!D65="","",Input!D65)</f>
        <v/>
      </c>
      <c r="C42" s="101"/>
      <c r="D42" s="101"/>
      <c r="K42" s="1042" t="str">
        <f>IF(oświadczenie!A42="","ukryj","odkryj")</f>
        <v>ukryj</v>
      </c>
    </row>
    <row r="43" spans="1:11" ht="15.75" customHeight="1" x14ac:dyDescent="0.3">
      <c r="A43" s="104" t="str">
        <f>Input!B65</f>
        <v>Członek zarządu</v>
      </c>
      <c r="B43" s="104" t="str">
        <f>Input!C65</f>
        <v>Member of the Board of Directors</v>
      </c>
      <c r="C43" s="102"/>
      <c r="D43" s="102"/>
      <c r="K43" s="1042" t="str">
        <f>oświadczenie!K42</f>
        <v>ukryj</v>
      </c>
    </row>
    <row r="44" spans="1:11" ht="15.75" customHeight="1" x14ac:dyDescent="0.3">
      <c r="A44" s="103"/>
      <c r="B44" s="103"/>
      <c r="C44" s="103"/>
      <c r="D44" s="103"/>
      <c r="G44" s="107"/>
      <c r="K44" s="1042" t="str">
        <f>oświadczenie!K43</f>
        <v>ukryj</v>
      </c>
    </row>
    <row r="45" spans="1:11" ht="15.75" customHeight="1" x14ac:dyDescent="0.3">
      <c r="A45" s="103"/>
      <c r="B45" s="103"/>
      <c r="C45" s="103"/>
      <c r="D45" s="103"/>
      <c r="G45" s="107"/>
      <c r="K45" s="1042" t="str">
        <f>oświadczenie!K44</f>
        <v>ukryj</v>
      </c>
    </row>
    <row r="46" spans="1:11" ht="15.75" customHeight="1" x14ac:dyDescent="0.3">
      <c r="A46" s="93"/>
      <c r="B46" s="93"/>
      <c r="K46" s="1042" t="str">
        <f>oświadczenie!K47</f>
        <v>ukryj</v>
      </c>
    </row>
    <row r="47" spans="1:11" ht="15.75" customHeight="1" x14ac:dyDescent="0.3">
      <c r="A47" s="953" t="str">
        <f>IF(Input!D66="","",Input!D66)</f>
        <v/>
      </c>
      <c r="B47" s="953" t="str">
        <f>IF(Input!D66="","",Input!D66)</f>
        <v/>
      </c>
      <c r="C47" s="101"/>
      <c r="D47" s="101"/>
      <c r="K47" s="1042" t="str">
        <f>IF(oświadczenie!A47="","ukryj","odkryj")</f>
        <v>ukryj</v>
      </c>
    </row>
    <row r="48" spans="1:11" ht="15.75" customHeight="1" x14ac:dyDescent="0.3">
      <c r="A48" s="104" t="str">
        <f>Input!B66</f>
        <v>Członek zarządu</v>
      </c>
      <c r="B48" s="104" t="str">
        <f>Input!C66</f>
        <v>Member of the Board of Directors</v>
      </c>
      <c r="C48" s="102"/>
      <c r="D48" s="102"/>
      <c r="K48" s="1042" t="str">
        <f>oświadczenie!K47</f>
        <v>ukryj</v>
      </c>
    </row>
    <row r="49" spans="1:11" ht="15.75" customHeight="1" x14ac:dyDescent="0.3">
      <c r="A49" s="103"/>
      <c r="B49" s="103"/>
      <c r="C49" s="103"/>
      <c r="D49" s="103"/>
      <c r="G49" s="107"/>
      <c r="K49" s="1042" t="str">
        <f>oświadczenie!K48</f>
        <v>ukryj</v>
      </c>
    </row>
    <row r="50" spans="1:11" ht="15.75" customHeight="1" x14ac:dyDescent="0.3">
      <c r="A50" s="103"/>
      <c r="B50" s="103"/>
      <c r="C50" s="103"/>
      <c r="D50" s="103"/>
      <c r="G50" s="107"/>
      <c r="K50" s="1042" t="str">
        <f>oświadczenie!K49</f>
        <v>ukryj</v>
      </c>
    </row>
    <row r="51" spans="1:11" ht="15.75" customHeight="1" x14ac:dyDescent="0.3">
      <c r="A51" s="104"/>
      <c r="B51" s="104"/>
      <c r="C51" s="104"/>
      <c r="D51" s="104"/>
      <c r="G51" s="104"/>
      <c r="K51" s="1042" t="s">
        <v>5070</v>
      </c>
    </row>
    <row r="52" spans="1:11" ht="21.8" customHeight="1" x14ac:dyDescent="0.3">
      <c r="A52" s="93"/>
      <c r="B52" s="93"/>
      <c r="K52" s="1042" t="s">
        <v>5070</v>
      </c>
    </row>
    <row r="53" spans="1:11" ht="15.75" customHeight="1" x14ac:dyDescent="0.3">
      <c r="A53" s="105"/>
      <c r="B53" s="105"/>
      <c r="C53" s="105"/>
      <c r="D53" s="105"/>
      <c r="G53"/>
      <c r="K53" s="1042" t="s">
        <v>5070</v>
      </c>
    </row>
    <row r="54" spans="1:11" x14ac:dyDescent="0.3">
      <c r="G54"/>
      <c r="K54" s="1042" t="s">
        <v>5070</v>
      </c>
    </row>
    <row r="55" spans="1:11" x14ac:dyDescent="0.3">
      <c r="C55" s="106"/>
      <c r="D55" s="106"/>
    </row>
    <row r="56" spans="1:11" x14ac:dyDescent="0.3"/>
    <row r="57" spans="1:11" x14ac:dyDescent="0.3">
      <c r="K57" s="93" t="s">
        <v>7505</v>
      </c>
    </row>
    <row r="58" spans="1:11" x14ac:dyDescent="0.3"/>
    <row r="59" spans="1:11" x14ac:dyDescent="0.3"/>
  </sheetData>
  <sheetProtection formatCells="0" formatColumns="0" formatRows="0" sort="0" autoFilter="0"/>
  <autoFilter ref="K3:K54" xr:uid="{00000000-0009-0000-0000-00000A000000}"/>
  <printOptions horizontalCentered="1"/>
  <pageMargins left="0.70866141732283472" right="0.70866141732283472" top="0.74803149606299213" bottom="0.74803149606299213" header="0.31496062992125984" footer="0.31496062992125984"/>
  <pageSetup paperSize="9" scale="90" firstPageNumber="2" orientation="portrait"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filtr_Odkryj">
                <anchor moveWithCells="1" sizeWithCells="1">
                  <from>
                    <xdr:col>6</xdr:col>
                    <xdr:colOff>822960</xdr:colOff>
                    <xdr:row>0</xdr:row>
                    <xdr:rowOff>74815</xdr:rowOff>
                  </from>
                  <to>
                    <xdr:col>6</xdr:col>
                    <xdr:colOff>1878676</xdr:colOff>
                    <xdr:row>2</xdr:row>
                    <xdr:rowOff>124691</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WVW448"/>
  <sheetViews>
    <sheetView view="pageBreakPreview" zoomScaleNormal="100" zoomScaleSheetLayoutView="100" workbookViewId="0">
      <pane ySplit="1" topLeftCell="A23" activePane="bottomLeft" state="frozen"/>
      <selection pane="bottomLeft"/>
    </sheetView>
  </sheetViews>
  <sheetFormatPr defaultColWidth="0" defaultRowHeight="13.1" zeroHeight="1" x14ac:dyDescent="0.3"/>
  <cols>
    <col min="1" max="1" width="3" style="299" customWidth="1"/>
    <col min="2" max="2" width="2.5546875" style="788" customWidth="1"/>
    <col min="3" max="4" width="4" style="788" customWidth="1"/>
    <col min="5" max="5" width="15.6640625" style="788" customWidth="1"/>
    <col min="6" max="6" width="15" style="788" customWidth="1"/>
    <col min="7" max="7" width="16.88671875" style="301" customWidth="1"/>
    <col min="8" max="8" width="14.44140625" style="788" customWidth="1"/>
    <col min="9" max="9" width="3.6640625" style="788" customWidth="1"/>
    <col min="10" max="10" width="17.88671875" style="788" customWidth="1"/>
    <col min="11" max="11" width="10.109375" style="290" customWidth="1"/>
    <col min="12" max="12" width="10.88671875" style="301" customWidth="1"/>
    <col min="13" max="13" width="48" style="788" customWidth="1"/>
    <col min="14" max="14" width="9" style="788" customWidth="1"/>
    <col min="15" max="15" width="7.109375" style="788" hidden="1" customWidth="1"/>
    <col min="16" max="16" width="11.44140625" style="788" hidden="1" customWidth="1"/>
    <col min="17" max="17" width="142.109375" style="788" hidden="1" customWidth="1"/>
    <col min="18" max="18" width="61" style="788" hidden="1" customWidth="1"/>
    <col min="19" max="23" width="11.44140625" style="788" hidden="1" customWidth="1"/>
    <col min="24" max="257" width="11.44140625" style="788" hidden="1"/>
    <col min="258" max="258" width="4" style="788" hidden="1"/>
    <col min="259" max="259" width="2.44140625" style="788" hidden="1"/>
    <col min="260" max="260" width="3.6640625" style="788" hidden="1"/>
    <col min="261" max="261" width="4" style="788" hidden="1"/>
    <col min="262" max="265" width="15" style="788" hidden="1"/>
    <col min="266" max="266" width="13.109375" style="788" hidden="1"/>
    <col min="267" max="267" width="6.109375" style="788" hidden="1"/>
    <col min="268" max="268" width="11" style="788" hidden="1"/>
    <col min="269" max="269" width="36.109375" style="788" hidden="1"/>
    <col min="270" max="270" width="4.5546875" style="788" hidden="1"/>
    <col min="271" max="271" width="6.109375" style="788" hidden="1"/>
    <col min="272" max="513" width="11.44140625" style="788" hidden="1"/>
    <col min="514" max="514" width="4" style="788" hidden="1"/>
    <col min="515" max="515" width="2.44140625" style="788" hidden="1"/>
    <col min="516" max="516" width="3.6640625" style="788" hidden="1"/>
    <col min="517" max="517" width="4" style="788" hidden="1"/>
    <col min="518" max="521" width="15" style="788" hidden="1"/>
    <col min="522" max="522" width="13.109375" style="788" hidden="1"/>
    <col min="523" max="523" width="6.109375" style="788" hidden="1"/>
    <col min="524" max="524" width="11" style="788" hidden="1"/>
    <col min="525" max="525" width="36.109375" style="788" hidden="1"/>
    <col min="526" max="526" width="4.5546875" style="788" hidden="1"/>
    <col min="527" max="527" width="6.109375" style="788" hidden="1"/>
    <col min="528" max="769" width="11.44140625" style="788" hidden="1"/>
    <col min="770" max="770" width="4" style="788" hidden="1"/>
    <col min="771" max="771" width="2.44140625" style="788" hidden="1"/>
    <col min="772" max="772" width="3.6640625" style="788" hidden="1"/>
    <col min="773" max="773" width="4" style="788" hidden="1"/>
    <col min="774" max="777" width="15" style="788" hidden="1"/>
    <col min="778" max="778" width="13.109375" style="788" hidden="1"/>
    <col min="779" max="779" width="6.109375" style="788" hidden="1"/>
    <col min="780" max="780" width="11" style="788" hidden="1"/>
    <col min="781" max="781" width="36.109375" style="788" hidden="1"/>
    <col min="782" max="782" width="4.5546875" style="788" hidden="1"/>
    <col min="783" max="783" width="6.109375" style="788" hidden="1"/>
    <col min="784" max="1025" width="11.44140625" style="788" hidden="1"/>
    <col min="1026" max="1026" width="4" style="788" hidden="1"/>
    <col min="1027" max="1027" width="2.44140625" style="788" hidden="1"/>
    <col min="1028" max="1028" width="3.6640625" style="788" hidden="1"/>
    <col min="1029" max="1029" width="4" style="788" hidden="1"/>
    <col min="1030" max="1033" width="15" style="788" hidden="1"/>
    <col min="1034" max="1034" width="13.109375" style="788" hidden="1"/>
    <col min="1035" max="1035" width="6.109375" style="788" hidden="1"/>
    <col min="1036" max="1036" width="11" style="788" hidden="1"/>
    <col min="1037" max="1037" width="36.109375" style="788" hidden="1"/>
    <col min="1038" max="1038" width="4.5546875" style="788" hidden="1"/>
    <col min="1039" max="1039" width="6.109375" style="788" hidden="1"/>
    <col min="1040" max="1281" width="11.44140625" style="788" hidden="1"/>
    <col min="1282" max="1282" width="4" style="788" hidden="1"/>
    <col min="1283" max="1283" width="2.44140625" style="788" hidden="1"/>
    <col min="1284" max="1284" width="3.6640625" style="788" hidden="1"/>
    <col min="1285" max="1285" width="4" style="788" hidden="1"/>
    <col min="1286" max="1289" width="15" style="788" hidden="1"/>
    <col min="1290" max="1290" width="13.109375" style="788" hidden="1"/>
    <col min="1291" max="1291" width="6.109375" style="788" hidden="1"/>
    <col min="1292" max="1292" width="11" style="788" hidden="1"/>
    <col min="1293" max="1293" width="36.109375" style="788" hidden="1"/>
    <col min="1294" max="1294" width="4.5546875" style="788" hidden="1"/>
    <col min="1295" max="1295" width="6.109375" style="788" hidden="1"/>
    <col min="1296" max="1537" width="11.44140625" style="788" hidden="1"/>
    <col min="1538" max="1538" width="4" style="788" hidden="1"/>
    <col min="1539" max="1539" width="2.44140625" style="788" hidden="1"/>
    <col min="1540" max="1540" width="3.6640625" style="788" hidden="1"/>
    <col min="1541" max="1541" width="4" style="788" hidden="1"/>
    <col min="1542" max="1545" width="15" style="788" hidden="1"/>
    <col min="1546" max="1546" width="13.109375" style="788" hidden="1"/>
    <col min="1547" max="1547" width="6.109375" style="788" hidden="1"/>
    <col min="1548" max="1548" width="11" style="788" hidden="1"/>
    <col min="1549" max="1549" width="36.109375" style="788" hidden="1"/>
    <col min="1550" max="1550" width="4.5546875" style="788" hidden="1"/>
    <col min="1551" max="1551" width="6.109375" style="788" hidden="1"/>
    <col min="1552" max="1793" width="11.44140625" style="788" hidden="1"/>
    <col min="1794" max="1794" width="4" style="788" hidden="1"/>
    <col min="1795" max="1795" width="2.44140625" style="788" hidden="1"/>
    <col min="1796" max="1796" width="3.6640625" style="788" hidden="1"/>
    <col min="1797" max="1797" width="4" style="788" hidden="1"/>
    <col min="1798" max="1801" width="15" style="788" hidden="1"/>
    <col min="1802" max="1802" width="13.109375" style="788" hidden="1"/>
    <col min="1803" max="1803" width="6.109375" style="788" hidden="1"/>
    <col min="1804" max="1804" width="11" style="788" hidden="1"/>
    <col min="1805" max="1805" width="36.109375" style="788" hidden="1"/>
    <col min="1806" max="1806" width="4.5546875" style="788" hidden="1"/>
    <col min="1807" max="1807" width="6.109375" style="788" hidden="1"/>
    <col min="1808" max="2049" width="11.44140625" style="788" hidden="1"/>
    <col min="2050" max="2050" width="4" style="788" hidden="1"/>
    <col min="2051" max="2051" width="2.44140625" style="788" hidden="1"/>
    <col min="2052" max="2052" width="3.6640625" style="788" hidden="1"/>
    <col min="2053" max="2053" width="4" style="788" hidden="1"/>
    <col min="2054" max="2057" width="15" style="788" hidden="1"/>
    <col min="2058" max="2058" width="13.109375" style="788" hidden="1"/>
    <col min="2059" max="2059" width="6.109375" style="788" hidden="1"/>
    <col min="2060" max="2060" width="11" style="788" hidden="1"/>
    <col min="2061" max="2061" width="36.109375" style="788" hidden="1"/>
    <col min="2062" max="2062" width="4.5546875" style="788" hidden="1"/>
    <col min="2063" max="2063" width="6.109375" style="788" hidden="1"/>
    <col min="2064" max="2305" width="11.44140625" style="788" hidden="1"/>
    <col min="2306" max="2306" width="4" style="788" hidden="1"/>
    <col min="2307" max="2307" width="2.44140625" style="788" hidden="1"/>
    <col min="2308" max="2308" width="3.6640625" style="788" hidden="1"/>
    <col min="2309" max="2309" width="4" style="788" hidden="1"/>
    <col min="2310" max="2313" width="15" style="788" hidden="1"/>
    <col min="2314" max="2314" width="13.109375" style="788" hidden="1"/>
    <col min="2315" max="2315" width="6.109375" style="788" hidden="1"/>
    <col min="2316" max="2316" width="11" style="788" hidden="1"/>
    <col min="2317" max="2317" width="36.109375" style="788" hidden="1"/>
    <col min="2318" max="2318" width="4.5546875" style="788" hidden="1"/>
    <col min="2319" max="2319" width="6.109375" style="788" hidden="1"/>
    <col min="2320" max="2561" width="11.44140625" style="788" hidden="1"/>
    <col min="2562" max="2562" width="4" style="788" hidden="1"/>
    <col min="2563" max="2563" width="2.44140625" style="788" hidden="1"/>
    <col min="2564" max="2564" width="3.6640625" style="788" hidden="1"/>
    <col min="2565" max="2565" width="4" style="788" hidden="1"/>
    <col min="2566" max="2569" width="15" style="788" hidden="1"/>
    <col min="2570" max="2570" width="13.109375" style="788" hidden="1"/>
    <col min="2571" max="2571" width="6.109375" style="788" hidden="1"/>
    <col min="2572" max="2572" width="11" style="788" hidden="1"/>
    <col min="2573" max="2573" width="36.109375" style="788" hidden="1"/>
    <col min="2574" max="2574" width="4.5546875" style="788" hidden="1"/>
    <col min="2575" max="2575" width="6.109375" style="788" hidden="1"/>
    <col min="2576" max="2817" width="11.44140625" style="788" hidden="1"/>
    <col min="2818" max="2818" width="4" style="788" hidden="1"/>
    <col min="2819" max="2819" width="2.44140625" style="788" hidden="1"/>
    <col min="2820" max="2820" width="3.6640625" style="788" hidden="1"/>
    <col min="2821" max="2821" width="4" style="788" hidden="1"/>
    <col min="2822" max="2825" width="15" style="788" hidden="1"/>
    <col min="2826" max="2826" width="13.109375" style="788" hidden="1"/>
    <col min="2827" max="2827" width="6.109375" style="788" hidden="1"/>
    <col min="2828" max="2828" width="11" style="788" hidden="1"/>
    <col min="2829" max="2829" width="36.109375" style="788" hidden="1"/>
    <col min="2830" max="2830" width="4.5546875" style="788" hidden="1"/>
    <col min="2831" max="2831" width="6.109375" style="788" hidden="1"/>
    <col min="2832" max="3073" width="11.44140625" style="788" hidden="1"/>
    <col min="3074" max="3074" width="4" style="788" hidden="1"/>
    <col min="3075" max="3075" width="2.44140625" style="788" hidden="1"/>
    <col min="3076" max="3076" width="3.6640625" style="788" hidden="1"/>
    <col min="3077" max="3077" width="4" style="788" hidden="1"/>
    <col min="3078" max="3081" width="15" style="788" hidden="1"/>
    <col min="3082" max="3082" width="13.109375" style="788" hidden="1"/>
    <col min="3083" max="3083" width="6.109375" style="788" hidden="1"/>
    <col min="3084" max="3084" width="11" style="788" hidden="1"/>
    <col min="3085" max="3085" width="36.109375" style="788" hidden="1"/>
    <col min="3086" max="3086" width="4.5546875" style="788" hidden="1"/>
    <col min="3087" max="3087" width="6.109375" style="788" hidden="1"/>
    <col min="3088" max="3329" width="11.44140625" style="788" hidden="1"/>
    <col min="3330" max="3330" width="4" style="788" hidden="1"/>
    <col min="3331" max="3331" width="2.44140625" style="788" hidden="1"/>
    <col min="3332" max="3332" width="3.6640625" style="788" hidden="1"/>
    <col min="3333" max="3333" width="4" style="788" hidden="1"/>
    <col min="3334" max="3337" width="15" style="788" hidden="1"/>
    <col min="3338" max="3338" width="13.109375" style="788" hidden="1"/>
    <col min="3339" max="3339" width="6.109375" style="788" hidden="1"/>
    <col min="3340" max="3340" width="11" style="788" hidden="1"/>
    <col min="3341" max="3341" width="36.109375" style="788" hidden="1"/>
    <col min="3342" max="3342" width="4.5546875" style="788" hidden="1"/>
    <col min="3343" max="3343" width="6.109375" style="788" hidden="1"/>
    <col min="3344" max="3585" width="11.44140625" style="788" hidden="1"/>
    <col min="3586" max="3586" width="4" style="788" hidden="1"/>
    <col min="3587" max="3587" width="2.44140625" style="788" hidden="1"/>
    <col min="3588" max="3588" width="3.6640625" style="788" hidden="1"/>
    <col min="3589" max="3589" width="4" style="788" hidden="1"/>
    <col min="3590" max="3593" width="15" style="788" hidden="1"/>
    <col min="3594" max="3594" width="13.109375" style="788" hidden="1"/>
    <col min="3595" max="3595" width="6.109375" style="788" hidden="1"/>
    <col min="3596" max="3596" width="11" style="788" hidden="1"/>
    <col min="3597" max="3597" width="36.109375" style="788" hidden="1"/>
    <col min="3598" max="3598" width="4.5546875" style="788" hidden="1"/>
    <col min="3599" max="3599" width="6.109375" style="788" hidden="1"/>
    <col min="3600" max="3841" width="11.44140625" style="788" hidden="1"/>
    <col min="3842" max="3842" width="4" style="788" hidden="1"/>
    <col min="3843" max="3843" width="2.44140625" style="788" hidden="1"/>
    <col min="3844" max="3844" width="3.6640625" style="788" hidden="1"/>
    <col min="3845" max="3845" width="4" style="788" hidden="1"/>
    <col min="3846" max="3849" width="15" style="788" hidden="1"/>
    <col min="3850" max="3850" width="13.109375" style="788" hidden="1"/>
    <col min="3851" max="3851" width="6.109375" style="788" hidden="1"/>
    <col min="3852" max="3852" width="11" style="788" hidden="1"/>
    <col min="3853" max="3853" width="36.109375" style="788" hidden="1"/>
    <col min="3854" max="3854" width="4.5546875" style="788" hidden="1"/>
    <col min="3855" max="3855" width="6.109375" style="788" hidden="1"/>
    <col min="3856" max="4097" width="11.44140625" style="788" hidden="1"/>
    <col min="4098" max="4098" width="4" style="788" hidden="1"/>
    <col min="4099" max="4099" width="2.44140625" style="788" hidden="1"/>
    <col min="4100" max="4100" width="3.6640625" style="788" hidden="1"/>
    <col min="4101" max="4101" width="4" style="788" hidden="1"/>
    <col min="4102" max="4105" width="15" style="788" hidden="1"/>
    <col min="4106" max="4106" width="13.109375" style="788" hidden="1"/>
    <col min="4107" max="4107" width="6.109375" style="788" hidden="1"/>
    <col min="4108" max="4108" width="11" style="788" hidden="1"/>
    <col min="4109" max="4109" width="36.109375" style="788" hidden="1"/>
    <col min="4110" max="4110" width="4.5546875" style="788" hidden="1"/>
    <col min="4111" max="4111" width="6.109375" style="788" hidden="1"/>
    <col min="4112" max="4353" width="11.44140625" style="788" hidden="1"/>
    <col min="4354" max="4354" width="4" style="788" hidden="1"/>
    <col min="4355" max="4355" width="2.44140625" style="788" hidden="1"/>
    <col min="4356" max="4356" width="3.6640625" style="788" hidden="1"/>
    <col min="4357" max="4357" width="4" style="788" hidden="1"/>
    <col min="4358" max="4361" width="15" style="788" hidden="1"/>
    <col min="4362" max="4362" width="13.109375" style="788" hidden="1"/>
    <col min="4363" max="4363" width="6.109375" style="788" hidden="1"/>
    <col min="4364" max="4364" width="11" style="788" hidden="1"/>
    <col min="4365" max="4365" width="36.109375" style="788" hidden="1"/>
    <col min="4366" max="4366" width="4.5546875" style="788" hidden="1"/>
    <col min="4367" max="4367" width="6.109375" style="788" hidden="1"/>
    <col min="4368" max="4609" width="11.44140625" style="788" hidden="1"/>
    <col min="4610" max="4610" width="4" style="788" hidden="1"/>
    <col min="4611" max="4611" width="2.44140625" style="788" hidden="1"/>
    <col min="4612" max="4612" width="3.6640625" style="788" hidden="1"/>
    <col min="4613" max="4613" width="4" style="788" hidden="1"/>
    <col min="4614" max="4617" width="15" style="788" hidden="1"/>
    <col min="4618" max="4618" width="13.109375" style="788" hidden="1"/>
    <col min="4619" max="4619" width="6.109375" style="788" hidden="1"/>
    <col min="4620" max="4620" width="11" style="788" hidden="1"/>
    <col min="4621" max="4621" width="36.109375" style="788" hidden="1"/>
    <col min="4622" max="4622" width="4.5546875" style="788" hidden="1"/>
    <col min="4623" max="4623" width="6.109375" style="788" hidden="1"/>
    <col min="4624" max="4865" width="11.44140625" style="788" hidden="1"/>
    <col min="4866" max="4866" width="4" style="788" hidden="1"/>
    <col min="4867" max="4867" width="2.44140625" style="788" hidden="1"/>
    <col min="4868" max="4868" width="3.6640625" style="788" hidden="1"/>
    <col min="4869" max="4869" width="4" style="788" hidden="1"/>
    <col min="4870" max="4873" width="15" style="788" hidden="1"/>
    <col min="4874" max="4874" width="13.109375" style="788" hidden="1"/>
    <col min="4875" max="4875" width="6.109375" style="788" hidden="1"/>
    <col min="4876" max="4876" width="11" style="788" hidden="1"/>
    <col min="4877" max="4877" width="36.109375" style="788" hidden="1"/>
    <col min="4878" max="4878" width="4.5546875" style="788" hidden="1"/>
    <col min="4879" max="4879" width="6.109375" style="788" hidden="1"/>
    <col min="4880" max="5121" width="11.44140625" style="788" hidden="1"/>
    <col min="5122" max="5122" width="4" style="788" hidden="1"/>
    <col min="5123" max="5123" width="2.44140625" style="788" hidden="1"/>
    <col min="5124" max="5124" width="3.6640625" style="788" hidden="1"/>
    <col min="5125" max="5125" width="4" style="788" hidden="1"/>
    <col min="5126" max="5129" width="15" style="788" hidden="1"/>
    <col min="5130" max="5130" width="13.109375" style="788" hidden="1"/>
    <col min="5131" max="5131" width="6.109375" style="788" hidden="1"/>
    <col min="5132" max="5132" width="11" style="788" hidden="1"/>
    <col min="5133" max="5133" width="36.109375" style="788" hidden="1"/>
    <col min="5134" max="5134" width="4.5546875" style="788" hidden="1"/>
    <col min="5135" max="5135" width="6.109375" style="788" hidden="1"/>
    <col min="5136" max="5377" width="11.44140625" style="788" hidden="1"/>
    <col min="5378" max="5378" width="4" style="788" hidden="1"/>
    <col min="5379" max="5379" width="2.44140625" style="788" hidden="1"/>
    <col min="5380" max="5380" width="3.6640625" style="788" hidden="1"/>
    <col min="5381" max="5381" width="4" style="788" hidden="1"/>
    <col min="5382" max="5385" width="15" style="788" hidden="1"/>
    <col min="5386" max="5386" width="13.109375" style="788" hidden="1"/>
    <col min="5387" max="5387" width="6.109375" style="788" hidden="1"/>
    <col min="5388" max="5388" width="11" style="788" hidden="1"/>
    <col min="5389" max="5389" width="36.109375" style="788" hidden="1"/>
    <col min="5390" max="5390" width="4.5546875" style="788" hidden="1"/>
    <col min="5391" max="5391" width="6.109375" style="788" hidden="1"/>
    <col min="5392" max="5633" width="11.44140625" style="788" hidden="1"/>
    <col min="5634" max="5634" width="4" style="788" hidden="1"/>
    <col min="5635" max="5635" width="2.44140625" style="788" hidden="1"/>
    <col min="5636" max="5636" width="3.6640625" style="788" hidden="1"/>
    <col min="5637" max="5637" width="4" style="788" hidden="1"/>
    <col min="5638" max="5641" width="15" style="788" hidden="1"/>
    <col min="5642" max="5642" width="13.109375" style="788" hidden="1"/>
    <col min="5643" max="5643" width="6.109375" style="788" hidden="1"/>
    <col min="5644" max="5644" width="11" style="788" hidden="1"/>
    <col min="5645" max="5645" width="36.109375" style="788" hidden="1"/>
    <col min="5646" max="5646" width="4.5546875" style="788" hidden="1"/>
    <col min="5647" max="5647" width="6.109375" style="788" hidden="1"/>
    <col min="5648" max="5889" width="11.44140625" style="788" hidden="1"/>
    <col min="5890" max="5890" width="4" style="788" hidden="1"/>
    <col min="5891" max="5891" width="2.44140625" style="788" hidden="1"/>
    <col min="5892" max="5892" width="3.6640625" style="788" hidden="1"/>
    <col min="5893" max="5893" width="4" style="788" hidden="1"/>
    <col min="5894" max="5897" width="15" style="788" hidden="1"/>
    <col min="5898" max="5898" width="13.109375" style="788" hidden="1"/>
    <col min="5899" max="5899" width="6.109375" style="788" hidden="1"/>
    <col min="5900" max="5900" width="11" style="788" hidden="1"/>
    <col min="5901" max="5901" width="36.109375" style="788" hidden="1"/>
    <col min="5902" max="5902" width="4.5546875" style="788" hidden="1"/>
    <col min="5903" max="5903" width="6.109375" style="788" hidden="1"/>
    <col min="5904" max="6145" width="11.44140625" style="788" hidden="1"/>
    <col min="6146" max="6146" width="4" style="788" hidden="1"/>
    <col min="6147" max="6147" width="2.44140625" style="788" hidden="1"/>
    <col min="6148" max="6148" width="3.6640625" style="788" hidden="1"/>
    <col min="6149" max="6149" width="4" style="788" hidden="1"/>
    <col min="6150" max="6153" width="15" style="788" hidden="1"/>
    <col min="6154" max="6154" width="13.109375" style="788" hidden="1"/>
    <col min="6155" max="6155" width="6.109375" style="788" hidden="1"/>
    <col min="6156" max="6156" width="11" style="788" hidden="1"/>
    <col min="6157" max="6157" width="36.109375" style="788" hidden="1"/>
    <col min="6158" max="6158" width="4.5546875" style="788" hidden="1"/>
    <col min="6159" max="6159" width="6.109375" style="788" hidden="1"/>
    <col min="6160" max="6401" width="11.44140625" style="788" hidden="1"/>
    <col min="6402" max="6402" width="4" style="788" hidden="1"/>
    <col min="6403" max="6403" width="2.44140625" style="788" hidden="1"/>
    <col min="6404" max="6404" width="3.6640625" style="788" hidden="1"/>
    <col min="6405" max="6405" width="4" style="788" hidden="1"/>
    <col min="6406" max="6409" width="15" style="788" hidden="1"/>
    <col min="6410" max="6410" width="13.109375" style="788" hidden="1"/>
    <col min="6411" max="6411" width="6.109375" style="788" hidden="1"/>
    <col min="6412" max="6412" width="11" style="788" hidden="1"/>
    <col min="6413" max="6413" width="36.109375" style="788" hidden="1"/>
    <col min="6414" max="6414" width="4.5546875" style="788" hidden="1"/>
    <col min="6415" max="6415" width="6.109375" style="788" hidden="1"/>
    <col min="6416" max="6657" width="11.44140625" style="788" hidden="1"/>
    <col min="6658" max="6658" width="4" style="788" hidden="1"/>
    <col min="6659" max="6659" width="2.44140625" style="788" hidden="1"/>
    <col min="6660" max="6660" width="3.6640625" style="788" hidden="1"/>
    <col min="6661" max="6661" width="4" style="788" hidden="1"/>
    <col min="6662" max="6665" width="15" style="788" hidden="1"/>
    <col min="6666" max="6666" width="13.109375" style="788" hidden="1"/>
    <col min="6667" max="6667" width="6.109375" style="788" hidden="1"/>
    <col min="6668" max="6668" width="11" style="788" hidden="1"/>
    <col min="6669" max="6669" width="36.109375" style="788" hidden="1"/>
    <col min="6670" max="6670" width="4.5546875" style="788" hidden="1"/>
    <col min="6671" max="6671" width="6.109375" style="788" hidden="1"/>
    <col min="6672" max="6913" width="11.44140625" style="788" hidden="1"/>
    <col min="6914" max="6914" width="4" style="788" hidden="1"/>
    <col min="6915" max="6915" width="2.44140625" style="788" hidden="1"/>
    <col min="6916" max="6916" width="3.6640625" style="788" hidden="1"/>
    <col min="6917" max="6917" width="4" style="788" hidden="1"/>
    <col min="6918" max="6921" width="15" style="788" hidden="1"/>
    <col min="6922" max="6922" width="13.109375" style="788" hidden="1"/>
    <col min="6923" max="6923" width="6.109375" style="788" hidden="1"/>
    <col min="6924" max="6924" width="11" style="788" hidden="1"/>
    <col min="6925" max="6925" width="36.109375" style="788" hidden="1"/>
    <col min="6926" max="6926" width="4.5546875" style="788" hidden="1"/>
    <col min="6927" max="6927" width="6.109375" style="788" hidden="1"/>
    <col min="6928" max="7169" width="11.44140625" style="788" hidden="1"/>
    <col min="7170" max="7170" width="4" style="788" hidden="1"/>
    <col min="7171" max="7171" width="2.44140625" style="788" hidden="1"/>
    <col min="7172" max="7172" width="3.6640625" style="788" hidden="1"/>
    <col min="7173" max="7173" width="4" style="788" hidden="1"/>
    <col min="7174" max="7177" width="15" style="788" hidden="1"/>
    <col min="7178" max="7178" width="13.109375" style="788" hidden="1"/>
    <col min="7179" max="7179" width="6.109375" style="788" hidden="1"/>
    <col min="7180" max="7180" width="11" style="788" hidden="1"/>
    <col min="7181" max="7181" width="36.109375" style="788" hidden="1"/>
    <col min="7182" max="7182" width="4.5546875" style="788" hidden="1"/>
    <col min="7183" max="7183" width="6.109375" style="788" hidden="1"/>
    <col min="7184" max="7425" width="11.44140625" style="788" hidden="1"/>
    <col min="7426" max="7426" width="4" style="788" hidden="1"/>
    <col min="7427" max="7427" width="2.44140625" style="788" hidden="1"/>
    <col min="7428" max="7428" width="3.6640625" style="788" hidden="1"/>
    <col min="7429" max="7429" width="4" style="788" hidden="1"/>
    <col min="7430" max="7433" width="15" style="788" hidden="1"/>
    <col min="7434" max="7434" width="13.109375" style="788" hidden="1"/>
    <col min="7435" max="7435" width="6.109375" style="788" hidden="1"/>
    <col min="7436" max="7436" width="11" style="788" hidden="1"/>
    <col min="7437" max="7437" width="36.109375" style="788" hidden="1"/>
    <col min="7438" max="7438" width="4.5546875" style="788" hidden="1"/>
    <col min="7439" max="7439" width="6.109375" style="788" hidden="1"/>
    <col min="7440" max="7681" width="11.44140625" style="788" hidden="1"/>
    <col min="7682" max="7682" width="4" style="788" hidden="1"/>
    <col min="7683" max="7683" width="2.44140625" style="788" hidden="1"/>
    <col min="7684" max="7684" width="3.6640625" style="788" hidden="1"/>
    <col min="7685" max="7685" width="4" style="788" hidden="1"/>
    <col min="7686" max="7689" width="15" style="788" hidden="1"/>
    <col min="7690" max="7690" width="13.109375" style="788" hidden="1"/>
    <col min="7691" max="7691" width="6.109375" style="788" hidden="1"/>
    <col min="7692" max="7692" width="11" style="788" hidden="1"/>
    <col min="7693" max="7693" width="36.109375" style="788" hidden="1"/>
    <col min="7694" max="7694" width="4.5546875" style="788" hidden="1"/>
    <col min="7695" max="7695" width="6.109375" style="788" hidden="1"/>
    <col min="7696" max="7937" width="11.44140625" style="788" hidden="1"/>
    <col min="7938" max="7938" width="4" style="788" hidden="1"/>
    <col min="7939" max="7939" width="2.44140625" style="788" hidden="1"/>
    <col min="7940" max="7940" width="3.6640625" style="788" hidden="1"/>
    <col min="7941" max="7941" width="4" style="788" hidden="1"/>
    <col min="7942" max="7945" width="15" style="788" hidden="1"/>
    <col min="7946" max="7946" width="13.109375" style="788" hidden="1"/>
    <col min="7947" max="7947" width="6.109375" style="788" hidden="1"/>
    <col min="7948" max="7948" width="11" style="788" hidden="1"/>
    <col min="7949" max="7949" width="36.109375" style="788" hidden="1"/>
    <col min="7950" max="7950" width="4.5546875" style="788" hidden="1"/>
    <col min="7951" max="7951" width="6.109375" style="788" hidden="1"/>
    <col min="7952" max="8193" width="11.44140625" style="788" hidden="1"/>
    <col min="8194" max="8194" width="4" style="788" hidden="1"/>
    <col min="8195" max="8195" width="2.44140625" style="788" hidden="1"/>
    <col min="8196" max="8196" width="3.6640625" style="788" hidden="1"/>
    <col min="8197" max="8197" width="4" style="788" hidden="1"/>
    <col min="8198" max="8201" width="15" style="788" hidden="1"/>
    <col min="8202" max="8202" width="13.109375" style="788" hidden="1"/>
    <col min="8203" max="8203" width="6.109375" style="788" hidden="1"/>
    <col min="8204" max="8204" width="11" style="788" hidden="1"/>
    <col min="8205" max="8205" width="36.109375" style="788" hidden="1"/>
    <col min="8206" max="8206" width="4.5546875" style="788" hidden="1"/>
    <col min="8207" max="8207" width="6.109375" style="788" hidden="1"/>
    <col min="8208" max="8449" width="11.44140625" style="788" hidden="1"/>
    <col min="8450" max="8450" width="4" style="788" hidden="1"/>
    <col min="8451" max="8451" width="2.44140625" style="788" hidden="1"/>
    <col min="8452" max="8452" width="3.6640625" style="788" hidden="1"/>
    <col min="8453" max="8453" width="4" style="788" hidden="1"/>
    <col min="8454" max="8457" width="15" style="788" hidden="1"/>
    <col min="8458" max="8458" width="13.109375" style="788" hidden="1"/>
    <col min="8459" max="8459" width="6.109375" style="788" hidden="1"/>
    <col min="8460" max="8460" width="11" style="788" hidden="1"/>
    <col min="8461" max="8461" width="36.109375" style="788" hidden="1"/>
    <col min="8462" max="8462" width="4.5546875" style="788" hidden="1"/>
    <col min="8463" max="8463" width="6.109375" style="788" hidden="1"/>
    <col min="8464" max="8705" width="11.44140625" style="788" hidden="1"/>
    <col min="8706" max="8706" width="4" style="788" hidden="1"/>
    <col min="8707" max="8707" width="2.44140625" style="788" hidden="1"/>
    <col min="8708" max="8708" width="3.6640625" style="788" hidden="1"/>
    <col min="8709" max="8709" width="4" style="788" hidden="1"/>
    <col min="8710" max="8713" width="15" style="788" hidden="1"/>
    <col min="8714" max="8714" width="13.109375" style="788" hidden="1"/>
    <col min="8715" max="8715" width="6.109375" style="788" hidden="1"/>
    <col min="8716" max="8716" width="11" style="788" hidden="1"/>
    <col min="8717" max="8717" width="36.109375" style="788" hidden="1"/>
    <col min="8718" max="8718" width="4.5546875" style="788" hidden="1"/>
    <col min="8719" max="8719" width="6.109375" style="788" hidden="1"/>
    <col min="8720" max="8961" width="11.44140625" style="788" hidden="1"/>
    <col min="8962" max="8962" width="4" style="788" hidden="1"/>
    <col min="8963" max="8963" width="2.44140625" style="788" hidden="1"/>
    <col min="8964" max="8964" width="3.6640625" style="788" hidden="1"/>
    <col min="8965" max="8965" width="4" style="788" hidden="1"/>
    <col min="8966" max="8969" width="15" style="788" hidden="1"/>
    <col min="8970" max="8970" width="13.109375" style="788" hidden="1"/>
    <col min="8971" max="8971" width="6.109375" style="788" hidden="1"/>
    <col min="8972" max="8972" width="11" style="788" hidden="1"/>
    <col min="8973" max="8973" width="36.109375" style="788" hidden="1"/>
    <col min="8974" max="8974" width="4.5546875" style="788" hidden="1"/>
    <col min="8975" max="8975" width="6.109375" style="788" hidden="1"/>
    <col min="8976" max="9217" width="11.44140625" style="788" hidden="1"/>
    <col min="9218" max="9218" width="4" style="788" hidden="1"/>
    <col min="9219" max="9219" width="2.44140625" style="788" hidden="1"/>
    <col min="9220" max="9220" width="3.6640625" style="788" hidden="1"/>
    <col min="9221" max="9221" width="4" style="788" hidden="1"/>
    <col min="9222" max="9225" width="15" style="788" hidden="1"/>
    <col min="9226" max="9226" width="13.109375" style="788" hidden="1"/>
    <col min="9227" max="9227" width="6.109375" style="788" hidden="1"/>
    <col min="9228" max="9228" width="11" style="788" hidden="1"/>
    <col min="9229" max="9229" width="36.109375" style="788" hidden="1"/>
    <col min="9230" max="9230" width="4.5546875" style="788" hidden="1"/>
    <col min="9231" max="9231" width="6.109375" style="788" hidden="1"/>
    <col min="9232" max="9473" width="11.44140625" style="788" hidden="1"/>
    <col min="9474" max="9474" width="4" style="788" hidden="1"/>
    <col min="9475" max="9475" width="2.44140625" style="788" hidden="1"/>
    <col min="9476" max="9476" width="3.6640625" style="788" hidden="1"/>
    <col min="9477" max="9477" width="4" style="788" hidden="1"/>
    <col min="9478" max="9481" width="15" style="788" hidden="1"/>
    <col min="9482" max="9482" width="13.109375" style="788" hidden="1"/>
    <col min="9483" max="9483" width="6.109375" style="788" hidden="1"/>
    <col min="9484" max="9484" width="11" style="788" hidden="1"/>
    <col min="9485" max="9485" width="36.109375" style="788" hidden="1"/>
    <col min="9486" max="9486" width="4.5546875" style="788" hidden="1"/>
    <col min="9487" max="9487" width="6.109375" style="788" hidden="1"/>
    <col min="9488" max="9729" width="11.44140625" style="788" hidden="1"/>
    <col min="9730" max="9730" width="4" style="788" hidden="1"/>
    <col min="9731" max="9731" width="2.44140625" style="788" hidden="1"/>
    <col min="9732" max="9732" width="3.6640625" style="788" hidden="1"/>
    <col min="9733" max="9733" width="4" style="788" hidden="1"/>
    <col min="9734" max="9737" width="15" style="788" hidden="1"/>
    <col min="9738" max="9738" width="13.109375" style="788" hidden="1"/>
    <col min="9739" max="9739" width="6.109375" style="788" hidden="1"/>
    <col min="9740" max="9740" width="11" style="788" hidden="1"/>
    <col min="9741" max="9741" width="36.109375" style="788" hidden="1"/>
    <col min="9742" max="9742" width="4.5546875" style="788" hidden="1"/>
    <col min="9743" max="9743" width="6.109375" style="788" hidden="1"/>
    <col min="9744" max="9985" width="11.44140625" style="788" hidden="1"/>
    <col min="9986" max="9986" width="4" style="788" hidden="1"/>
    <col min="9987" max="9987" width="2.44140625" style="788" hidden="1"/>
    <col min="9988" max="9988" width="3.6640625" style="788" hidden="1"/>
    <col min="9989" max="9989" width="4" style="788" hidden="1"/>
    <col min="9990" max="9993" width="15" style="788" hidden="1"/>
    <col min="9994" max="9994" width="13.109375" style="788" hidden="1"/>
    <col min="9995" max="9995" width="6.109375" style="788" hidden="1"/>
    <col min="9996" max="9996" width="11" style="788" hidden="1"/>
    <col min="9997" max="9997" width="36.109375" style="788" hidden="1"/>
    <col min="9998" max="9998" width="4.5546875" style="788" hidden="1"/>
    <col min="9999" max="9999" width="6.109375" style="788" hidden="1"/>
    <col min="10000" max="10241" width="11.44140625" style="788" hidden="1"/>
    <col min="10242" max="10242" width="4" style="788" hidden="1"/>
    <col min="10243" max="10243" width="2.44140625" style="788" hidden="1"/>
    <col min="10244" max="10244" width="3.6640625" style="788" hidden="1"/>
    <col min="10245" max="10245" width="4" style="788" hidden="1"/>
    <col min="10246" max="10249" width="15" style="788" hidden="1"/>
    <col min="10250" max="10250" width="13.109375" style="788" hidden="1"/>
    <col min="10251" max="10251" width="6.109375" style="788" hidden="1"/>
    <col min="10252" max="10252" width="11" style="788" hidden="1"/>
    <col min="10253" max="10253" width="36.109375" style="788" hidden="1"/>
    <col min="10254" max="10254" width="4.5546875" style="788" hidden="1"/>
    <col min="10255" max="10255" width="6.109375" style="788" hidden="1"/>
    <col min="10256" max="10497" width="11.44140625" style="788" hidden="1"/>
    <col min="10498" max="10498" width="4" style="788" hidden="1"/>
    <col min="10499" max="10499" width="2.44140625" style="788" hidden="1"/>
    <col min="10500" max="10500" width="3.6640625" style="788" hidden="1"/>
    <col min="10501" max="10501" width="4" style="788" hidden="1"/>
    <col min="10502" max="10505" width="15" style="788" hidden="1"/>
    <col min="10506" max="10506" width="13.109375" style="788" hidden="1"/>
    <col min="10507" max="10507" width="6.109375" style="788" hidden="1"/>
    <col min="10508" max="10508" width="11" style="788" hidden="1"/>
    <col min="10509" max="10509" width="36.109375" style="788" hidden="1"/>
    <col min="10510" max="10510" width="4.5546875" style="788" hidden="1"/>
    <col min="10511" max="10511" width="6.109375" style="788" hidden="1"/>
    <col min="10512" max="10753" width="11.44140625" style="788" hidden="1"/>
    <col min="10754" max="10754" width="4" style="788" hidden="1"/>
    <col min="10755" max="10755" width="2.44140625" style="788" hidden="1"/>
    <col min="10756" max="10756" width="3.6640625" style="788" hidden="1"/>
    <col min="10757" max="10757" width="4" style="788" hidden="1"/>
    <col min="10758" max="10761" width="15" style="788" hidden="1"/>
    <col min="10762" max="10762" width="13.109375" style="788" hidden="1"/>
    <col min="10763" max="10763" width="6.109375" style="788" hidden="1"/>
    <col min="10764" max="10764" width="11" style="788" hidden="1"/>
    <col min="10765" max="10765" width="36.109375" style="788" hidden="1"/>
    <col min="10766" max="10766" width="4.5546875" style="788" hidden="1"/>
    <col min="10767" max="10767" width="6.109375" style="788" hidden="1"/>
    <col min="10768" max="11009" width="11.44140625" style="788" hidden="1"/>
    <col min="11010" max="11010" width="4" style="788" hidden="1"/>
    <col min="11011" max="11011" width="2.44140625" style="788" hidden="1"/>
    <col min="11012" max="11012" width="3.6640625" style="788" hidden="1"/>
    <col min="11013" max="11013" width="4" style="788" hidden="1"/>
    <col min="11014" max="11017" width="15" style="788" hidden="1"/>
    <col min="11018" max="11018" width="13.109375" style="788" hidden="1"/>
    <col min="11019" max="11019" width="6.109375" style="788" hidden="1"/>
    <col min="11020" max="11020" width="11" style="788" hidden="1"/>
    <col min="11021" max="11021" width="36.109375" style="788" hidden="1"/>
    <col min="11022" max="11022" width="4.5546875" style="788" hidden="1"/>
    <col min="11023" max="11023" width="6.109375" style="788" hidden="1"/>
    <col min="11024" max="11265" width="11.44140625" style="788" hidden="1"/>
    <col min="11266" max="11266" width="4" style="788" hidden="1"/>
    <col min="11267" max="11267" width="2.44140625" style="788" hidden="1"/>
    <col min="11268" max="11268" width="3.6640625" style="788" hidden="1"/>
    <col min="11269" max="11269" width="4" style="788" hidden="1"/>
    <col min="11270" max="11273" width="15" style="788" hidden="1"/>
    <col min="11274" max="11274" width="13.109375" style="788" hidden="1"/>
    <col min="11275" max="11275" width="6.109375" style="788" hidden="1"/>
    <col min="11276" max="11276" width="11" style="788" hidden="1"/>
    <col min="11277" max="11277" width="36.109375" style="788" hidden="1"/>
    <col min="11278" max="11278" width="4.5546875" style="788" hidden="1"/>
    <col min="11279" max="11279" width="6.109375" style="788" hidden="1"/>
    <col min="11280" max="11521" width="11.44140625" style="788" hidden="1"/>
    <col min="11522" max="11522" width="4" style="788" hidden="1"/>
    <col min="11523" max="11523" width="2.44140625" style="788" hidden="1"/>
    <col min="11524" max="11524" width="3.6640625" style="788" hidden="1"/>
    <col min="11525" max="11525" width="4" style="788" hidden="1"/>
    <col min="11526" max="11529" width="15" style="788" hidden="1"/>
    <col min="11530" max="11530" width="13.109375" style="788" hidden="1"/>
    <col min="11531" max="11531" width="6.109375" style="788" hidden="1"/>
    <col min="11532" max="11532" width="11" style="788" hidden="1"/>
    <col min="11533" max="11533" width="36.109375" style="788" hidden="1"/>
    <col min="11534" max="11534" width="4.5546875" style="788" hidden="1"/>
    <col min="11535" max="11535" width="6.109375" style="788" hidden="1"/>
    <col min="11536" max="11777" width="11.44140625" style="788" hidden="1"/>
    <col min="11778" max="11778" width="4" style="788" hidden="1"/>
    <col min="11779" max="11779" width="2.44140625" style="788" hidden="1"/>
    <col min="11780" max="11780" width="3.6640625" style="788" hidden="1"/>
    <col min="11781" max="11781" width="4" style="788" hidden="1"/>
    <col min="11782" max="11785" width="15" style="788" hidden="1"/>
    <col min="11786" max="11786" width="13.109375" style="788" hidden="1"/>
    <col min="11787" max="11787" width="6.109375" style="788" hidden="1"/>
    <col min="11788" max="11788" width="11" style="788" hidden="1"/>
    <col min="11789" max="11789" width="36.109375" style="788" hidden="1"/>
    <col min="11790" max="11790" width="4.5546875" style="788" hidden="1"/>
    <col min="11791" max="11791" width="6.109375" style="788" hidden="1"/>
    <col min="11792" max="12033" width="11.44140625" style="788" hidden="1"/>
    <col min="12034" max="12034" width="4" style="788" hidden="1"/>
    <col min="12035" max="12035" width="2.44140625" style="788" hidden="1"/>
    <col min="12036" max="12036" width="3.6640625" style="788" hidden="1"/>
    <col min="12037" max="12037" width="4" style="788" hidden="1"/>
    <col min="12038" max="12041" width="15" style="788" hidden="1"/>
    <col min="12042" max="12042" width="13.109375" style="788" hidden="1"/>
    <col min="12043" max="12043" width="6.109375" style="788" hidden="1"/>
    <col min="12044" max="12044" width="11" style="788" hidden="1"/>
    <col min="12045" max="12045" width="36.109375" style="788" hidden="1"/>
    <col min="12046" max="12046" width="4.5546875" style="788" hidden="1"/>
    <col min="12047" max="12047" width="6.109375" style="788" hidden="1"/>
    <col min="12048" max="12289" width="11.44140625" style="788" hidden="1"/>
    <col min="12290" max="12290" width="4" style="788" hidden="1"/>
    <col min="12291" max="12291" width="2.44140625" style="788" hidden="1"/>
    <col min="12292" max="12292" width="3.6640625" style="788" hidden="1"/>
    <col min="12293" max="12293" width="4" style="788" hidden="1"/>
    <col min="12294" max="12297" width="15" style="788" hidden="1"/>
    <col min="12298" max="12298" width="13.109375" style="788" hidden="1"/>
    <col min="12299" max="12299" width="6.109375" style="788" hidden="1"/>
    <col min="12300" max="12300" width="11" style="788" hidden="1"/>
    <col min="12301" max="12301" width="36.109375" style="788" hidden="1"/>
    <col min="12302" max="12302" width="4.5546875" style="788" hidden="1"/>
    <col min="12303" max="12303" width="6.109375" style="788" hidden="1"/>
    <col min="12304" max="12545" width="11.44140625" style="788" hidden="1"/>
    <col min="12546" max="12546" width="4" style="788" hidden="1"/>
    <col min="12547" max="12547" width="2.44140625" style="788" hidden="1"/>
    <col min="12548" max="12548" width="3.6640625" style="788" hidden="1"/>
    <col min="12549" max="12549" width="4" style="788" hidden="1"/>
    <col min="12550" max="12553" width="15" style="788" hidden="1"/>
    <col min="12554" max="12554" width="13.109375" style="788" hidden="1"/>
    <col min="12555" max="12555" width="6.109375" style="788" hidden="1"/>
    <col min="12556" max="12556" width="11" style="788" hidden="1"/>
    <col min="12557" max="12557" width="36.109375" style="788" hidden="1"/>
    <col min="12558" max="12558" width="4.5546875" style="788" hidden="1"/>
    <col min="12559" max="12559" width="6.109375" style="788" hidden="1"/>
    <col min="12560" max="12801" width="11.44140625" style="788" hidden="1"/>
    <col min="12802" max="12802" width="4" style="788" hidden="1"/>
    <col min="12803" max="12803" width="2.44140625" style="788" hidden="1"/>
    <col min="12804" max="12804" width="3.6640625" style="788" hidden="1"/>
    <col min="12805" max="12805" width="4" style="788" hidden="1"/>
    <col min="12806" max="12809" width="15" style="788" hidden="1"/>
    <col min="12810" max="12810" width="13.109375" style="788" hidden="1"/>
    <col min="12811" max="12811" width="6.109375" style="788" hidden="1"/>
    <col min="12812" max="12812" width="11" style="788" hidden="1"/>
    <col min="12813" max="12813" width="36.109375" style="788" hidden="1"/>
    <col min="12814" max="12814" width="4.5546875" style="788" hidden="1"/>
    <col min="12815" max="12815" width="6.109375" style="788" hidden="1"/>
    <col min="12816" max="13057" width="11.44140625" style="788" hidden="1"/>
    <col min="13058" max="13058" width="4" style="788" hidden="1"/>
    <col min="13059" max="13059" width="2.44140625" style="788" hidden="1"/>
    <col min="13060" max="13060" width="3.6640625" style="788" hidden="1"/>
    <col min="13061" max="13061" width="4" style="788" hidden="1"/>
    <col min="13062" max="13065" width="15" style="788" hidden="1"/>
    <col min="13066" max="13066" width="13.109375" style="788" hidden="1"/>
    <col min="13067" max="13067" width="6.109375" style="788" hidden="1"/>
    <col min="13068" max="13068" width="11" style="788" hidden="1"/>
    <col min="13069" max="13069" width="36.109375" style="788" hidden="1"/>
    <col min="13070" max="13070" width="4.5546875" style="788" hidden="1"/>
    <col min="13071" max="13071" width="6.109375" style="788" hidden="1"/>
    <col min="13072" max="13313" width="11.44140625" style="788" hidden="1"/>
    <col min="13314" max="13314" width="4" style="788" hidden="1"/>
    <col min="13315" max="13315" width="2.44140625" style="788" hidden="1"/>
    <col min="13316" max="13316" width="3.6640625" style="788" hidden="1"/>
    <col min="13317" max="13317" width="4" style="788" hidden="1"/>
    <col min="13318" max="13321" width="15" style="788" hidden="1"/>
    <col min="13322" max="13322" width="13.109375" style="788" hidden="1"/>
    <col min="13323" max="13323" width="6.109375" style="788" hidden="1"/>
    <col min="13324" max="13324" width="11" style="788" hidden="1"/>
    <col min="13325" max="13325" width="36.109375" style="788" hidden="1"/>
    <col min="13326" max="13326" width="4.5546875" style="788" hidden="1"/>
    <col min="13327" max="13327" width="6.109375" style="788" hidden="1"/>
    <col min="13328" max="13569" width="11.44140625" style="788" hidden="1"/>
    <col min="13570" max="13570" width="4" style="788" hidden="1"/>
    <col min="13571" max="13571" width="2.44140625" style="788" hidden="1"/>
    <col min="13572" max="13572" width="3.6640625" style="788" hidden="1"/>
    <col min="13573" max="13573" width="4" style="788" hidden="1"/>
    <col min="13574" max="13577" width="15" style="788" hidden="1"/>
    <col min="13578" max="13578" width="13.109375" style="788" hidden="1"/>
    <col min="13579" max="13579" width="6.109375" style="788" hidden="1"/>
    <col min="13580" max="13580" width="11" style="788" hidden="1"/>
    <col min="13581" max="13581" width="36.109375" style="788" hidden="1"/>
    <col min="13582" max="13582" width="4.5546875" style="788" hidden="1"/>
    <col min="13583" max="13583" width="6.109375" style="788" hidden="1"/>
    <col min="13584" max="13825" width="11.44140625" style="788" hidden="1"/>
    <col min="13826" max="13826" width="4" style="788" hidden="1"/>
    <col min="13827" max="13827" width="2.44140625" style="788" hidden="1"/>
    <col min="13828" max="13828" width="3.6640625" style="788" hidden="1"/>
    <col min="13829" max="13829" width="4" style="788" hidden="1"/>
    <col min="13830" max="13833" width="15" style="788" hidden="1"/>
    <col min="13834" max="13834" width="13.109375" style="788" hidden="1"/>
    <col min="13835" max="13835" width="6.109375" style="788" hidden="1"/>
    <col min="13836" max="13836" width="11" style="788" hidden="1"/>
    <col min="13837" max="13837" width="36.109375" style="788" hidden="1"/>
    <col min="13838" max="13838" width="4.5546875" style="788" hidden="1"/>
    <col min="13839" max="13839" width="6.109375" style="788" hidden="1"/>
    <col min="13840" max="14081" width="11.44140625" style="788" hidden="1"/>
    <col min="14082" max="14082" width="4" style="788" hidden="1"/>
    <col min="14083" max="14083" width="2.44140625" style="788" hidden="1"/>
    <col min="14084" max="14084" width="3.6640625" style="788" hidden="1"/>
    <col min="14085" max="14085" width="4" style="788" hidden="1"/>
    <col min="14086" max="14089" width="15" style="788" hidden="1"/>
    <col min="14090" max="14090" width="13.109375" style="788" hidden="1"/>
    <col min="14091" max="14091" width="6.109375" style="788" hidden="1"/>
    <col min="14092" max="14092" width="11" style="788" hidden="1"/>
    <col min="14093" max="14093" width="36.109375" style="788" hidden="1"/>
    <col min="14094" max="14094" width="4.5546875" style="788" hidden="1"/>
    <col min="14095" max="14095" width="6.109375" style="788" hidden="1"/>
    <col min="14096" max="14337" width="11.44140625" style="788" hidden="1"/>
    <col min="14338" max="14338" width="4" style="788" hidden="1"/>
    <col min="14339" max="14339" width="2.44140625" style="788" hidden="1"/>
    <col min="14340" max="14340" width="3.6640625" style="788" hidden="1"/>
    <col min="14341" max="14341" width="4" style="788" hidden="1"/>
    <col min="14342" max="14345" width="15" style="788" hidden="1"/>
    <col min="14346" max="14346" width="13.109375" style="788" hidden="1"/>
    <col min="14347" max="14347" width="6.109375" style="788" hidden="1"/>
    <col min="14348" max="14348" width="11" style="788" hidden="1"/>
    <col min="14349" max="14349" width="36.109375" style="788" hidden="1"/>
    <col min="14350" max="14350" width="4.5546875" style="788" hidden="1"/>
    <col min="14351" max="14351" width="6.109375" style="788" hidden="1"/>
    <col min="14352" max="14593" width="11.44140625" style="788" hidden="1"/>
    <col min="14594" max="14594" width="4" style="788" hidden="1"/>
    <col min="14595" max="14595" width="2.44140625" style="788" hidden="1"/>
    <col min="14596" max="14596" width="3.6640625" style="788" hidden="1"/>
    <col min="14597" max="14597" width="4" style="788" hidden="1"/>
    <col min="14598" max="14601" width="15" style="788" hidden="1"/>
    <col min="14602" max="14602" width="13.109375" style="788" hidden="1"/>
    <col min="14603" max="14603" width="6.109375" style="788" hidden="1"/>
    <col min="14604" max="14604" width="11" style="788" hidden="1"/>
    <col min="14605" max="14605" width="36.109375" style="788" hidden="1"/>
    <col min="14606" max="14606" width="4.5546875" style="788" hidden="1"/>
    <col min="14607" max="14607" width="6.109375" style="788" hidden="1"/>
    <col min="14608" max="14849" width="11.44140625" style="788" hidden="1"/>
    <col min="14850" max="14850" width="4" style="788" hidden="1"/>
    <col min="14851" max="14851" width="2.44140625" style="788" hidden="1"/>
    <col min="14852" max="14852" width="3.6640625" style="788" hidden="1"/>
    <col min="14853" max="14853" width="4" style="788" hidden="1"/>
    <col min="14854" max="14857" width="15" style="788" hidden="1"/>
    <col min="14858" max="14858" width="13.109375" style="788" hidden="1"/>
    <col min="14859" max="14859" width="6.109375" style="788" hidden="1"/>
    <col min="14860" max="14860" width="11" style="788" hidden="1"/>
    <col min="14861" max="14861" width="36.109375" style="788" hidden="1"/>
    <col min="14862" max="14862" width="4.5546875" style="788" hidden="1"/>
    <col min="14863" max="14863" width="6.109375" style="788" hidden="1"/>
    <col min="14864" max="15105" width="11.44140625" style="788" hidden="1"/>
    <col min="15106" max="15106" width="4" style="788" hidden="1"/>
    <col min="15107" max="15107" width="2.44140625" style="788" hidden="1"/>
    <col min="15108" max="15108" width="3.6640625" style="788" hidden="1"/>
    <col min="15109" max="15109" width="4" style="788" hidden="1"/>
    <col min="15110" max="15113" width="15" style="788" hidden="1"/>
    <col min="15114" max="15114" width="13.109375" style="788" hidden="1"/>
    <col min="15115" max="15115" width="6.109375" style="788" hidden="1"/>
    <col min="15116" max="15116" width="11" style="788" hidden="1"/>
    <col min="15117" max="15117" width="36.109375" style="788" hidden="1"/>
    <col min="15118" max="15118" width="4.5546875" style="788" hidden="1"/>
    <col min="15119" max="15119" width="6.109375" style="788" hidden="1"/>
    <col min="15120" max="15361" width="11.44140625" style="788" hidden="1"/>
    <col min="15362" max="15362" width="4" style="788" hidden="1"/>
    <col min="15363" max="15363" width="2.44140625" style="788" hidden="1"/>
    <col min="15364" max="15364" width="3.6640625" style="788" hidden="1"/>
    <col min="15365" max="15365" width="4" style="788" hidden="1"/>
    <col min="15366" max="15369" width="15" style="788" hidden="1"/>
    <col min="15370" max="15370" width="13.109375" style="788" hidden="1"/>
    <col min="15371" max="15371" width="6.109375" style="788" hidden="1"/>
    <col min="15372" max="15372" width="11" style="788" hidden="1"/>
    <col min="15373" max="15373" width="36.109375" style="788" hidden="1"/>
    <col min="15374" max="15374" width="4.5546875" style="788" hidden="1"/>
    <col min="15375" max="15375" width="6.109375" style="788" hidden="1"/>
    <col min="15376" max="15617" width="11.44140625" style="788" hidden="1"/>
    <col min="15618" max="15618" width="4" style="788" hidden="1"/>
    <col min="15619" max="15619" width="2.44140625" style="788" hidden="1"/>
    <col min="15620" max="15620" width="3.6640625" style="788" hidden="1"/>
    <col min="15621" max="15621" width="4" style="788" hidden="1"/>
    <col min="15622" max="15625" width="15" style="788" hidden="1"/>
    <col min="15626" max="15626" width="13.109375" style="788" hidden="1"/>
    <col min="15627" max="15627" width="6.109375" style="788" hidden="1"/>
    <col min="15628" max="15628" width="11" style="788" hidden="1"/>
    <col min="15629" max="15629" width="36.109375" style="788" hidden="1"/>
    <col min="15630" max="15630" width="4.5546875" style="788" hidden="1"/>
    <col min="15631" max="15631" width="6.109375" style="788" hidden="1"/>
    <col min="15632" max="15873" width="11.44140625" style="788" hidden="1"/>
    <col min="15874" max="15874" width="4" style="788" hidden="1"/>
    <col min="15875" max="15875" width="2.44140625" style="788" hidden="1"/>
    <col min="15876" max="15876" width="3.6640625" style="788" hidden="1"/>
    <col min="15877" max="15877" width="4" style="788" hidden="1"/>
    <col min="15878" max="15881" width="15" style="788" hidden="1"/>
    <col min="15882" max="15882" width="13.109375" style="788" hidden="1"/>
    <col min="15883" max="15883" width="6.109375" style="788" hidden="1"/>
    <col min="15884" max="15884" width="11" style="788" hidden="1"/>
    <col min="15885" max="15885" width="36.109375" style="788" hidden="1"/>
    <col min="15886" max="15886" width="4.5546875" style="788" hidden="1"/>
    <col min="15887" max="15887" width="6.109375" style="788" hidden="1"/>
    <col min="15888" max="16129" width="11.44140625" style="788" hidden="1"/>
    <col min="16130" max="16130" width="4" style="788" hidden="1"/>
    <col min="16131" max="16131" width="2.44140625" style="788" hidden="1"/>
    <col min="16132" max="16132" width="3.6640625" style="788" hidden="1"/>
    <col min="16133" max="16133" width="4" style="788" hidden="1"/>
    <col min="16134" max="16137" width="15" style="788" hidden="1"/>
    <col min="16138" max="16138" width="13.109375" style="788" hidden="1"/>
    <col min="16139" max="16139" width="6.109375" style="788" hidden="1"/>
    <col min="16140" max="16140" width="11" style="788" hidden="1"/>
    <col min="16141" max="16141" width="36.109375" style="788" hidden="1"/>
    <col min="16142" max="16142" width="4.5546875" style="788" hidden="1"/>
    <col min="16143" max="16143" width="6.109375" style="788" hidden="1"/>
    <col min="16144" max="16384" width="11.44140625" style="788" hidden="1"/>
  </cols>
  <sheetData>
    <row r="1" spans="1:14" ht="48.8" customHeight="1" x14ac:dyDescent="0.3"/>
    <row r="2" spans="1:14" ht="15.75" customHeight="1" x14ac:dyDescent="0.3">
      <c r="A2" s="1280" t="str">
        <f>UPPER(Input!C2)</f>
        <v>TESTOWA 185 SP. Z O.O.</v>
      </c>
      <c r="B2" s="1280"/>
      <c r="C2" s="1280"/>
      <c r="D2" s="1280"/>
      <c r="E2" s="1280"/>
      <c r="F2" s="1280"/>
      <c r="G2" s="1280"/>
      <c r="H2" s="1280"/>
      <c r="I2" s="1280"/>
      <c r="J2" s="1280"/>
      <c r="K2" s="302" t="s">
        <v>5070</v>
      </c>
      <c r="M2" s="959"/>
      <c r="N2" s="959"/>
    </row>
    <row r="3" spans="1:14" ht="15.75" customHeight="1" x14ac:dyDescent="0.3">
      <c r="A3" s="1280" t="s">
        <v>7506</v>
      </c>
      <c r="B3" s="1280"/>
      <c r="C3" s="1280"/>
      <c r="D3" s="1280"/>
      <c r="E3" s="1280"/>
      <c r="F3" s="1280"/>
      <c r="G3" s="1280"/>
      <c r="H3" s="1280"/>
      <c r="I3" s="1280"/>
      <c r="J3" s="1280"/>
      <c r="K3" s="302" t="s">
        <v>5070</v>
      </c>
      <c r="M3" s="959"/>
      <c r="N3" s="959"/>
    </row>
    <row r="4" spans="1:14" ht="15.75" customHeight="1" x14ac:dyDescent="0.3">
      <c r="A4" s="303"/>
      <c r="K4" s="302" t="s">
        <v>5070</v>
      </c>
      <c r="M4" s="959"/>
      <c r="N4" s="959"/>
    </row>
    <row r="5" spans="1:14" s="305" customFormat="1" ht="15.75" customHeight="1" x14ac:dyDescent="0.3">
      <c r="A5" s="1193">
        <f>IF(K5="ukryj",0,1)</f>
        <v>1</v>
      </c>
      <c r="B5" s="1193"/>
      <c r="C5" s="1194"/>
      <c r="D5" s="1280" t="s">
        <v>7507</v>
      </c>
      <c r="E5" s="1280"/>
      <c r="F5" s="1280"/>
      <c r="G5" s="1280"/>
      <c r="H5" s="1280"/>
      <c r="I5" s="1280"/>
      <c r="J5" s="1280"/>
      <c r="K5" s="302" t="s">
        <v>5070</v>
      </c>
      <c r="L5" s="301" t="s">
        <v>3347</v>
      </c>
      <c r="M5" s="959"/>
      <c r="N5" s="1037"/>
    </row>
    <row r="6" spans="1:14" s="305" customFormat="1" ht="15.75" customHeight="1" x14ac:dyDescent="0.3">
      <c r="D6" s="306"/>
      <c r="E6" s="306"/>
      <c r="F6" s="306"/>
      <c r="H6" s="797"/>
      <c r="I6" s="797"/>
      <c r="K6" s="302" t="s">
        <v>5070</v>
      </c>
      <c r="L6" s="307"/>
      <c r="M6" s="959"/>
      <c r="N6" s="1037"/>
    </row>
    <row r="7" spans="1:14" s="305" customFormat="1" ht="15.75" customHeight="1" x14ac:dyDescent="0.3">
      <c r="A7" s="1195">
        <f>$A$5</f>
        <v>1</v>
      </c>
      <c r="B7" s="1191">
        <f>IF(K7="ukryj",0,1)</f>
        <v>1</v>
      </c>
      <c r="C7" s="1192"/>
      <c r="D7" s="1235" t="s">
        <v>7508</v>
      </c>
      <c r="E7" s="1235"/>
      <c r="F7" s="1235"/>
      <c r="G7" s="1235"/>
      <c r="H7" s="1235"/>
      <c r="I7" s="1235"/>
      <c r="J7" s="1235"/>
      <c r="K7" s="302" t="s">
        <v>5070</v>
      </c>
      <c r="L7" s="308" t="s">
        <v>3349</v>
      </c>
      <c r="M7" s="959"/>
      <c r="N7" s="1037"/>
    </row>
    <row r="8" spans="1:14" s="305" customFormat="1" ht="15.75" customHeight="1" x14ac:dyDescent="0.3">
      <c r="D8" s="306"/>
      <c r="E8" s="306"/>
      <c r="F8" s="306"/>
      <c r="H8" s="797"/>
      <c r="I8" s="797"/>
      <c r="K8" s="302" t="s">
        <v>5070</v>
      </c>
      <c r="L8" s="307"/>
      <c r="M8" s="959"/>
      <c r="N8" s="1037"/>
    </row>
    <row r="9" spans="1:14" ht="15.75" customHeight="1" x14ac:dyDescent="0.3">
      <c r="A9" s="304"/>
      <c r="D9" s="1286" t="str">
        <f>Input!C2</f>
        <v>Testowa 185 Sp. z o.o.</v>
      </c>
      <c r="E9" s="1286"/>
      <c r="F9" s="1286"/>
      <c r="G9" s="1286"/>
      <c r="H9" s="1286"/>
      <c r="I9" s="1286"/>
      <c r="J9" s="1286"/>
      <c r="K9" s="302" t="s">
        <v>5070</v>
      </c>
      <c r="M9" s="959"/>
      <c r="N9" s="959"/>
    </row>
    <row r="10" spans="1:14" ht="15.75" customHeight="1" x14ac:dyDescent="0.3">
      <c r="A10" s="304"/>
      <c r="D10" s="301"/>
      <c r="E10" s="301"/>
      <c r="F10" s="301"/>
      <c r="G10" s="788"/>
      <c r="K10" s="302" t="s">
        <v>5070</v>
      </c>
      <c r="M10" s="959"/>
      <c r="N10" s="959"/>
    </row>
    <row r="11" spans="1:14" ht="15.75" customHeight="1" x14ac:dyDescent="0.3">
      <c r="A11" s="1195">
        <f>$A$5</f>
        <v>1</v>
      </c>
      <c r="B11" s="1191">
        <f>IF(K11="ukryj",B7,B7+1)</f>
        <v>2</v>
      </c>
      <c r="C11" s="1192"/>
      <c r="D11" s="1235" t="s">
        <v>7509</v>
      </c>
      <c r="E11" s="1235"/>
      <c r="F11" s="1235"/>
      <c r="G11" s="1235"/>
      <c r="H11" s="1235"/>
      <c r="I11" s="1235"/>
      <c r="J11" s="1235"/>
      <c r="K11" s="302" t="s">
        <v>5070</v>
      </c>
      <c r="L11" s="301" t="s">
        <v>3349</v>
      </c>
      <c r="M11" s="959"/>
      <c r="N11" s="959"/>
    </row>
    <row r="12" spans="1:14" ht="15.75" customHeight="1" x14ac:dyDescent="0.3">
      <c r="A12" s="283"/>
      <c r="B12" s="284"/>
      <c r="C12" s="284"/>
      <c r="D12" s="789"/>
      <c r="E12" s="789"/>
      <c r="F12" s="789"/>
      <c r="G12" s="788"/>
      <c r="K12" s="302" t="s">
        <v>5070</v>
      </c>
      <c r="M12" s="959"/>
      <c r="N12" s="959"/>
    </row>
    <row r="13" spans="1:14" ht="15.75" customHeight="1" x14ac:dyDescent="0.3">
      <c r="A13" s="304"/>
      <c r="D13" s="1114" t="s">
        <v>7510</v>
      </c>
      <c r="F13" s="309"/>
      <c r="G13" s="957" t="str">
        <f>IF(Ulica="","",Ulica)</f>
        <v>Towarowa</v>
      </c>
      <c r="H13" s="309"/>
      <c r="I13" s="789"/>
      <c r="J13" s="310"/>
      <c r="K13" s="302" t="str">
        <f>IF(wstęp!G13="","ukryj","odkryj")</f>
        <v>odkryj</v>
      </c>
      <c r="M13" s="959"/>
      <c r="N13" s="959"/>
    </row>
    <row r="14" spans="1:14" ht="15.75" customHeight="1" x14ac:dyDescent="0.3">
      <c r="A14" s="304"/>
      <c r="D14" s="1114" t="s">
        <v>7511</v>
      </c>
      <c r="F14" s="309"/>
      <c r="G14" s="957">
        <f>IF(NrDomu="","",NrDomu)</f>
        <v>28</v>
      </c>
      <c r="H14" s="309"/>
      <c r="I14" s="789"/>
      <c r="J14" s="310"/>
      <c r="K14" s="302" t="str">
        <f>IF(wstęp!G14="","ukryj","odkryj")</f>
        <v>odkryj</v>
      </c>
      <c r="M14" s="959"/>
      <c r="N14" s="959"/>
    </row>
    <row r="15" spans="1:14" ht="15.75" customHeight="1" x14ac:dyDescent="0.3">
      <c r="A15" s="304"/>
      <c r="D15" s="1114" t="s">
        <v>7512</v>
      </c>
      <c r="F15" s="309"/>
      <c r="G15" s="957" t="str">
        <f>IF(NrLokalu="","",NrLokalu)</f>
        <v/>
      </c>
      <c r="H15" s="309"/>
      <c r="I15" s="789"/>
      <c r="J15" s="310"/>
      <c r="K15" s="302" t="str">
        <f>IF(wstęp!G15="","ukryj","odkryj")</f>
        <v>ukryj</v>
      </c>
      <c r="M15" s="959"/>
      <c r="N15" s="959"/>
    </row>
    <row r="16" spans="1:14" ht="15.75" customHeight="1" x14ac:dyDescent="0.3">
      <c r="A16" s="304"/>
      <c r="D16" s="1114" t="s">
        <v>7513</v>
      </c>
      <c r="F16" s="309"/>
      <c r="G16" s="957" t="str">
        <f>IF(Miejscowosc="","",Miejscowosc)</f>
        <v>Łódź</v>
      </c>
      <c r="H16" s="309"/>
      <c r="I16" s="789"/>
      <c r="J16" s="310"/>
      <c r="K16" s="302" t="str">
        <f>IF(wstęp!G16="","ukryj","odkryj")</f>
        <v>odkryj</v>
      </c>
      <c r="M16" s="959"/>
      <c r="N16" s="959"/>
    </row>
    <row r="17" spans="1:14" ht="15.75" customHeight="1" x14ac:dyDescent="0.3">
      <c r="A17" s="304"/>
      <c r="D17" s="1114" t="s">
        <v>7514</v>
      </c>
      <c r="F17" s="309"/>
      <c r="G17" s="957" t="str">
        <f>IF(Poczta="","",Poczta)</f>
        <v>Łódź</v>
      </c>
      <c r="H17" s="309"/>
      <c r="I17" s="789"/>
      <c r="J17" s="310"/>
      <c r="K17" s="302" t="str">
        <f>IF(wstęp!G17="","ukryj","odkryj")</f>
        <v>odkryj</v>
      </c>
      <c r="M17" s="959"/>
      <c r="N17" s="959"/>
    </row>
    <row r="18" spans="1:14" ht="15.75" customHeight="1" x14ac:dyDescent="0.3">
      <c r="A18" s="304"/>
      <c r="D18" s="1114" t="s">
        <v>7515</v>
      </c>
      <c r="F18" s="309"/>
      <c r="G18" s="957" t="str">
        <f>IF(KodPocztowy="","",KodPocztowy)</f>
        <v>93-231</v>
      </c>
      <c r="H18" s="309"/>
      <c r="I18" s="789"/>
      <c r="J18" s="310"/>
      <c r="K18" s="302" t="str">
        <f>IF(wstęp!G18="","ukryj","odkryj")</f>
        <v>odkryj</v>
      </c>
      <c r="M18" s="959"/>
      <c r="N18" s="959"/>
    </row>
    <row r="19" spans="1:14" ht="15.75" customHeight="1" x14ac:dyDescent="0.3">
      <c r="A19" s="304"/>
      <c r="D19" s="1114" t="s">
        <v>7516</v>
      </c>
      <c r="F19" s="309"/>
      <c r="G19" s="957" t="str">
        <f>IF(KodKraju="","",KodKraju)</f>
        <v>PL</v>
      </c>
      <c r="H19" s="309"/>
      <c r="I19" s="789"/>
      <c r="J19" s="310"/>
      <c r="K19" s="302" t="str">
        <f>IF(wstęp!G19="","ukryj","odkryj")</f>
        <v>odkryj</v>
      </c>
      <c r="M19" s="959"/>
      <c r="N19" s="959"/>
    </row>
    <row r="20" spans="1:14" ht="15.75" customHeight="1" x14ac:dyDescent="0.3">
      <c r="A20" s="304"/>
      <c r="D20" s="1114" t="s">
        <v>7517</v>
      </c>
      <c r="F20" s="309"/>
      <c r="G20" s="957" t="str">
        <f>IF(Powiat="","",Powiat)</f>
        <v>M.St. Warszawa</v>
      </c>
      <c r="H20" s="309"/>
      <c r="I20" s="789"/>
      <c r="J20" s="310"/>
      <c r="K20" s="302" t="str">
        <f>IF(wstęp!G20="","ukryj","odkryj")</f>
        <v>odkryj</v>
      </c>
      <c r="M20" s="959"/>
      <c r="N20" s="959"/>
    </row>
    <row r="21" spans="1:14" ht="15.75" customHeight="1" x14ac:dyDescent="0.3">
      <c r="A21" s="304"/>
      <c r="D21" s="1114" t="s">
        <v>7518</v>
      </c>
      <c r="F21" s="309"/>
      <c r="G21" s="957" t="str">
        <f>IF(Gmina="","",Gmina)</f>
        <v>M.St. Warszawa</v>
      </c>
      <c r="H21" s="309"/>
      <c r="I21" s="789"/>
      <c r="J21" s="310"/>
      <c r="K21" s="302" t="str">
        <f>IF(wstęp!G21="","ukryj","odkryj")</f>
        <v>odkryj</v>
      </c>
      <c r="M21" s="959"/>
      <c r="N21" s="959"/>
    </row>
    <row r="22" spans="1:14" ht="15.75" customHeight="1" x14ac:dyDescent="0.3">
      <c r="A22" s="304"/>
      <c r="D22" s="1114" t="s">
        <v>7519</v>
      </c>
      <c r="F22" s="309"/>
      <c r="G22" s="957" t="str">
        <f>IF(Wojewodztwo="","",Wojewodztwo)</f>
        <v>Mazowieckie</v>
      </c>
      <c r="H22" s="309"/>
      <c r="I22" s="789"/>
      <c r="J22" s="310"/>
      <c r="K22" s="302" t="str">
        <f>IF(wstęp!G22="","ukryj","odkryj")</f>
        <v>odkryj</v>
      </c>
      <c r="M22" s="959"/>
      <c r="N22" s="959"/>
    </row>
    <row r="23" spans="1:14" ht="15.75" customHeight="1" x14ac:dyDescent="0.3">
      <c r="A23" s="304"/>
      <c r="D23" s="1114" t="s">
        <v>7520</v>
      </c>
      <c r="F23" s="309"/>
      <c r="G23" s="957" t="str">
        <f>IF(NIP="","",NIP)</f>
        <v>7282741164</v>
      </c>
      <c r="H23" s="309"/>
      <c r="I23" s="789"/>
      <c r="J23" s="310"/>
      <c r="K23" s="302" t="str">
        <f>IF(wstęp!G23="","ukryj","odkryj")</f>
        <v>odkryj</v>
      </c>
      <c r="M23" s="959"/>
      <c r="N23" s="959"/>
    </row>
    <row r="24" spans="1:14" ht="15.75" customHeight="1" x14ac:dyDescent="0.3">
      <c r="A24" s="304"/>
      <c r="D24" s="1115" t="s">
        <v>7521</v>
      </c>
      <c r="F24" s="311"/>
      <c r="G24" s="957" t="str">
        <f>IF(Input!C43="","",Input!C43)</f>
        <v/>
      </c>
      <c r="H24" s="311"/>
      <c r="I24" s="789"/>
      <c r="J24" s="310"/>
      <c r="K24" s="302" t="str">
        <f>IF(wstęp!G24="","ukryj","odkryj")</f>
        <v>ukryj</v>
      </c>
      <c r="M24" s="959"/>
      <c r="N24" s="959"/>
    </row>
    <row r="25" spans="1:14" ht="15.75" customHeight="1" x14ac:dyDescent="0.3">
      <c r="A25" s="304"/>
      <c r="D25" s="789"/>
      <c r="E25" s="789"/>
      <c r="F25" s="789"/>
      <c r="G25" s="788"/>
      <c r="K25" s="302" t="s">
        <v>5070</v>
      </c>
      <c r="M25" s="959"/>
      <c r="N25" s="959"/>
    </row>
    <row r="26" spans="1:14" ht="15.75" customHeight="1" x14ac:dyDescent="0.3">
      <c r="A26" s="1195">
        <f>$A$5</f>
        <v>1</v>
      </c>
      <c r="B26" s="1191">
        <f>IF(K26="ukryj",B11,B11+1)</f>
        <v>3</v>
      </c>
      <c r="C26" s="1192"/>
      <c r="D26" s="1235" t="s">
        <v>7522</v>
      </c>
      <c r="E26" s="1235"/>
      <c r="F26" s="1235"/>
      <c r="G26" s="1235"/>
      <c r="H26" s="1235"/>
      <c r="I26" s="1235"/>
      <c r="J26" s="1235"/>
      <c r="K26" s="302" t="s">
        <v>5070</v>
      </c>
      <c r="L26" s="301" t="s">
        <v>3418</v>
      </c>
      <c r="M26" s="959"/>
      <c r="N26" s="959"/>
    </row>
    <row r="27" spans="1:14" ht="15.75" customHeight="1" x14ac:dyDescent="0.3">
      <c r="A27" s="283"/>
      <c r="B27" s="284"/>
      <c r="C27" s="284"/>
      <c r="D27" s="789"/>
      <c r="E27" s="789"/>
      <c r="F27" s="789"/>
      <c r="G27" s="788"/>
      <c r="K27" s="302" t="s">
        <v>5070</v>
      </c>
      <c r="M27" s="959"/>
      <c r="N27" s="959"/>
    </row>
    <row r="28" spans="1:14" ht="46.5" customHeight="1" x14ac:dyDescent="0.3">
      <c r="A28" s="304"/>
      <c r="D28" s="1287" t="str">
        <f>Input!$C$2&amp;" (“Spółka”) została utworzona umową spółki w formie aktu notarialnego z dnia "&amp;DAY(Input!$R$18)&amp;" "&amp;Input!$Q$18&amp;" "&amp;YEAR(Input!$R$18)&amp;" r., wpisana do Rejestru Przedsiębiorców Krajowego Rejestru Sądowego prowadzonego przez Sąd Rejonowy w "&amp;Input!$C$68&amp;", "&amp;Input!$C$69&amp;" Wydział Gospodarczy Krajowego Rejestru Sądowego, pod numerem KRS: "&amp; IF(KRS="","",KRS)</f>
        <v>Testowa 185 Sp. z o.o. (“Spółka”) została utworzona umową spółki w formie aktu notarialnego z dnia 1 stycznia 1900 r., wpisana do Rejestru Przedsiębiorców Krajowego Rejestru Sądowego prowadzonego przez Sąd Rejonowy w ,  Wydział Gospodarczy Krajowego Rejestru Sądowego, pod numerem KRS: 0000000000</v>
      </c>
      <c r="E28" s="1288"/>
      <c r="F28" s="1288"/>
      <c r="G28" s="1288"/>
      <c r="H28" s="1288"/>
      <c r="I28" s="1288"/>
      <c r="J28" s="1288"/>
      <c r="K28" s="302" t="s">
        <v>5070</v>
      </c>
      <c r="M28" s="959"/>
      <c r="N28" s="959"/>
    </row>
    <row r="29" spans="1:14" ht="15.05" x14ac:dyDescent="0.3">
      <c r="A29" s="304"/>
      <c r="D29" s="309"/>
      <c r="E29" s="309"/>
      <c r="F29" s="309"/>
      <c r="G29" s="954"/>
      <c r="H29" s="309"/>
      <c r="I29" s="790"/>
      <c r="J29"/>
      <c r="K29" s="302" t="s">
        <v>5125</v>
      </c>
      <c r="M29" s="959"/>
      <c r="N29" s="959"/>
    </row>
    <row r="30" spans="1:14" x14ac:dyDescent="0.3">
      <c r="A30" s="304"/>
      <c r="D30" s="795"/>
      <c r="E30" s="795"/>
      <c r="F30" s="795"/>
      <c r="G30" s="795"/>
      <c r="H30" s="795"/>
      <c r="I30" s="790"/>
      <c r="J30" s="790"/>
      <c r="K30" s="302" t="s">
        <v>5070</v>
      </c>
      <c r="M30" s="959"/>
      <c r="N30" s="959"/>
    </row>
    <row r="31" spans="1:14" ht="15.75" customHeight="1" x14ac:dyDescent="0.3">
      <c r="A31" s="1195">
        <f>$A$5</f>
        <v>1</v>
      </c>
      <c r="B31" s="1191">
        <f>IF(K31="ukryj",B26,B26+1)</f>
        <v>4</v>
      </c>
      <c r="C31" s="1192"/>
      <c r="D31" s="1235" t="s">
        <v>7523</v>
      </c>
      <c r="E31" s="1235"/>
      <c r="F31" s="1235"/>
      <c r="G31" s="1235"/>
      <c r="H31" s="1235"/>
      <c r="I31" s="1235"/>
      <c r="J31" s="1235"/>
      <c r="K31" s="302" t="s">
        <v>5070</v>
      </c>
      <c r="L31" s="301" t="s">
        <v>3393</v>
      </c>
      <c r="M31" s="959"/>
      <c r="N31" s="959"/>
    </row>
    <row r="32" spans="1:14" ht="15.75" customHeight="1" x14ac:dyDescent="0.3">
      <c r="A32" s="283"/>
      <c r="B32" s="284"/>
      <c r="C32" s="284"/>
      <c r="D32" s="789"/>
      <c r="E32" s="789"/>
      <c r="F32" s="789"/>
      <c r="G32" s="788"/>
      <c r="K32" s="302" t="s">
        <v>5070</v>
      </c>
      <c r="M32" s="959"/>
      <c r="N32" s="959"/>
    </row>
    <row r="33" spans="1:19" x14ac:dyDescent="0.3">
      <c r="A33" s="304"/>
      <c r="D33" s="1239" t="s">
        <v>7524</v>
      </c>
      <c r="E33" s="1239"/>
      <c r="F33" s="1239"/>
      <c r="G33" s="1239"/>
      <c r="H33" s="1239"/>
      <c r="I33" s="1239"/>
      <c r="J33" s="1239"/>
      <c r="K33" s="302" t="s">
        <v>5070</v>
      </c>
      <c r="M33" s="959"/>
      <c r="N33" s="959"/>
    </row>
    <row r="34" spans="1:19" ht="15.75" customHeight="1" x14ac:dyDescent="0.3">
      <c r="A34" s="304"/>
      <c r="G34" s="788"/>
      <c r="K34" s="302" t="s">
        <v>5070</v>
      </c>
      <c r="M34" s="959"/>
      <c r="N34" s="959"/>
    </row>
    <row r="35" spans="1:19" x14ac:dyDescent="0.3">
      <c r="A35" s="304"/>
      <c r="B35" s="280"/>
      <c r="C35" s="280"/>
      <c r="D35" s="788" t="s">
        <v>7525</v>
      </c>
      <c r="E35" s="1284" t="str">
        <f>IFERROR(INDEX('Kody PKD'!B:B,MATCH(KodPKD1,'Kody PKD'!A:A,0))&amp;IF(E36="",".",","),"")</f>
        <v/>
      </c>
      <c r="F35" s="1284"/>
      <c r="G35" s="1284"/>
      <c r="H35" s="1284"/>
      <c r="I35" s="1284"/>
      <c r="J35" s="1284"/>
      <c r="K35" s="302" t="str">
        <f>IF(wstęp!E35="","ukryj","odkryj")</f>
        <v>ukryj</v>
      </c>
      <c r="M35" s="959"/>
      <c r="N35" s="959"/>
    </row>
    <row r="36" spans="1:19" ht="15.75" customHeight="1" x14ac:dyDescent="0.3">
      <c r="A36" s="304"/>
      <c r="B36" s="280"/>
      <c r="C36" s="280"/>
      <c r="D36" s="788" t="s">
        <v>7525</v>
      </c>
      <c r="E36" s="1284" t="str">
        <f>IFERROR(INDEX('Kody PKD'!B:B,MATCH(KodPKD2,'Kody PKD'!A:A,0))&amp;IF(E37="",".",","),"")</f>
        <v/>
      </c>
      <c r="F36" s="1284"/>
      <c r="G36" s="1284"/>
      <c r="H36" s="1284"/>
      <c r="I36" s="1284"/>
      <c r="J36" s="1284"/>
      <c r="K36" s="302" t="str">
        <f>IF(wstęp!E36="","ukryj","odkryj")</f>
        <v>ukryj</v>
      </c>
      <c r="M36" s="959"/>
      <c r="N36" s="959"/>
    </row>
    <row r="37" spans="1:19" ht="15.75" customHeight="1" x14ac:dyDescent="0.3">
      <c r="A37" s="304"/>
      <c r="B37" s="280"/>
      <c r="C37" s="280"/>
      <c r="D37" s="788" t="s">
        <v>7525</v>
      </c>
      <c r="E37" s="1284" t="str">
        <f>IFERROR(INDEX('Kody PKD'!B:B,MATCH(KodPKD3,'Kody PKD'!A:A,0))&amp;IF(E38="",".",","),"")</f>
        <v/>
      </c>
      <c r="F37" s="1284"/>
      <c r="G37" s="1284"/>
      <c r="H37" s="1284"/>
      <c r="I37" s="1284"/>
      <c r="J37" s="1284"/>
      <c r="K37" s="302" t="str">
        <f>IF(wstęp!E37="","ukryj","odkryj")</f>
        <v>ukryj</v>
      </c>
      <c r="M37" s="959"/>
      <c r="N37" s="959"/>
    </row>
    <row r="38" spans="1:19" ht="15.75" customHeight="1" x14ac:dyDescent="0.3">
      <c r="A38" s="304"/>
      <c r="B38" s="280"/>
      <c r="C38" s="280"/>
      <c r="D38" s="788" t="s">
        <v>7525</v>
      </c>
      <c r="E38" s="1284" t="str">
        <f>IFERROR(INDEX('Kody PKD'!B:B,MATCH(KodPKD4,'Kody PKD'!A:A,0))&amp;IF(E39="",".",","),"")</f>
        <v/>
      </c>
      <c r="F38" s="1284"/>
      <c r="G38" s="1284"/>
      <c r="H38" s="1284"/>
      <c r="I38" s="1284"/>
      <c r="J38" s="1284"/>
      <c r="K38" s="302" t="str">
        <f>IF(wstęp!E38="","ukryj","odkryj")</f>
        <v>ukryj</v>
      </c>
      <c r="M38" s="959"/>
      <c r="N38" s="959"/>
    </row>
    <row r="39" spans="1:19" ht="15.75" customHeight="1" x14ac:dyDescent="0.3">
      <c r="A39" s="304"/>
      <c r="B39" s="280"/>
      <c r="C39" s="280"/>
      <c r="D39" s="788" t="s">
        <v>7525</v>
      </c>
      <c r="E39" s="1284" t="str">
        <f>IFERROR(INDEX('Kody PKD'!B:B,MATCH(KodPKD5,'Kody PKD'!A:A,0))&amp;IF(E40="",".",","),"")</f>
        <v/>
      </c>
      <c r="F39" s="1284"/>
      <c r="G39" s="1284"/>
      <c r="H39" s="1284"/>
      <c r="I39" s="1284"/>
      <c r="J39" s="1284"/>
      <c r="K39" s="302" t="str">
        <f>IF(wstęp!E39="","ukryj","odkryj")</f>
        <v>ukryj</v>
      </c>
      <c r="M39" s="959"/>
      <c r="N39" s="959"/>
    </row>
    <row r="40" spans="1:19" ht="15.75" customHeight="1" x14ac:dyDescent="0.3">
      <c r="A40" s="304"/>
      <c r="B40" s="280"/>
      <c r="C40" s="280"/>
      <c r="D40" s="788" t="s">
        <v>7525</v>
      </c>
      <c r="E40" s="1284" t="str">
        <f>IFERROR(INDEX('Kody PKD'!B:B,MATCH(KodPKD6,'Kody PKD'!A:A,0))&amp;IF(E41="",".",","),"")</f>
        <v/>
      </c>
      <c r="F40" s="1284"/>
      <c r="G40" s="1284"/>
      <c r="H40" s="1284"/>
      <c r="I40" s="1284"/>
      <c r="J40" s="1284"/>
      <c r="K40" s="302" t="str">
        <f>IF(wstęp!E40="","ukryj","odkryj")</f>
        <v>ukryj</v>
      </c>
      <c r="M40" s="959"/>
      <c r="N40" s="959"/>
    </row>
    <row r="41" spans="1:19" ht="15.75" customHeight="1" x14ac:dyDescent="0.3">
      <c r="A41" s="304"/>
      <c r="B41" s="280"/>
      <c r="C41" s="280"/>
      <c r="D41" s="788" t="s">
        <v>7525</v>
      </c>
      <c r="E41" s="1284" t="str">
        <f>IFERROR(INDEX('Kody PKD'!B:B,MATCH(KodPKD7,'Kody PKD'!A:A,0))&amp;IF(E42="",".",","),"")</f>
        <v/>
      </c>
      <c r="F41" s="1284"/>
      <c r="G41" s="1284"/>
      <c r="H41" s="1284"/>
      <c r="I41" s="1284"/>
      <c r="J41" s="1284"/>
      <c r="K41" s="302" t="str">
        <f>IF(wstęp!E41="","ukryj","odkryj")</f>
        <v>ukryj</v>
      </c>
      <c r="M41" s="959"/>
      <c r="N41" s="959"/>
    </row>
    <row r="42" spans="1:19" ht="15.75" customHeight="1" x14ac:dyDescent="0.3">
      <c r="A42" s="304"/>
      <c r="B42" s="280"/>
      <c r="C42" s="280"/>
      <c r="D42" s="788" t="s">
        <v>7525</v>
      </c>
      <c r="E42" s="1284" t="str">
        <f>IFERROR(INDEX('Kody PKD'!B:B,MATCH(KodPKD8,'Kody PKD'!A:A,0))&amp;IF(E43="",".",","),"")</f>
        <v/>
      </c>
      <c r="F42" s="1284"/>
      <c r="G42" s="1284"/>
      <c r="H42" s="1284"/>
      <c r="I42" s="1284"/>
      <c r="J42" s="1284"/>
      <c r="K42" s="302" t="str">
        <f>IF(wstęp!E42="","ukryj","odkryj")</f>
        <v>ukryj</v>
      </c>
      <c r="M42" s="959"/>
      <c r="N42" s="959"/>
    </row>
    <row r="43" spans="1:19" ht="15.75" customHeight="1" x14ac:dyDescent="0.3">
      <c r="A43" s="304"/>
      <c r="B43" s="280"/>
      <c r="C43" s="280"/>
      <c r="D43" s="788" t="s">
        <v>7525</v>
      </c>
      <c r="E43" s="1284" t="str">
        <f>IFERROR(INDEX('Kody PKD'!B:B,MATCH(KodPKD9,'Kody PKD'!A:A,0))&amp;IF(E44="",".",","),"")</f>
        <v/>
      </c>
      <c r="F43" s="1284"/>
      <c r="G43" s="1284"/>
      <c r="H43" s="1284"/>
      <c r="I43" s="1284"/>
      <c r="J43" s="1284"/>
      <c r="K43" s="302" t="str">
        <f>IF(wstęp!E43="","ukryj","odkryj")</f>
        <v>ukryj</v>
      </c>
      <c r="M43" s="959"/>
      <c r="N43" s="959"/>
    </row>
    <row r="44" spans="1:19" ht="15.75" customHeight="1" x14ac:dyDescent="0.3">
      <c r="A44" s="304"/>
      <c r="B44" s="280"/>
      <c r="C44" s="280"/>
      <c r="D44" s="788" t="s">
        <v>7525</v>
      </c>
      <c r="E44" s="1284" t="str">
        <f>IFERROR(INDEX('Kody PKD'!B:B,MATCH(KodPKD10,'Kody PKD'!A:A,0))&amp;IF(E45="",".",","),"")</f>
        <v/>
      </c>
      <c r="F44" s="1284"/>
      <c r="G44" s="1284"/>
      <c r="H44" s="1284"/>
      <c r="I44" s="1284"/>
      <c r="J44" s="1284"/>
      <c r="K44" s="302" t="str">
        <f>IF(wstęp!E44="","ukryj","odkryj")</f>
        <v>ukryj</v>
      </c>
      <c r="M44" s="959"/>
      <c r="N44" s="959"/>
    </row>
    <row r="45" spans="1:19" ht="15.75" customHeight="1" x14ac:dyDescent="0.3">
      <c r="A45" s="304"/>
      <c r="B45" s="280"/>
      <c r="C45" s="280"/>
      <c r="D45" s="312"/>
      <c r="F45" s="280"/>
      <c r="K45" s="302" t="s">
        <v>5070</v>
      </c>
      <c r="M45" s="959"/>
      <c r="N45" s="959"/>
    </row>
    <row r="46" spans="1:19" ht="15.75" customHeight="1" x14ac:dyDescent="0.3">
      <c r="A46" s="304"/>
      <c r="D46" s="1276" t="s">
        <v>7526</v>
      </c>
      <c r="E46" s="1276"/>
      <c r="F46" s="1276"/>
      <c r="G46" s="1276"/>
      <c r="H46" s="1276"/>
      <c r="I46" s="1276"/>
      <c r="J46" s="1276"/>
      <c r="K46" s="302" t="s">
        <v>5070</v>
      </c>
      <c r="M46" s="959"/>
      <c r="N46" s="959"/>
    </row>
    <row r="47" spans="1:19" ht="15.75" customHeight="1" x14ac:dyDescent="0.3">
      <c r="A47" s="304"/>
      <c r="G47" s="788"/>
      <c r="K47" s="302" t="s">
        <v>5070</v>
      </c>
      <c r="M47" s="959"/>
      <c r="N47" s="959"/>
    </row>
    <row r="48" spans="1:19" ht="15.75" customHeight="1" x14ac:dyDescent="0.3">
      <c r="A48" s="1195">
        <f>$A$5</f>
        <v>1</v>
      </c>
      <c r="B48" s="1191">
        <f>IF($K$48="ukryj",$B$31,$B$31+1)</f>
        <v>5</v>
      </c>
      <c r="C48" s="1192"/>
      <c r="D48" s="1235" t="s">
        <v>7527</v>
      </c>
      <c r="E48" s="1235"/>
      <c r="F48" s="1235"/>
      <c r="G48" s="1235"/>
      <c r="H48" s="1235"/>
      <c r="I48" s="1235"/>
      <c r="J48" s="1235"/>
      <c r="K48" s="302" t="s">
        <v>5070</v>
      </c>
      <c r="M48" s="959"/>
      <c r="N48" s="959"/>
      <c r="Q48" s="315"/>
      <c r="R48" s="313"/>
      <c r="S48" s="313"/>
    </row>
    <row r="49" spans="1:19" ht="15.75" customHeight="1" x14ac:dyDescent="0.3">
      <c r="A49" s="283"/>
      <c r="B49" s="284"/>
      <c r="C49" s="284"/>
      <c r="D49" s="789"/>
      <c r="E49" s="789"/>
      <c r="F49" s="789"/>
      <c r="G49" s="788"/>
      <c r="K49" s="302" t="s">
        <v>5070</v>
      </c>
      <c r="M49" s="959"/>
      <c r="N49" s="959"/>
      <c r="Q49" s="315"/>
      <c r="R49" s="313"/>
      <c r="S49" s="313"/>
    </row>
    <row r="50" spans="1:19" ht="34.549999999999997" customHeight="1" x14ac:dyDescent="0.3">
      <c r="A50" s="304"/>
      <c r="D50" s="1234" t="str">
        <f>IF(RokObr=2,wstęp!Q50,wstęp!R50)</f>
        <v>Sprawozdanie finansowe zostało przygotowane za okres od 1 stycznia 2020 r. do 31 grudnia 2020 r., natomiast dane porównawcze obejmują okres od 1 stycznia 2019 r. do 31 grudnia 2019 r.</v>
      </c>
      <c r="E50" s="1234"/>
      <c r="F50" s="1234"/>
      <c r="G50" s="1234"/>
      <c r="H50" s="1234"/>
      <c r="I50" s="1234"/>
      <c r="J50" s="1234"/>
      <c r="K50" s="302" t="s">
        <v>5070</v>
      </c>
      <c r="M50" s="959"/>
      <c r="N50" s="959"/>
      <c r="Q50" s="316" t="str">
        <f>"Sprawozdanie finansowe zostało przygotowane za okres od "&amp;DAY(DataOd)&amp;" "&amp;Input!Q6&amp;" "&amp;YEAR(DataOd)&amp;" r. do "&amp;DAY(DataDo)&amp;" "&amp;Input!Q7&amp;" "&amp;YEAR(DataDo)&amp;" r., natomiast dane porównawcze obejmują okres od "&amp;DAY(Input!R10)&amp;" "&amp;Input!Q10&amp;" "&amp;YEAR(Input!R10)&amp;" r. do "&amp;DAY(Input!R11)&amp;" "&amp;Input!Q11&amp;" "&amp;YEAR(Input!R11)&amp;" r."</f>
        <v>Sprawozdanie finansowe zostało przygotowane za okres od 1 stycznia 2020 r. do 31 grudnia 2020 r., natomiast dane porównawcze obejmują okres od 1 stycznia 2019 r. do 31 grudnia 2019 r.</v>
      </c>
      <c r="R50" s="314" t="str">
        <f>"Sprawozdanie finansowe zostało przygotowane za okres od "&amp;DAY(DataOd)&amp;" "&amp;Input!Q6&amp;" "&amp;YEAR(DataOd)&amp;" r. do "&amp;DAY(DataDo)&amp;" "&amp;Input!Q7&amp;" "&amp;YEAR(DataDo)&amp;" r. Jest to pierwszy rok obrotowy spółki."</f>
        <v>Sprawozdanie finansowe zostało przygotowane za okres od 1 stycznia 2020 r. do 31 grudnia 2020 r. Jest to pierwszy rok obrotowy spółki.</v>
      </c>
      <c r="S50" s="314"/>
    </row>
    <row r="51" spans="1:19" ht="16.55" customHeight="1" x14ac:dyDescent="0.3">
      <c r="A51" s="304"/>
      <c r="D51" s="790"/>
      <c r="E51" s="790"/>
      <c r="F51" s="790"/>
      <c r="G51" s="790"/>
      <c r="H51" s="790"/>
      <c r="I51" s="790"/>
      <c r="J51" s="790"/>
      <c r="K51" s="302" t="s">
        <v>5070</v>
      </c>
      <c r="M51" s="959"/>
      <c r="N51" s="959"/>
      <c r="Q51" s="313"/>
      <c r="R51" s="314"/>
      <c r="S51" s="314"/>
    </row>
    <row r="52" spans="1:19" ht="15.75" customHeight="1" x14ac:dyDescent="0.3">
      <c r="A52" s="1195">
        <f>$A$5</f>
        <v>1</v>
      </c>
      <c r="B52" s="1191">
        <f>IF(K52="ukryj",B48,B48+1)</f>
        <v>6</v>
      </c>
      <c r="C52" s="1192"/>
      <c r="D52" s="1235" t="s">
        <v>7528</v>
      </c>
      <c r="E52" s="1235"/>
      <c r="F52" s="1235"/>
      <c r="G52" s="1235"/>
      <c r="H52" s="1235"/>
      <c r="I52" s="1235"/>
      <c r="J52" s="1235"/>
      <c r="K52" s="302" t="s">
        <v>5070</v>
      </c>
      <c r="M52" s="959"/>
      <c r="N52" s="959"/>
    </row>
    <row r="53" spans="1:19" ht="15.75" customHeight="1" x14ac:dyDescent="0.3">
      <c r="A53" s="283"/>
      <c r="B53" s="284"/>
      <c r="C53" s="284"/>
      <c r="D53" s="789"/>
      <c r="E53" s="789"/>
      <c r="F53" s="789"/>
      <c r="G53" s="789"/>
      <c r="H53" s="789"/>
      <c r="I53" s="789"/>
      <c r="J53" s="789"/>
      <c r="K53" s="302" t="s">
        <v>5070</v>
      </c>
      <c r="M53" s="959"/>
      <c r="N53" s="959"/>
    </row>
    <row r="54" spans="1:19" ht="15.75" customHeight="1" x14ac:dyDescent="0.3">
      <c r="A54" s="304"/>
      <c r="D54" s="1236" t="s">
        <v>7529</v>
      </c>
      <c r="E54" s="1236"/>
      <c r="F54" s="789"/>
      <c r="G54" s="788"/>
      <c r="K54" s="302" t="s">
        <v>5125</v>
      </c>
      <c r="M54" s="959"/>
      <c r="N54" s="959"/>
    </row>
    <row r="55" spans="1:19" ht="31.6" customHeight="1" x14ac:dyDescent="0.3">
      <c r="A55" s="304"/>
      <c r="D55" s="1285" t="s">
        <v>7530</v>
      </c>
      <c r="E55" s="1285"/>
      <c r="F55" s="1285"/>
      <c r="G55" s="1285"/>
      <c r="H55" s="1285"/>
      <c r="I55" s="1285"/>
      <c r="J55" s="1285"/>
      <c r="K55" s="302" t="str">
        <f>IF(AND(ZalozenieKontynuacji="tak",ZagrozenieKontynuacji="tak"),"odkryj","ukryj")</f>
        <v>odkryj</v>
      </c>
      <c r="M55" s="959"/>
      <c r="N55" s="959"/>
    </row>
    <row r="56" spans="1:19" ht="15.75" customHeight="1" x14ac:dyDescent="0.3">
      <c r="A56" s="304"/>
      <c r="D56" s="789"/>
      <c r="E56" s="789"/>
      <c r="F56" s="789"/>
      <c r="G56" s="788"/>
      <c r="K56" s="302" t="str">
        <f>wstęp!K55</f>
        <v>odkryj</v>
      </c>
      <c r="M56" s="959"/>
      <c r="N56" s="959"/>
    </row>
    <row r="57" spans="1:19" ht="21.8" customHeight="1" x14ac:dyDescent="0.3">
      <c r="A57" s="304"/>
      <c r="D57" s="1285" t="s">
        <v>7531</v>
      </c>
      <c r="E57" s="1285"/>
      <c r="F57" s="1285"/>
      <c r="G57" s="1285"/>
      <c r="H57" s="1285"/>
      <c r="I57" s="1285"/>
      <c r="J57" s="1285"/>
      <c r="K57" s="302" t="str">
        <f>wstęp!K56</f>
        <v>odkryj</v>
      </c>
      <c r="M57" s="959"/>
      <c r="N57" s="959"/>
    </row>
    <row r="58" spans="1:19" ht="15.75" customHeight="1" x14ac:dyDescent="0.3">
      <c r="B58" s="284"/>
      <c r="C58" s="284"/>
      <c r="D58" s="790"/>
      <c r="E58" s="790"/>
      <c r="F58" s="790"/>
      <c r="G58" s="790"/>
      <c r="H58" s="790"/>
      <c r="I58" s="790"/>
      <c r="J58" s="790"/>
      <c r="K58" s="302" t="str">
        <f>wstęp!K57</f>
        <v>odkryj</v>
      </c>
      <c r="M58" s="959"/>
      <c r="N58" s="959"/>
    </row>
    <row r="59" spans="1:19" ht="15.75" customHeight="1" x14ac:dyDescent="0.3">
      <c r="B59" s="284"/>
      <c r="C59" s="284"/>
      <c r="D59" s="1236" t="s">
        <v>7532</v>
      </c>
      <c r="E59" s="1236"/>
      <c r="F59" s="790"/>
      <c r="G59" s="790"/>
      <c r="H59" s="790"/>
      <c r="I59" s="790"/>
      <c r="J59" s="790"/>
      <c r="K59" s="302" t="s">
        <v>5125</v>
      </c>
      <c r="M59" s="959"/>
      <c r="N59" s="959"/>
    </row>
    <row r="60" spans="1:19" ht="15.75" customHeight="1" x14ac:dyDescent="0.3">
      <c r="B60" s="284"/>
      <c r="C60" s="284"/>
      <c r="D60" s="1159"/>
      <c r="E60" s="1159"/>
      <c r="F60" s="790"/>
      <c r="G60" s="790"/>
      <c r="H60" s="790"/>
      <c r="I60" s="790"/>
      <c r="J60" s="790"/>
      <c r="K60" s="302" t="str">
        <f>wstęp!K59</f>
        <v>ukryj</v>
      </c>
      <c r="M60" s="959"/>
      <c r="N60" s="959"/>
    </row>
    <row r="61" spans="1:19" ht="32.25" customHeight="1" x14ac:dyDescent="0.3">
      <c r="B61" s="284"/>
      <c r="C61" s="284"/>
      <c r="D61" s="1285" t="s">
        <v>7530</v>
      </c>
      <c r="E61" s="1285"/>
      <c r="F61" s="1285"/>
      <c r="G61" s="1285"/>
      <c r="H61" s="1285"/>
      <c r="I61" s="1285"/>
      <c r="J61" s="1285"/>
      <c r="K61" s="302" t="str">
        <f>IF(AND(ZalozenieKontynuacji="tak",ZagrozenieKontynuacji="nie"),"odkryj","ukryj")</f>
        <v>ukryj</v>
      </c>
      <c r="M61" s="959"/>
      <c r="N61" s="959"/>
    </row>
    <row r="62" spans="1:19" ht="32.25" customHeight="1" x14ac:dyDescent="0.3">
      <c r="A62" s="317"/>
      <c r="B62" s="284"/>
      <c r="C62" s="284"/>
      <c r="D62" s="955"/>
      <c r="E62" s="955"/>
      <c r="F62" s="955"/>
      <c r="G62" s="955"/>
      <c r="H62" s="955"/>
      <c r="I62" s="955"/>
      <c r="J62" s="955"/>
      <c r="K62" s="302" t="str">
        <f>IF(AND(ZalozenieKontynuacji="tak",ZagrozenieKontynuacji="nie"),"odkryj","ukryj")</f>
        <v>ukryj</v>
      </c>
      <c r="M62" s="959"/>
      <c r="N62" s="959"/>
    </row>
    <row r="63" spans="1:19" ht="109.5" customHeight="1" x14ac:dyDescent="0.3">
      <c r="B63" s="284"/>
      <c r="C63" s="284"/>
      <c r="D63" s="1237" t="s">
        <v>7533</v>
      </c>
      <c r="E63" s="1237"/>
      <c r="F63" s="1237"/>
      <c r="G63" s="1237"/>
      <c r="H63" s="1237"/>
      <c r="I63" s="1237"/>
      <c r="J63" s="1237"/>
      <c r="K63" s="302" t="str">
        <f>IF(AND(ZalozenieKontynuacji="tak",ZagrozenieKontynuacji="nie"),"odkryj","ukryj")</f>
        <v>ukryj</v>
      </c>
      <c r="M63" s="959"/>
      <c r="N63" s="959"/>
    </row>
    <row r="64" spans="1:19" ht="15.75" customHeight="1" x14ac:dyDescent="0.3">
      <c r="B64" s="284"/>
      <c r="C64" s="284"/>
      <c r="D64" s="790"/>
      <c r="E64" s="790"/>
      <c r="F64" s="790"/>
      <c r="G64" s="790"/>
      <c r="H64" s="790"/>
      <c r="I64" s="790"/>
      <c r="J64" s="790"/>
      <c r="K64" s="302" t="str">
        <f>wstęp!K61</f>
        <v>ukryj</v>
      </c>
      <c r="M64" s="959"/>
      <c r="N64" s="959"/>
    </row>
    <row r="65" spans="1:14" ht="15.75" customHeight="1" x14ac:dyDescent="0.3">
      <c r="B65" s="284"/>
      <c r="C65" s="284"/>
      <c r="D65" s="1236" t="s">
        <v>7534</v>
      </c>
      <c r="E65" s="1236"/>
      <c r="F65" s="790"/>
      <c r="G65" s="790"/>
      <c r="H65" s="790"/>
      <c r="I65" s="790"/>
      <c r="J65" s="790"/>
      <c r="K65" s="302" t="s">
        <v>5125</v>
      </c>
      <c r="M65" s="959"/>
      <c r="N65" s="959"/>
    </row>
    <row r="66" spans="1:14" ht="15.75" customHeight="1" x14ac:dyDescent="0.3">
      <c r="B66" s="284"/>
      <c r="C66" s="284"/>
      <c r="D66" s="1159"/>
      <c r="E66" s="1159"/>
      <c r="F66" s="790"/>
      <c r="G66" s="790"/>
      <c r="H66" s="790"/>
      <c r="I66" s="790"/>
      <c r="J66" s="790"/>
      <c r="K66" s="302" t="str">
        <f>wstęp!K64</f>
        <v>ukryj</v>
      </c>
      <c r="M66" s="959"/>
      <c r="N66" s="959"/>
    </row>
    <row r="67" spans="1:14" ht="36.85" customHeight="1" x14ac:dyDescent="0.3">
      <c r="B67" s="284"/>
      <c r="C67" s="284"/>
      <c r="D67" s="1234" t="s">
        <v>7535</v>
      </c>
      <c r="E67" s="1234"/>
      <c r="F67" s="1234"/>
      <c r="G67" s="1234"/>
      <c r="H67" s="1234"/>
      <c r="I67" s="1234"/>
      <c r="J67" s="1234"/>
      <c r="K67" s="302" t="str">
        <f>IF(AND(ZalozenieKontynuacji="nie"),"odkryj","ukryj")</f>
        <v>ukryj</v>
      </c>
      <c r="M67" s="959"/>
      <c r="N67" s="959"/>
    </row>
    <row r="68" spans="1:14" ht="67.599999999999994" customHeight="1" x14ac:dyDescent="0.3">
      <c r="B68" s="284"/>
      <c r="C68" s="284"/>
      <c r="D68" s="1237" t="s">
        <v>7536</v>
      </c>
      <c r="E68" s="1237"/>
      <c r="F68" s="1237"/>
      <c r="G68" s="1237"/>
      <c r="H68" s="1237"/>
      <c r="I68" s="1237"/>
      <c r="J68" s="1237"/>
      <c r="K68" s="302" t="str">
        <f>IF(AND(ZalozenieKontynuacji="nie",ZagrozenieKontynuacji="nie"),"odkryj","ukryj")</f>
        <v>ukryj</v>
      </c>
      <c r="M68" s="959"/>
      <c r="N68" s="959"/>
    </row>
    <row r="69" spans="1:14" ht="15.75" customHeight="1" x14ac:dyDescent="0.3">
      <c r="B69" s="284"/>
      <c r="C69" s="284"/>
      <c r="D69" s="1234"/>
      <c r="E69" s="1234"/>
      <c r="F69" s="1234"/>
      <c r="G69" s="1234"/>
      <c r="H69" s="1234"/>
      <c r="I69" s="1234"/>
      <c r="J69" s="1234"/>
      <c r="K69" s="302" t="str">
        <f>IF(AND(ZalozenieKontynuacji="nie",ZagrozenieKontynuacji="nie"),"odkryj","ukryj")</f>
        <v>ukryj</v>
      </c>
      <c r="M69" s="959"/>
      <c r="N69" s="959"/>
    </row>
    <row r="70" spans="1:14" ht="15.75" customHeight="1" x14ac:dyDescent="0.3">
      <c r="A70" s="1183">
        <f>$A$5</f>
        <v>1</v>
      </c>
      <c r="B70" s="1191">
        <f>IF(K70="ukryj",B52,B52+1)</f>
        <v>6</v>
      </c>
      <c r="C70" s="1192"/>
      <c r="D70" s="1235" t="s">
        <v>7537</v>
      </c>
      <c r="E70" s="1235"/>
      <c r="F70" s="1235"/>
      <c r="G70" s="1235"/>
      <c r="H70" s="1235"/>
      <c r="I70" s="1235"/>
      <c r="J70" s="1235"/>
      <c r="K70" s="302" t="str">
        <f>IF(DaneLaczne="nie","ukryj","odkryj")</f>
        <v>ukryj</v>
      </c>
      <c r="M70" s="959"/>
      <c r="N70" s="959"/>
    </row>
    <row r="71" spans="1:14" ht="15.75" customHeight="1" x14ac:dyDescent="0.3">
      <c r="B71" s="284"/>
      <c r="C71" s="284"/>
      <c r="D71" s="790"/>
      <c r="E71" s="790"/>
      <c r="F71" s="790"/>
      <c r="G71" s="790"/>
      <c r="H71" s="790"/>
      <c r="I71" s="790"/>
      <c r="J71" s="790"/>
      <c r="K71" s="302" t="str">
        <f>wstęp!K70</f>
        <v>ukryj</v>
      </c>
      <c r="M71" s="959"/>
      <c r="N71" s="959"/>
    </row>
    <row r="72" spans="1:14" ht="31.6" customHeight="1" x14ac:dyDescent="0.3">
      <c r="B72" s="284"/>
      <c r="C72" s="284"/>
      <c r="D72" s="1234" t="s">
        <v>7538</v>
      </c>
      <c r="E72" s="1234"/>
      <c r="F72" s="1234"/>
      <c r="G72" s="1234"/>
      <c r="H72" s="1234"/>
      <c r="I72" s="1234"/>
      <c r="J72" s="1234"/>
      <c r="K72" s="302" t="str">
        <f>wstęp!K71</f>
        <v>ukryj</v>
      </c>
      <c r="M72" s="959"/>
      <c r="N72" s="959"/>
    </row>
    <row r="73" spans="1:14" s="799" customFormat="1" x14ac:dyDescent="0.3">
      <c r="A73" s="318"/>
      <c r="B73" s="277"/>
      <c r="C73" s="277"/>
      <c r="D73" s="788" t="s">
        <v>7525</v>
      </c>
      <c r="E73" s="1233"/>
      <c r="F73" s="1233"/>
      <c r="G73" s="1233"/>
      <c r="H73" s="1233"/>
      <c r="I73" s="1233"/>
      <c r="J73" s="1233"/>
      <c r="K73" s="302" t="str">
        <f>IF(wstęp!E73="","ukryj","odkryj")</f>
        <v>ukryj</v>
      </c>
      <c r="L73" s="275"/>
      <c r="M73" s="961"/>
      <c r="N73" s="961"/>
    </row>
    <row r="74" spans="1:14" s="799" customFormat="1" x14ac:dyDescent="0.3">
      <c r="A74" s="318"/>
      <c r="B74" s="277"/>
      <c r="C74" s="277"/>
      <c r="D74" s="788" t="s">
        <v>7525</v>
      </c>
      <c r="E74" s="1233"/>
      <c r="F74" s="1233"/>
      <c r="G74" s="1233"/>
      <c r="H74" s="1233"/>
      <c r="I74" s="1233"/>
      <c r="J74" s="1233"/>
      <c r="K74" s="302" t="str">
        <f>IF(wstęp!E74="","ukryj","odkryj")</f>
        <v>ukryj</v>
      </c>
      <c r="L74" s="275"/>
      <c r="M74" s="961"/>
      <c r="N74" s="961"/>
    </row>
    <row r="75" spans="1:14" ht="15.75" customHeight="1" x14ac:dyDescent="0.3">
      <c r="B75" s="284"/>
      <c r="C75" s="284"/>
      <c r="D75" s="790"/>
      <c r="E75" s="790"/>
      <c r="F75" s="790"/>
      <c r="G75" s="790"/>
      <c r="H75" s="790"/>
      <c r="I75" s="790"/>
      <c r="J75" s="790"/>
      <c r="K75" s="302" t="str">
        <f>wstęp!K74</f>
        <v>ukryj</v>
      </c>
      <c r="M75" s="959"/>
      <c r="N75" s="959"/>
    </row>
    <row r="76" spans="1:14" ht="15.75" customHeight="1" x14ac:dyDescent="0.3">
      <c r="A76" s="1195">
        <f>$A$5</f>
        <v>1</v>
      </c>
      <c r="B76" s="1191">
        <f>IF(K76="ukryj",B70,B70+1)</f>
        <v>7</v>
      </c>
      <c r="C76" s="1192"/>
      <c r="D76" s="1235" t="s">
        <v>7539</v>
      </c>
      <c r="E76" s="1235"/>
      <c r="F76" s="1235"/>
      <c r="G76" s="1235"/>
      <c r="H76" s="1235"/>
      <c r="I76" s="1235"/>
      <c r="J76" s="1235"/>
      <c r="K76" s="302" t="s">
        <v>5070</v>
      </c>
      <c r="M76" s="959"/>
      <c r="N76" s="959"/>
    </row>
    <row r="77" spans="1:14" ht="15.75" customHeight="1" x14ac:dyDescent="0.3">
      <c r="D77" s="789"/>
      <c r="E77" s="789"/>
      <c r="F77" s="789"/>
      <c r="G77" s="788"/>
      <c r="K77" s="302" t="str">
        <f>wstęp!K76</f>
        <v>odkryj</v>
      </c>
      <c r="M77" s="959"/>
      <c r="N77" s="959"/>
    </row>
    <row r="78" spans="1:14" ht="13.6" customHeight="1" x14ac:dyDescent="0.3">
      <c r="B78" s="284"/>
      <c r="C78" s="1083"/>
      <c r="D78" s="1277" t="s">
        <v>7540</v>
      </c>
      <c r="E78" s="1277"/>
      <c r="F78" s="1277"/>
      <c r="G78" s="1277"/>
      <c r="H78" s="1277"/>
      <c r="I78" s="1277"/>
      <c r="J78" s="780"/>
      <c r="K78" s="302" t="str">
        <f>IF(Polaczenie="tak","odkryj","ukryj")</f>
        <v>ukryj</v>
      </c>
      <c r="M78" s="959"/>
      <c r="N78" s="959"/>
    </row>
    <row r="79" spans="1:14" ht="13.6" customHeight="1" x14ac:dyDescent="0.3">
      <c r="B79" s="284"/>
      <c r="C79" s="1083"/>
      <c r="D79" s="295" t="s">
        <v>7541</v>
      </c>
      <c r="E79" s="295"/>
      <c r="F79" s="295"/>
      <c r="G79" s="295"/>
      <c r="H79" s="1278" t="str">
        <f>IF(MetodaRozliczeniaPolaczenia="","",MetodaRozliczeniaPolaczenia)</f>
        <v/>
      </c>
      <c r="I79" s="1278"/>
      <c r="J79" s="1278"/>
      <c r="K79" s="302" t="str">
        <f>wstęp!K78</f>
        <v>ukryj</v>
      </c>
      <c r="M79" s="959"/>
      <c r="N79" s="959"/>
    </row>
    <row r="80" spans="1:14" ht="13.6" customHeight="1" x14ac:dyDescent="0.3">
      <c r="B80" s="284"/>
      <c r="C80" s="284"/>
      <c r="D80" s="295" t="str">
        <f>"Szczegółowe informacje znajdują się w nocie "&amp;Noty!A1651&amp;"."</f>
        <v>Szczegółowe informacje znajdują się w nocie 19.</v>
      </c>
      <c r="E80" s="295"/>
      <c r="F80" s="295"/>
      <c r="G80" s="295"/>
      <c r="H80" s="281"/>
      <c r="I80" s="281"/>
      <c r="J80" s="281"/>
      <c r="K80" s="302" t="str">
        <f>IF(Polaczenie="tak","odkryj","ukryj")</f>
        <v>ukryj</v>
      </c>
      <c r="M80" s="959"/>
      <c r="N80" s="959"/>
    </row>
    <row r="81" spans="1:14" ht="13.6" customHeight="1" x14ac:dyDescent="0.3">
      <c r="B81" s="284"/>
      <c r="C81" s="284"/>
      <c r="D81" s="319" t="s">
        <v>7542</v>
      </c>
      <c r="E81" s="295"/>
      <c r="F81" s="295"/>
      <c r="G81" s="295"/>
      <c r="H81" s="281"/>
      <c r="I81" s="281"/>
      <c r="J81" s="281"/>
      <c r="K81" s="302" t="s">
        <v>5125</v>
      </c>
      <c r="M81" s="959"/>
      <c r="N81" s="959"/>
    </row>
    <row r="82" spans="1:14" ht="13.6" customHeight="1" x14ac:dyDescent="0.3">
      <c r="B82" s="284"/>
      <c r="C82" s="284"/>
      <c r="D82" s="295" t="s">
        <v>7543</v>
      </c>
      <c r="E82" s="295"/>
      <c r="F82" s="295"/>
      <c r="G82" s="295"/>
      <c r="H82" s="281"/>
      <c r="I82" s="281"/>
      <c r="J82" s="281"/>
      <c r="K82" s="302" t="str">
        <f>IF(Polaczenie="nie","odkryj","ukryj")</f>
        <v>odkryj</v>
      </c>
      <c r="M82" s="959"/>
      <c r="N82" s="959"/>
    </row>
    <row r="83" spans="1:14" ht="15.75" customHeight="1" x14ac:dyDescent="0.3">
      <c r="A83" s="283"/>
      <c r="B83" s="284"/>
      <c r="C83" s="284"/>
      <c r="D83" s="789"/>
      <c r="E83" s="789"/>
      <c r="F83" s="789"/>
      <c r="G83" s="788"/>
      <c r="K83" s="302" t="str">
        <f>wstęp!K82</f>
        <v>odkryj</v>
      </c>
      <c r="M83" s="959"/>
      <c r="N83" s="959"/>
    </row>
    <row r="84" spans="1:14" s="305" customFormat="1" ht="15.75" customHeight="1" x14ac:dyDescent="0.3">
      <c r="A84" s="1193">
        <f>$A$5+1</f>
        <v>2</v>
      </c>
      <c r="B84" s="1185"/>
      <c r="C84" s="497"/>
      <c r="D84" s="1280" t="s">
        <v>7544</v>
      </c>
      <c r="E84" s="1280"/>
      <c r="F84" s="1280"/>
      <c r="G84" s="1280"/>
      <c r="H84" s="1280"/>
      <c r="I84" s="1280"/>
      <c r="J84" s="1280"/>
      <c r="K84" s="302" t="s">
        <v>5070</v>
      </c>
      <c r="L84" s="307" t="s">
        <v>3459</v>
      </c>
      <c r="M84" s="959"/>
      <c r="N84" s="1037"/>
    </row>
    <row r="85" spans="1:14" s="305" customFormat="1" ht="15.75" customHeight="1" x14ac:dyDescent="0.3">
      <c r="A85" s="304"/>
      <c r="B85" s="307"/>
      <c r="C85" s="307"/>
      <c r="D85" s="307"/>
      <c r="E85" s="307"/>
      <c r="F85" s="307"/>
      <c r="K85" s="302" t="s">
        <v>5070</v>
      </c>
      <c r="L85" s="307"/>
      <c r="M85" s="959"/>
      <c r="N85" s="1037"/>
    </row>
    <row r="86" spans="1:14" s="305" customFormat="1" ht="15.75" customHeight="1" x14ac:dyDescent="0.3">
      <c r="A86" s="304"/>
      <c r="B86" s="284"/>
      <c r="C86" s="284"/>
      <c r="D86" s="1281" t="s">
        <v>7545</v>
      </c>
      <c r="E86" s="1281"/>
      <c r="F86" s="1281"/>
      <c r="G86" s="1281"/>
      <c r="H86" s="1281"/>
      <c r="I86" s="1281"/>
      <c r="J86" s="1281"/>
      <c r="K86" s="302" t="s">
        <v>5070</v>
      </c>
      <c r="L86" s="307"/>
      <c r="M86" s="959"/>
      <c r="N86" s="1037"/>
    </row>
    <row r="87" spans="1:14" s="305" customFormat="1" ht="15.75" customHeight="1" x14ac:dyDescent="0.3">
      <c r="D87" s="307"/>
      <c r="E87" s="307"/>
      <c r="F87" s="307"/>
      <c r="H87" s="797"/>
      <c r="I87" s="797"/>
      <c r="K87" s="302" t="s">
        <v>5070</v>
      </c>
      <c r="L87" s="307"/>
      <c r="M87" s="959"/>
      <c r="N87" s="1037"/>
    </row>
    <row r="88" spans="1:14" s="305" customFormat="1" ht="29.3" customHeight="1" x14ac:dyDescent="0.3">
      <c r="A88" s="1183">
        <f>$A$84</f>
        <v>2</v>
      </c>
      <c r="B88" s="1196">
        <f>IF(K88="ukryj",0,1)</f>
        <v>1</v>
      </c>
      <c r="C88" s="1197"/>
      <c r="D88" s="1282" t="s">
        <v>7546</v>
      </c>
      <c r="E88" s="1282"/>
      <c r="F88" s="1282"/>
      <c r="G88" s="1282"/>
      <c r="H88" s="1282"/>
      <c r="I88" s="1282"/>
      <c r="J88" s="1282"/>
      <c r="K88" s="302" t="s">
        <v>5070</v>
      </c>
      <c r="L88" s="307"/>
      <c r="M88" s="959"/>
      <c r="N88" s="1037"/>
    </row>
    <row r="89" spans="1:14" s="305" customFormat="1" ht="15.75" customHeight="1" x14ac:dyDescent="0.3">
      <c r="A89" s="320"/>
      <c r="B89" s="320"/>
      <c r="C89" s="320"/>
      <c r="D89" s="321"/>
      <c r="E89" s="321"/>
      <c r="F89" s="321"/>
      <c r="G89" s="320"/>
      <c r="H89" s="797"/>
      <c r="I89" s="797"/>
      <c r="J89" s="320"/>
      <c r="K89" s="302" t="s">
        <v>5070</v>
      </c>
      <c r="L89" s="307"/>
      <c r="M89" s="959"/>
      <c r="N89" s="1037"/>
    </row>
    <row r="90" spans="1:14" s="305" customFormat="1" ht="15.75" customHeight="1" x14ac:dyDescent="0.3">
      <c r="A90" s="1183">
        <f>$A$84</f>
        <v>2</v>
      </c>
      <c r="B90" s="1183">
        <f>$B$88</f>
        <v>1</v>
      </c>
      <c r="C90" s="1197">
        <f>IF(K90="ukryj",0,1)</f>
        <v>1</v>
      </c>
      <c r="D90" s="1235" t="s">
        <v>7547</v>
      </c>
      <c r="E90" s="1235"/>
      <c r="F90" s="1235"/>
      <c r="G90" s="1235"/>
      <c r="H90" s="1235"/>
      <c r="I90" s="1235"/>
      <c r="J90" s="1235"/>
      <c r="K90" s="302" t="s">
        <v>5070</v>
      </c>
      <c r="L90" s="307" t="s">
        <v>3467</v>
      </c>
      <c r="M90" s="959"/>
      <c r="N90" s="1037"/>
    </row>
    <row r="91" spans="1:14" s="305" customFormat="1" ht="15.75" customHeight="1" x14ac:dyDescent="0.3">
      <c r="A91" s="283"/>
      <c r="B91" s="284"/>
      <c r="C91" s="284"/>
      <c r="D91" s="322"/>
      <c r="E91" s="322"/>
      <c r="F91" s="322"/>
      <c r="H91" s="797"/>
      <c r="I91" s="797"/>
      <c r="K91" s="302" t="s">
        <v>5070</v>
      </c>
      <c r="L91" s="307"/>
      <c r="M91" s="959"/>
      <c r="N91" s="1037"/>
    </row>
    <row r="92" spans="1:14" ht="48.8" customHeight="1" x14ac:dyDescent="0.3">
      <c r="A92" s="283"/>
      <c r="B92" s="284"/>
      <c r="C92" s="284"/>
      <c r="D92" s="1242" t="s">
        <v>7548</v>
      </c>
      <c r="E92" s="1242"/>
      <c r="F92" s="1242"/>
      <c r="G92" s="1242"/>
      <c r="H92" s="1242"/>
      <c r="I92" s="1242"/>
      <c r="J92" s="1242"/>
      <c r="K92" s="302" t="s">
        <v>5070</v>
      </c>
      <c r="M92" s="959"/>
      <c r="N92" s="959"/>
    </row>
    <row r="93" spans="1:14" ht="15.75" customHeight="1" x14ac:dyDescent="0.3">
      <c r="A93" s="283"/>
      <c r="B93" s="284"/>
      <c r="C93" s="284"/>
      <c r="D93" s="322"/>
      <c r="E93" s="322"/>
      <c r="F93" s="322"/>
      <c r="G93" s="788"/>
      <c r="K93" s="302" t="s">
        <v>5070</v>
      </c>
      <c r="M93" s="959"/>
      <c r="N93" s="959"/>
    </row>
    <row r="94" spans="1:14" ht="47.3" customHeight="1" x14ac:dyDescent="0.3">
      <c r="A94" s="283"/>
      <c r="B94" s="284"/>
      <c r="C94" s="284"/>
      <c r="D94" s="1242" t="str">
        <f>"Przyjęte przez Spółkę zasady rachunkowości " &amp;IF(LEN(D96)&lt;&gt;403,"za wyjątkiem zmian opisanych poniżej",IF(Noty!K$1669=""," za wyjątkiem zmian opisanych w nocie "&amp;Noty!L$1667,"")) &amp; " stosowane były w sposób ciągły i są one zgodne z zasadami rachunkowości stosowanymi w poprzednim roku obrotowym."</f>
        <v>Przyjęte przez Spółkę zasady rachunkowości  stosowane były w sposób ciągły i są one zgodne z zasadami rachunkowości stosowanymi w poprzednim roku obrotowym.</v>
      </c>
      <c r="E94" s="1242"/>
      <c r="F94" s="1242"/>
      <c r="G94" s="1242"/>
      <c r="H94" s="1242"/>
      <c r="I94" s="1242"/>
      <c r="J94" s="1242"/>
      <c r="K94" s="302" t="s">
        <v>5070</v>
      </c>
      <c r="M94" s="959"/>
      <c r="N94" s="959"/>
    </row>
    <row r="95" spans="1:14" ht="15.75" customHeight="1" x14ac:dyDescent="0.3">
      <c r="A95" s="283"/>
      <c r="B95" s="284"/>
      <c r="C95" s="284"/>
      <c r="D95" s="322"/>
      <c r="E95" s="322"/>
      <c r="F95" s="322"/>
      <c r="G95" s="788"/>
      <c r="K95" s="302" t="s">
        <v>5070</v>
      </c>
      <c r="M95" s="959"/>
      <c r="N95" s="959"/>
    </row>
    <row r="96" spans="1:14" ht="58.6" customHeight="1" x14ac:dyDescent="0.3">
      <c r="A96" s="283"/>
      <c r="B96" s="284"/>
      <c r="C96" s="284"/>
      <c r="D96" s="1283" t="s">
        <v>7549</v>
      </c>
      <c r="E96" s="1283"/>
      <c r="F96" s="1283"/>
      <c r="G96" s="1283"/>
      <c r="H96" s="1283"/>
      <c r="I96" s="1283"/>
      <c r="J96" s="1283"/>
      <c r="K96" s="302" t="s">
        <v>5070</v>
      </c>
      <c r="M96" s="959"/>
      <c r="N96" s="959"/>
    </row>
    <row r="97" spans="1:19" x14ac:dyDescent="0.3">
      <c r="A97" s="283"/>
      <c r="B97" s="284"/>
      <c r="C97" s="284"/>
      <c r="D97" s="285"/>
      <c r="E97" s="285"/>
      <c r="F97" s="285"/>
      <c r="G97" s="285"/>
      <c r="H97" s="285"/>
      <c r="I97" s="285"/>
      <c r="J97" s="285"/>
      <c r="K97" s="302" t="s">
        <v>5070</v>
      </c>
      <c r="M97" s="959"/>
      <c r="N97" s="959"/>
    </row>
    <row r="98" spans="1:19" x14ac:dyDescent="0.3">
      <c r="A98" s="1183">
        <f>$A$84</f>
        <v>2</v>
      </c>
      <c r="B98" s="1196">
        <f>IF(K98="ukryj",B90,B90+1)</f>
        <v>2</v>
      </c>
      <c r="C98" s="1197"/>
      <c r="D98" s="1235" t="s">
        <v>7550</v>
      </c>
      <c r="E98" s="1235"/>
      <c r="F98" s="1235"/>
      <c r="G98" s="1235"/>
      <c r="H98" s="1235"/>
      <c r="I98" s="1235"/>
      <c r="J98" s="1235"/>
      <c r="K98" s="302" t="s">
        <v>5070</v>
      </c>
      <c r="L98" s="301" t="s">
        <v>3461</v>
      </c>
      <c r="M98" s="959"/>
      <c r="N98" s="959"/>
    </row>
    <row r="99" spans="1:19" ht="15.75" customHeight="1" x14ac:dyDescent="0.3">
      <c r="A99" s="323"/>
      <c r="B99" s="324"/>
      <c r="C99" s="324"/>
      <c r="D99" s="325"/>
      <c r="E99" s="325"/>
      <c r="F99" s="325"/>
      <c r="G99" s="325"/>
      <c r="H99" s="325"/>
      <c r="I99" s="325"/>
      <c r="J99" s="325"/>
      <c r="K99" s="302" t="s">
        <v>5070</v>
      </c>
      <c r="M99" s="959"/>
      <c r="N99" s="959"/>
    </row>
    <row r="100" spans="1:19" ht="15.75" customHeight="1" x14ac:dyDescent="0.3">
      <c r="A100" s="1183">
        <f>$A$84</f>
        <v>2</v>
      </c>
      <c r="B100" s="1183">
        <f>$B$98</f>
        <v>2</v>
      </c>
      <c r="C100" s="1197">
        <f>IF(K100="ukryj",0,1)</f>
        <v>1</v>
      </c>
      <c r="D100" s="1235" t="s">
        <v>7551</v>
      </c>
      <c r="E100" s="1235"/>
      <c r="F100" s="1235"/>
      <c r="G100" s="1235"/>
      <c r="H100" s="1235"/>
      <c r="I100" s="1235"/>
      <c r="J100" s="1235"/>
      <c r="K100" s="302" t="s">
        <v>5070</v>
      </c>
      <c r="M100" s="959"/>
      <c r="N100" s="959"/>
    </row>
    <row r="101" spans="1:19" ht="15.75" customHeight="1" x14ac:dyDescent="0.3">
      <c r="A101" s="323"/>
      <c r="B101" s="324"/>
      <c r="C101" s="324"/>
      <c r="D101" s="326"/>
      <c r="E101" s="326"/>
      <c r="F101" s="326"/>
      <c r="G101" s="955"/>
      <c r="H101" s="955"/>
      <c r="I101" s="955"/>
      <c r="J101" s="955"/>
      <c r="K101" s="302" t="s">
        <v>5070</v>
      </c>
      <c r="M101" s="959"/>
      <c r="N101" s="959"/>
    </row>
    <row r="102" spans="1:19" ht="64.5" customHeight="1" x14ac:dyDescent="0.3">
      <c r="A102" s="283"/>
      <c r="B102" s="284"/>
      <c r="C102" s="284"/>
      <c r="D102" s="1242" t="s">
        <v>7552</v>
      </c>
      <c r="E102" s="1242"/>
      <c r="F102" s="1242"/>
      <c r="G102" s="1242"/>
      <c r="H102" s="1242"/>
      <c r="I102" s="1242"/>
      <c r="J102" s="1242"/>
      <c r="K102" s="302" t="s">
        <v>5070</v>
      </c>
      <c r="L102" s="788"/>
      <c r="M102" s="959"/>
      <c r="N102" s="959"/>
      <c r="S102" s="301"/>
    </row>
    <row r="103" spans="1:19" ht="50.25" customHeight="1" x14ac:dyDescent="0.3">
      <c r="A103" s="283"/>
      <c r="B103" s="284"/>
      <c r="C103" s="284"/>
      <c r="D103" s="1242" t="s">
        <v>7553</v>
      </c>
      <c r="E103" s="1242"/>
      <c r="F103" s="1242"/>
      <c r="G103" s="1242"/>
      <c r="H103" s="1242"/>
      <c r="I103" s="1242"/>
      <c r="J103" s="1242"/>
      <c r="K103" s="302" t="s">
        <v>5070</v>
      </c>
      <c r="M103" s="959"/>
      <c r="N103" s="959"/>
      <c r="S103" s="301"/>
    </row>
    <row r="104" spans="1:19" ht="15.75" customHeight="1" x14ac:dyDescent="0.3">
      <c r="A104" s="283"/>
      <c r="B104" s="284"/>
      <c r="C104" s="284"/>
      <c r="D104" s="322"/>
      <c r="E104" s="322"/>
      <c r="F104" s="322"/>
      <c r="G104" s="788"/>
      <c r="K104" s="302" t="s">
        <v>5070</v>
      </c>
      <c r="M104" s="959"/>
      <c r="N104" s="959"/>
      <c r="S104" s="301"/>
    </row>
    <row r="105" spans="1:19" ht="15.75" customHeight="1" x14ac:dyDescent="0.3">
      <c r="A105" s="283"/>
      <c r="B105" s="284"/>
      <c r="C105" s="284"/>
      <c r="D105" s="1269" t="s">
        <v>7554</v>
      </c>
      <c r="E105" s="1269"/>
      <c r="F105" s="1269"/>
      <c r="G105" s="1269"/>
      <c r="H105" s="778" t="s">
        <v>7555</v>
      </c>
      <c r="I105"/>
      <c r="K105" s="302" t="s">
        <v>5070</v>
      </c>
      <c r="M105" s="959"/>
      <c r="N105" s="959"/>
      <c r="S105" s="301"/>
    </row>
    <row r="106" spans="1:19" ht="15.75" customHeight="1" x14ac:dyDescent="0.3">
      <c r="A106" s="283"/>
      <c r="B106" s="284"/>
      <c r="C106" s="284"/>
      <c r="D106" s="1269" t="s">
        <v>7556</v>
      </c>
      <c r="E106" s="1269"/>
      <c r="F106" s="1269"/>
      <c r="G106" s="1269"/>
      <c r="H106" s="778" t="s">
        <v>7555</v>
      </c>
      <c r="I106"/>
      <c r="K106" s="302" t="s">
        <v>5070</v>
      </c>
      <c r="M106" s="959"/>
      <c r="N106" s="959"/>
      <c r="S106" s="301"/>
    </row>
    <row r="107" spans="1:19" ht="15.75" customHeight="1" x14ac:dyDescent="0.3">
      <c r="A107" s="283"/>
      <c r="B107" s="284"/>
      <c r="C107" s="284"/>
      <c r="D107" s="1269" t="s">
        <v>7557</v>
      </c>
      <c r="E107" s="1269"/>
      <c r="F107" s="1269"/>
      <c r="G107" s="1269"/>
      <c r="H107" s="778" t="s">
        <v>7555</v>
      </c>
      <c r="I107"/>
      <c r="K107" s="302" t="s">
        <v>5070</v>
      </c>
      <c r="M107" s="959"/>
      <c r="N107" s="959"/>
      <c r="S107" s="301"/>
    </row>
    <row r="108" spans="1:19" ht="15.75" customHeight="1" x14ac:dyDescent="0.3">
      <c r="A108" s="283"/>
      <c r="B108" s="284"/>
      <c r="C108" s="284"/>
      <c r="D108" s="1279" t="s">
        <v>7558</v>
      </c>
      <c r="E108" s="1279"/>
      <c r="F108" s="1279"/>
      <c r="G108" s="1279"/>
      <c r="H108" s="778" t="s">
        <v>7555</v>
      </c>
      <c r="I108"/>
      <c r="K108" s="302" t="s">
        <v>5070</v>
      </c>
      <c r="M108" s="959"/>
      <c r="N108" s="959"/>
      <c r="S108" s="301"/>
    </row>
    <row r="109" spans="1:19" ht="15.75" customHeight="1" x14ac:dyDescent="0.3">
      <c r="A109" s="283"/>
      <c r="B109" s="284"/>
      <c r="C109" s="284"/>
      <c r="D109" s="789"/>
      <c r="E109" s="789"/>
      <c r="F109" s="789"/>
      <c r="G109" s="788"/>
      <c r="K109" s="302" t="s">
        <v>5070</v>
      </c>
      <c r="M109" s="959"/>
      <c r="N109" s="959"/>
      <c r="S109" s="301"/>
    </row>
    <row r="110" spans="1:19" ht="31.6" customHeight="1" x14ac:dyDescent="0.3">
      <c r="A110" s="283"/>
      <c r="B110" s="284"/>
      <c r="C110" s="284"/>
      <c r="D110" s="1249" t="s">
        <v>7559</v>
      </c>
      <c r="E110" s="1262"/>
      <c r="F110" s="1262"/>
      <c r="G110" s="1262"/>
      <c r="H110" s="1262"/>
      <c r="I110" s="1262"/>
      <c r="J110" s="1262"/>
      <c r="K110" s="302" t="s">
        <v>5070</v>
      </c>
      <c r="M110" s="959"/>
      <c r="N110" s="959"/>
      <c r="S110" s="301"/>
    </row>
    <row r="111" spans="1:19" ht="15.75" customHeight="1" x14ac:dyDescent="0.3">
      <c r="A111" s="283"/>
      <c r="B111" s="284"/>
      <c r="C111" s="284"/>
      <c r="D111" s="327"/>
      <c r="E111" s="314"/>
      <c r="F111" s="314"/>
      <c r="G111" s="314"/>
      <c r="H111" s="314"/>
      <c r="I111" s="314"/>
      <c r="J111" s="314"/>
      <c r="K111" s="302" t="s">
        <v>5070</v>
      </c>
      <c r="M111" s="959"/>
      <c r="N111" s="959"/>
      <c r="S111" s="301"/>
    </row>
    <row r="112" spans="1:19" s="303" customFormat="1" ht="47.3" customHeight="1" x14ac:dyDescent="0.3">
      <c r="A112" s="328"/>
      <c r="B112" s="329"/>
      <c r="C112" s="329"/>
      <c r="D112" s="1275" t="s">
        <v>7560</v>
      </c>
      <c r="E112" s="1275"/>
      <c r="F112" s="1275"/>
      <c r="G112" s="1275"/>
      <c r="H112" s="1275"/>
      <c r="I112" s="1275"/>
      <c r="J112" s="1275"/>
      <c r="K112" s="302" t="s">
        <v>5070</v>
      </c>
      <c r="L112" s="330"/>
      <c r="M112" s="1038"/>
      <c r="N112" s="1038"/>
      <c r="S112" s="301"/>
    </row>
    <row r="113" spans="1:19" s="303" customFormat="1" ht="31.6" customHeight="1" x14ac:dyDescent="0.3">
      <c r="A113" s="328"/>
      <c r="B113" s="329"/>
      <c r="C113" s="329"/>
      <c r="D113" s="331" t="s">
        <v>7525</v>
      </c>
      <c r="E113" s="1275" t="s">
        <v>7561</v>
      </c>
      <c r="F113" s="1275"/>
      <c r="G113" s="1275"/>
      <c r="H113" s="1275"/>
      <c r="I113" s="1275"/>
      <c r="J113" s="1275"/>
      <c r="K113" s="302" t="s">
        <v>5070</v>
      </c>
      <c r="L113" s="330"/>
      <c r="M113" s="1038"/>
      <c r="N113" s="1038"/>
      <c r="S113" s="301"/>
    </row>
    <row r="114" spans="1:19" s="303" customFormat="1" ht="47.3" customHeight="1" x14ac:dyDescent="0.3">
      <c r="A114" s="328"/>
      <c r="B114" s="329"/>
      <c r="C114" s="329"/>
      <c r="D114" s="331" t="s">
        <v>7525</v>
      </c>
      <c r="E114" s="1275" t="s">
        <v>7562</v>
      </c>
      <c r="F114" s="1275"/>
      <c r="G114" s="1275"/>
      <c r="H114" s="1275"/>
      <c r="I114" s="1275"/>
      <c r="J114" s="1275"/>
      <c r="K114" s="302" t="s">
        <v>5070</v>
      </c>
      <c r="L114" s="330"/>
      <c r="M114" s="1038"/>
      <c r="N114" s="1038"/>
      <c r="S114" s="301"/>
    </row>
    <row r="115" spans="1:19" s="303" customFormat="1" ht="31.6" customHeight="1" x14ac:dyDescent="0.3">
      <c r="A115" s="328"/>
      <c r="B115" s="329"/>
      <c r="C115" s="329"/>
      <c r="D115" s="331" t="s">
        <v>7525</v>
      </c>
      <c r="E115" s="1275" t="s">
        <v>7563</v>
      </c>
      <c r="F115" s="1275"/>
      <c r="G115" s="1275"/>
      <c r="H115" s="1275"/>
      <c r="I115" s="1275"/>
      <c r="J115" s="1275"/>
      <c r="K115" s="302" t="s">
        <v>5070</v>
      </c>
      <c r="L115" s="330"/>
      <c r="M115" s="1038"/>
      <c r="N115" s="1038"/>
      <c r="S115" s="301"/>
    </row>
    <row r="116" spans="1:19" ht="15.75" customHeight="1" x14ac:dyDescent="0.3">
      <c r="A116" s="283"/>
      <c r="B116" s="284"/>
      <c r="C116" s="284"/>
      <c r="D116" s="313"/>
      <c r="E116" s="314"/>
      <c r="F116" s="314"/>
      <c r="G116" s="314"/>
      <c r="H116" s="314"/>
      <c r="I116" s="314"/>
      <c r="J116" s="314"/>
      <c r="K116" s="302" t="s">
        <v>5070</v>
      </c>
      <c r="M116" s="959"/>
      <c r="N116" s="959"/>
      <c r="S116" s="301"/>
    </row>
    <row r="117" spans="1:19" ht="15.75" customHeight="1" x14ac:dyDescent="0.3">
      <c r="A117" s="1183">
        <f>$A$84</f>
        <v>2</v>
      </c>
      <c r="B117" s="1183">
        <f>$B$98</f>
        <v>2</v>
      </c>
      <c r="C117" s="1197">
        <f>IF(K117="ukryj",C100,C100+1)</f>
        <v>2</v>
      </c>
      <c r="D117" s="1235" t="s">
        <v>7564</v>
      </c>
      <c r="E117" s="1235"/>
      <c r="F117" s="1235"/>
      <c r="G117" s="1235"/>
      <c r="H117" s="1235"/>
      <c r="I117" s="1235"/>
      <c r="J117" s="1235"/>
      <c r="K117" s="302" t="s">
        <v>5070</v>
      </c>
      <c r="M117" s="959"/>
      <c r="N117" s="959"/>
      <c r="S117" s="301"/>
    </row>
    <row r="118" spans="1:19" ht="15.75" customHeight="1" x14ac:dyDescent="0.3">
      <c r="A118" s="789"/>
      <c r="K118" s="302" t="s">
        <v>5070</v>
      </c>
      <c r="M118" s="959"/>
      <c r="N118" s="959"/>
      <c r="S118" s="301"/>
    </row>
    <row r="119" spans="1:19" ht="47.3" customHeight="1" x14ac:dyDescent="0.3">
      <c r="A119" s="789"/>
      <c r="D119" s="1251" t="s">
        <v>7565</v>
      </c>
      <c r="E119" s="1251"/>
      <c r="F119" s="1251"/>
      <c r="G119" s="1251"/>
      <c r="H119" s="1251"/>
      <c r="I119" s="1251"/>
      <c r="J119" s="1251"/>
      <c r="K119" s="302" t="s">
        <v>5070</v>
      </c>
      <c r="M119" s="959"/>
      <c r="N119" s="959"/>
      <c r="S119" s="301"/>
    </row>
    <row r="120" spans="1:19" ht="48.8" customHeight="1" x14ac:dyDescent="0.3">
      <c r="A120" s="789"/>
      <c r="D120" s="1249" t="s">
        <v>7566</v>
      </c>
      <c r="E120" s="1262"/>
      <c r="F120" s="1262"/>
      <c r="G120" s="1262"/>
      <c r="H120" s="1262"/>
      <c r="I120" s="1262"/>
      <c r="J120" s="1262"/>
      <c r="K120" s="302" t="s">
        <v>5070</v>
      </c>
      <c r="M120" s="959"/>
      <c r="N120" s="959"/>
      <c r="S120" s="301"/>
    </row>
    <row r="121" spans="1:19" ht="47.3" customHeight="1" x14ac:dyDescent="0.3">
      <c r="A121" s="789"/>
      <c r="D121" s="1251" t="s">
        <v>7567</v>
      </c>
      <c r="E121" s="1251"/>
      <c r="F121" s="1251"/>
      <c r="G121" s="1251"/>
      <c r="H121" s="1251"/>
      <c r="I121" s="1251"/>
      <c r="J121" s="1251"/>
      <c r="K121" s="302" t="s">
        <v>5070</v>
      </c>
      <c r="M121" s="959"/>
      <c r="N121" s="959"/>
      <c r="S121" s="301"/>
    </row>
    <row r="122" spans="1:19" ht="15.75" customHeight="1" x14ac:dyDescent="0.3">
      <c r="A122" s="789"/>
      <c r="K122" s="302" t="s">
        <v>5070</v>
      </c>
      <c r="M122" s="959"/>
      <c r="N122" s="959"/>
      <c r="S122" s="301"/>
    </row>
    <row r="123" spans="1:19" ht="15.75" customHeight="1" x14ac:dyDescent="0.3">
      <c r="A123" s="789"/>
      <c r="D123" s="788" t="s">
        <v>7525</v>
      </c>
      <c r="E123" s="1276" t="s">
        <v>7568</v>
      </c>
      <c r="F123" s="1276"/>
      <c r="G123" s="1276"/>
      <c r="H123" s="1276"/>
      <c r="I123" s="1276"/>
      <c r="J123" s="1276"/>
      <c r="K123" s="302" t="s">
        <v>5070</v>
      </c>
      <c r="M123" s="959"/>
      <c r="N123" s="959"/>
      <c r="S123" s="301"/>
    </row>
    <row r="124" spans="1:19" ht="31.6" customHeight="1" x14ac:dyDescent="0.3">
      <c r="A124" s="789"/>
      <c r="D124" s="788" t="s">
        <v>7525</v>
      </c>
      <c r="E124" s="1251" t="s">
        <v>7569</v>
      </c>
      <c r="F124" s="1251"/>
      <c r="G124" s="1251"/>
      <c r="H124" s="1251"/>
      <c r="I124" s="1251"/>
      <c r="J124" s="1251"/>
      <c r="K124" s="302" t="s">
        <v>5070</v>
      </c>
      <c r="M124" s="959"/>
      <c r="N124" s="959"/>
      <c r="S124" s="301"/>
    </row>
    <row r="125" spans="1:19" ht="15.75" customHeight="1" x14ac:dyDescent="0.3">
      <c r="A125" s="789"/>
      <c r="K125" s="302" t="s">
        <v>5070</v>
      </c>
      <c r="M125" s="959"/>
      <c r="N125" s="959"/>
      <c r="S125" s="301"/>
    </row>
    <row r="126" spans="1:19" ht="49.6" customHeight="1" x14ac:dyDescent="0.3">
      <c r="A126" s="789"/>
      <c r="D126" s="1251" t="s">
        <v>7570</v>
      </c>
      <c r="E126" s="1251"/>
      <c r="F126" s="1251"/>
      <c r="G126" s="1251"/>
      <c r="H126" s="1251"/>
      <c r="I126" s="1251"/>
      <c r="J126" s="1251"/>
      <c r="K126" s="302" t="s">
        <v>5070</v>
      </c>
      <c r="M126" s="959"/>
      <c r="N126" s="959"/>
      <c r="S126" s="301"/>
    </row>
    <row r="127" spans="1:19" ht="15.75" customHeight="1" x14ac:dyDescent="0.3">
      <c r="A127" s="789"/>
      <c r="K127" s="302" t="s">
        <v>5070</v>
      </c>
      <c r="M127" s="959"/>
      <c r="N127" s="959"/>
      <c r="S127" s="301"/>
    </row>
    <row r="128" spans="1:19" ht="74.3" customHeight="1" x14ac:dyDescent="0.3">
      <c r="A128" s="789"/>
      <c r="D128" s="1251" t="s">
        <v>7571</v>
      </c>
      <c r="E128" s="1251"/>
      <c r="F128" s="1251"/>
      <c r="G128" s="1251"/>
      <c r="H128" s="1251"/>
      <c r="I128" s="1251"/>
      <c r="J128" s="1251"/>
      <c r="K128" s="302" t="s">
        <v>5070</v>
      </c>
      <c r="M128" s="959"/>
      <c r="N128" s="959"/>
      <c r="S128" s="301"/>
    </row>
    <row r="129" spans="1:19" ht="15.75" customHeight="1" x14ac:dyDescent="0.3">
      <c r="A129" s="789"/>
      <c r="D129" s="792"/>
      <c r="E129" s="792"/>
      <c r="F129" s="792"/>
      <c r="G129" s="792"/>
      <c r="H129" s="792"/>
      <c r="I129" s="792"/>
      <c r="J129" s="792"/>
      <c r="K129" s="302" t="s">
        <v>5070</v>
      </c>
      <c r="M129" s="959"/>
      <c r="N129" s="959"/>
      <c r="S129" s="301"/>
    </row>
    <row r="130" spans="1:19" ht="15.75" customHeight="1" x14ac:dyDescent="0.3">
      <c r="A130" s="789"/>
      <c r="D130" s="1273" t="s">
        <v>7572</v>
      </c>
      <c r="E130" s="1273"/>
      <c r="F130" s="1273"/>
      <c r="G130" s="1274"/>
      <c r="K130" s="302" t="s">
        <v>5070</v>
      </c>
      <c r="M130" s="959"/>
      <c r="N130" s="959"/>
      <c r="S130" s="301"/>
    </row>
    <row r="131" spans="1:19" ht="15.75" customHeight="1" x14ac:dyDescent="0.3">
      <c r="A131" s="789"/>
      <c r="K131" s="302" t="s">
        <v>5070</v>
      </c>
      <c r="M131" s="959"/>
      <c r="N131" s="959"/>
      <c r="S131" s="301"/>
    </row>
    <row r="132" spans="1:19" ht="15.75" customHeight="1" x14ac:dyDescent="0.3">
      <c r="A132" s="789"/>
      <c r="D132" s="1269" t="s">
        <v>7573</v>
      </c>
      <c r="E132" s="1269"/>
      <c r="F132" s="1269"/>
      <c r="G132" s="1269"/>
      <c r="H132" s="779" t="s">
        <v>7574</v>
      </c>
      <c r="I132"/>
      <c r="K132" s="302" t="s">
        <v>5070</v>
      </c>
      <c r="M132" s="959"/>
      <c r="N132" s="959"/>
      <c r="S132" s="301"/>
    </row>
    <row r="133" spans="1:19" ht="15.75" customHeight="1" x14ac:dyDescent="0.3">
      <c r="A133" s="789"/>
      <c r="D133" s="1269" t="s">
        <v>7575</v>
      </c>
      <c r="E133" s="1269"/>
      <c r="F133" s="1269"/>
      <c r="G133" s="1269"/>
      <c r="H133" s="779" t="s">
        <v>7576</v>
      </c>
      <c r="I133"/>
      <c r="K133" s="302" t="s">
        <v>5070</v>
      </c>
      <c r="M133" s="959"/>
      <c r="N133" s="959"/>
      <c r="S133" s="301"/>
    </row>
    <row r="134" spans="1:19" ht="15.75" customHeight="1" x14ac:dyDescent="0.3">
      <c r="A134" s="789"/>
      <c r="D134" s="1269" t="s">
        <v>7577</v>
      </c>
      <c r="E134" s="1269"/>
      <c r="F134" s="1269"/>
      <c r="G134" s="1269"/>
      <c r="H134" s="779" t="s">
        <v>7578</v>
      </c>
      <c r="I134"/>
      <c r="K134" s="302" t="s">
        <v>5070</v>
      </c>
      <c r="M134" s="959"/>
      <c r="N134" s="959"/>
      <c r="S134" s="301"/>
    </row>
    <row r="135" spans="1:19" ht="15.75" customHeight="1" x14ac:dyDescent="0.3">
      <c r="A135" s="789"/>
      <c r="D135" s="1269" t="s">
        <v>7579</v>
      </c>
      <c r="E135" s="1269"/>
      <c r="F135" s="1269"/>
      <c r="G135" s="1269"/>
      <c r="H135" s="779" t="s">
        <v>7574</v>
      </c>
      <c r="I135"/>
      <c r="K135" s="302" t="s">
        <v>5070</v>
      </c>
      <c r="M135" s="959"/>
      <c r="N135" s="959"/>
      <c r="S135" s="301"/>
    </row>
    <row r="136" spans="1:19" ht="15.75" customHeight="1" x14ac:dyDescent="0.3">
      <c r="A136" s="789"/>
      <c r="D136" s="1270" t="s">
        <v>7580</v>
      </c>
      <c r="E136" s="1270"/>
      <c r="F136" s="1270"/>
      <c r="G136" s="1270"/>
      <c r="H136" s="779" t="s">
        <v>7574</v>
      </c>
      <c r="I136"/>
      <c r="K136" s="302" t="s">
        <v>5070</v>
      </c>
      <c r="M136" s="959"/>
      <c r="N136" s="959"/>
      <c r="S136" s="301"/>
    </row>
    <row r="137" spans="1:19" ht="15.75" customHeight="1" x14ac:dyDescent="0.3">
      <c r="A137" s="789"/>
      <c r="D137" s="332"/>
      <c r="E137" s="796"/>
      <c r="F137" s="796"/>
      <c r="H137" s="333"/>
      <c r="I137" s="333"/>
      <c r="K137" s="302" t="s">
        <v>5070</v>
      </c>
      <c r="M137" s="959"/>
      <c r="N137" s="959"/>
      <c r="S137" s="301"/>
    </row>
    <row r="138" spans="1:19" ht="15.75" customHeight="1" x14ac:dyDescent="0.3">
      <c r="A138" s="789"/>
      <c r="D138" s="334" t="s">
        <v>7581</v>
      </c>
      <c r="E138" s="958"/>
      <c r="F138" s="958"/>
      <c r="G138" s="958"/>
      <c r="H138" s="958"/>
      <c r="I138" s="794"/>
      <c r="J138" s="959"/>
      <c r="K138" s="302" t="s">
        <v>5070</v>
      </c>
      <c r="L138" s="791"/>
      <c r="M138" s="996" t="s">
        <v>7582</v>
      </c>
      <c r="N138" s="996"/>
      <c r="S138" s="301"/>
    </row>
    <row r="139" spans="1:19" ht="15.75" customHeight="1" x14ac:dyDescent="0.3">
      <c r="A139" s="789"/>
      <c r="D139" s="332"/>
      <c r="E139" s="796"/>
      <c r="F139" s="796"/>
      <c r="H139" s="333"/>
      <c r="I139" s="333"/>
      <c r="K139" s="302" t="s">
        <v>5070</v>
      </c>
      <c r="M139" s="959"/>
      <c r="N139" s="959"/>
      <c r="S139" s="301"/>
    </row>
    <row r="140" spans="1:19" ht="85.6" customHeight="1" x14ac:dyDescent="0.3">
      <c r="A140" s="789"/>
      <c r="D140" s="1271" t="s">
        <v>7583</v>
      </c>
      <c r="E140" s="1272"/>
      <c r="F140" s="1272"/>
      <c r="G140" s="1272"/>
      <c r="H140" s="1272"/>
      <c r="I140" s="1272"/>
      <c r="J140" s="1272"/>
      <c r="K140" s="302" t="s">
        <v>5070</v>
      </c>
      <c r="M140" s="959"/>
      <c r="N140" s="959"/>
      <c r="S140" s="301"/>
    </row>
    <row r="141" spans="1:19" ht="15.75" customHeight="1" x14ac:dyDescent="0.3">
      <c r="A141" s="789"/>
      <c r="D141" s="796"/>
      <c r="E141" s="796"/>
      <c r="F141" s="796"/>
      <c r="J141" s="333"/>
      <c r="K141" s="302" t="s">
        <v>5070</v>
      </c>
      <c r="M141" s="959"/>
      <c r="N141" s="959"/>
      <c r="S141" s="301"/>
    </row>
    <row r="142" spans="1:19" ht="15.75" customHeight="1" x14ac:dyDescent="0.3">
      <c r="A142" s="1183">
        <f>$A$84</f>
        <v>2</v>
      </c>
      <c r="B142" s="1183">
        <f>$B$98</f>
        <v>2</v>
      </c>
      <c r="C142" s="1197">
        <f>IF(K142="ukryj",C117,C117+1)</f>
        <v>3</v>
      </c>
      <c r="D142" s="1235" t="s">
        <v>7584</v>
      </c>
      <c r="E142" s="1235"/>
      <c r="F142" s="1235"/>
      <c r="G142" s="1235"/>
      <c r="H142" s="1235"/>
      <c r="I142" s="1235"/>
      <c r="J142" s="1235"/>
      <c r="K142" s="302" t="s">
        <v>5070</v>
      </c>
      <c r="M142" s="959"/>
      <c r="N142" s="959"/>
      <c r="S142" s="301"/>
    </row>
    <row r="143" spans="1:19" ht="15.75" customHeight="1" x14ac:dyDescent="0.3">
      <c r="A143" s="283"/>
      <c r="B143" s="284"/>
      <c r="C143" s="284"/>
      <c r="D143" s="789"/>
      <c r="E143" s="789"/>
      <c r="F143" s="789"/>
      <c r="K143" s="302" t="s">
        <v>5070</v>
      </c>
      <c r="M143" s="959"/>
      <c r="N143" s="959"/>
      <c r="S143" s="301"/>
    </row>
    <row r="144" spans="1:19" ht="37.5" customHeight="1" x14ac:dyDescent="0.3">
      <c r="A144" s="789"/>
      <c r="D144" s="1245" t="s">
        <v>7585</v>
      </c>
      <c r="E144" s="1245"/>
      <c r="F144" s="1245"/>
      <c r="G144" s="1245"/>
      <c r="H144" s="1245"/>
      <c r="I144" s="1245"/>
      <c r="J144" s="1245"/>
      <c r="K144" s="302" t="s">
        <v>5070</v>
      </c>
      <c r="M144" s="959"/>
      <c r="N144" s="959"/>
      <c r="S144" s="301"/>
    </row>
    <row r="145" spans="1:19" ht="36" customHeight="1" x14ac:dyDescent="0.3">
      <c r="A145" s="789"/>
      <c r="D145" s="1245" t="s">
        <v>7586</v>
      </c>
      <c r="E145" s="1245"/>
      <c r="F145" s="1245"/>
      <c r="G145" s="1245"/>
      <c r="H145" s="1245"/>
      <c r="I145" s="1245"/>
      <c r="J145" s="1245"/>
      <c r="K145" s="302" t="s">
        <v>5070</v>
      </c>
      <c r="M145" s="959"/>
      <c r="N145" s="959"/>
      <c r="S145" s="301"/>
    </row>
    <row r="146" spans="1:19" ht="31.6" customHeight="1" x14ac:dyDescent="0.3">
      <c r="A146" s="789"/>
      <c r="D146" s="1245" t="s">
        <v>7587</v>
      </c>
      <c r="E146" s="1245"/>
      <c r="F146" s="1245"/>
      <c r="G146" s="1245"/>
      <c r="H146" s="1245"/>
      <c r="I146" s="1245"/>
      <c r="J146" s="1245"/>
      <c r="K146" s="302" t="s">
        <v>5070</v>
      </c>
      <c r="M146" s="959"/>
      <c r="N146" s="959"/>
      <c r="S146" s="301"/>
    </row>
    <row r="147" spans="1:19" ht="15.75" customHeight="1" x14ac:dyDescent="0.3">
      <c r="A147" s="789"/>
      <c r="D147" s="789"/>
      <c r="E147" s="789"/>
      <c r="F147" s="789"/>
      <c r="K147" s="302" t="s">
        <v>5070</v>
      </c>
      <c r="M147" s="959"/>
      <c r="N147" s="959"/>
      <c r="S147" s="301"/>
    </row>
    <row r="148" spans="1:19" ht="15.75" customHeight="1" x14ac:dyDescent="0.3">
      <c r="A148" s="1183">
        <f>$A$84</f>
        <v>2</v>
      </c>
      <c r="B148" s="1183">
        <f>$B$98</f>
        <v>2</v>
      </c>
      <c r="C148" s="1197">
        <f>IF(K148="ukryj",C142,C142+1)</f>
        <v>4</v>
      </c>
      <c r="D148" s="1235" t="s">
        <v>7588</v>
      </c>
      <c r="E148" s="1235"/>
      <c r="F148" s="1235"/>
      <c r="G148" s="1235"/>
      <c r="H148" s="1235"/>
      <c r="I148" s="1235"/>
      <c r="J148" s="1235"/>
      <c r="K148" s="302" t="s">
        <v>5070</v>
      </c>
      <c r="M148" s="959"/>
      <c r="N148" s="959"/>
      <c r="S148" s="301"/>
    </row>
    <row r="149" spans="1:19" ht="15.75" customHeight="1" x14ac:dyDescent="0.3">
      <c r="A149" s="283"/>
      <c r="B149" s="284"/>
      <c r="C149" s="284"/>
      <c r="D149" s="789"/>
      <c r="E149" s="789"/>
      <c r="F149" s="789"/>
      <c r="H149" s="789"/>
      <c r="I149" s="789"/>
      <c r="K149" s="302" t="s">
        <v>5070</v>
      </c>
      <c r="M149" s="959"/>
      <c r="N149" s="959"/>
      <c r="S149" s="301"/>
    </row>
    <row r="150" spans="1:19" ht="47.3" customHeight="1" x14ac:dyDescent="0.3">
      <c r="A150" s="283"/>
      <c r="B150" s="284"/>
      <c r="C150" s="284"/>
      <c r="D150" s="1245" t="s">
        <v>7589</v>
      </c>
      <c r="E150" s="1245"/>
      <c r="F150" s="1245"/>
      <c r="G150" s="1245"/>
      <c r="H150" s="1245"/>
      <c r="I150" s="1245"/>
      <c r="J150" s="1245"/>
      <c r="K150" s="302" t="s">
        <v>5070</v>
      </c>
      <c r="M150" s="959"/>
      <c r="N150" s="959"/>
      <c r="S150" s="301"/>
    </row>
    <row r="151" spans="1:19" ht="15.75" customHeight="1" x14ac:dyDescent="0.3">
      <c r="A151" s="283"/>
      <c r="B151" s="284"/>
      <c r="C151" s="284"/>
      <c r="D151" s="789"/>
      <c r="E151" s="789"/>
      <c r="F151" s="789"/>
      <c r="H151" s="789"/>
      <c r="I151" s="789"/>
      <c r="K151" s="302" t="s">
        <v>5070</v>
      </c>
      <c r="M151" s="959"/>
      <c r="N151" s="959"/>
      <c r="S151" s="301"/>
    </row>
    <row r="152" spans="1:19" ht="15.75" customHeight="1" x14ac:dyDescent="0.3">
      <c r="A152" s="283"/>
      <c r="B152" s="284"/>
      <c r="C152" s="284"/>
      <c r="D152" s="1253" t="s">
        <v>7590</v>
      </c>
      <c r="E152" s="1253"/>
      <c r="F152" s="1253"/>
      <c r="G152" s="1253"/>
      <c r="H152" s="1253"/>
      <c r="I152" s="1253"/>
      <c r="J152" s="1253"/>
      <c r="K152" s="302" t="s">
        <v>5070</v>
      </c>
      <c r="M152" s="959"/>
      <c r="N152" s="959"/>
      <c r="S152" s="301"/>
    </row>
    <row r="153" spans="1:19" ht="15.75" customHeight="1" x14ac:dyDescent="0.3">
      <c r="A153" s="283"/>
      <c r="B153" s="284"/>
      <c r="C153" s="284"/>
      <c r="D153" s="1265" t="s">
        <v>7591</v>
      </c>
      <c r="E153" s="1265"/>
      <c r="F153" s="1265"/>
      <c r="G153" s="1265"/>
      <c r="H153" s="1265"/>
      <c r="I153" s="1265"/>
      <c r="J153" s="1265"/>
      <c r="K153" s="302" t="s">
        <v>5125</v>
      </c>
      <c r="M153" s="959"/>
      <c r="N153" s="959"/>
      <c r="S153" s="301"/>
    </row>
    <row r="154" spans="1:19" x14ac:dyDescent="0.3">
      <c r="A154" s="283"/>
      <c r="B154" s="284"/>
      <c r="C154" s="284"/>
      <c r="D154" s="789"/>
      <c r="E154" s="789"/>
      <c r="F154" s="789"/>
      <c r="H154" s="789"/>
      <c r="I154" s="789"/>
      <c r="K154" s="302" t="s">
        <v>5070</v>
      </c>
      <c r="M154" s="959"/>
      <c r="N154" s="959"/>
      <c r="S154" s="301"/>
    </row>
    <row r="155" spans="1:19" ht="13.6" customHeight="1" x14ac:dyDescent="0.3">
      <c r="A155" s="283"/>
      <c r="B155" s="284"/>
      <c r="C155" s="284"/>
      <c r="D155" s="1245" t="s">
        <v>7592</v>
      </c>
      <c r="E155" s="1245"/>
      <c r="F155" s="1245"/>
      <c r="G155" s="1245"/>
      <c r="H155" s="1245"/>
      <c r="I155" s="1245"/>
      <c r="J155" s="1245"/>
      <c r="K155" s="302" t="s">
        <v>5070</v>
      </c>
      <c r="M155" s="959"/>
      <c r="N155" s="959"/>
      <c r="S155" s="301"/>
    </row>
    <row r="156" spans="1:19" ht="15.75" customHeight="1" x14ac:dyDescent="0.3">
      <c r="A156" s="283"/>
      <c r="B156" s="284"/>
      <c r="C156" s="284"/>
      <c r="D156" s="292"/>
      <c r="E156" s="292"/>
      <c r="F156" s="292"/>
      <c r="G156" s="293"/>
      <c r="H156" s="292"/>
      <c r="I156" s="292"/>
      <c r="J156" s="294"/>
      <c r="K156" s="302" t="s">
        <v>5070</v>
      </c>
      <c r="M156" s="959"/>
      <c r="N156" s="959"/>
      <c r="S156" s="301"/>
    </row>
    <row r="157" spans="1:19" ht="47.3" customHeight="1" x14ac:dyDescent="0.3">
      <c r="A157" s="283"/>
      <c r="B157" s="284"/>
      <c r="C157" s="284"/>
      <c r="D157" s="1245" t="s">
        <v>7593</v>
      </c>
      <c r="E157" s="1245"/>
      <c r="F157" s="1245"/>
      <c r="G157" s="1245"/>
      <c r="H157" s="1245"/>
      <c r="I157" s="1245"/>
      <c r="J157" s="1245"/>
      <c r="K157" s="302" t="s">
        <v>5070</v>
      </c>
      <c r="M157" s="959"/>
      <c r="N157" s="959"/>
      <c r="S157" s="301"/>
    </row>
    <row r="158" spans="1:19" ht="15.75" customHeight="1" x14ac:dyDescent="0.3">
      <c r="A158" s="283"/>
      <c r="B158" s="284"/>
      <c r="C158" s="284"/>
      <c r="D158" s="292"/>
      <c r="E158" s="292"/>
      <c r="F158" s="292"/>
      <c r="G158" s="293"/>
      <c r="H158" s="292"/>
      <c r="I158" s="292"/>
      <c r="J158" s="294"/>
      <c r="K158" s="302" t="s">
        <v>5070</v>
      </c>
      <c r="M158" s="959"/>
      <c r="N158" s="959"/>
      <c r="S158" s="301"/>
    </row>
    <row r="159" spans="1:19" ht="15.75" customHeight="1" x14ac:dyDescent="0.3">
      <c r="A159" s="283"/>
      <c r="B159" s="284"/>
      <c r="C159" s="284"/>
      <c r="D159" s="1265" t="s">
        <v>7594</v>
      </c>
      <c r="E159" s="1265"/>
      <c r="F159" s="1265"/>
      <c r="G159" s="1265"/>
      <c r="H159" s="1265"/>
      <c r="I159" s="1265"/>
      <c r="J159" s="1265"/>
      <c r="K159" s="302" t="s">
        <v>5125</v>
      </c>
      <c r="M159" s="959"/>
      <c r="N159" s="959"/>
      <c r="S159" s="301"/>
    </row>
    <row r="160" spans="1:19" ht="15.75" customHeight="1" x14ac:dyDescent="0.3">
      <c r="A160" s="283"/>
      <c r="B160" s="284"/>
      <c r="C160" s="284"/>
      <c r="D160" s="292"/>
      <c r="E160" s="292"/>
      <c r="F160" s="292"/>
      <c r="G160" s="293"/>
      <c r="H160" s="292"/>
      <c r="I160" s="292"/>
      <c r="J160" s="294"/>
      <c r="K160" s="302" t="s">
        <v>5070</v>
      </c>
      <c r="M160" s="959"/>
      <c r="N160" s="959"/>
      <c r="S160" s="301"/>
    </row>
    <row r="161" spans="1:19" ht="47.3" customHeight="1" x14ac:dyDescent="0.3">
      <c r="A161" s="789"/>
      <c r="D161" s="1266" t="s">
        <v>7595</v>
      </c>
      <c r="E161" s="1267"/>
      <c r="F161" s="1267"/>
      <c r="G161" s="1267"/>
      <c r="H161" s="1267"/>
      <c r="I161" s="1267"/>
      <c r="J161" s="1267"/>
      <c r="K161" s="302" t="s">
        <v>5070</v>
      </c>
      <c r="M161" s="959"/>
      <c r="N161" s="959"/>
      <c r="S161" s="301"/>
    </row>
    <row r="162" spans="1:19" x14ac:dyDescent="0.3">
      <c r="A162" s="789"/>
      <c r="D162" s="335"/>
      <c r="E162" s="336"/>
      <c r="F162" s="336"/>
      <c r="G162" s="336"/>
      <c r="H162" s="336"/>
      <c r="I162" s="336"/>
      <c r="J162" s="336"/>
      <c r="K162" s="302" t="s">
        <v>5070</v>
      </c>
      <c r="M162" s="959"/>
      <c r="N162" s="959"/>
      <c r="S162" s="301"/>
    </row>
    <row r="163" spans="1:19" ht="47.3" customHeight="1" x14ac:dyDescent="0.3">
      <c r="A163" s="789"/>
      <c r="D163" s="1264" t="s">
        <v>7596</v>
      </c>
      <c r="E163" s="1264"/>
      <c r="F163" s="1264"/>
      <c r="G163" s="1264"/>
      <c r="H163" s="1264"/>
      <c r="I163" s="1264"/>
      <c r="J163" s="1264"/>
      <c r="K163" s="302" t="s">
        <v>5070</v>
      </c>
      <c r="M163" s="959"/>
      <c r="N163" s="959"/>
      <c r="S163" s="301"/>
    </row>
    <row r="164" spans="1:19" ht="15.75" customHeight="1" x14ac:dyDescent="0.3">
      <c r="A164" s="789"/>
      <c r="D164" s="337"/>
      <c r="E164" s="337"/>
      <c r="F164" s="337"/>
      <c r="G164" s="338"/>
      <c r="H164" s="337"/>
      <c r="I164" s="337"/>
      <c r="J164" s="337"/>
      <c r="K164" s="302" t="s">
        <v>5070</v>
      </c>
      <c r="M164" s="959"/>
      <c r="N164" s="959"/>
      <c r="S164" s="301"/>
    </row>
    <row r="165" spans="1:19" ht="15.75" customHeight="1" x14ac:dyDescent="0.3">
      <c r="A165" s="789"/>
      <c r="D165" s="337" t="s">
        <v>7525</v>
      </c>
      <c r="E165" s="1268" t="s">
        <v>7568</v>
      </c>
      <c r="F165" s="1268"/>
      <c r="G165" s="1268"/>
      <c r="H165" s="1268"/>
      <c r="I165" s="1268"/>
      <c r="J165" s="1268"/>
      <c r="K165" s="302" t="s">
        <v>5070</v>
      </c>
      <c r="M165" s="959"/>
      <c r="N165" s="959"/>
      <c r="S165" s="301"/>
    </row>
    <row r="166" spans="1:19" ht="37.5" customHeight="1" x14ac:dyDescent="0.3">
      <c r="A166" s="789"/>
      <c r="D166" s="286" t="s">
        <v>7525</v>
      </c>
      <c r="E166" s="1263" t="s">
        <v>7569</v>
      </c>
      <c r="F166" s="1263"/>
      <c r="G166" s="1263"/>
      <c r="H166" s="1263"/>
      <c r="I166" s="1263"/>
      <c r="J166" s="1263"/>
      <c r="K166" s="302" t="s">
        <v>5070</v>
      </c>
      <c r="M166" s="959"/>
      <c r="N166" s="959"/>
      <c r="S166" s="301"/>
    </row>
    <row r="167" spans="1:19" ht="15.75" customHeight="1" x14ac:dyDescent="0.3">
      <c r="A167" s="789"/>
      <c r="D167" s="337"/>
      <c r="E167" s="337"/>
      <c r="F167" s="337"/>
      <c r="G167" s="338"/>
      <c r="H167" s="337"/>
      <c r="I167" s="337"/>
      <c r="J167" s="337"/>
      <c r="K167" s="302" t="s">
        <v>5070</v>
      </c>
      <c r="M167" s="959"/>
      <c r="N167" s="959"/>
      <c r="S167" s="301"/>
    </row>
    <row r="168" spans="1:19" ht="51.05" customHeight="1" x14ac:dyDescent="0.3">
      <c r="A168" s="789"/>
      <c r="D168" s="1264" t="s">
        <v>7597</v>
      </c>
      <c r="E168" s="1264"/>
      <c r="F168" s="1264"/>
      <c r="G168" s="1264"/>
      <c r="H168" s="1264"/>
      <c r="I168" s="1264"/>
      <c r="J168" s="1264"/>
      <c r="K168" s="302" t="s">
        <v>5070</v>
      </c>
      <c r="M168" s="959"/>
      <c r="N168" s="959"/>
      <c r="S168" s="301"/>
    </row>
    <row r="169" spans="1:19" ht="15.75" customHeight="1" x14ac:dyDescent="0.3">
      <c r="A169" s="789"/>
      <c r="D169" s="337"/>
      <c r="E169" s="337"/>
      <c r="F169" s="337"/>
      <c r="G169" s="338"/>
      <c r="H169" s="337"/>
      <c r="I169" s="337"/>
      <c r="J169" s="337"/>
      <c r="K169" s="302" t="s">
        <v>5070</v>
      </c>
      <c r="M169" s="959"/>
      <c r="N169" s="959"/>
      <c r="S169" s="301"/>
    </row>
    <row r="170" spans="1:19" ht="74.3" customHeight="1" x14ac:dyDescent="0.3">
      <c r="A170" s="789"/>
      <c r="D170" s="1264" t="s">
        <v>7598</v>
      </c>
      <c r="E170" s="1264"/>
      <c r="F170" s="1264"/>
      <c r="G170" s="1264"/>
      <c r="H170" s="1264"/>
      <c r="I170" s="1264"/>
      <c r="J170" s="1264"/>
      <c r="K170" s="302" t="s">
        <v>5070</v>
      </c>
      <c r="M170" s="959"/>
      <c r="N170" s="959"/>
      <c r="S170" s="301"/>
    </row>
    <row r="171" spans="1:19" ht="15.75" customHeight="1" x14ac:dyDescent="0.3">
      <c r="A171" s="789"/>
      <c r="D171" s="287"/>
      <c r="E171" s="287"/>
      <c r="F171" s="287"/>
      <c r="G171" s="287"/>
      <c r="H171" s="287"/>
      <c r="I171" s="287"/>
      <c r="J171" s="287"/>
      <c r="K171" s="302" t="s">
        <v>5070</v>
      </c>
      <c r="M171" s="959"/>
      <c r="N171" s="959"/>
      <c r="S171" s="301"/>
    </row>
    <row r="172" spans="1:19" ht="53.2" customHeight="1" x14ac:dyDescent="0.3">
      <c r="A172" s="789"/>
      <c r="D172" s="1264" t="s">
        <v>7599</v>
      </c>
      <c r="E172" s="1264"/>
      <c r="F172" s="1264"/>
      <c r="G172" s="1264"/>
      <c r="H172" s="1264"/>
      <c r="I172" s="1264"/>
      <c r="J172" s="1264"/>
      <c r="K172" s="302" t="s">
        <v>5070</v>
      </c>
      <c r="M172" s="959"/>
      <c r="N172" s="959"/>
      <c r="S172" s="301"/>
    </row>
    <row r="173" spans="1:19" ht="15.75" customHeight="1" x14ac:dyDescent="0.3">
      <c r="A173" s="283"/>
      <c r="B173" s="284"/>
      <c r="C173" s="284"/>
      <c r="D173" s="292"/>
      <c r="E173" s="292"/>
      <c r="F173" s="292"/>
      <c r="G173" s="293"/>
      <c r="H173" s="292"/>
      <c r="I173" s="292"/>
      <c r="J173" s="294"/>
      <c r="K173" s="302" t="s">
        <v>5070</v>
      </c>
      <c r="M173" s="959"/>
      <c r="N173" s="959"/>
      <c r="S173" s="301"/>
    </row>
    <row r="174" spans="1:19" ht="15.75" customHeight="1" x14ac:dyDescent="0.3">
      <c r="A174" s="283"/>
      <c r="B174" s="284"/>
      <c r="C174" s="284"/>
      <c r="D174" s="1253" t="s">
        <v>7600</v>
      </c>
      <c r="E174" s="1253"/>
      <c r="F174" s="1253"/>
      <c r="G174" s="1253"/>
      <c r="H174" s="1253"/>
      <c r="I174" s="1253"/>
      <c r="J174" s="1253"/>
      <c r="K174" s="302" t="s">
        <v>5070</v>
      </c>
      <c r="M174" s="959"/>
      <c r="N174" s="959"/>
      <c r="S174" s="301"/>
    </row>
    <row r="175" spans="1:19" ht="15.75" customHeight="1" x14ac:dyDescent="0.3">
      <c r="A175" s="283"/>
      <c r="B175" s="284"/>
      <c r="C175" s="284"/>
      <c r="D175" s="1265" t="s">
        <v>7601</v>
      </c>
      <c r="E175" s="1265"/>
      <c r="F175" s="1265"/>
      <c r="G175" s="1265"/>
      <c r="H175" s="1265"/>
      <c r="I175" s="1265"/>
      <c r="J175" s="1265"/>
      <c r="K175" s="302" t="s">
        <v>5125</v>
      </c>
      <c r="M175" s="959"/>
      <c r="N175" s="959"/>
      <c r="S175" s="301"/>
    </row>
    <row r="176" spans="1:19" ht="15.75" customHeight="1" x14ac:dyDescent="0.3">
      <c r="A176" s="283"/>
      <c r="B176" s="284"/>
      <c r="C176" s="284"/>
      <c r="D176" s="339"/>
      <c r="E176" s="789"/>
      <c r="F176" s="789"/>
      <c r="H176" s="789"/>
      <c r="I176" s="789"/>
      <c r="K176" s="302" t="s">
        <v>5070</v>
      </c>
      <c r="M176" s="959"/>
      <c r="N176" s="959"/>
      <c r="S176" s="301"/>
    </row>
    <row r="177" spans="1:19" ht="63" customHeight="1" x14ac:dyDescent="0.3">
      <c r="A177" s="283"/>
      <c r="B177" s="284"/>
      <c r="C177" s="284"/>
      <c r="D177" s="1245" t="s">
        <v>7602</v>
      </c>
      <c r="E177" s="1245"/>
      <c r="F177" s="1245"/>
      <c r="G177" s="1245"/>
      <c r="H177" s="1245"/>
      <c r="I177" s="1245"/>
      <c r="J177" s="1245"/>
      <c r="K177" s="302" t="s">
        <v>5070</v>
      </c>
      <c r="M177" s="959"/>
      <c r="N177" s="959"/>
      <c r="S177" s="301"/>
    </row>
    <row r="178" spans="1:19" ht="15.75" customHeight="1" x14ac:dyDescent="0.3">
      <c r="A178" s="283"/>
      <c r="B178" s="284"/>
      <c r="C178" s="284"/>
      <c r="D178" s="789"/>
      <c r="E178" s="789"/>
      <c r="F178" s="789"/>
      <c r="H178" s="789"/>
      <c r="I178" s="789"/>
      <c r="K178" s="302" t="s">
        <v>5070</v>
      </c>
      <c r="M178" s="959"/>
      <c r="N178" s="959"/>
      <c r="S178" s="301"/>
    </row>
    <row r="179" spans="1:19" ht="15.75" customHeight="1" x14ac:dyDescent="0.3">
      <c r="A179" s="283"/>
      <c r="B179" s="284"/>
      <c r="C179" s="284"/>
      <c r="D179" s="340" t="s">
        <v>7603</v>
      </c>
      <c r="E179" s="341"/>
      <c r="F179" s="341"/>
      <c r="G179" s="342"/>
      <c r="H179" s="343"/>
      <c r="I179" s="343"/>
      <c r="J179" s="289"/>
      <c r="K179" s="302" t="s">
        <v>5125</v>
      </c>
      <c r="M179" s="959"/>
      <c r="N179" s="959"/>
      <c r="S179" s="301"/>
    </row>
    <row r="180" spans="1:19" ht="52.55" customHeight="1" x14ac:dyDescent="0.3">
      <c r="A180" s="283"/>
      <c r="B180" s="284"/>
      <c r="C180" s="284"/>
      <c r="D180" s="1246" t="s">
        <v>7604</v>
      </c>
      <c r="E180" s="1246"/>
      <c r="F180" s="1246"/>
      <c r="G180" s="1246"/>
      <c r="H180" s="1246"/>
      <c r="I180" s="1246"/>
      <c r="J180" s="1246"/>
      <c r="K180" s="302" t="s">
        <v>5070</v>
      </c>
      <c r="M180" s="959"/>
      <c r="N180" s="959"/>
      <c r="S180" s="301"/>
    </row>
    <row r="181" spans="1:19" ht="52.55" customHeight="1" x14ac:dyDescent="0.3">
      <c r="A181" s="283"/>
      <c r="B181" s="284"/>
      <c r="C181" s="284"/>
      <c r="D181" s="1246" t="s">
        <v>7605</v>
      </c>
      <c r="E181" s="1246"/>
      <c r="F181" s="1246"/>
      <c r="G181" s="1246"/>
      <c r="H181" s="1246"/>
      <c r="I181" s="1246"/>
      <c r="J181" s="1246"/>
      <c r="K181" s="302" t="s">
        <v>5070</v>
      </c>
      <c r="M181" s="959"/>
      <c r="N181" s="959"/>
      <c r="S181" s="301"/>
    </row>
    <row r="182" spans="1:19" ht="15.75" customHeight="1" x14ac:dyDescent="0.3">
      <c r="A182" s="283"/>
      <c r="B182" s="284"/>
      <c r="C182" s="284"/>
      <c r="D182" s="789"/>
      <c r="E182" s="789"/>
      <c r="F182" s="789"/>
      <c r="H182" s="789"/>
      <c r="I182" s="789"/>
      <c r="K182" s="302" t="s">
        <v>5070</v>
      </c>
      <c r="M182" s="959"/>
      <c r="N182" s="959"/>
      <c r="S182" s="301"/>
    </row>
    <row r="183" spans="1:19" ht="15.75" customHeight="1" x14ac:dyDescent="0.3">
      <c r="A183" s="283"/>
      <c r="B183" s="284"/>
      <c r="C183" s="284"/>
      <c r="D183" s="340" t="s">
        <v>7606</v>
      </c>
      <c r="E183" s="344"/>
      <c r="F183" s="344"/>
      <c r="G183" s="345"/>
      <c r="H183" s="344"/>
      <c r="I183" s="344"/>
      <c r="J183" s="346"/>
      <c r="K183" s="302" t="s">
        <v>5125</v>
      </c>
      <c r="M183" s="959"/>
      <c r="N183" s="959"/>
      <c r="S183" s="301"/>
    </row>
    <row r="184" spans="1:19" ht="39.799999999999997" customHeight="1" x14ac:dyDescent="0.3">
      <c r="A184" s="283"/>
      <c r="B184" s="284"/>
      <c r="C184" s="284"/>
      <c r="D184" s="1263" t="s">
        <v>7607</v>
      </c>
      <c r="E184" s="1263"/>
      <c r="F184" s="1263"/>
      <c r="G184" s="1263"/>
      <c r="H184" s="1263"/>
      <c r="I184" s="1263"/>
      <c r="J184" s="1263"/>
      <c r="K184" s="302" t="s">
        <v>5070</v>
      </c>
      <c r="M184" s="959"/>
      <c r="N184" s="959"/>
      <c r="S184" s="301"/>
    </row>
    <row r="185" spans="1:19" ht="15.75" customHeight="1" x14ac:dyDescent="0.3">
      <c r="A185" s="283"/>
      <c r="B185" s="284"/>
      <c r="C185" s="284"/>
      <c r="H185" s="789"/>
      <c r="I185" s="789"/>
      <c r="K185" s="302" t="s">
        <v>5070</v>
      </c>
      <c r="M185" s="959"/>
      <c r="N185" s="959"/>
      <c r="S185" s="301"/>
    </row>
    <row r="186" spans="1:19" ht="15.75" customHeight="1" x14ac:dyDescent="0.3">
      <c r="A186" s="1183">
        <f>$A$84</f>
        <v>2</v>
      </c>
      <c r="B186" s="1183">
        <f>$B$98</f>
        <v>2</v>
      </c>
      <c r="C186" s="1197">
        <f>IF(K186="ukryj",C148,C148+1)</f>
        <v>5</v>
      </c>
      <c r="D186" s="1235" t="s">
        <v>7608</v>
      </c>
      <c r="E186" s="1235"/>
      <c r="F186" s="1235"/>
      <c r="G186" s="1235"/>
      <c r="H186" s="1235"/>
      <c r="I186" s="1235"/>
      <c r="J186" s="1235"/>
      <c r="K186" s="302" t="s">
        <v>5070</v>
      </c>
      <c r="M186" s="959"/>
      <c r="N186" s="959"/>
      <c r="S186" s="301"/>
    </row>
    <row r="187" spans="1:19" ht="15.75" customHeight="1" x14ac:dyDescent="0.3">
      <c r="A187" s="283"/>
      <c r="B187" s="284"/>
      <c r="C187" s="284"/>
      <c r="D187" s="789"/>
      <c r="E187" s="789"/>
      <c r="F187" s="789"/>
      <c r="H187" s="789"/>
      <c r="I187" s="789"/>
      <c r="K187" s="302" t="s">
        <v>5070</v>
      </c>
      <c r="M187" s="959"/>
      <c r="N187" s="959"/>
      <c r="S187" s="301"/>
    </row>
    <row r="188" spans="1:19" ht="31.6" customHeight="1" x14ac:dyDescent="0.3">
      <c r="A188" s="283"/>
      <c r="B188" s="284"/>
      <c r="C188" s="284"/>
      <c r="D188" s="1245" t="s">
        <v>7609</v>
      </c>
      <c r="E188" s="1245"/>
      <c r="F188" s="1245"/>
      <c r="G188" s="1245"/>
      <c r="H188" s="1245"/>
      <c r="I188" s="1245"/>
      <c r="J188" s="1245"/>
      <c r="K188" s="302" t="s">
        <v>5070</v>
      </c>
      <c r="M188" s="959"/>
      <c r="N188" s="959"/>
      <c r="S188" s="301"/>
    </row>
    <row r="189" spans="1:19" ht="15.75" customHeight="1" x14ac:dyDescent="0.3">
      <c r="A189" s="283"/>
      <c r="B189" s="284"/>
      <c r="C189" s="284"/>
      <c r="D189" s="789"/>
      <c r="E189" s="789"/>
      <c r="F189" s="789"/>
      <c r="H189" s="789"/>
      <c r="I189" s="789"/>
      <c r="K189" s="302" t="s">
        <v>5070</v>
      </c>
      <c r="M189" s="959"/>
      <c r="N189" s="959"/>
      <c r="S189" s="301"/>
    </row>
    <row r="190" spans="1:19" ht="15.75" customHeight="1" x14ac:dyDescent="0.3">
      <c r="A190" s="283"/>
      <c r="B190" s="284"/>
      <c r="C190" s="284"/>
      <c r="D190" s="1258" t="s">
        <v>7610</v>
      </c>
      <c r="E190" s="1258"/>
      <c r="F190" s="1258"/>
      <c r="G190" s="1258"/>
      <c r="H190" s="1258"/>
      <c r="I190" s="1258"/>
      <c r="J190" s="1258"/>
      <c r="K190" s="302" t="s">
        <v>5070</v>
      </c>
      <c r="M190" s="959"/>
      <c r="N190" s="959"/>
      <c r="S190" s="301"/>
    </row>
    <row r="191" spans="1:19" ht="15.75" customHeight="1" x14ac:dyDescent="0.3">
      <c r="A191" s="283"/>
      <c r="B191" s="284"/>
      <c r="C191" s="284"/>
      <c r="D191" s="789"/>
      <c r="E191" s="789"/>
      <c r="F191" s="789"/>
      <c r="H191" s="789"/>
      <c r="I191" s="789"/>
      <c r="K191" s="302" t="s">
        <v>5070</v>
      </c>
      <c r="M191" s="959"/>
      <c r="N191" s="959"/>
      <c r="S191" s="301"/>
    </row>
    <row r="192" spans="1:19" ht="31.6" customHeight="1" x14ac:dyDescent="0.3">
      <c r="A192" s="283"/>
      <c r="B192" s="284"/>
      <c r="C192" s="284"/>
      <c r="D192" s="1245" t="s">
        <v>7611</v>
      </c>
      <c r="E192" s="1245"/>
      <c r="F192" s="1245"/>
      <c r="G192" s="1245"/>
      <c r="H192" s="1245"/>
      <c r="I192" s="1245"/>
      <c r="J192" s="1245"/>
      <c r="K192" s="302" t="s">
        <v>5070</v>
      </c>
      <c r="M192" s="959"/>
      <c r="N192" s="959"/>
      <c r="S192" s="301"/>
    </row>
    <row r="193" spans="1:19" ht="15.75" customHeight="1" x14ac:dyDescent="0.3">
      <c r="A193" s="283"/>
      <c r="B193" s="284"/>
      <c r="C193" s="284"/>
      <c r="D193" s="789"/>
      <c r="E193" s="789"/>
      <c r="F193" s="789"/>
      <c r="H193" s="789"/>
      <c r="I193" s="789"/>
      <c r="K193" s="302" t="s">
        <v>5070</v>
      </c>
      <c r="M193" s="959"/>
      <c r="N193" s="959"/>
      <c r="S193" s="301"/>
    </row>
    <row r="194" spans="1:19" ht="31.6" customHeight="1" x14ac:dyDescent="0.3">
      <c r="A194" s="283"/>
      <c r="B194" s="284"/>
      <c r="C194" s="284"/>
      <c r="D194" s="1245" t="s">
        <v>7612</v>
      </c>
      <c r="E194" s="1245"/>
      <c r="F194" s="1245"/>
      <c r="G194" s="1245"/>
      <c r="H194" s="1245"/>
      <c r="I194" s="1245"/>
      <c r="J194" s="1245"/>
      <c r="K194" s="302" t="s">
        <v>5070</v>
      </c>
      <c r="M194" s="959"/>
      <c r="N194" s="959"/>
      <c r="S194" s="301"/>
    </row>
    <row r="195" spans="1:19" ht="15.75" customHeight="1" x14ac:dyDescent="0.3">
      <c r="A195" s="283"/>
      <c r="B195" s="284"/>
      <c r="C195" s="284"/>
      <c r="D195" s="789"/>
      <c r="E195" s="789"/>
      <c r="F195" s="789"/>
      <c r="H195" s="789"/>
      <c r="I195" s="789"/>
      <c r="K195" s="302" t="s">
        <v>5070</v>
      </c>
      <c r="M195" s="959"/>
      <c r="N195" s="959"/>
      <c r="S195" s="301"/>
    </row>
    <row r="196" spans="1:19" ht="121.6" customHeight="1" x14ac:dyDescent="0.3">
      <c r="A196" s="283"/>
      <c r="B196" s="284"/>
      <c r="C196" s="284"/>
      <c r="D196" s="1245" t="s">
        <v>7613</v>
      </c>
      <c r="E196" s="1245"/>
      <c r="F196" s="1245"/>
      <c r="G196" s="1245"/>
      <c r="H196" s="1245"/>
      <c r="I196" s="1245"/>
      <c r="J196" s="1245"/>
      <c r="K196" s="302" t="s">
        <v>5070</v>
      </c>
      <c r="M196" s="959"/>
      <c r="N196" s="959"/>
      <c r="S196" s="301"/>
    </row>
    <row r="197" spans="1:19" ht="15.75" customHeight="1" x14ac:dyDescent="0.3">
      <c r="A197" s="283"/>
      <c r="B197" s="284"/>
      <c r="C197" s="284"/>
      <c r="D197" s="789"/>
      <c r="E197" s="789"/>
      <c r="F197" s="789"/>
      <c r="H197" s="789"/>
      <c r="I197" s="789"/>
      <c r="K197" s="302" t="s">
        <v>5070</v>
      </c>
      <c r="M197" s="959"/>
      <c r="N197" s="959"/>
      <c r="S197" s="301"/>
    </row>
    <row r="198" spans="1:19" ht="15.75" customHeight="1" x14ac:dyDescent="0.3">
      <c r="A198" s="283"/>
      <c r="B198" s="284"/>
      <c r="C198" s="284"/>
      <c r="D198" s="1245" t="s">
        <v>7614</v>
      </c>
      <c r="E198" s="1245"/>
      <c r="F198" s="1245"/>
      <c r="G198" s="1245"/>
      <c r="H198" s="1245"/>
      <c r="I198" s="1245"/>
      <c r="J198" s="1245"/>
      <c r="K198" s="302" t="s">
        <v>5070</v>
      </c>
      <c r="M198" s="959"/>
      <c r="N198" s="959"/>
      <c r="S198" s="301"/>
    </row>
    <row r="199" spans="1:19" ht="15.75" customHeight="1" x14ac:dyDescent="0.3">
      <c r="A199" s="283"/>
      <c r="B199" s="284"/>
      <c r="C199" s="284"/>
      <c r="D199" s="790"/>
      <c r="E199" s="790"/>
      <c r="F199" s="790"/>
      <c r="G199" s="790"/>
      <c r="H199" s="790"/>
      <c r="I199" s="790"/>
      <c r="J199" s="790"/>
      <c r="K199" s="302" t="s">
        <v>5070</v>
      </c>
      <c r="M199" s="959"/>
      <c r="N199" s="959"/>
      <c r="S199" s="301"/>
    </row>
    <row r="200" spans="1:19" ht="91.5" customHeight="1" x14ac:dyDescent="0.3">
      <c r="A200" s="283"/>
      <c r="B200" s="284"/>
      <c r="C200" s="284"/>
      <c r="D200" s="1245" t="s">
        <v>7615</v>
      </c>
      <c r="E200" s="1245"/>
      <c r="F200" s="1245"/>
      <c r="G200" s="1245"/>
      <c r="H200" s="1245"/>
      <c r="I200" s="1245"/>
      <c r="J200" s="1245"/>
      <c r="K200" s="302" t="s">
        <v>5070</v>
      </c>
      <c r="M200" s="959"/>
      <c r="N200" s="959"/>
      <c r="S200" s="301"/>
    </row>
    <row r="201" spans="1:19" x14ac:dyDescent="0.3">
      <c r="A201" s="283"/>
      <c r="B201" s="284"/>
      <c r="C201" s="284"/>
      <c r="D201" s="790"/>
      <c r="E201" s="790"/>
      <c r="F201" s="790"/>
      <c r="G201" s="790"/>
      <c r="H201" s="790"/>
      <c r="I201" s="790"/>
      <c r="J201" s="790"/>
      <c r="K201" s="302" t="s">
        <v>5070</v>
      </c>
      <c r="M201" s="959"/>
      <c r="N201" s="959"/>
      <c r="S201" s="301"/>
    </row>
    <row r="202" spans="1:19" ht="15.75" customHeight="1" x14ac:dyDescent="0.3">
      <c r="A202" s="283"/>
      <c r="B202" s="284"/>
      <c r="C202" s="284"/>
      <c r="D202" s="1261" t="s">
        <v>7616</v>
      </c>
      <c r="E202" s="1262"/>
      <c r="F202" s="1262"/>
      <c r="G202" s="1262"/>
      <c r="H202" s="1262"/>
      <c r="I202" s="1262"/>
      <c r="J202" s="1262"/>
      <c r="K202" s="302" t="s">
        <v>5070</v>
      </c>
      <c r="M202" s="959"/>
      <c r="N202" s="959"/>
      <c r="S202" s="301"/>
    </row>
    <row r="203" spans="1:19" ht="15.75" customHeight="1" x14ac:dyDescent="0.3">
      <c r="A203" s="283"/>
      <c r="B203" s="284"/>
      <c r="C203" s="284"/>
      <c r="D203" s="790"/>
      <c r="E203" s="790"/>
      <c r="F203" s="790"/>
      <c r="G203" s="790"/>
      <c r="H203" s="790"/>
      <c r="I203" s="790"/>
      <c r="J203" s="790"/>
      <c r="K203" s="302" t="s">
        <v>5070</v>
      </c>
      <c r="M203" s="959"/>
      <c r="N203" s="959"/>
      <c r="S203" s="301"/>
    </row>
    <row r="204" spans="1:19" ht="15.75" customHeight="1" x14ac:dyDescent="0.3">
      <c r="A204" s="1183">
        <f>$A$84</f>
        <v>2</v>
      </c>
      <c r="B204" s="1183">
        <f>$B$98</f>
        <v>2</v>
      </c>
      <c r="C204" s="1197">
        <f>IF(K204="ukryj",C186,C186+1)</f>
        <v>6</v>
      </c>
      <c r="D204" s="1235" t="s">
        <v>7617</v>
      </c>
      <c r="E204" s="1235"/>
      <c r="F204" s="1235"/>
      <c r="G204" s="1235"/>
      <c r="H204" s="1235"/>
      <c r="I204" s="1235"/>
      <c r="J204" s="1235"/>
      <c r="K204" s="302" t="s">
        <v>5070</v>
      </c>
      <c r="M204" s="959"/>
      <c r="N204" s="959"/>
      <c r="S204" s="301"/>
    </row>
    <row r="205" spans="1:19" ht="15.75" customHeight="1" x14ac:dyDescent="0.3">
      <c r="A205" s="283"/>
      <c r="B205" s="284"/>
      <c r="C205" s="284"/>
      <c r="D205" s="789"/>
      <c r="E205" s="789"/>
      <c r="F205" s="789"/>
      <c r="H205" s="789"/>
      <c r="I205" s="789"/>
      <c r="K205" s="302" t="s">
        <v>5070</v>
      </c>
      <c r="M205" s="959"/>
      <c r="N205" s="959"/>
      <c r="S205" s="301"/>
    </row>
    <row r="206" spans="1:19" ht="15.75" customHeight="1" x14ac:dyDescent="0.3">
      <c r="A206" s="283"/>
      <c r="B206" s="284"/>
      <c r="C206" s="284"/>
      <c r="D206" s="1253" t="s">
        <v>7618</v>
      </c>
      <c r="E206" s="1253"/>
      <c r="F206" s="1253"/>
      <c r="G206" s="1253"/>
      <c r="H206" s="1253"/>
      <c r="I206" s="1253"/>
      <c r="J206" s="1253"/>
      <c r="K206" s="302" t="s">
        <v>5070</v>
      </c>
      <c r="M206" s="959"/>
      <c r="N206" s="959"/>
      <c r="S206" s="301"/>
    </row>
    <row r="207" spans="1:19" ht="15.75" customHeight="1" x14ac:dyDescent="0.3">
      <c r="A207" s="283"/>
      <c r="B207" s="284"/>
      <c r="C207" s="284"/>
      <c r="D207" s="339"/>
      <c r="E207" s="789"/>
      <c r="F207" s="789"/>
      <c r="H207" s="789"/>
      <c r="I207" s="789"/>
      <c r="K207" s="302" t="s">
        <v>5070</v>
      </c>
      <c r="M207" s="959"/>
      <c r="N207" s="959"/>
      <c r="S207" s="301"/>
    </row>
    <row r="208" spans="1:19" ht="31.6" customHeight="1" x14ac:dyDescent="0.3">
      <c r="A208" s="283"/>
      <c r="B208" s="284"/>
      <c r="C208" s="284"/>
      <c r="D208" s="1245" t="s">
        <v>7619</v>
      </c>
      <c r="E208" s="1245"/>
      <c r="F208" s="1245"/>
      <c r="G208" s="1245"/>
      <c r="H208" s="1245"/>
      <c r="I208" s="1245"/>
      <c r="J208" s="1245"/>
      <c r="K208" s="302" t="s">
        <v>5070</v>
      </c>
      <c r="M208" s="959"/>
      <c r="N208" s="959"/>
      <c r="S208" s="301"/>
    </row>
    <row r="209" spans="1:19" ht="15.75" customHeight="1" x14ac:dyDescent="0.3">
      <c r="A209" s="283"/>
      <c r="B209" s="284"/>
      <c r="C209" s="284"/>
      <c r="D209" s="789"/>
      <c r="E209" s="789"/>
      <c r="F209" s="789"/>
      <c r="H209" s="789"/>
      <c r="I209" s="789"/>
      <c r="K209" s="302" t="s">
        <v>5070</v>
      </c>
      <c r="M209" s="959"/>
      <c r="N209" s="959"/>
      <c r="S209" s="301"/>
    </row>
    <row r="210" spans="1:19" ht="47.3" customHeight="1" x14ac:dyDescent="0.3">
      <c r="A210" s="283"/>
      <c r="B210" s="284"/>
      <c r="C210" s="284"/>
      <c r="D210" s="1245" t="s">
        <v>7620</v>
      </c>
      <c r="E210" s="1245"/>
      <c r="F210" s="1245"/>
      <c r="G210" s="1245"/>
      <c r="H210" s="1245"/>
      <c r="I210" s="1245"/>
      <c r="J210" s="1245"/>
      <c r="K210" s="302" t="s">
        <v>5070</v>
      </c>
      <c r="M210" s="959"/>
      <c r="N210" s="959"/>
      <c r="S210" s="301"/>
    </row>
    <row r="211" spans="1:19" ht="15.75" customHeight="1" x14ac:dyDescent="0.3">
      <c r="A211" s="283"/>
      <c r="B211" s="284"/>
      <c r="C211" s="284"/>
      <c r="D211" s="790"/>
      <c r="E211" s="790"/>
      <c r="F211" s="790"/>
      <c r="G211" s="790"/>
      <c r="H211" s="790"/>
      <c r="I211" s="790"/>
      <c r="J211" s="790"/>
      <c r="K211" s="302" t="s">
        <v>5070</v>
      </c>
      <c r="M211" s="959"/>
      <c r="N211" s="959"/>
      <c r="S211" s="301"/>
    </row>
    <row r="212" spans="1:19" ht="19.5" customHeight="1" x14ac:dyDescent="0.3">
      <c r="A212" s="283"/>
      <c r="B212" s="284"/>
      <c r="C212" s="284"/>
      <c r="D212" s="1245" t="s">
        <v>7621</v>
      </c>
      <c r="E212" s="1245"/>
      <c r="F212" s="1245"/>
      <c r="G212" s="1245"/>
      <c r="H212" s="1245"/>
      <c r="I212" s="1245"/>
      <c r="J212" s="1245"/>
      <c r="K212" s="302" t="s">
        <v>5070</v>
      </c>
      <c r="M212" s="959"/>
      <c r="N212" s="959"/>
      <c r="S212" s="301"/>
    </row>
    <row r="213" spans="1:19" ht="47.3" customHeight="1" x14ac:dyDescent="0.3">
      <c r="A213" s="283"/>
      <c r="B213" s="284"/>
      <c r="C213" s="284"/>
      <c r="D213" s="788" t="s">
        <v>7525</v>
      </c>
      <c r="E213" s="1245" t="s">
        <v>7622</v>
      </c>
      <c r="F213" s="1245"/>
      <c r="G213" s="1245"/>
      <c r="H213" s="1245"/>
      <c r="I213" s="1245"/>
      <c r="J213" s="1245"/>
      <c r="K213" s="302" t="s">
        <v>5070</v>
      </c>
      <c r="M213" s="959"/>
      <c r="N213" s="959"/>
      <c r="S213" s="301"/>
    </row>
    <row r="214" spans="1:19" ht="47.3" customHeight="1" x14ac:dyDescent="0.3">
      <c r="A214" s="283"/>
      <c r="B214" s="284"/>
      <c r="C214" s="284"/>
      <c r="D214" s="788" t="s">
        <v>7525</v>
      </c>
      <c r="E214" s="1245" t="s">
        <v>7623</v>
      </c>
      <c r="F214" s="1245"/>
      <c r="G214" s="1245"/>
      <c r="H214" s="1245"/>
      <c r="I214" s="1245"/>
      <c r="J214" s="1245"/>
      <c r="K214" s="302" t="s">
        <v>5070</v>
      </c>
      <c r="M214" s="959"/>
      <c r="N214" s="959"/>
      <c r="S214" s="301"/>
    </row>
    <row r="215" spans="1:19" ht="47.3" customHeight="1" x14ac:dyDescent="0.3">
      <c r="A215" s="283"/>
      <c r="B215" s="284"/>
      <c r="C215" s="284"/>
      <c r="D215" s="788" t="s">
        <v>7525</v>
      </c>
      <c r="E215" s="1245" t="s">
        <v>7624</v>
      </c>
      <c r="F215" s="1245"/>
      <c r="G215" s="1245"/>
      <c r="H215" s="1245"/>
      <c r="I215" s="1245"/>
      <c r="J215" s="1245"/>
      <c r="K215" s="302" t="s">
        <v>5070</v>
      </c>
      <c r="M215" s="959"/>
      <c r="N215" s="959"/>
      <c r="S215" s="301"/>
    </row>
    <row r="216" spans="1:19" ht="47.3" customHeight="1" x14ac:dyDescent="0.3">
      <c r="A216" s="283"/>
      <c r="B216" s="284"/>
      <c r="C216" s="284"/>
      <c r="D216" s="788" t="s">
        <v>7525</v>
      </c>
      <c r="E216" s="1245" t="s">
        <v>7625</v>
      </c>
      <c r="F216" s="1245"/>
      <c r="G216" s="1245"/>
      <c r="H216" s="1245"/>
      <c r="I216" s="1245"/>
      <c r="J216" s="1245"/>
      <c r="K216" s="302" t="s">
        <v>5070</v>
      </c>
      <c r="M216" s="959"/>
      <c r="N216" s="959"/>
      <c r="S216" s="301"/>
    </row>
    <row r="217" spans="1:19" ht="63" customHeight="1" x14ac:dyDescent="0.3">
      <c r="A217" s="283"/>
      <c r="B217" s="284"/>
      <c r="C217" s="284"/>
      <c r="D217" s="788" t="s">
        <v>7525</v>
      </c>
      <c r="E217" s="1245" t="s">
        <v>7626</v>
      </c>
      <c r="F217" s="1245"/>
      <c r="G217" s="1245"/>
      <c r="H217" s="1245"/>
      <c r="I217" s="1245"/>
      <c r="J217" s="1245"/>
      <c r="K217" s="302" t="s">
        <v>5070</v>
      </c>
      <c r="M217" s="959"/>
      <c r="N217" s="959"/>
      <c r="S217" s="301"/>
    </row>
    <row r="218" spans="1:19" ht="15.75" customHeight="1" x14ac:dyDescent="0.3">
      <c r="A218" s="283"/>
      <c r="B218" s="284"/>
      <c r="C218" s="284"/>
      <c r="D218" s="790"/>
      <c r="E218" s="790"/>
      <c r="F218" s="790"/>
      <c r="G218" s="790"/>
      <c r="H218" s="790"/>
      <c r="I218" s="790"/>
      <c r="J218" s="790"/>
      <c r="K218" s="302" t="s">
        <v>5070</v>
      </c>
      <c r="M218" s="959"/>
      <c r="N218" s="959"/>
      <c r="S218" s="301"/>
    </row>
    <row r="219" spans="1:19" ht="47.3" customHeight="1" x14ac:dyDescent="0.3">
      <c r="A219" s="283"/>
      <c r="B219" s="284"/>
      <c r="C219" s="284"/>
      <c r="D219" s="1260" t="s">
        <v>7627</v>
      </c>
      <c r="E219" s="1260"/>
      <c r="F219" s="1260"/>
      <c r="G219" s="1260"/>
      <c r="H219" s="1260"/>
      <c r="I219" s="1260"/>
      <c r="J219" s="1260"/>
      <c r="K219" s="302" t="s">
        <v>5070</v>
      </c>
      <c r="M219" s="959"/>
      <c r="N219" s="959"/>
      <c r="S219" s="301"/>
    </row>
    <row r="220" spans="1:19" ht="15.75" customHeight="1" x14ac:dyDescent="0.3">
      <c r="A220" s="283"/>
      <c r="B220" s="284"/>
      <c r="C220" s="284"/>
      <c r="D220" s="790"/>
      <c r="E220" s="790"/>
      <c r="F220" s="790"/>
      <c r="G220" s="790"/>
      <c r="H220" s="790"/>
      <c r="I220" s="790"/>
      <c r="J220" s="790"/>
      <c r="K220" s="302" t="s">
        <v>5070</v>
      </c>
      <c r="M220" s="959"/>
      <c r="N220" s="959"/>
      <c r="S220" s="301"/>
    </row>
    <row r="221" spans="1:19" ht="15.75" customHeight="1" x14ac:dyDescent="0.3">
      <c r="A221" s="283"/>
      <c r="B221" s="284"/>
      <c r="C221" s="284"/>
      <c r="D221" s="1253" t="s">
        <v>7628</v>
      </c>
      <c r="E221" s="1253"/>
      <c r="F221" s="1253"/>
      <c r="G221" s="1253"/>
      <c r="H221" s="1253"/>
      <c r="I221" s="1253"/>
      <c r="J221" s="1253"/>
      <c r="K221" s="302" t="s">
        <v>5070</v>
      </c>
      <c r="M221" s="959"/>
      <c r="N221" s="959"/>
      <c r="S221" s="301"/>
    </row>
    <row r="222" spans="1:19" ht="15.75" customHeight="1" x14ac:dyDescent="0.3">
      <c r="A222" s="283"/>
      <c r="B222" s="284"/>
      <c r="C222" s="284"/>
      <c r="D222" s="789"/>
      <c r="E222" s="789"/>
      <c r="F222" s="789"/>
      <c r="H222" s="789"/>
      <c r="I222" s="789"/>
      <c r="K222" s="302" t="s">
        <v>5070</v>
      </c>
      <c r="M222" s="959"/>
      <c r="N222" s="959"/>
      <c r="S222" s="301"/>
    </row>
    <row r="223" spans="1:19" ht="20.3" customHeight="1" x14ac:dyDescent="0.3">
      <c r="A223" s="283"/>
      <c r="B223" s="284"/>
      <c r="C223" s="284"/>
      <c r="D223" s="1245" t="s">
        <v>7629</v>
      </c>
      <c r="E223" s="1245"/>
      <c r="F223" s="1245"/>
      <c r="G223" s="1245"/>
      <c r="H223" s="1245"/>
      <c r="I223" s="1245"/>
      <c r="J223" s="1245"/>
      <c r="K223" s="302" t="s">
        <v>5070</v>
      </c>
      <c r="M223" s="959"/>
      <c r="N223" s="959"/>
      <c r="S223" s="301"/>
    </row>
    <row r="224" spans="1:19" ht="15.75" customHeight="1" x14ac:dyDescent="0.3">
      <c r="A224" s="283"/>
      <c r="B224" s="284"/>
      <c r="C224" s="284"/>
      <c r="D224" s="787"/>
      <c r="E224" s="787"/>
      <c r="F224" s="787"/>
      <c r="G224" s="960"/>
      <c r="H224" s="787"/>
      <c r="I224" s="787"/>
      <c r="J224" s="959"/>
      <c r="K224" s="302" t="s">
        <v>5070</v>
      </c>
      <c r="M224" s="959"/>
      <c r="N224" s="959"/>
      <c r="S224" s="301"/>
    </row>
    <row r="225" spans="1:19" ht="35.200000000000003" customHeight="1" x14ac:dyDescent="0.3">
      <c r="A225" s="283"/>
      <c r="B225" s="284"/>
      <c r="C225" s="284"/>
      <c r="D225" s="1245" t="s">
        <v>7630</v>
      </c>
      <c r="E225" s="1245"/>
      <c r="F225" s="1245"/>
      <c r="G225" s="1245"/>
      <c r="H225" s="1245"/>
      <c r="I225" s="1245"/>
      <c r="J225" s="1245"/>
      <c r="K225" s="302" t="s">
        <v>5070</v>
      </c>
      <c r="M225" s="959"/>
      <c r="N225" s="959"/>
      <c r="S225" s="301"/>
    </row>
    <row r="226" spans="1:19" ht="15.75" customHeight="1" x14ac:dyDescent="0.3">
      <c r="H226" s="789"/>
      <c r="I226" s="789"/>
      <c r="K226" s="302" t="s">
        <v>5070</v>
      </c>
      <c r="M226" s="959"/>
      <c r="N226" s="959"/>
      <c r="S226" s="301"/>
    </row>
    <row r="227" spans="1:19" s="289" customFormat="1" ht="15.75" customHeight="1" x14ac:dyDescent="0.3">
      <c r="A227" s="1183">
        <f>$A$84</f>
        <v>2</v>
      </c>
      <c r="B227" s="1183">
        <f>$B$98</f>
        <v>2</v>
      </c>
      <c r="C227" s="1197">
        <f>IF(K227="ukryj",C204,C204+1)</f>
        <v>7</v>
      </c>
      <c r="D227" s="1235" t="s">
        <v>7631</v>
      </c>
      <c r="E227" s="1235"/>
      <c r="F227" s="1235"/>
      <c r="G227" s="1235"/>
      <c r="H227" s="1235"/>
      <c r="I227" s="1235"/>
      <c r="J227" s="1235"/>
      <c r="K227" s="302" t="s">
        <v>5070</v>
      </c>
      <c r="L227" s="347"/>
      <c r="M227" s="1040"/>
      <c r="N227" s="1040"/>
      <c r="S227" s="301"/>
    </row>
    <row r="228" spans="1:19" s="289" customFormat="1" ht="15.75" customHeight="1" x14ac:dyDescent="0.3">
      <c r="A228" s="283"/>
      <c r="B228" s="284"/>
      <c r="C228" s="284"/>
      <c r="D228" s="789"/>
      <c r="E228" s="789"/>
      <c r="F228" s="789"/>
      <c r="G228" s="789"/>
      <c r="H228" s="789"/>
      <c r="I228" s="789"/>
      <c r="J228" s="789"/>
      <c r="K228" s="302" t="s">
        <v>5070</v>
      </c>
      <c r="L228" s="347"/>
      <c r="M228" s="1040"/>
      <c r="N228" s="1040"/>
      <c r="S228" s="301"/>
    </row>
    <row r="229" spans="1:19" s="289" customFormat="1" ht="47.95" customHeight="1" x14ac:dyDescent="0.3">
      <c r="A229" s="299"/>
      <c r="B229" s="788"/>
      <c r="C229" s="788"/>
      <c r="D229" s="1245" t="s">
        <v>7632</v>
      </c>
      <c r="E229" s="1245"/>
      <c r="F229" s="1245"/>
      <c r="G229" s="1245"/>
      <c r="H229" s="1245"/>
      <c r="I229" s="1245"/>
      <c r="J229" s="1245"/>
      <c r="K229" s="302" t="s">
        <v>5070</v>
      </c>
      <c r="L229" s="347"/>
      <c r="M229" s="1040"/>
      <c r="N229" s="1040"/>
      <c r="S229" s="301"/>
    </row>
    <row r="230" spans="1:19" ht="15.75" customHeight="1" x14ac:dyDescent="0.3">
      <c r="H230" s="789"/>
      <c r="I230" s="789"/>
      <c r="K230" s="302" t="s">
        <v>5070</v>
      </c>
      <c r="M230" s="959"/>
      <c r="N230" s="959"/>
      <c r="S230" s="301"/>
    </row>
    <row r="231" spans="1:19" ht="15.75" customHeight="1" x14ac:dyDescent="0.3">
      <c r="A231" s="1183">
        <f>$A$84</f>
        <v>2</v>
      </c>
      <c r="B231" s="1183">
        <f>$B$98</f>
        <v>2</v>
      </c>
      <c r="C231" s="1197">
        <f>IF(K231="ukryj",C227,C227+1)</f>
        <v>8</v>
      </c>
      <c r="D231" s="1235" t="s">
        <v>7633</v>
      </c>
      <c r="E231" s="1235"/>
      <c r="F231" s="1235"/>
      <c r="G231" s="1235"/>
      <c r="H231" s="1235"/>
      <c r="I231" s="1235"/>
      <c r="J231" s="1235"/>
      <c r="K231" s="302" t="s">
        <v>5070</v>
      </c>
      <c r="M231" s="959"/>
      <c r="N231" s="959"/>
      <c r="S231" s="301"/>
    </row>
    <row r="232" spans="1:19" ht="15.75" customHeight="1" x14ac:dyDescent="0.3">
      <c r="H232" s="789"/>
      <c r="I232" s="789"/>
      <c r="K232" s="302" t="s">
        <v>5070</v>
      </c>
      <c r="M232" s="959"/>
      <c r="N232" s="959"/>
      <c r="S232" s="301"/>
    </row>
    <row r="233" spans="1:19" ht="44.2" customHeight="1" x14ac:dyDescent="0.3">
      <c r="A233" s="283"/>
      <c r="B233" s="284"/>
      <c r="C233" s="284"/>
      <c r="D233" s="1245" t="s">
        <v>7634</v>
      </c>
      <c r="E233" s="1245"/>
      <c r="F233" s="1245"/>
      <c r="G233" s="1245"/>
      <c r="H233" s="1245"/>
      <c r="I233" s="1245"/>
      <c r="J233" s="1245"/>
      <c r="K233" s="302" t="s">
        <v>5070</v>
      </c>
      <c r="M233" s="959"/>
      <c r="N233" s="959"/>
      <c r="S233" s="301"/>
    </row>
    <row r="234" spans="1:19" x14ac:dyDescent="0.3">
      <c r="A234" s="283"/>
      <c r="B234" s="284"/>
      <c r="C234" s="284"/>
      <c r="D234" s="790"/>
      <c r="E234" s="790"/>
      <c r="F234" s="790"/>
      <c r="G234" s="790"/>
      <c r="H234" s="790"/>
      <c r="I234" s="790"/>
      <c r="J234" s="790"/>
      <c r="K234" s="302" t="s">
        <v>5070</v>
      </c>
      <c r="M234" s="959"/>
      <c r="N234" s="959"/>
      <c r="S234" s="301"/>
    </row>
    <row r="235" spans="1:19" ht="15.75" customHeight="1" x14ac:dyDescent="0.3">
      <c r="A235" s="1183">
        <f>$A$84</f>
        <v>2</v>
      </c>
      <c r="B235" s="1183">
        <f>$B$98</f>
        <v>2</v>
      </c>
      <c r="C235" s="1197">
        <f>IF(K235="ukryj",C231,C231+1)</f>
        <v>9</v>
      </c>
      <c r="D235" s="1235" t="s">
        <v>7635</v>
      </c>
      <c r="E235" s="1235"/>
      <c r="F235" s="1235"/>
      <c r="G235" s="1235"/>
      <c r="H235" s="1235"/>
      <c r="I235" s="1235"/>
      <c r="J235" s="1235"/>
      <c r="K235" s="302" t="s">
        <v>5070</v>
      </c>
      <c r="M235" s="959"/>
      <c r="N235" s="959"/>
      <c r="S235" s="301"/>
    </row>
    <row r="236" spans="1:19" ht="15.75" customHeight="1" x14ac:dyDescent="0.3">
      <c r="A236" s="283"/>
      <c r="B236" s="348"/>
      <c r="C236" s="348"/>
      <c r="D236" s="789"/>
      <c r="E236" s="789"/>
      <c r="F236" s="789"/>
      <c r="H236" s="789"/>
      <c r="I236" s="789"/>
      <c r="K236" s="302" t="s">
        <v>5070</v>
      </c>
      <c r="M236" s="959"/>
      <c r="N236" s="959"/>
      <c r="S236" s="301"/>
    </row>
    <row r="237" spans="1:19" ht="31.6" customHeight="1" x14ac:dyDescent="0.3">
      <c r="A237" s="283"/>
      <c r="B237" s="348"/>
      <c r="C237" s="348"/>
      <c r="D237" s="1251" t="s">
        <v>7636</v>
      </c>
      <c r="E237" s="1254"/>
      <c r="F237" s="1254"/>
      <c r="G237" s="1254"/>
      <c r="H237" s="1254"/>
      <c r="I237" s="1254"/>
      <c r="J237" s="1254"/>
      <c r="K237" s="302" t="s">
        <v>5070</v>
      </c>
      <c r="M237" s="959"/>
      <c r="N237" s="959"/>
      <c r="S237" s="301"/>
    </row>
    <row r="238" spans="1:19" ht="15.75" customHeight="1" x14ac:dyDescent="0.3">
      <c r="A238" s="283"/>
      <c r="B238" s="348"/>
      <c r="C238" s="348"/>
      <c r="D238" s="792"/>
      <c r="E238" s="793"/>
      <c r="F238" s="793"/>
      <c r="G238" s="793"/>
      <c r="H238" s="793"/>
      <c r="I238" s="793"/>
      <c r="J238" s="793"/>
      <c r="K238" s="302" t="s">
        <v>5070</v>
      </c>
      <c r="M238" s="959"/>
      <c r="N238" s="959"/>
      <c r="S238" s="301"/>
    </row>
    <row r="239" spans="1:19" ht="15.75" customHeight="1" x14ac:dyDescent="0.3">
      <c r="A239" s="1183">
        <f>$A$84</f>
        <v>2</v>
      </c>
      <c r="B239" s="1183">
        <f>$B$98</f>
        <v>2</v>
      </c>
      <c r="C239" s="1197">
        <f>IF(K239="ukryj",C235,C235+1)</f>
        <v>10</v>
      </c>
      <c r="D239" s="1235" t="s">
        <v>7637</v>
      </c>
      <c r="E239" s="1235"/>
      <c r="F239" s="1235"/>
      <c r="G239" s="1235"/>
      <c r="H239" s="1235"/>
      <c r="I239" s="1235"/>
      <c r="J239" s="1235"/>
      <c r="K239" s="302" t="s">
        <v>5070</v>
      </c>
      <c r="M239" s="959"/>
      <c r="N239" s="959"/>
      <c r="S239" s="301"/>
    </row>
    <row r="240" spans="1:19" ht="15.75" customHeight="1" x14ac:dyDescent="0.3">
      <c r="A240" s="283"/>
      <c r="B240" s="348"/>
      <c r="C240" s="348"/>
      <c r="D240" s="789"/>
      <c r="E240" s="793"/>
      <c r="F240" s="793"/>
      <c r="G240" s="793"/>
      <c r="H240" s="793"/>
      <c r="I240" s="793"/>
      <c r="J240" s="793"/>
      <c r="K240" s="302" t="s">
        <v>5070</v>
      </c>
      <c r="M240" s="959"/>
      <c r="N240" s="959"/>
      <c r="S240" s="301"/>
    </row>
    <row r="241" spans="1:19" ht="15.75" customHeight="1" x14ac:dyDescent="0.3">
      <c r="A241" s="283"/>
      <c r="B241" s="284"/>
      <c r="C241" s="284"/>
      <c r="D241" s="1251" t="s">
        <v>7638</v>
      </c>
      <c r="E241" s="1251"/>
      <c r="F241" s="1251"/>
      <c r="G241" s="1251"/>
      <c r="H241" s="1251"/>
      <c r="I241" s="1251"/>
      <c r="J241" s="1251"/>
      <c r="K241" s="302" t="s">
        <v>5070</v>
      </c>
      <c r="M241" s="959"/>
      <c r="N241" s="959"/>
      <c r="S241" s="301"/>
    </row>
    <row r="242" spans="1:19" ht="31.6" customHeight="1" x14ac:dyDescent="0.3">
      <c r="A242" s="283"/>
      <c r="B242" s="284"/>
      <c r="C242" s="284"/>
      <c r="D242" s="792" t="s">
        <v>7525</v>
      </c>
      <c r="E242" s="1251" t="s">
        <v>7639</v>
      </c>
      <c r="F242" s="1251"/>
      <c r="G242" s="1251"/>
      <c r="H242" s="1251"/>
      <c r="I242" s="1251"/>
      <c r="J242" s="1251"/>
      <c r="K242" s="302" t="s">
        <v>5070</v>
      </c>
      <c r="M242" s="959"/>
      <c r="N242" s="959"/>
      <c r="S242" s="301"/>
    </row>
    <row r="243" spans="1:19" ht="31.6" customHeight="1" x14ac:dyDescent="0.3">
      <c r="A243" s="283"/>
      <c r="B243" s="284"/>
      <c r="C243" s="284"/>
      <c r="D243" s="792" t="s">
        <v>7525</v>
      </c>
      <c r="E243" s="1251" t="s">
        <v>7640</v>
      </c>
      <c r="F243" s="1251"/>
      <c r="G243" s="1251"/>
      <c r="H243" s="1251"/>
      <c r="I243" s="1251"/>
      <c r="J243" s="1251"/>
      <c r="K243" s="302" t="s">
        <v>5070</v>
      </c>
      <c r="M243" s="959"/>
      <c r="N243" s="959"/>
      <c r="S243" s="301"/>
    </row>
    <row r="244" spans="1:19" ht="15.75" customHeight="1" x14ac:dyDescent="0.3">
      <c r="A244" s="283"/>
      <c r="B244" s="284"/>
      <c r="C244" s="284"/>
      <c r="D244" s="792"/>
      <c r="E244" s="793"/>
      <c r="F244" s="793"/>
      <c r="G244" s="793"/>
      <c r="H244" s="793"/>
      <c r="I244" s="793"/>
      <c r="J244" s="793"/>
      <c r="K244" s="302" t="s">
        <v>5070</v>
      </c>
      <c r="M244" s="959"/>
      <c r="N244" s="959"/>
      <c r="S244" s="301"/>
    </row>
    <row r="245" spans="1:19" ht="31.6" customHeight="1" x14ac:dyDescent="0.3">
      <c r="A245" s="283"/>
      <c r="B245" s="284"/>
      <c r="C245" s="284"/>
      <c r="D245" s="1251" t="s">
        <v>7641</v>
      </c>
      <c r="E245" s="1251"/>
      <c r="F245" s="1251"/>
      <c r="G245" s="1251"/>
      <c r="H245" s="1251"/>
      <c r="I245" s="1251"/>
      <c r="J245" s="1251"/>
      <c r="K245" s="302" t="s">
        <v>5070</v>
      </c>
      <c r="M245" s="959"/>
      <c r="N245" s="959"/>
      <c r="S245" s="301"/>
    </row>
    <row r="246" spans="1:19" ht="34.549999999999997" customHeight="1" x14ac:dyDescent="0.3">
      <c r="A246" s="283"/>
      <c r="B246" s="284"/>
      <c r="C246" s="284"/>
      <c r="D246" s="1251" t="s">
        <v>7642</v>
      </c>
      <c r="E246" s="1251"/>
      <c r="F246" s="1251"/>
      <c r="G246" s="1251"/>
      <c r="H246" s="1251"/>
      <c r="I246" s="1251"/>
      <c r="J246" s="1251"/>
      <c r="K246" s="302" t="s">
        <v>5070</v>
      </c>
      <c r="L246" s="1039"/>
      <c r="M246" s="1041"/>
      <c r="N246" s="1041"/>
      <c r="O246" s="1039"/>
      <c r="P246" s="1039"/>
      <c r="Q246" s="1039"/>
      <c r="R246" s="1039"/>
      <c r="S246" s="301"/>
    </row>
    <row r="247" spans="1:19" x14ac:dyDescent="0.3">
      <c r="A247" s="283"/>
      <c r="B247" s="284"/>
      <c r="C247" s="284"/>
      <c r="D247" s="792"/>
      <c r="E247" s="792"/>
      <c r="F247" s="792"/>
      <c r="G247" s="792"/>
      <c r="H247" s="792"/>
      <c r="I247" s="792"/>
      <c r="J247" s="792"/>
      <c r="K247" s="302" t="s">
        <v>5070</v>
      </c>
      <c r="L247" s="1039"/>
      <c r="M247" s="1041"/>
      <c r="N247" s="1041"/>
      <c r="O247" s="1039"/>
      <c r="P247" s="1039"/>
      <c r="Q247" s="1039"/>
      <c r="R247" s="1039"/>
      <c r="S247" s="301"/>
    </row>
    <row r="248" spans="1:19" ht="34.549999999999997" customHeight="1" x14ac:dyDescent="0.3">
      <c r="A248" s="283"/>
      <c r="B248" s="284"/>
      <c r="C248" s="284"/>
      <c r="D248" s="1251" t="s">
        <v>7643</v>
      </c>
      <c r="E248" s="1254"/>
      <c r="F248" s="1254"/>
      <c r="G248" s="1254"/>
      <c r="H248" s="1254"/>
      <c r="I248" s="1254"/>
      <c r="J248" s="1254"/>
      <c r="K248" s="302" t="s">
        <v>5070</v>
      </c>
      <c r="M248" s="959"/>
      <c r="N248" s="959"/>
      <c r="S248" s="301"/>
    </row>
    <row r="249" spans="1:19" ht="15.75" customHeight="1" x14ac:dyDescent="0.3">
      <c r="A249" s="283"/>
      <c r="B249" s="284"/>
      <c r="C249" s="284"/>
      <c r="D249" s="789"/>
      <c r="E249" s="789"/>
      <c r="F249" s="789"/>
      <c r="H249" s="789"/>
      <c r="I249" s="789"/>
      <c r="K249" s="302" t="s">
        <v>5070</v>
      </c>
      <c r="M249" s="959"/>
      <c r="N249" s="959"/>
      <c r="S249" s="301"/>
    </row>
    <row r="250" spans="1:19" ht="15.75" customHeight="1" x14ac:dyDescent="0.3">
      <c r="A250" s="1183">
        <f>$A$84</f>
        <v>2</v>
      </c>
      <c r="B250" s="1183">
        <f>$B$98</f>
        <v>2</v>
      </c>
      <c r="C250" s="1197">
        <f>IF(K250="ukryj",C239,C239+1)</f>
        <v>11</v>
      </c>
      <c r="D250" s="1235" t="s">
        <v>7644</v>
      </c>
      <c r="E250" s="1235"/>
      <c r="F250" s="1235"/>
      <c r="G250" s="1235"/>
      <c r="H250" s="1235"/>
      <c r="I250" s="1235"/>
      <c r="J250" s="1235"/>
      <c r="K250" s="302" t="s">
        <v>5070</v>
      </c>
      <c r="M250" s="959"/>
      <c r="N250" s="959"/>
      <c r="S250" s="301"/>
    </row>
    <row r="251" spans="1:19" ht="15.75" customHeight="1" x14ac:dyDescent="0.3">
      <c r="A251" s="283"/>
      <c r="B251" s="284"/>
      <c r="C251" s="284"/>
      <c r="D251" s="789"/>
      <c r="E251" s="789"/>
      <c r="F251" s="789"/>
      <c r="H251" s="789"/>
      <c r="I251" s="789"/>
      <c r="K251" s="302" t="s">
        <v>5070</v>
      </c>
      <c r="M251" s="959"/>
      <c r="N251" s="959"/>
      <c r="S251" s="301"/>
    </row>
    <row r="252" spans="1:19" ht="15.75" customHeight="1" x14ac:dyDescent="0.3">
      <c r="A252" s="283"/>
      <c r="B252" s="284"/>
      <c r="C252" s="284"/>
      <c r="D252" s="1258" t="s">
        <v>7645</v>
      </c>
      <c r="E252" s="1258"/>
      <c r="F252" s="1258"/>
      <c r="G252" s="1258"/>
      <c r="H252" s="1258"/>
      <c r="I252" s="1258"/>
      <c r="J252" s="1258"/>
      <c r="K252" s="302" t="s">
        <v>5070</v>
      </c>
      <c r="M252" s="959"/>
      <c r="N252" s="959"/>
      <c r="S252" s="301"/>
    </row>
    <row r="253" spans="1:19" ht="31.6" customHeight="1" x14ac:dyDescent="0.3">
      <c r="A253" s="283"/>
      <c r="B253" s="284"/>
      <c r="C253" s="284"/>
      <c r="D253" s="789" t="s">
        <v>7525</v>
      </c>
      <c r="E253" s="1259" t="s">
        <v>7646</v>
      </c>
      <c r="F253" s="1259"/>
      <c r="G253" s="1259"/>
      <c r="H253" s="1259"/>
      <c r="I253" s="1259"/>
      <c r="J253" s="1259"/>
      <c r="K253" s="302" t="s">
        <v>5070</v>
      </c>
      <c r="M253" s="959"/>
      <c r="N253" s="959"/>
      <c r="S253" s="301"/>
    </row>
    <row r="254" spans="1:19" ht="45.85" customHeight="1" x14ac:dyDescent="0.3">
      <c r="A254" s="283"/>
      <c r="B254" s="284"/>
      <c r="C254" s="284"/>
      <c r="D254" s="789" t="s">
        <v>7525</v>
      </c>
      <c r="E254" s="1259" t="s">
        <v>7647</v>
      </c>
      <c r="F254" s="1259"/>
      <c r="G254" s="1259"/>
      <c r="H254" s="1259"/>
      <c r="I254" s="1259"/>
      <c r="J254" s="1259"/>
      <c r="K254" s="302" t="s">
        <v>5070</v>
      </c>
      <c r="M254" s="959"/>
      <c r="N254" s="959"/>
      <c r="S254" s="301"/>
    </row>
    <row r="255" spans="1:19" ht="15.75" customHeight="1" x14ac:dyDescent="0.3">
      <c r="A255" s="283"/>
      <c r="B255" s="284"/>
      <c r="C255" s="284"/>
      <c r="D255" s="789"/>
      <c r="E255" s="789"/>
      <c r="F255" s="789"/>
      <c r="H255" s="789"/>
      <c r="I255" s="789"/>
      <c r="K255" s="302" t="s">
        <v>5070</v>
      </c>
      <c r="M255" s="959"/>
      <c r="N255" s="959"/>
      <c r="S255" s="301"/>
    </row>
    <row r="256" spans="1:19" ht="15.75" customHeight="1" x14ac:dyDescent="0.3">
      <c r="A256" s="1183">
        <f>$A$84</f>
        <v>2</v>
      </c>
      <c r="B256" s="1183">
        <f>$B$98</f>
        <v>2</v>
      </c>
      <c r="C256" s="1197">
        <f>IF(K256="ukryj",C250,C250+1)</f>
        <v>12</v>
      </c>
      <c r="D256" s="1235" t="s">
        <v>7648</v>
      </c>
      <c r="E256" s="1235"/>
      <c r="F256" s="1235"/>
      <c r="G256" s="1235"/>
      <c r="H256" s="1235"/>
      <c r="I256" s="1235"/>
      <c r="J256" s="1235"/>
      <c r="K256" s="302" t="s">
        <v>5070</v>
      </c>
      <c r="M256" s="959"/>
      <c r="N256" s="959"/>
      <c r="S256" s="301"/>
    </row>
    <row r="257" spans="1:19" ht="15.75" customHeight="1" x14ac:dyDescent="0.3">
      <c r="A257" s="283"/>
      <c r="B257" s="284"/>
      <c r="C257" s="284"/>
      <c r="D257" s="789"/>
      <c r="E257" s="789"/>
      <c r="F257" s="789"/>
      <c r="H257" s="789"/>
      <c r="I257" s="789"/>
      <c r="K257" s="302" t="s">
        <v>5070</v>
      </c>
      <c r="M257" s="959"/>
      <c r="N257" s="959"/>
      <c r="S257" s="301"/>
    </row>
    <row r="258" spans="1:19" ht="65.95" customHeight="1" x14ac:dyDescent="0.3">
      <c r="A258" s="283"/>
      <c r="B258" s="284"/>
      <c r="C258" s="284"/>
      <c r="D258" s="1245" t="s">
        <v>7649</v>
      </c>
      <c r="E258" s="1245"/>
      <c r="F258" s="1245"/>
      <c r="G258" s="1245"/>
      <c r="H258" s="1245"/>
      <c r="I258" s="1245"/>
      <c r="J258" s="1245"/>
      <c r="K258" s="302" t="s">
        <v>5070</v>
      </c>
      <c r="M258" s="959"/>
      <c r="N258" s="959"/>
      <c r="S258" s="301"/>
    </row>
    <row r="259" spans="1:19" ht="15.75" customHeight="1" x14ac:dyDescent="0.3">
      <c r="A259" s="283"/>
      <c r="B259" s="284"/>
      <c r="C259" s="284"/>
      <c r="D259" s="789"/>
      <c r="E259" s="789"/>
      <c r="F259" s="789"/>
      <c r="H259" s="789"/>
      <c r="I259" s="789"/>
      <c r="K259" s="302" t="s">
        <v>5070</v>
      </c>
      <c r="M259" s="959"/>
      <c r="N259" s="959"/>
      <c r="S259" s="301"/>
    </row>
    <row r="260" spans="1:19" ht="50.25" customHeight="1" x14ac:dyDescent="0.3">
      <c r="A260" s="283"/>
      <c r="B260" s="284"/>
      <c r="C260" s="284"/>
      <c r="D260" s="1245" t="s">
        <v>7650</v>
      </c>
      <c r="E260" s="1245"/>
      <c r="F260" s="1245"/>
      <c r="G260" s="1245"/>
      <c r="H260" s="1245"/>
      <c r="I260" s="1245"/>
      <c r="J260" s="1245"/>
      <c r="K260" s="302" t="s">
        <v>5070</v>
      </c>
      <c r="M260" s="959"/>
      <c r="N260" s="959"/>
      <c r="S260" s="301"/>
    </row>
    <row r="261" spans="1:19" ht="9" customHeight="1" x14ac:dyDescent="0.3">
      <c r="A261" s="283"/>
      <c r="B261" s="284"/>
      <c r="C261" s="284"/>
      <c r="D261" s="1234"/>
      <c r="E261" s="1234"/>
      <c r="F261" s="1234"/>
      <c r="G261" s="1234"/>
      <c r="H261" s="1234"/>
      <c r="I261" s="1234"/>
      <c r="J261" s="1234"/>
      <c r="K261" s="302" t="s">
        <v>5070</v>
      </c>
      <c r="M261" s="959"/>
      <c r="N261" s="959"/>
      <c r="S261" s="301"/>
    </row>
    <row r="262" spans="1:19" ht="31.6" customHeight="1" x14ac:dyDescent="0.3">
      <c r="A262" s="283"/>
      <c r="B262" s="284"/>
      <c r="C262" s="284"/>
      <c r="D262" s="1245" t="s">
        <v>7651</v>
      </c>
      <c r="E262" s="1245"/>
      <c r="F262" s="1245"/>
      <c r="G262" s="1245"/>
      <c r="H262" s="1245"/>
      <c r="I262" s="1245"/>
      <c r="J262" s="1245"/>
      <c r="K262" s="302" t="s">
        <v>5070</v>
      </c>
      <c r="M262" s="959"/>
      <c r="N262" s="959"/>
      <c r="S262" s="301"/>
    </row>
    <row r="263" spans="1:19" ht="15.75" customHeight="1" x14ac:dyDescent="0.3">
      <c r="A263" s="283"/>
      <c r="B263" s="284"/>
      <c r="C263" s="284"/>
      <c r="D263" s="789"/>
      <c r="E263" s="789"/>
      <c r="F263" s="789"/>
      <c r="H263" s="789"/>
      <c r="I263" s="789"/>
      <c r="K263" s="302" t="s">
        <v>5070</v>
      </c>
      <c r="M263" s="959"/>
      <c r="N263" s="959"/>
      <c r="S263" s="301"/>
    </row>
    <row r="264" spans="1:19" ht="15.75" customHeight="1" x14ac:dyDescent="0.3">
      <c r="A264" s="283"/>
      <c r="B264" s="284"/>
      <c r="C264" s="284"/>
      <c r="D264" s="1253" t="s">
        <v>7652</v>
      </c>
      <c r="E264" s="1253"/>
      <c r="F264" s="1253"/>
      <c r="G264" s="1253"/>
      <c r="H264" s="1253"/>
      <c r="I264" s="1253"/>
      <c r="J264" s="1253"/>
      <c r="K264" s="302" t="s">
        <v>5070</v>
      </c>
      <c r="M264" s="959"/>
      <c r="N264" s="959"/>
      <c r="S264" s="301"/>
    </row>
    <row r="265" spans="1:19" ht="15.75" customHeight="1" x14ac:dyDescent="0.3">
      <c r="A265" s="283"/>
      <c r="B265" s="284"/>
      <c r="C265" s="284"/>
      <c r="D265" s="789"/>
      <c r="E265" s="789"/>
      <c r="F265" s="789"/>
      <c r="H265" s="789"/>
      <c r="I265" s="789"/>
      <c r="K265" s="302" t="s">
        <v>5070</v>
      </c>
      <c r="M265" s="959"/>
      <c r="N265" s="959"/>
      <c r="S265" s="301"/>
    </row>
    <row r="266" spans="1:19" ht="15.75" customHeight="1" x14ac:dyDescent="0.3">
      <c r="A266" s="283"/>
      <c r="B266" s="284"/>
      <c r="C266" s="284"/>
      <c r="D266" s="1258" t="s">
        <v>7653</v>
      </c>
      <c r="E266" s="1258"/>
      <c r="F266" s="1258"/>
      <c r="G266" s="1258"/>
      <c r="H266" s="1258"/>
      <c r="I266" s="1258"/>
      <c r="J266" s="1258"/>
      <c r="K266" s="302" t="s">
        <v>5070</v>
      </c>
      <c r="M266" s="959"/>
      <c r="N266" s="959"/>
      <c r="S266" s="301"/>
    </row>
    <row r="267" spans="1:19" ht="15.75" customHeight="1" x14ac:dyDescent="0.3">
      <c r="A267" s="283"/>
      <c r="B267" s="284"/>
      <c r="C267" s="284"/>
      <c r="D267" s="789"/>
      <c r="E267" s="789"/>
      <c r="F267" s="789"/>
      <c r="H267" s="789"/>
      <c r="I267" s="789"/>
      <c r="K267" s="302" t="s">
        <v>5070</v>
      </c>
      <c r="M267" s="959"/>
      <c r="N267" s="959"/>
      <c r="S267" s="301"/>
    </row>
    <row r="268" spans="1:19" ht="31.6" customHeight="1" x14ac:dyDescent="0.3">
      <c r="A268" s="283"/>
      <c r="B268" s="284"/>
      <c r="C268" s="284"/>
      <c r="D268" s="1245" t="s">
        <v>7654</v>
      </c>
      <c r="E268" s="1245"/>
      <c r="F268" s="1245"/>
      <c r="G268" s="1245"/>
      <c r="H268" s="1245"/>
      <c r="I268" s="1245"/>
      <c r="J268" s="1245"/>
      <c r="K268" s="302" t="s">
        <v>5070</v>
      </c>
      <c r="M268" s="959"/>
      <c r="N268" s="959"/>
      <c r="S268" s="301"/>
    </row>
    <row r="269" spans="1:19" ht="15.75" customHeight="1" x14ac:dyDescent="0.3">
      <c r="A269" s="283"/>
      <c r="B269" s="284"/>
      <c r="C269" s="284"/>
      <c r="D269" s="789"/>
      <c r="E269" s="789"/>
      <c r="F269" s="789"/>
      <c r="H269" s="789"/>
      <c r="I269" s="789"/>
      <c r="K269" s="302" t="s">
        <v>5070</v>
      </c>
      <c r="M269" s="959"/>
      <c r="N269" s="959"/>
      <c r="S269" s="301"/>
    </row>
    <row r="270" spans="1:19" ht="15.75" customHeight="1" x14ac:dyDescent="0.3">
      <c r="A270" s="1183">
        <f>$A$84</f>
        <v>2</v>
      </c>
      <c r="B270" s="1183">
        <f>$B$98</f>
        <v>2</v>
      </c>
      <c r="C270" s="1197">
        <f>IF(K270="ukryj",C256,C256+1)</f>
        <v>13</v>
      </c>
      <c r="D270" s="1235" t="s">
        <v>7655</v>
      </c>
      <c r="E270" s="1235"/>
      <c r="F270" s="1235"/>
      <c r="G270" s="1235"/>
      <c r="H270" s="1235"/>
      <c r="I270" s="1235"/>
      <c r="J270" s="1235"/>
      <c r="K270" s="302" t="s">
        <v>5070</v>
      </c>
      <c r="M270" s="959"/>
      <c r="N270" s="959"/>
      <c r="S270" s="301"/>
    </row>
    <row r="271" spans="1:19" ht="15.75" customHeight="1" x14ac:dyDescent="0.3">
      <c r="A271" s="283"/>
      <c r="B271" s="284"/>
      <c r="C271" s="284"/>
      <c r="D271" s="789"/>
      <c r="E271" s="789"/>
      <c r="F271" s="789"/>
      <c r="H271" s="789"/>
      <c r="I271" s="789"/>
      <c r="K271" s="302" t="s">
        <v>5070</v>
      </c>
      <c r="M271" s="959"/>
      <c r="N271" s="959"/>
      <c r="S271" s="301"/>
    </row>
    <row r="272" spans="1:19" ht="31.6" customHeight="1" x14ac:dyDescent="0.3">
      <c r="A272" s="283"/>
      <c r="B272" s="284"/>
      <c r="C272" s="284"/>
      <c r="D272" s="1245" t="s">
        <v>7656</v>
      </c>
      <c r="E272" s="1245"/>
      <c r="F272" s="1245"/>
      <c r="G272" s="1245"/>
      <c r="H272" s="1245"/>
      <c r="I272" s="1245"/>
      <c r="J272" s="1245"/>
      <c r="K272" s="302" t="s">
        <v>5070</v>
      </c>
      <c r="M272" s="959"/>
      <c r="N272" s="959"/>
      <c r="S272" s="301"/>
    </row>
    <row r="273" spans="1:19" ht="15.75" customHeight="1" x14ac:dyDescent="0.3">
      <c r="A273" s="283"/>
      <c r="B273" s="284"/>
      <c r="C273" s="284"/>
      <c r="D273" s="789"/>
      <c r="E273" s="789"/>
      <c r="F273" s="789"/>
      <c r="H273" s="789"/>
      <c r="I273" s="789"/>
      <c r="K273" s="302" t="s">
        <v>5070</v>
      </c>
      <c r="M273" s="959"/>
      <c r="N273" s="959"/>
      <c r="S273" s="301"/>
    </row>
    <row r="274" spans="1:19" ht="34.549999999999997" customHeight="1" x14ac:dyDescent="0.3">
      <c r="A274" s="283"/>
      <c r="B274" s="284"/>
      <c r="C274" s="284"/>
      <c r="D274" s="1245" t="s">
        <v>7657</v>
      </c>
      <c r="E274" s="1245"/>
      <c r="F274" s="1245"/>
      <c r="G274" s="1245"/>
      <c r="H274" s="1245"/>
      <c r="I274" s="1245"/>
      <c r="J274" s="1245"/>
      <c r="K274" s="302" t="s">
        <v>5070</v>
      </c>
      <c r="M274" s="959"/>
      <c r="N274" s="959"/>
      <c r="S274" s="301"/>
    </row>
    <row r="275" spans="1:19" x14ac:dyDescent="0.3">
      <c r="A275" s="283"/>
      <c r="B275" s="284"/>
      <c r="C275" s="284"/>
      <c r="D275" s="789"/>
      <c r="E275" s="789"/>
      <c r="F275" s="789"/>
      <c r="H275" s="789"/>
      <c r="I275" s="789"/>
      <c r="K275" s="302" t="s">
        <v>5070</v>
      </c>
      <c r="M275" s="959"/>
      <c r="N275" s="959"/>
      <c r="S275" s="301"/>
    </row>
    <row r="276" spans="1:19" ht="31.6" customHeight="1" x14ac:dyDescent="0.3">
      <c r="A276" s="283"/>
      <c r="B276" s="284"/>
      <c r="C276" s="284"/>
      <c r="D276" s="1245" t="s">
        <v>7658</v>
      </c>
      <c r="E276" s="1245"/>
      <c r="F276" s="1245"/>
      <c r="G276" s="1245"/>
      <c r="H276" s="1245"/>
      <c r="I276" s="1245"/>
      <c r="J276" s="1245"/>
      <c r="K276" s="302" t="s">
        <v>5070</v>
      </c>
      <c r="M276" s="959"/>
      <c r="N276" s="959"/>
      <c r="S276" s="301"/>
    </row>
    <row r="277" spans="1:19" x14ac:dyDescent="0.3">
      <c r="A277" s="283"/>
      <c r="B277" s="284"/>
      <c r="C277" s="284"/>
      <c r="D277" s="789"/>
      <c r="E277" s="789"/>
      <c r="F277" s="789"/>
      <c r="H277" s="789"/>
      <c r="I277" s="789"/>
      <c r="K277" s="302" t="s">
        <v>5070</v>
      </c>
      <c r="M277" s="959"/>
      <c r="N277" s="959"/>
      <c r="S277" s="301"/>
    </row>
    <row r="278" spans="1:19" ht="78.75" customHeight="1" x14ac:dyDescent="0.3">
      <c r="A278" s="283"/>
      <c r="B278" s="284"/>
      <c r="C278" s="284"/>
      <c r="D278" s="1245" t="s">
        <v>7659</v>
      </c>
      <c r="E278" s="1245"/>
      <c r="F278" s="1245"/>
      <c r="G278" s="1245"/>
      <c r="H278" s="1245"/>
      <c r="I278" s="1245"/>
      <c r="J278" s="1245"/>
      <c r="K278" s="302" t="s">
        <v>5070</v>
      </c>
      <c r="M278" s="959"/>
      <c r="N278" s="959"/>
      <c r="S278" s="301"/>
    </row>
    <row r="279" spans="1:19" x14ac:dyDescent="0.3">
      <c r="A279" s="283"/>
      <c r="B279" s="284"/>
      <c r="C279" s="284"/>
      <c r="D279" s="789"/>
      <c r="E279" s="789"/>
      <c r="F279" s="789"/>
      <c r="H279" s="789"/>
      <c r="I279" s="789"/>
      <c r="K279" s="302" t="s">
        <v>5070</v>
      </c>
      <c r="M279" s="959"/>
      <c r="N279" s="959"/>
      <c r="S279" s="301"/>
    </row>
    <row r="280" spans="1:19" ht="47.3" customHeight="1" x14ac:dyDescent="0.3">
      <c r="A280" s="283"/>
      <c r="B280" s="284"/>
      <c r="C280" s="284"/>
      <c r="D280" s="1245" t="s">
        <v>7660</v>
      </c>
      <c r="E280" s="1245"/>
      <c r="F280" s="1245"/>
      <c r="G280" s="1245"/>
      <c r="H280" s="1245"/>
      <c r="I280" s="1245"/>
      <c r="J280" s="1245"/>
      <c r="K280" s="302" t="s">
        <v>5070</v>
      </c>
      <c r="M280" s="959"/>
      <c r="N280" s="959"/>
      <c r="S280" s="301"/>
    </row>
    <row r="281" spans="1:19" x14ac:dyDescent="0.3">
      <c r="A281" s="283"/>
      <c r="B281" s="284"/>
      <c r="C281" s="284"/>
      <c r="D281" s="789"/>
      <c r="E281" s="789"/>
      <c r="F281" s="789"/>
      <c r="H281" s="789"/>
      <c r="I281" s="789"/>
      <c r="K281" s="302" t="s">
        <v>5070</v>
      </c>
      <c r="M281" s="959"/>
      <c r="N281" s="959"/>
      <c r="S281" s="301"/>
    </row>
    <row r="282" spans="1:19" ht="38.299999999999997" customHeight="1" x14ac:dyDescent="0.3">
      <c r="A282" s="283"/>
      <c r="B282" s="284"/>
      <c r="C282" s="284"/>
      <c r="D282" s="1245" t="s">
        <v>7661</v>
      </c>
      <c r="E282" s="1245"/>
      <c r="F282" s="1245"/>
      <c r="G282" s="1245"/>
      <c r="H282" s="1245"/>
      <c r="I282" s="1245"/>
      <c r="J282" s="1245"/>
      <c r="K282" s="302" t="s">
        <v>5070</v>
      </c>
      <c r="M282" s="959"/>
      <c r="N282" s="959"/>
      <c r="S282" s="301"/>
    </row>
    <row r="283" spans="1:19" x14ac:dyDescent="0.3">
      <c r="A283" s="283"/>
      <c r="B283" s="284"/>
      <c r="C283" s="284"/>
      <c r="D283" s="789"/>
      <c r="E283" s="789"/>
      <c r="F283" s="789"/>
      <c r="H283" s="789"/>
      <c r="I283" s="789"/>
      <c r="K283" s="302" t="s">
        <v>5070</v>
      </c>
      <c r="M283" s="959"/>
      <c r="N283" s="959"/>
      <c r="S283" s="301"/>
    </row>
    <row r="284" spans="1:19" ht="47.3" customHeight="1" x14ac:dyDescent="0.3">
      <c r="A284" s="283"/>
      <c r="B284" s="284"/>
      <c r="C284" s="284"/>
      <c r="D284" s="1245" t="s">
        <v>7662</v>
      </c>
      <c r="E284" s="1245"/>
      <c r="F284" s="1245"/>
      <c r="G284" s="1245"/>
      <c r="H284" s="1245"/>
      <c r="I284" s="1245"/>
      <c r="J284" s="1245"/>
      <c r="K284" s="302" t="s">
        <v>5070</v>
      </c>
      <c r="M284" s="959"/>
      <c r="N284" s="959"/>
      <c r="S284" s="301"/>
    </row>
    <row r="285" spans="1:19" ht="16.55" customHeight="1" x14ac:dyDescent="0.3">
      <c r="A285" s="283"/>
      <c r="B285" s="284"/>
      <c r="C285" s="284"/>
      <c r="D285" s="790"/>
      <c r="E285" s="790"/>
      <c r="F285" s="790"/>
      <c r="G285" s="790"/>
      <c r="H285" s="790"/>
      <c r="I285" s="790"/>
      <c r="J285" s="790"/>
      <c r="K285" s="302" t="s">
        <v>5070</v>
      </c>
      <c r="M285" s="959"/>
      <c r="N285" s="959"/>
      <c r="S285" s="301"/>
    </row>
    <row r="286" spans="1:19" ht="16.55" customHeight="1" x14ac:dyDescent="0.3">
      <c r="A286" s="1183">
        <f>$A$84</f>
        <v>2</v>
      </c>
      <c r="B286" s="1183">
        <f>$B$98</f>
        <v>2</v>
      </c>
      <c r="C286" s="1197">
        <f>IF(K286="ukryj",C270,C270+1)</f>
        <v>14</v>
      </c>
      <c r="D286" s="1235" t="s">
        <v>7663</v>
      </c>
      <c r="E286" s="1235"/>
      <c r="F286" s="1235"/>
      <c r="G286" s="1235"/>
      <c r="H286" s="1235"/>
      <c r="I286" s="1235"/>
      <c r="J286" s="1235"/>
      <c r="K286" s="302" t="s">
        <v>5070</v>
      </c>
      <c r="M286" s="959"/>
      <c r="N286" s="959"/>
      <c r="S286" s="301"/>
    </row>
    <row r="287" spans="1:19" ht="16.55" customHeight="1" x14ac:dyDescent="0.3">
      <c r="A287" s="283"/>
      <c r="B287" s="284"/>
      <c r="C287" s="284"/>
      <c r="D287" s="790"/>
      <c r="E287" s="790"/>
      <c r="F287" s="790"/>
      <c r="G287" s="790"/>
      <c r="H287" s="790"/>
      <c r="I287" s="790"/>
      <c r="J287" s="790"/>
      <c r="K287" s="302" t="s">
        <v>5070</v>
      </c>
      <c r="M287" s="959"/>
      <c r="N287" s="959"/>
      <c r="S287" s="301"/>
    </row>
    <row r="288" spans="1:19" ht="33.75" customHeight="1" x14ac:dyDescent="0.3">
      <c r="A288" s="283"/>
      <c r="B288" s="284"/>
      <c r="C288" s="284"/>
      <c r="D288" s="1245" t="s">
        <v>7664</v>
      </c>
      <c r="E288" s="1245"/>
      <c r="F288" s="1245"/>
      <c r="G288" s="1245"/>
      <c r="H288" s="1245"/>
      <c r="I288" s="1245"/>
      <c r="J288" s="1245"/>
      <c r="K288" s="302" t="s">
        <v>5070</v>
      </c>
      <c r="M288" s="959"/>
      <c r="N288" s="959"/>
      <c r="S288" s="301"/>
    </row>
    <row r="289" spans="1:19" ht="21.8" customHeight="1" x14ac:dyDescent="0.3">
      <c r="A289" s="283"/>
      <c r="B289" s="284"/>
      <c r="C289" s="284"/>
      <c r="D289" s="1245" t="s">
        <v>7665</v>
      </c>
      <c r="E289" s="1245"/>
      <c r="F289" s="1245"/>
      <c r="G289" s="1245"/>
      <c r="H289" s="1245"/>
      <c r="I289" s="1245"/>
      <c r="J289" s="1245"/>
      <c r="K289" s="302" t="s">
        <v>5070</v>
      </c>
      <c r="M289" s="959"/>
      <c r="N289" s="959"/>
      <c r="S289" s="301"/>
    </row>
    <row r="290" spans="1:19" ht="16.55" customHeight="1" x14ac:dyDescent="0.3">
      <c r="A290" s="283"/>
      <c r="B290" s="284"/>
      <c r="C290" s="284"/>
      <c r="D290" s="1234"/>
      <c r="E290" s="1234"/>
      <c r="F290" s="1234"/>
      <c r="G290" s="1234"/>
      <c r="H290" s="1234"/>
      <c r="I290" s="1234"/>
      <c r="J290" s="1234"/>
      <c r="K290" s="302" t="s">
        <v>5070</v>
      </c>
      <c r="M290" s="959"/>
      <c r="N290" s="959"/>
      <c r="S290" s="301"/>
    </row>
    <row r="291" spans="1:19" ht="98.2" customHeight="1" x14ac:dyDescent="0.3">
      <c r="A291" s="283"/>
      <c r="B291" s="284"/>
      <c r="C291" s="284"/>
      <c r="D291" s="1245" t="s">
        <v>7666</v>
      </c>
      <c r="E291" s="1245"/>
      <c r="F291" s="1245"/>
      <c r="G291" s="1245"/>
      <c r="H291" s="1245"/>
      <c r="I291" s="1245"/>
      <c r="J291" s="1245"/>
      <c r="K291" s="302" t="s">
        <v>5070</v>
      </c>
      <c r="M291" s="959"/>
      <c r="N291" s="959"/>
      <c r="S291" s="301"/>
    </row>
    <row r="292" spans="1:19" ht="16.55" customHeight="1" x14ac:dyDescent="0.3">
      <c r="A292" s="283"/>
      <c r="B292" s="284"/>
      <c r="C292" s="284"/>
      <c r="D292" s="790"/>
      <c r="E292" s="790"/>
      <c r="F292" s="790"/>
      <c r="G292" s="790"/>
      <c r="H292" s="790"/>
      <c r="I292" s="790"/>
      <c r="J292" s="790"/>
      <c r="K292" s="302" t="s">
        <v>5070</v>
      </c>
      <c r="M292" s="959"/>
      <c r="N292" s="959"/>
      <c r="S292" s="301"/>
    </row>
    <row r="293" spans="1:19" ht="15.75" customHeight="1" x14ac:dyDescent="0.3">
      <c r="A293" s="283"/>
      <c r="B293" s="284"/>
      <c r="C293" s="284"/>
      <c r="D293" s="298"/>
      <c r="E293" s="298"/>
      <c r="F293" s="298"/>
      <c r="G293" s="298"/>
      <c r="H293" s="298"/>
      <c r="I293" s="298"/>
      <c r="J293" s="298"/>
      <c r="K293" s="302" t="s">
        <v>5070</v>
      </c>
      <c r="M293" s="959"/>
      <c r="N293" s="959"/>
      <c r="S293" s="301"/>
    </row>
    <row r="294" spans="1:19" ht="15.75" customHeight="1" x14ac:dyDescent="0.3">
      <c r="A294" s="1183">
        <f>$A$84</f>
        <v>2</v>
      </c>
      <c r="B294" s="1183">
        <f>$B$98</f>
        <v>2</v>
      </c>
      <c r="C294" s="1197">
        <f>IF(K294="ukryj",C286,C286+1)</f>
        <v>15</v>
      </c>
      <c r="D294" s="1235" t="s">
        <v>7667</v>
      </c>
      <c r="E294" s="1235"/>
      <c r="F294" s="1235"/>
      <c r="G294" s="1235"/>
      <c r="H294" s="1235"/>
      <c r="I294" s="1235"/>
      <c r="J294" s="1235"/>
      <c r="K294" s="302" t="s">
        <v>5070</v>
      </c>
      <c r="M294" s="959"/>
      <c r="N294" s="959"/>
      <c r="S294" s="301"/>
    </row>
    <row r="295" spans="1:19" ht="15.75" customHeight="1" x14ac:dyDescent="0.3">
      <c r="A295" s="283"/>
      <c r="B295" s="284"/>
      <c r="C295" s="284"/>
      <c r="D295" s="789"/>
      <c r="E295" s="789"/>
      <c r="F295" s="789"/>
      <c r="H295" s="789"/>
      <c r="I295" s="789"/>
      <c r="K295" s="302" t="s">
        <v>5070</v>
      </c>
      <c r="M295" s="959"/>
      <c r="N295" s="959"/>
      <c r="S295" s="301"/>
    </row>
    <row r="296" spans="1:19" ht="90" customHeight="1" x14ac:dyDescent="0.3">
      <c r="A296" s="283"/>
      <c r="B296" s="284"/>
      <c r="C296" s="284"/>
      <c r="D296" s="1257" t="s">
        <v>7668</v>
      </c>
      <c r="E296" s="1257"/>
      <c r="F296" s="1257"/>
      <c r="G296" s="1257"/>
      <c r="H296" s="1257"/>
      <c r="I296" s="1257"/>
      <c r="J296" s="1257"/>
      <c r="K296" s="302" t="s">
        <v>5070</v>
      </c>
      <c r="M296" s="959"/>
      <c r="N296" s="959"/>
      <c r="S296" s="301"/>
    </row>
    <row r="297" spans="1:19" ht="15.75" customHeight="1" x14ac:dyDescent="0.3">
      <c r="A297" s="283"/>
      <c r="B297" s="284"/>
      <c r="C297" s="284"/>
      <c r="D297" s="956"/>
      <c r="E297" s="956"/>
      <c r="F297" s="956"/>
      <c r="G297" s="956"/>
      <c r="H297" s="956"/>
      <c r="I297" s="956"/>
      <c r="J297" s="956"/>
      <c r="K297" s="302" t="s">
        <v>5070</v>
      </c>
      <c r="M297" s="959"/>
      <c r="N297" s="959"/>
      <c r="S297" s="301"/>
    </row>
    <row r="298" spans="1:19" ht="48.8" customHeight="1" x14ac:dyDescent="0.3">
      <c r="A298" s="283"/>
      <c r="B298" s="284"/>
      <c r="C298" s="284"/>
      <c r="D298" s="1251" t="s">
        <v>7669</v>
      </c>
      <c r="E298" s="1254"/>
      <c r="F298" s="1254"/>
      <c r="G298" s="1254"/>
      <c r="H298" s="1254"/>
      <c r="I298" s="1254"/>
      <c r="J298" s="1254"/>
      <c r="K298" s="302" t="s">
        <v>5070</v>
      </c>
      <c r="M298" s="959"/>
      <c r="N298" s="959"/>
      <c r="S298" s="301"/>
    </row>
    <row r="299" spans="1:19" ht="150.05000000000001" customHeight="1" x14ac:dyDescent="0.3">
      <c r="A299" s="283"/>
      <c r="B299" s="284"/>
      <c r="C299" s="284"/>
      <c r="D299" s="1251" t="s">
        <v>7670</v>
      </c>
      <c r="E299" s="1254"/>
      <c r="F299" s="1254"/>
      <c r="G299" s="1254"/>
      <c r="H299" s="1254"/>
      <c r="I299" s="1254"/>
      <c r="J299" s="1254"/>
      <c r="K299" s="302" t="s">
        <v>5070</v>
      </c>
      <c r="M299" s="959"/>
      <c r="N299" s="959"/>
      <c r="S299" s="301"/>
    </row>
    <row r="300" spans="1:19" ht="131.25" customHeight="1" x14ac:dyDescent="0.3">
      <c r="A300" s="283"/>
      <c r="B300" s="284"/>
      <c r="C300" s="284"/>
      <c r="D300" s="1251" t="s">
        <v>7671</v>
      </c>
      <c r="E300" s="1254"/>
      <c r="F300" s="1254"/>
      <c r="G300" s="1254"/>
      <c r="H300" s="1254"/>
      <c r="I300" s="1254"/>
      <c r="J300" s="1254"/>
      <c r="K300" s="302" t="s">
        <v>5070</v>
      </c>
      <c r="M300" s="959"/>
      <c r="N300" s="959"/>
      <c r="S300" s="301"/>
    </row>
    <row r="301" spans="1:19" ht="15.75" customHeight="1" x14ac:dyDescent="0.3">
      <c r="A301" s="283"/>
      <c r="B301" s="284"/>
      <c r="C301" s="284"/>
      <c r="D301" s="1234"/>
      <c r="E301" s="1234"/>
      <c r="F301" s="1234"/>
      <c r="G301" s="1234"/>
      <c r="H301" s="1234"/>
      <c r="I301" s="1234"/>
      <c r="J301" s="1234"/>
      <c r="K301" s="302" t="s">
        <v>5070</v>
      </c>
      <c r="M301" s="959"/>
      <c r="N301" s="959"/>
      <c r="S301" s="301"/>
    </row>
    <row r="302" spans="1:19" ht="78.75" customHeight="1" x14ac:dyDescent="0.3">
      <c r="A302" s="283"/>
      <c r="B302" s="284"/>
      <c r="C302" s="284"/>
      <c r="D302" s="1245" t="s">
        <v>7672</v>
      </c>
      <c r="E302" s="1245"/>
      <c r="F302" s="1245"/>
      <c r="G302" s="1245"/>
      <c r="H302" s="1245"/>
      <c r="I302" s="1245"/>
      <c r="J302" s="1245"/>
      <c r="K302" s="302" t="s">
        <v>5070</v>
      </c>
      <c r="M302" s="959"/>
      <c r="N302" s="959"/>
      <c r="S302" s="301"/>
    </row>
    <row r="303" spans="1:19" ht="15.75" customHeight="1" x14ac:dyDescent="0.3">
      <c r="A303" s="283"/>
      <c r="B303" s="284"/>
      <c r="C303" s="284"/>
      <c r="D303" s="1234"/>
      <c r="E303" s="1234"/>
      <c r="F303" s="1234"/>
      <c r="G303" s="1234"/>
      <c r="H303" s="1234"/>
      <c r="I303" s="1234"/>
      <c r="J303" s="1234"/>
      <c r="K303" s="302" t="s">
        <v>5070</v>
      </c>
      <c r="M303" s="959"/>
      <c r="N303" s="959"/>
      <c r="S303" s="301"/>
    </row>
    <row r="304" spans="1:19" ht="63" customHeight="1" x14ac:dyDescent="0.3">
      <c r="A304" s="283"/>
      <c r="B304" s="284"/>
      <c r="C304" s="284"/>
      <c r="D304" s="1245" t="s">
        <v>7673</v>
      </c>
      <c r="E304" s="1245"/>
      <c r="F304" s="1245"/>
      <c r="G304" s="1245"/>
      <c r="H304" s="1245"/>
      <c r="I304" s="1245"/>
      <c r="J304" s="1245"/>
      <c r="K304" s="302" t="s">
        <v>5070</v>
      </c>
      <c r="M304" s="959"/>
      <c r="N304" s="959"/>
      <c r="S304" s="301"/>
    </row>
    <row r="305" spans="1:19" ht="15.75" customHeight="1" x14ac:dyDescent="0.3">
      <c r="A305" s="283"/>
      <c r="B305" s="284"/>
      <c r="C305" s="284"/>
      <c r="D305" s="790"/>
      <c r="E305" s="790"/>
      <c r="F305" s="790"/>
      <c r="G305" s="790"/>
      <c r="H305" s="790"/>
      <c r="I305" s="790"/>
      <c r="J305" s="790"/>
      <c r="K305" s="302" t="s">
        <v>5070</v>
      </c>
      <c r="M305" s="959"/>
      <c r="N305" s="959"/>
      <c r="S305" s="301"/>
    </row>
    <row r="306" spans="1:19" ht="123.75" customHeight="1" x14ac:dyDescent="0.3">
      <c r="A306" s="283"/>
      <c r="B306" s="284"/>
      <c r="C306" s="284"/>
      <c r="D306" s="1251" t="s">
        <v>7674</v>
      </c>
      <c r="E306" s="1254"/>
      <c r="F306" s="1254"/>
      <c r="G306" s="1254"/>
      <c r="H306" s="1254"/>
      <c r="I306" s="1254"/>
      <c r="J306" s="1254"/>
      <c r="K306" s="302" t="s">
        <v>5070</v>
      </c>
      <c r="M306" s="959"/>
      <c r="N306" s="959"/>
      <c r="S306" s="301"/>
    </row>
    <row r="307" spans="1:19" ht="15.75" customHeight="1" x14ac:dyDescent="0.3">
      <c r="A307" s="283"/>
      <c r="B307" s="284"/>
      <c r="C307" s="284"/>
      <c r="D307" s="1255"/>
      <c r="E307" s="1256"/>
      <c r="F307" s="1256"/>
      <c r="G307" s="1256"/>
      <c r="H307" s="1256"/>
      <c r="I307" s="1256"/>
      <c r="J307" s="1256"/>
      <c r="K307" s="302" t="s">
        <v>5070</v>
      </c>
      <c r="M307" s="959"/>
      <c r="N307" s="959"/>
      <c r="S307" s="301"/>
    </row>
    <row r="308" spans="1:19" ht="173.3" customHeight="1" x14ac:dyDescent="0.3">
      <c r="A308" s="283"/>
      <c r="B308" s="284"/>
      <c r="C308" s="284"/>
      <c r="D308" s="1251" t="s">
        <v>7675</v>
      </c>
      <c r="E308" s="1254"/>
      <c r="F308" s="1254"/>
      <c r="G308" s="1254"/>
      <c r="H308" s="1254"/>
      <c r="I308" s="1254"/>
      <c r="J308" s="1254"/>
      <c r="K308" s="302" t="s">
        <v>5070</v>
      </c>
      <c r="M308" s="959"/>
      <c r="N308" s="959"/>
      <c r="S308" s="301"/>
    </row>
    <row r="309" spans="1:19" ht="15.75" customHeight="1" x14ac:dyDescent="0.3">
      <c r="A309" s="283"/>
      <c r="B309" s="284"/>
      <c r="C309" s="284"/>
      <c r="D309" s="790"/>
      <c r="E309" s="790"/>
      <c r="F309" s="790"/>
      <c r="G309" s="790"/>
      <c r="H309" s="790"/>
      <c r="I309" s="790"/>
      <c r="J309" s="790"/>
      <c r="K309" s="302" t="s">
        <v>5070</v>
      </c>
      <c r="M309" s="959"/>
      <c r="N309" s="959"/>
      <c r="S309" s="301"/>
    </row>
    <row r="310" spans="1:19" ht="15.75" customHeight="1" x14ac:dyDescent="0.3">
      <c r="A310" s="283"/>
      <c r="B310" s="284"/>
      <c r="C310" s="284"/>
      <c r="D310" s="1253" t="s">
        <v>7676</v>
      </c>
      <c r="E310" s="1253"/>
      <c r="F310" s="1253"/>
      <c r="G310" s="1253"/>
      <c r="H310" s="1253"/>
      <c r="I310" s="1253"/>
      <c r="J310" s="1253"/>
      <c r="K310" s="302" t="s">
        <v>5070</v>
      </c>
      <c r="M310" s="959"/>
      <c r="N310" s="959"/>
      <c r="S310" s="301"/>
    </row>
    <row r="311" spans="1:19" ht="15.75" customHeight="1" x14ac:dyDescent="0.3">
      <c r="A311" s="283"/>
      <c r="B311" s="284"/>
      <c r="C311" s="284"/>
      <c r="D311" s="790"/>
      <c r="E311" s="790"/>
      <c r="F311" s="790"/>
      <c r="G311" s="790"/>
      <c r="H311" s="790"/>
      <c r="I311" s="790"/>
      <c r="J311" s="790"/>
      <c r="K311" s="302" t="s">
        <v>5070</v>
      </c>
      <c r="M311" s="959"/>
      <c r="N311" s="959"/>
      <c r="S311" s="301"/>
    </row>
    <row r="312" spans="1:19" ht="63" customHeight="1" x14ac:dyDescent="0.3">
      <c r="A312" s="283"/>
      <c r="B312" s="284"/>
      <c r="C312" s="284"/>
      <c r="D312" s="1245" t="s">
        <v>7677</v>
      </c>
      <c r="E312" s="1245"/>
      <c r="F312" s="1245"/>
      <c r="G312" s="1245"/>
      <c r="H312" s="1245"/>
      <c r="I312" s="1245"/>
      <c r="J312" s="1245"/>
      <c r="K312" s="302" t="s">
        <v>5070</v>
      </c>
      <c r="M312" s="959"/>
      <c r="N312" s="959"/>
      <c r="S312" s="301"/>
    </row>
    <row r="313" spans="1:19" ht="51.75" customHeight="1" x14ac:dyDescent="0.3">
      <c r="A313" s="283"/>
      <c r="B313" s="284"/>
      <c r="C313" s="284"/>
      <c r="D313" s="1245" t="s">
        <v>7678</v>
      </c>
      <c r="E313" s="1245"/>
      <c r="F313" s="1245"/>
      <c r="G313" s="1245"/>
      <c r="H313" s="1245"/>
      <c r="I313" s="1245"/>
      <c r="J313" s="1245"/>
      <c r="K313" s="302" t="s">
        <v>5070</v>
      </c>
      <c r="M313" s="959"/>
      <c r="N313" s="959"/>
      <c r="S313" s="301"/>
    </row>
    <row r="314" spans="1:19" x14ac:dyDescent="0.3">
      <c r="A314" s="283"/>
      <c r="B314" s="284"/>
      <c r="C314" s="284"/>
      <c r="D314" s="789"/>
      <c r="E314" s="789"/>
      <c r="F314" s="789"/>
      <c r="H314" s="789"/>
      <c r="I314" s="789"/>
      <c r="K314" s="302" t="s">
        <v>5070</v>
      </c>
      <c r="M314" s="959"/>
      <c r="N314" s="959"/>
      <c r="S314" s="301"/>
    </row>
    <row r="315" spans="1:19" ht="13.6" customHeight="1" x14ac:dyDescent="0.3">
      <c r="A315" s="283"/>
      <c r="B315" s="284"/>
      <c r="C315" s="284"/>
      <c r="D315" s="1252" t="s">
        <v>7679</v>
      </c>
      <c r="E315" s="1252"/>
      <c r="F315" s="1252"/>
      <c r="G315" s="1252"/>
      <c r="H315" s="1252"/>
      <c r="I315" s="1252"/>
      <c r="J315" s="1252"/>
      <c r="K315" s="302" t="s">
        <v>5125</v>
      </c>
      <c r="M315" s="959"/>
      <c r="N315" s="959"/>
      <c r="S315" s="301"/>
    </row>
    <row r="316" spans="1:19" ht="27" customHeight="1" x14ac:dyDescent="0.3">
      <c r="A316" s="283"/>
      <c r="B316" s="284"/>
      <c r="C316" s="284"/>
      <c r="D316" s="1245" t="s">
        <v>7680</v>
      </c>
      <c r="E316" s="1245"/>
      <c r="F316" s="1245"/>
      <c r="G316" s="1245"/>
      <c r="H316" s="1245"/>
      <c r="I316" s="1245"/>
      <c r="J316" s="1245"/>
      <c r="K316" s="302" t="s">
        <v>5070</v>
      </c>
      <c r="M316" s="959"/>
      <c r="N316" s="959"/>
      <c r="S316" s="301"/>
    </row>
    <row r="317" spans="1:19" x14ac:dyDescent="0.3">
      <c r="A317" s="283"/>
      <c r="B317" s="284"/>
      <c r="C317" s="284"/>
      <c r="D317" s="789"/>
      <c r="E317" s="789"/>
      <c r="F317" s="789"/>
      <c r="H317" s="789"/>
      <c r="I317" s="789"/>
      <c r="K317" s="302" t="s">
        <v>5070</v>
      </c>
      <c r="M317" s="959"/>
      <c r="N317" s="959"/>
      <c r="S317" s="301"/>
    </row>
    <row r="318" spans="1:19" ht="13.6" customHeight="1" x14ac:dyDescent="0.3">
      <c r="A318" s="283"/>
      <c r="B318" s="284"/>
      <c r="C318" s="284"/>
      <c r="D318" s="1252" t="s">
        <v>7681</v>
      </c>
      <c r="E318" s="1252"/>
      <c r="F318" s="1252"/>
      <c r="G318" s="1252"/>
      <c r="H318" s="1252"/>
      <c r="I318" s="1252"/>
      <c r="J318" s="1252"/>
      <c r="K318" s="302" t="s">
        <v>5125</v>
      </c>
      <c r="M318" s="959"/>
      <c r="N318" s="959"/>
      <c r="S318" s="301"/>
    </row>
    <row r="319" spans="1:19" ht="13.6" customHeight="1" x14ac:dyDescent="0.3">
      <c r="A319" s="283"/>
      <c r="B319" s="284"/>
      <c r="C319" s="284"/>
      <c r="D319" s="1245" t="s">
        <v>7682</v>
      </c>
      <c r="E319" s="1245"/>
      <c r="F319" s="1245"/>
      <c r="G319" s="1245"/>
      <c r="H319" s="1245"/>
      <c r="I319" s="1245"/>
      <c r="J319" s="1245"/>
      <c r="K319" s="302" t="s">
        <v>5070</v>
      </c>
      <c r="M319" s="959"/>
      <c r="N319" s="959"/>
      <c r="S319" s="301"/>
    </row>
    <row r="320" spans="1:19" ht="15.75" customHeight="1" x14ac:dyDescent="0.3">
      <c r="A320" s="283"/>
      <c r="B320" s="284"/>
      <c r="C320" s="284"/>
      <c r="D320" s="789"/>
      <c r="E320" s="789"/>
      <c r="F320" s="789"/>
      <c r="H320" s="789"/>
      <c r="I320" s="789"/>
      <c r="K320" s="302" t="s">
        <v>5070</v>
      </c>
      <c r="M320" s="959"/>
      <c r="N320" s="959"/>
      <c r="S320" s="301"/>
    </row>
    <row r="321" spans="1:19" ht="15.75" customHeight="1" x14ac:dyDescent="0.3">
      <c r="A321" s="283"/>
      <c r="B321" s="284"/>
      <c r="C321" s="284"/>
      <c r="D321" s="1253" t="s">
        <v>7683</v>
      </c>
      <c r="E321" s="1253"/>
      <c r="F321" s="1253"/>
      <c r="G321" s="1253"/>
      <c r="H321" s="1253"/>
      <c r="I321" s="1253"/>
      <c r="J321" s="1253"/>
      <c r="K321" s="302" t="s">
        <v>5070</v>
      </c>
      <c r="M321" s="959"/>
      <c r="N321" s="959"/>
      <c r="S321" s="301"/>
    </row>
    <row r="322" spans="1:19" ht="15.75" customHeight="1" x14ac:dyDescent="0.3">
      <c r="A322" s="283"/>
      <c r="B322" s="284"/>
      <c r="C322" s="284"/>
      <c r="D322" s="789"/>
      <c r="E322" s="789"/>
      <c r="F322" s="789"/>
      <c r="H322" s="789"/>
      <c r="I322" s="789"/>
      <c r="K322" s="302" t="s">
        <v>5070</v>
      </c>
      <c r="M322" s="959"/>
      <c r="N322" s="959"/>
      <c r="S322" s="301"/>
    </row>
    <row r="323" spans="1:19" ht="15.75" customHeight="1" x14ac:dyDescent="0.3">
      <c r="A323" s="283"/>
      <c r="B323" s="284"/>
      <c r="C323" s="284"/>
      <c r="D323" s="1251" t="s">
        <v>7684</v>
      </c>
      <c r="E323" s="1254"/>
      <c r="F323" s="1254"/>
      <c r="G323" s="1254"/>
      <c r="H323" s="1254"/>
      <c r="I323" s="1254"/>
      <c r="J323" s="1254"/>
      <c r="K323" s="302" t="s">
        <v>5070</v>
      </c>
      <c r="M323" s="959"/>
      <c r="N323" s="959"/>
      <c r="S323" s="301"/>
    </row>
    <row r="324" spans="1:19" ht="15.75" customHeight="1" x14ac:dyDescent="0.3">
      <c r="A324" s="283"/>
      <c r="B324" s="284"/>
      <c r="C324" s="284"/>
      <c r="D324" s="789"/>
      <c r="E324" s="789"/>
      <c r="F324" s="789"/>
      <c r="H324" s="789"/>
      <c r="I324" s="789"/>
      <c r="K324" s="302" t="s">
        <v>5070</v>
      </c>
      <c r="M324" s="959"/>
      <c r="N324" s="959"/>
      <c r="S324" s="301"/>
    </row>
    <row r="325" spans="1:19" ht="15.75" customHeight="1" x14ac:dyDescent="0.3">
      <c r="A325" s="283"/>
      <c r="B325" s="284"/>
      <c r="C325" s="284"/>
      <c r="D325" s="1252" t="s">
        <v>7685</v>
      </c>
      <c r="E325" s="1252"/>
      <c r="F325" s="1252"/>
      <c r="G325" s="1252"/>
      <c r="H325" s="1252"/>
      <c r="I325" s="1252"/>
      <c r="J325" s="1252"/>
      <c r="K325" s="302" t="s">
        <v>5125</v>
      </c>
      <c r="M325" s="959"/>
      <c r="N325" s="959"/>
      <c r="S325" s="301"/>
    </row>
    <row r="326" spans="1:19" ht="13.6" customHeight="1" x14ac:dyDescent="0.3">
      <c r="A326" s="283"/>
      <c r="B326" s="284"/>
      <c r="C326" s="284"/>
      <c r="D326" s="1252" t="s">
        <v>7686</v>
      </c>
      <c r="E326" s="1252"/>
      <c r="F326" s="1252"/>
      <c r="G326" s="1252"/>
      <c r="H326" s="1252"/>
      <c r="I326" s="1252"/>
      <c r="J326" s="1252"/>
      <c r="K326" s="302" t="s">
        <v>5070</v>
      </c>
      <c r="M326" s="959"/>
      <c r="N326" s="959"/>
      <c r="S326" s="301"/>
    </row>
    <row r="327" spans="1:19" ht="94.6" customHeight="1" x14ac:dyDescent="0.3">
      <c r="A327" s="283"/>
      <c r="B327" s="284"/>
      <c r="C327" s="284"/>
      <c r="D327" s="1246" t="s">
        <v>7687</v>
      </c>
      <c r="E327" s="1246"/>
      <c r="F327" s="1246"/>
      <c r="G327" s="1246"/>
      <c r="H327" s="1246"/>
      <c r="I327" s="1246"/>
      <c r="J327" s="1246"/>
      <c r="K327" s="302" t="s">
        <v>5070</v>
      </c>
      <c r="M327" s="959"/>
      <c r="N327" s="959"/>
      <c r="S327" s="301"/>
    </row>
    <row r="328" spans="1:19" ht="15.75" customHeight="1" x14ac:dyDescent="0.3">
      <c r="A328" s="283"/>
      <c r="B328" s="284"/>
      <c r="C328" s="284"/>
      <c r="D328" s="292"/>
      <c r="E328" s="292"/>
      <c r="F328" s="292"/>
      <c r="G328" s="293"/>
      <c r="H328" s="292"/>
      <c r="I328" s="292"/>
      <c r="J328" s="294"/>
      <c r="K328" s="302" t="s">
        <v>5070</v>
      </c>
      <c r="M328" s="959"/>
      <c r="N328" s="959"/>
      <c r="S328" s="301"/>
    </row>
    <row r="329" spans="1:19" ht="121.6" customHeight="1" x14ac:dyDescent="0.3">
      <c r="A329" s="283"/>
      <c r="B329" s="284"/>
      <c r="C329" s="284"/>
      <c r="D329" s="1246" t="s">
        <v>7688</v>
      </c>
      <c r="E329" s="1246"/>
      <c r="F329" s="1246"/>
      <c r="G329" s="1246"/>
      <c r="H329" s="1246"/>
      <c r="I329" s="1246"/>
      <c r="J329" s="1246"/>
      <c r="K329" s="302" t="s">
        <v>5070</v>
      </c>
      <c r="M329" s="959"/>
      <c r="N329" s="959"/>
      <c r="S329" s="301"/>
    </row>
    <row r="330" spans="1:19" ht="15.75" customHeight="1" x14ac:dyDescent="0.3">
      <c r="A330" s="283"/>
      <c r="B330" s="284"/>
      <c r="C330" s="284"/>
      <c r="D330" s="292"/>
      <c r="E330" s="292"/>
      <c r="F330" s="292"/>
      <c r="G330" s="293"/>
      <c r="H330" s="292"/>
      <c r="I330" s="292"/>
      <c r="J330" s="294"/>
      <c r="K330" s="302" t="s">
        <v>5070</v>
      </c>
      <c r="M330" s="959"/>
      <c r="N330" s="959"/>
      <c r="S330" s="301"/>
    </row>
    <row r="331" spans="1:19" ht="31.6" customHeight="1" x14ac:dyDescent="0.3">
      <c r="A331" s="283"/>
      <c r="B331" s="284"/>
      <c r="C331" s="284"/>
      <c r="D331" s="1246" t="s">
        <v>7689</v>
      </c>
      <c r="E331" s="1246"/>
      <c r="F331" s="1246"/>
      <c r="G331" s="1246"/>
      <c r="H331" s="1246"/>
      <c r="I331" s="1246"/>
      <c r="J331" s="1246"/>
      <c r="K331" s="302" t="s">
        <v>5070</v>
      </c>
      <c r="M331" s="959"/>
      <c r="N331" s="959"/>
      <c r="S331" s="301"/>
    </row>
    <row r="332" spans="1:19" ht="15.75" customHeight="1" x14ac:dyDescent="0.3">
      <c r="A332" s="283"/>
      <c r="B332" s="284"/>
      <c r="C332" s="284"/>
      <c r="D332" s="292"/>
      <c r="E332" s="292"/>
      <c r="F332" s="292"/>
      <c r="G332" s="293"/>
      <c r="H332" s="292"/>
      <c r="I332" s="292"/>
      <c r="J332" s="294"/>
      <c r="K332" s="302" t="s">
        <v>5070</v>
      </c>
      <c r="M332" s="959"/>
      <c r="N332" s="959"/>
      <c r="S332" s="301"/>
    </row>
    <row r="333" spans="1:19" ht="78.75" customHeight="1" x14ac:dyDescent="0.3">
      <c r="A333" s="283"/>
      <c r="B333" s="284"/>
      <c r="C333" s="284"/>
      <c r="D333" s="1246" t="s">
        <v>7690</v>
      </c>
      <c r="E333" s="1246"/>
      <c r="F333" s="1246"/>
      <c r="G333" s="1246"/>
      <c r="H333" s="1246"/>
      <c r="I333" s="1246"/>
      <c r="J333" s="1246"/>
      <c r="K333" s="302" t="s">
        <v>5070</v>
      </c>
      <c r="M333" s="959"/>
      <c r="N333" s="959"/>
      <c r="S333" s="301"/>
    </row>
    <row r="334" spans="1:19" ht="15.75" customHeight="1" x14ac:dyDescent="0.3">
      <c r="A334" s="283"/>
      <c r="B334" s="284"/>
      <c r="C334" s="284"/>
      <c r="D334" s="292"/>
      <c r="E334" s="292"/>
      <c r="F334" s="292"/>
      <c r="G334" s="293"/>
      <c r="H334" s="292"/>
      <c r="I334" s="292"/>
      <c r="J334" s="294"/>
      <c r="K334" s="302" t="s">
        <v>5070</v>
      </c>
      <c r="M334" s="959"/>
      <c r="N334" s="959"/>
      <c r="S334" s="301"/>
    </row>
    <row r="335" spans="1:19" ht="78.75" customHeight="1" x14ac:dyDescent="0.3">
      <c r="A335" s="283"/>
      <c r="B335" s="284"/>
      <c r="C335" s="284"/>
      <c r="D335" s="1246" t="s">
        <v>7691</v>
      </c>
      <c r="E335" s="1246"/>
      <c r="F335" s="1246"/>
      <c r="G335" s="1246"/>
      <c r="H335" s="1246"/>
      <c r="I335" s="1246"/>
      <c r="J335" s="1246"/>
      <c r="K335" s="302" t="s">
        <v>5070</v>
      </c>
      <c r="M335" s="959"/>
      <c r="N335" s="959"/>
      <c r="S335" s="301"/>
    </row>
    <row r="336" spans="1:19" ht="15.75" customHeight="1" x14ac:dyDescent="0.3">
      <c r="A336" s="283"/>
      <c r="B336" s="284"/>
      <c r="C336" s="284"/>
      <c r="D336" s="292"/>
      <c r="E336" s="292"/>
      <c r="F336" s="292"/>
      <c r="G336" s="293"/>
      <c r="H336" s="292"/>
      <c r="I336" s="292"/>
      <c r="J336" s="294"/>
      <c r="K336" s="302" t="s">
        <v>5070</v>
      </c>
      <c r="M336" s="959"/>
      <c r="N336" s="959"/>
      <c r="S336" s="301"/>
    </row>
    <row r="337" spans="1:19" ht="15.75" customHeight="1" x14ac:dyDescent="0.3">
      <c r="A337" s="283"/>
      <c r="B337" s="284"/>
      <c r="C337" s="284"/>
      <c r="D337" s="1252" t="s">
        <v>7692</v>
      </c>
      <c r="E337" s="1252"/>
      <c r="F337" s="1252"/>
      <c r="G337" s="1252"/>
      <c r="H337" s="1252"/>
      <c r="I337" s="1252"/>
      <c r="J337" s="1252"/>
      <c r="K337" s="302" t="s">
        <v>5070</v>
      </c>
      <c r="M337" s="959"/>
      <c r="N337" s="959"/>
      <c r="S337" s="301"/>
    </row>
    <row r="338" spans="1:19" ht="15.75" customHeight="1" x14ac:dyDescent="0.3">
      <c r="A338" s="283"/>
      <c r="B338" s="284"/>
      <c r="C338" s="284"/>
      <c r="D338" s="292"/>
      <c r="E338" s="292"/>
      <c r="F338" s="292"/>
      <c r="G338" s="293"/>
      <c r="H338" s="292"/>
      <c r="I338" s="292"/>
      <c r="J338" s="294"/>
      <c r="K338" s="302" t="s">
        <v>5070</v>
      </c>
      <c r="M338" s="959"/>
      <c r="N338" s="959"/>
      <c r="S338" s="301"/>
    </row>
    <row r="339" spans="1:19" ht="47.3" customHeight="1" x14ac:dyDescent="0.3">
      <c r="A339" s="283"/>
      <c r="B339" s="284"/>
      <c r="C339" s="284"/>
      <c r="D339" s="1246" t="s">
        <v>7693</v>
      </c>
      <c r="E339" s="1246"/>
      <c r="F339" s="1246"/>
      <c r="G339" s="1246"/>
      <c r="H339" s="1246"/>
      <c r="I339" s="1246"/>
      <c r="J339" s="1246"/>
      <c r="K339" s="302" t="s">
        <v>5070</v>
      </c>
      <c r="M339" s="959"/>
      <c r="N339" s="959"/>
      <c r="S339" s="301"/>
    </row>
    <row r="340" spans="1:19" ht="15.75" customHeight="1" x14ac:dyDescent="0.3">
      <c r="A340" s="283"/>
      <c r="B340" s="284"/>
      <c r="C340" s="284"/>
      <c r="D340" s="789"/>
      <c r="E340" s="789"/>
      <c r="F340" s="789"/>
      <c r="H340" s="789"/>
      <c r="I340" s="789"/>
      <c r="K340" s="302" t="s">
        <v>5070</v>
      </c>
      <c r="M340" s="959"/>
      <c r="N340" s="959"/>
      <c r="S340" s="301"/>
    </row>
    <row r="341" spans="1:19" s="1113" customFormat="1" ht="15.75" customHeight="1" x14ac:dyDescent="0.3">
      <c r="A341" s="1198">
        <f>$A$84</f>
        <v>2</v>
      </c>
      <c r="B341" s="1198">
        <f>$B$98</f>
        <v>2</v>
      </c>
      <c r="C341" s="1199">
        <f>IF(K341="ukryj",C294,C294+1)</f>
        <v>16</v>
      </c>
      <c r="D341" s="1250" t="s">
        <v>7694</v>
      </c>
      <c r="E341" s="1250"/>
      <c r="F341" s="1250"/>
      <c r="G341" s="1250"/>
      <c r="H341" s="1250"/>
      <c r="I341" s="1250"/>
      <c r="J341" s="1250"/>
      <c r="K341" s="1110" t="s">
        <v>5070</v>
      </c>
      <c r="L341" s="1111"/>
      <c r="M341" s="1112"/>
      <c r="N341" s="1112"/>
      <c r="S341" s="1111"/>
    </row>
    <row r="342" spans="1:19" ht="15.75" customHeight="1" x14ac:dyDescent="0.3">
      <c r="D342" s="955"/>
      <c r="E342" s="955"/>
      <c r="F342" s="955"/>
      <c r="G342" s="299"/>
      <c r="H342" s="955"/>
      <c r="I342" s="955"/>
      <c r="J342" s="955"/>
      <c r="K342" s="302" t="s">
        <v>5070</v>
      </c>
      <c r="M342" s="959"/>
      <c r="N342" s="959"/>
      <c r="S342" s="301"/>
    </row>
    <row r="343" spans="1:19" x14ac:dyDescent="0.3">
      <c r="D343" s="1234" t="s">
        <v>7695</v>
      </c>
      <c r="E343" s="1234"/>
      <c r="F343" s="1234"/>
      <c r="G343" s="1234"/>
      <c r="H343" s="1234"/>
      <c r="I343" s="1234"/>
      <c r="J343" s="1234"/>
      <c r="K343" s="302" t="s">
        <v>5070</v>
      </c>
      <c r="M343" s="959"/>
      <c r="N343" s="959"/>
      <c r="S343" s="301"/>
    </row>
    <row r="344" spans="1:19" ht="31.6" customHeight="1" x14ac:dyDescent="0.3">
      <c r="D344" s="790"/>
      <c r="E344" s="790"/>
      <c r="F344" s="790"/>
      <c r="G344" s="790"/>
      <c r="H344" s="790"/>
      <c r="I344" s="790"/>
      <c r="J344" s="790"/>
      <c r="K344" s="302" t="s">
        <v>5070</v>
      </c>
      <c r="M344" s="959"/>
      <c r="N344" s="959"/>
      <c r="S344" s="301"/>
    </row>
    <row r="345" spans="1:19" x14ac:dyDescent="0.3">
      <c r="D345" s="955"/>
      <c r="E345" s="955"/>
      <c r="F345" s="604" t="str">
        <f>DataDo</f>
        <v>2020-12-31</v>
      </c>
      <c r="G345" s="604" t="str">
        <f>Input!R11</f>
        <v>2019-12-31</v>
      </c>
      <c r="H345" s="955"/>
      <c r="I345" s="955"/>
      <c r="J345" s="955"/>
      <c r="K345" s="302" t="s">
        <v>5070</v>
      </c>
      <c r="M345" s="959"/>
      <c r="N345" s="959"/>
      <c r="S345" s="301"/>
    </row>
    <row r="346" spans="1:19" x14ac:dyDescent="0.3">
      <c r="D346" s="955"/>
      <c r="E346" s="955"/>
      <c r="F346" s="296"/>
      <c r="G346" s="296"/>
      <c r="H346" s="955"/>
      <c r="I346" s="955"/>
      <c r="J346" s="955"/>
      <c r="K346" s="302" t="s">
        <v>5070</v>
      </c>
      <c r="M346" s="959"/>
      <c r="N346" s="959"/>
      <c r="S346" s="301"/>
    </row>
    <row r="347" spans="1:19" x14ac:dyDescent="0.3">
      <c r="E347" s="955" t="s">
        <v>7696</v>
      </c>
      <c r="F347" s="1170"/>
      <c r="G347" s="1170">
        <v>4.3</v>
      </c>
      <c r="H347" s="955"/>
      <c r="I347" s="955"/>
      <c r="J347" s="955"/>
      <c r="K347" s="302" t="s">
        <v>5070</v>
      </c>
      <c r="M347" s="959"/>
      <c r="N347" s="959"/>
      <c r="S347" s="301"/>
    </row>
    <row r="348" spans="1:19" x14ac:dyDescent="0.3">
      <c r="E348" s="955" t="s">
        <v>7697</v>
      </c>
      <c r="F348" s="1172"/>
      <c r="G348" s="1170">
        <v>3.7597</v>
      </c>
      <c r="H348" s="955"/>
      <c r="I348" s="955"/>
      <c r="J348" s="955"/>
      <c r="K348" s="302" t="s">
        <v>5070</v>
      </c>
      <c r="M348" s="959"/>
      <c r="N348" s="959"/>
      <c r="S348" s="301"/>
    </row>
    <row r="349" spans="1:19" x14ac:dyDescent="0.3">
      <c r="E349" s="955" t="s">
        <v>7698</v>
      </c>
      <c r="F349" s="1172"/>
      <c r="G349" s="1170">
        <v>4.7895000000000003</v>
      </c>
      <c r="H349" s="955"/>
      <c r="I349" s="955"/>
      <c r="J349" s="955"/>
      <c r="K349" s="302" t="s">
        <v>5070</v>
      </c>
      <c r="M349" s="959"/>
      <c r="N349" s="959"/>
      <c r="S349" s="301"/>
    </row>
    <row r="350" spans="1:19" x14ac:dyDescent="0.3">
      <c r="K350" s="302" t="s">
        <v>5070</v>
      </c>
      <c r="M350" s="959"/>
      <c r="N350" s="959"/>
      <c r="S350" s="301"/>
    </row>
    <row r="351" spans="1:19" ht="38.299999999999997" customHeight="1" x14ac:dyDescent="0.3">
      <c r="D351" s="1251" t="s">
        <v>7699</v>
      </c>
      <c r="E351" s="1251"/>
      <c r="F351" s="1251"/>
      <c r="G351" s="1251"/>
      <c r="H351" s="1251"/>
      <c r="I351" s="1251"/>
      <c r="J351" s="1251"/>
      <c r="K351" s="302" t="s">
        <v>5070</v>
      </c>
      <c r="M351" s="959"/>
      <c r="N351" s="959"/>
      <c r="S351" s="301"/>
    </row>
    <row r="352" spans="1:19" x14ac:dyDescent="0.3">
      <c r="D352" s="792"/>
      <c r="E352" s="792"/>
      <c r="F352" s="792"/>
      <c r="G352" s="792"/>
      <c r="H352" s="792"/>
      <c r="I352" s="792"/>
      <c r="J352" s="792"/>
      <c r="K352" s="302" t="s">
        <v>5070</v>
      </c>
      <c r="M352" s="959"/>
      <c r="N352" s="959"/>
      <c r="S352" s="301"/>
    </row>
    <row r="353" spans="1:14" x14ac:dyDescent="0.3">
      <c r="A353" s="1183">
        <f>$A$84</f>
        <v>2</v>
      </c>
      <c r="B353" s="1196">
        <f>IF(K353="ukryj",B341,B341+1)</f>
        <v>3</v>
      </c>
      <c r="C353" s="1197"/>
      <c r="D353" s="1235" t="s">
        <v>7700</v>
      </c>
      <c r="E353" s="1235"/>
      <c r="F353" s="1235"/>
      <c r="G353" s="1235"/>
      <c r="H353" s="1235"/>
      <c r="I353" s="1235"/>
      <c r="J353" s="1235"/>
      <c r="K353" s="302" t="s">
        <v>5070</v>
      </c>
      <c r="L353" s="301" t="s">
        <v>3463</v>
      </c>
      <c r="M353" s="959"/>
      <c r="N353" s="959"/>
    </row>
    <row r="354" spans="1:14" x14ac:dyDescent="0.3">
      <c r="A354" s="301"/>
      <c r="K354" s="302" t="s">
        <v>5070</v>
      </c>
      <c r="M354" s="959"/>
      <c r="N354" s="959"/>
    </row>
    <row r="355" spans="1:14" x14ac:dyDescent="0.3">
      <c r="A355" s="1183">
        <f>$A$84</f>
        <v>2</v>
      </c>
      <c r="B355" s="1183">
        <f>$B$353</f>
        <v>3</v>
      </c>
      <c r="C355" s="1197">
        <f>IF(K355="ukryj",0,1)</f>
        <v>1</v>
      </c>
      <c r="D355" s="1235" t="s">
        <v>7701</v>
      </c>
      <c r="E355" s="1235"/>
      <c r="F355" s="1235"/>
      <c r="G355" s="1235"/>
      <c r="H355" s="1235"/>
      <c r="I355" s="1235"/>
      <c r="J355" s="1235"/>
      <c r="K355" s="302" t="s">
        <v>5070</v>
      </c>
      <c r="M355" s="959"/>
      <c r="N355" s="959"/>
    </row>
    <row r="356" spans="1:14" x14ac:dyDescent="0.3">
      <c r="A356" s="283"/>
      <c r="B356" s="284"/>
      <c r="C356" s="284"/>
      <c r="D356" s="322"/>
      <c r="E356" s="322"/>
      <c r="F356" s="322"/>
      <c r="G356" s="788"/>
      <c r="K356" s="302" t="s">
        <v>5070</v>
      </c>
      <c r="M356" s="959"/>
      <c r="N356" s="959"/>
    </row>
    <row r="357" spans="1:14" ht="33.049999999999997" customHeight="1" x14ac:dyDescent="0.3">
      <c r="A357" s="283"/>
      <c r="B357" s="284"/>
      <c r="C357" s="284"/>
      <c r="D357" s="1242" t="s">
        <v>7702</v>
      </c>
      <c r="E357" s="1242"/>
      <c r="F357" s="1242"/>
      <c r="G357" s="1242"/>
      <c r="H357" s="1242"/>
      <c r="I357" s="1242"/>
      <c r="J357" s="1242"/>
      <c r="K357" s="302" t="s">
        <v>5070</v>
      </c>
      <c r="M357" s="959"/>
      <c r="N357" s="959"/>
    </row>
    <row r="358" spans="1:14" x14ac:dyDescent="0.3">
      <c r="A358" s="283"/>
      <c r="B358" s="284"/>
      <c r="C358" s="284"/>
      <c r="D358" s="322"/>
      <c r="E358" s="322"/>
      <c r="F358" s="322"/>
      <c r="G358" s="788"/>
      <c r="K358" s="302" t="s">
        <v>5070</v>
      </c>
      <c r="M358" s="959"/>
      <c r="N358" s="959"/>
    </row>
    <row r="359" spans="1:14" x14ac:dyDescent="0.3">
      <c r="A359" s="283"/>
      <c r="B359" s="284"/>
      <c r="C359" s="284"/>
      <c r="D359" s="1247" t="s">
        <v>7703</v>
      </c>
      <c r="E359" s="1247"/>
      <c r="F359" s="1247"/>
      <c r="G359" s="1247"/>
      <c r="H359" s="1247"/>
      <c r="I359" s="1247"/>
      <c r="J359" s="1247"/>
      <c r="K359" s="302" t="s">
        <v>5070</v>
      </c>
      <c r="M359" s="959"/>
      <c r="N359" s="959"/>
    </row>
    <row r="360" spans="1:14" x14ac:dyDescent="0.3">
      <c r="A360" s="283"/>
      <c r="B360" s="284"/>
      <c r="C360" s="284"/>
      <c r="D360" s="349"/>
      <c r="E360" s="349"/>
      <c r="F360" s="322"/>
      <c r="G360" s="788"/>
      <c r="K360" s="302" t="s">
        <v>5070</v>
      </c>
      <c r="M360" s="959"/>
      <c r="N360" s="959"/>
    </row>
    <row r="361" spans="1:14" ht="59.25" customHeight="1" x14ac:dyDescent="0.3">
      <c r="A361" s="283"/>
      <c r="B361" s="284"/>
      <c r="C361" s="284"/>
      <c r="D361" s="1242" t="s">
        <v>7704</v>
      </c>
      <c r="E361" s="1242"/>
      <c r="F361" s="1242"/>
      <c r="G361" s="1242"/>
      <c r="H361" s="1242"/>
      <c r="I361" s="1242"/>
      <c r="J361" s="1242"/>
      <c r="K361" s="302" t="s">
        <v>5070</v>
      </c>
      <c r="M361" s="959"/>
      <c r="N361" s="959"/>
    </row>
    <row r="362" spans="1:14" x14ac:dyDescent="0.3">
      <c r="A362" s="283"/>
      <c r="B362" s="284"/>
      <c r="C362" s="284"/>
      <c r="D362" s="322"/>
      <c r="E362" s="322"/>
      <c r="F362" s="322"/>
      <c r="G362" s="788"/>
      <c r="K362" s="302" t="s">
        <v>5070</v>
      </c>
      <c r="M362" s="959"/>
      <c r="N362" s="959"/>
    </row>
    <row r="363" spans="1:14" x14ac:dyDescent="0.3">
      <c r="A363" s="283"/>
      <c r="B363" s="284"/>
      <c r="C363" s="284"/>
      <c r="D363" s="1247" t="s">
        <v>7705</v>
      </c>
      <c r="E363" s="1247"/>
      <c r="F363" s="1247"/>
      <c r="G363" s="1247"/>
      <c r="H363" s="1247"/>
      <c r="I363" s="1247"/>
      <c r="J363" s="1247"/>
      <c r="K363" s="302" t="s">
        <v>5070</v>
      </c>
      <c r="M363" s="959"/>
      <c r="N363" s="959"/>
    </row>
    <row r="364" spans="1:14" x14ac:dyDescent="0.3">
      <c r="A364" s="283"/>
      <c r="B364" s="284"/>
      <c r="C364" s="284"/>
      <c r="D364" s="349"/>
      <c r="E364" s="349"/>
      <c r="F364" s="322"/>
      <c r="G364" s="788"/>
      <c r="K364" s="302" t="s">
        <v>5070</v>
      </c>
      <c r="M364" s="959"/>
      <c r="N364" s="959"/>
    </row>
    <row r="365" spans="1:14" ht="56.3" customHeight="1" x14ac:dyDescent="0.3">
      <c r="A365" s="283"/>
      <c r="B365" s="284"/>
      <c r="C365" s="284"/>
      <c r="D365" s="1242" t="s">
        <v>7706</v>
      </c>
      <c r="E365" s="1242"/>
      <c r="F365" s="1242"/>
      <c r="G365" s="1242"/>
      <c r="H365" s="1242"/>
      <c r="I365" s="1242"/>
      <c r="J365" s="1242"/>
      <c r="K365" s="302" t="s">
        <v>5070</v>
      </c>
      <c r="M365" s="959"/>
      <c r="N365" s="959"/>
    </row>
    <row r="366" spans="1:14" x14ac:dyDescent="0.3">
      <c r="A366" s="283"/>
      <c r="B366" s="284"/>
      <c r="C366" s="284"/>
      <c r="D366" s="297"/>
      <c r="E366" s="297"/>
      <c r="F366" s="297"/>
      <c r="G366" s="297"/>
      <c r="H366" s="297"/>
      <c r="I366" s="297"/>
      <c r="J366" s="297"/>
      <c r="K366" s="302" t="s">
        <v>5070</v>
      </c>
      <c r="M366" s="959"/>
      <c r="N366" s="959"/>
    </row>
    <row r="367" spans="1:14" x14ac:dyDescent="0.3">
      <c r="A367" s="283"/>
      <c r="B367" s="284"/>
      <c r="C367" s="284"/>
      <c r="D367" s="1247" t="s">
        <v>7707</v>
      </c>
      <c r="E367" s="1247"/>
      <c r="F367" s="1247"/>
      <c r="G367" s="1247"/>
      <c r="H367" s="1247"/>
      <c r="I367" s="1247"/>
      <c r="J367" s="1247"/>
      <c r="K367" s="302" t="s">
        <v>5070</v>
      </c>
      <c r="M367" s="959"/>
      <c r="N367" s="959"/>
    </row>
    <row r="368" spans="1:14" x14ac:dyDescent="0.3">
      <c r="A368" s="283"/>
      <c r="B368" s="284"/>
      <c r="C368" s="284"/>
      <c r="D368" s="297"/>
      <c r="E368" s="297"/>
      <c r="F368" s="297"/>
      <c r="G368" s="297"/>
      <c r="H368" s="297"/>
      <c r="I368" s="297"/>
      <c r="J368" s="297"/>
      <c r="K368" s="302" t="s">
        <v>5070</v>
      </c>
      <c r="M368" s="959"/>
      <c r="N368" s="959"/>
    </row>
    <row r="369" spans="1:14" ht="13.6" customHeight="1" x14ac:dyDescent="0.3">
      <c r="A369" s="283"/>
      <c r="B369" s="284"/>
      <c r="C369" s="284"/>
      <c r="D369" s="1248" t="s">
        <v>7708</v>
      </c>
      <c r="E369" s="1248"/>
      <c r="F369" s="1248"/>
      <c r="G369" s="1248"/>
      <c r="H369" s="1248"/>
      <c r="I369" s="1248"/>
      <c r="J369" s="1248"/>
      <c r="K369" s="302" t="s">
        <v>5070</v>
      </c>
      <c r="M369" s="959"/>
      <c r="N369" s="959"/>
    </row>
    <row r="370" spans="1:14" ht="32.25" customHeight="1" x14ac:dyDescent="0.3">
      <c r="A370" s="283"/>
      <c r="B370" s="284"/>
      <c r="C370" s="284"/>
      <c r="D370" s="1082" t="s">
        <v>7525</v>
      </c>
      <c r="E370" s="1249" t="s">
        <v>7709</v>
      </c>
      <c r="F370" s="1249"/>
      <c r="G370" s="1249"/>
      <c r="H370" s="1249"/>
      <c r="I370" s="1249"/>
      <c r="J370" s="1249"/>
      <c r="K370" s="302" t="s">
        <v>5070</v>
      </c>
      <c r="M370" s="959"/>
      <c r="N370" s="959"/>
    </row>
    <row r="371" spans="1:14" ht="24.75" customHeight="1" x14ac:dyDescent="0.3">
      <c r="A371" s="283"/>
      <c r="B371" s="284"/>
      <c r="C371" s="284"/>
      <c r="D371" s="1082" t="s">
        <v>7525</v>
      </c>
      <c r="E371" s="1249" t="s">
        <v>7710</v>
      </c>
      <c r="F371" s="1249"/>
      <c r="G371" s="1249"/>
      <c r="H371" s="1249"/>
      <c r="I371" s="1249"/>
      <c r="J371" s="1249"/>
      <c r="K371" s="302" t="s">
        <v>5070</v>
      </c>
      <c r="M371" s="959"/>
      <c r="N371" s="959"/>
    </row>
    <row r="372" spans="1:14" ht="32.25" customHeight="1" x14ac:dyDescent="0.3">
      <c r="A372" s="283"/>
      <c r="B372" s="284"/>
      <c r="C372" s="284"/>
      <c r="D372" s="1082" t="s">
        <v>7525</v>
      </c>
      <c r="E372" s="1249" t="s">
        <v>7711</v>
      </c>
      <c r="F372" s="1249"/>
      <c r="G372" s="1249"/>
      <c r="H372" s="1249"/>
      <c r="I372" s="1249"/>
      <c r="J372" s="1249"/>
      <c r="K372" s="302" t="s">
        <v>5070</v>
      </c>
      <c r="M372" s="959"/>
      <c r="N372" s="959"/>
    </row>
    <row r="373" spans="1:14" x14ac:dyDescent="0.3">
      <c r="A373" s="283"/>
      <c r="B373" s="284"/>
      <c r="C373" s="284"/>
      <c r="D373" s="350"/>
      <c r="E373" s="327"/>
      <c r="F373" s="327"/>
      <c r="G373" s="327"/>
      <c r="H373" s="327"/>
      <c r="I373" s="327"/>
      <c r="J373" s="327"/>
      <c r="K373" s="302" t="s">
        <v>5070</v>
      </c>
      <c r="M373" s="959"/>
      <c r="N373" s="959"/>
    </row>
    <row r="374" spans="1:14" x14ac:dyDescent="0.3">
      <c r="A374" s="1183">
        <f>$A$84</f>
        <v>2</v>
      </c>
      <c r="B374" s="1183">
        <f>$B$353</f>
        <v>3</v>
      </c>
      <c r="C374" s="1197">
        <f>IF(K374="ukryj",C355,C355+1)</f>
        <v>2</v>
      </c>
      <c r="D374" s="1235" t="s">
        <v>7712</v>
      </c>
      <c r="E374" s="1235"/>
      <c r="F374" s="1235"/>
      <c r="G374" s="1235"/>
      <c r="H374" s="1235"/>
      <c r="I374" s="1235"/>
      <c r="J374" s="1235"/>
      <c r="K374" s="302" t="s">
        <v>5070</v>
      </c>
      <c r="M374" s="959"/>
      <c r="N374" s="959"/>
    </row>
    <row r="375" spans="1:14" x14ac:dyDescent="0.3">
      <c r="A375" s="283"/>
      <c r="B375" s="284"/>
      <c r="C375" s="284"/>
      <c r="D375" s="350"/>
      <c r="E375" s="327"/>
      <c r="F375" s="327"/>
      <c r="G375" s="327"/>
      <c r="H375" s="327"/>
      <c r="I375" s="327"/>
      <c r="J375" s="327"/>
      <c r="K375" s="302" t="s">
        <v>5070</v>
      </c>
      <c r="M375" s="959"/>
      <c r="N375" s="959"/>
    </row>
    <row r="376" spans="1:14" ht="13.6" customHeight="1" x14ac:dyDescent="0.3">
      <c r="A376" s="283"/>
      <c r="B376" s="284"/>
      <c r="C376" s="284"/>
      <c r="D376" s="1242" t="s">
        <v>7713</v>
      </c>
      <c r="E376" s="1242"/>
      <c r="F376" s="1242"/>
      <c r="G376" s="1242"/>
      <c r="H376" s="1242"/>
      <c r="I376" s="1242"/>
      <c r="J376" s="1242"/>
      <c r="K376" s="302" t="s">
        <v>5070</v>
      </c>
      <c r="M376" s="959"/>
      <c r="N376" s="959"/>
    </row>
    <row r="377" spans="1:14" x14ac:dyDescent="0.3">
      <c r="A377" s="283"/>
      <c r="B377" s="284"/>
      <c r="C377" s="284"/>
      <c r="D377" s="350"/>
      <c r="E377" s="327"/>
      <c r="F377" s="327"/>
      <c r="G377" s="327"/>
      <c r="H377" s="327"/>
      <c r="I377" s="327"/>
      <c r="J377" s="327"/>
      <c r="K377" s="302" t="s">
        <v>5070</v>
      </c>
      <c r="M377" s="959"/>
      <c r="N377" s="959"/>
    </row>
    <row r="378" spans="1:14" x14ac:dyDescent="0.3">
      <c r="A378" s="1183">
        <f>$A$84</f>
        <v>2</v>
      </c>
      <c r="B378" s="1183">
        <f>$B$353</f>
        <v>3</v>
      </c>
      <c r="C378" s="1197">
        <f>IF(K378="ukryj",C374,C374+1)</f>
        <v>3</v>
      </c>
      <c r="D378" s="1235" t="s">
        <v>7714</v>
      </c>
      <c r="E378" s="1235"/>
      <c r="F378" s="1235"/>
      <c r="G378" s="1235"/>
      <c r="H378" s="1235"/>
      <c r="I378" s="1235"/>
      <c r="J378" s="1235"/>
      <c r="K378" s="302" t="s">
        <v>5070</v>
      </c>
      <c r="M378" s="959"/>
      <c r="N378" s="959"/>
    </row>
    <row r="379" spans="1:14" x14ac:dyDescent="0.3">
      <c r="A379" s="283"/>
      <c r="B379" s="284"/>
      <c r="C379" s="284"/>
      <c r="D379" s="350"/>
      <c r="E379" s="327"/>
      <c r="F379" s="327"/>
      <c r="G379" s="327"/>
      <c r="H379" s="327"/>
      <c r="I379" s="327"/>
      <c r="J379" s="327"/>
      <c r="K379" s="302" t="s">
        <v>5070</v>
      </c>
      <c r="M379" s="959"/>
      <c r="N379" s="959"/>
    </row>
    <row r="380" spans="1:14" ht="90.85" customHeight="1" x14ac:dyDescent="0.3">
      <c r="A380" s="283"/>
      <c r="B380" s="284"/>
      <c r="C380" s="284"/>
      <c r="D380" s="1245" t="s">
        <v>7715</v>
      </c>
      <c r="E380" s="1245"/>
      <c r="F380" s="1245"/>
      <c r="G380" s="1245"/>
      <c r="H380" s="1245"/>
      <c r="I380" s="1245"/>
      <c r="J380" s="1245"/>
      <c r="K380" s="302" t="s">
        <v>5070</v>
      </c>
      <c r="M380" s="959"/>
      <c r="N380" s="959"/>
    </row>
    <row r="381" spans="1:14" x14ac:dyDescent="0.3">
      <c r="A381" s="283"/>
      <c r="B381" s="284"/>
      <c r="C381" s="284"/>
      <c r="D381" s="789"/>
      <c r="E381" s="789"/>
      <c r="F381" s="789"/>
      <c r="H381" s="789"/>
      <c r="I381" s="789"/>
      <c r="K381" s="302" t="s">
        <v>5070</v>
      </c>
      <c r="M381" s="959"/>
      <c r="N381" s="959"/>
    </row>
    <row r="382" spans="1:14" ht="29.95" customHeight="1" x14ac:dyDescent="0.3">
      <c r="A382" s="283"/>
      <c r="B382" s="284"/>
      <c r="C382" s="284"/>
      <c r="D382" s="1246" t="s">
        <v>7716</v>
      </c>
      <c r="E382" s="1246"/>
      <c r="F382" s="1246"/>
      <c r="G382" s="1246"/>
      <c r="H382" s="1246"/>
      <c r="I382" s="1246"/>
      <c r="J382" s="1246"/>
      <c r="K382" s="302" t="s">
        <v>5070</v>
      </c>
      <c r="M382" s="959"/>
      <c r="N382" s="959"/>
    </row>
    <row r="383" spans="1:14" ht="8.1999999999999993" customHeight="1" x14ac:dyDescent="0.3">
      <c r="A383" s="283"/>
      <c r="B383" s="284"/>
      <c r="C383" s="284"/>
      <c r="D383" s="294"/>
      <c r="E383" s="294"/>
      <c r="F383" s="294"/>
      <c r="G383" s="294"/>
      <c r="H383" s="294"/>
      <c r="I383" s="294"/>
      <c r="J383" s="294"/>
      <c r="K383" s="302" t="s">
        <v>5070</v>
      </c>
      <c r="M383" s="959"/>
      <c r="N383" s="959"/>
    </row>
    <row r="384" spans="1:14" ht="13.6" customHeight="1" x14ac:dyDescent="0.3">
      <c r="A384" s="283"/>
      <c r="B384" s="284"/>
      <c r="C384" s="284"/>
      <c r="D384" s="298" t="s">
        <v>7525</v>
      </c>
      <c r="E384" s="1246" t="s">
        <v>7717</v>
      </c>
      <c r="F384" s="1246"/>
      <c r="G384" s="1246"/>
      <c r="H384" s="1246"/>
      <c r="I384" s="1246"/>
      <c r="J384" s="1246"/>
      <c r="K384" s="302" t="s">
        <v>5070</v>
      </c>
      <c r="M384" s="959"/>
      <c r="N384" s="959"/>
    </row>
    <row r="385" spans="1:14" ht="8.1999999999999993" customHeight="1" x14ac:dyDescent="0.3">
      <c r="A385" s="283"/>
      <c r="B385" s="284"/>
      <c r="C385" s="284"/>
      <c r="D385" s="294"/>
      <c r="E385" s="294"/>
      <c r="F385" s="294"/>
      <c r="G385" s="294"/>
      <c r="H385" s="294"/>
      <c r="I385" s="294"/>
      <c r="J385" s="294"/>
      <c r="K385" s="302" t="s">
        <v>5070</v>
      </c>
      <c r="M385" s="959"/>
      <c r="N385" s="959"/>
    </row>
    <row r="386" spans="1:14" ht="69.05" customHeight="1" x14ac:dyDescent="0.3">
      <c r="A386" s="283"/>
      <c r="B386" s="284"/>
      <c r="C386" s="284"/>
      <c r="D386" s="298" t="s">
        <v>7525</v>
      </c>
      <c r="E386" s="1246" t="s">
        <v>7718</v>
      </c>
      <c r="F386" s="1246"/>
      <c r="G386" s="1246"/>
      <c r="H386" s="1246"/>
      <c r="I386" s="1246"/>
      <c r="J386" s="1246"/>
      <c r="K386" s="302" t="s">
        <v>5070</v>
      </c>
      <c r="M386" s="959"/>
      <c r="N386" s="959"/>
    </row>
    <row r="387" spans="1:14" x14ac:dyDescent="0.3">
      <c r="K387" s="302" t="s">
        <v>5070</v>
      </c>
      <c r="M387" s="959"/>
      <c r="N387" s="959"/>
    </row>
    <row r="388" spans="1:14" x14ac:dyDescent="0.3">
      <c r="A388" s="1183">
        <f>$A$84</f>
        <v>2</v>
      </c>
      <c r="B388" s="1196">
        <f>IF(K388="ukryj",B378,B378+1)</f>
        <v>4</v>
      </c>
      <c r="C388" s="1197"/>
      <c r="D388" s="1235" t="s">
        <v>7719</v>
      </c>
      <c r="E388" s="1235"/>
      <c r="F388" s="1235"/>
      <c r="G388" s="1235"/>
      <c r="H388" s="1235"/>
      <c r="I388" s="1235"/>
      <c r="J388" s="1235"/>
      <c r="K388" s="302" t="s">
        <v>5070</v>
      </c>
      <c r="L388" s="301" t="s">
        <v>3465</v>
      </c>
      <c r="M388" s="959"/>
      <c r="N388" s="959"/>
    </row>
    <row r="389" spans="1:14" x14ac:dyDescent="0.3">
      <c r="A389" s="283"/>
      <c r="K389" s="302" t="s">
        <v>5070</v>
      </c>
      <c r="M389" s="959"/>
      <c r="N389" s="959"/>
    </row>
    <row r="390" spans="1:14" x14ac:dyDescent="0.3">
      <c r="A390" s="1183">
        <f>$A$84</f>
        <v>2</v>
      </c>
      <c r="B390" s="1183">
        <f>$B$388</f>
        <v>4</v>
      </c>
      <c r="C390" s="1197">
        <f>IF(K390="ukryj",0,1)</f>
        <v>1</v>
      </c>
      <c r="D390" s="1235" t="s">
        <v>7720</v>
      </c>
      <c r="E390" s="1235"/>
      <c r="F390" s="1235"/>
      <c r="G390" s="1235"/>
      <c r="H390" s="1235"/>
      <c r="I390" s="1235"/>
      <c r="J390" s="1235"/>
      <c r="K390" s="302" t="s">
        <v>5070</v>
      </c>
      <c r="M390" s="959"/>
      <c r="N390" s="959"/>
    </row>
    <row r="391" spans="1:14" x14ac:dyDescent="0.3">
      <c r="K391" s="302" t="s">
        <v>5070</v>
      </c>
      <c r="M391" s="959"/>
      <c r="N391" s="959"/>
    </row>
    <row r="392" spans="1:14" ht="18.850000000000001" customHeight="1" x14ac:dyDescent="0.3">
      <c r="D392" s="1242" t="s">
        <v>7721</v>
      </c>
      <c r="E392" s="1242"/>
      <c r="F392" s="1242"/>
      <c r="G392" s="1242"/>
      <c r="H392" s="1242"/>
      <c r="I392" s="1242"/>
      <c r="J392" s="1242"/>
      <c r="K392" s="302" t="s">
        <v>5070</v>
      </c>
      <c r="M392" s="959"/>
      <c r="N392" s="959"/>
    </row>
    <row r="393" spans="1:14" x14ac:dyDescent="0.3">
      <c r="D393" s="297"/>
      <c r="E393" s="297"/>
      <c r="F393" s="297"/>
      <c r="G393" s="297"/>
      <c r="H393" s="297"/>
      <c r="I393" s="297"/>
      <c r="J393" s="297"/>
      <c r="K393" s="302" t="s">
        <v>5070</v>
      </c>
      <c r="M393" s="959"/>
      <c r="N393" s="959"/>
    </row>
    <row r="394" spans="1:14" x14ac:dyDescent="0.3">
      <c r="A394" s="1183">
        <f>$A$84</f>
        <v>2</v>
      </c>
      <c r="B394" s="1183">
        <f>$B$388</f>
        <v>4</v>
      </c>
      <c r="C394" s="1197">
        <f>IF(K394="ukryj",C390,C390+1)</f>
        <v>2</v>
      </c>
      <c r="D394" s="1235" t="s">
        <v>7722</v>
      </c>
      <c r="E394" s="1235"/>
      <c r="F394" s="1235"/>
      <c r="G394" s="1235"/>
      <c r="H394" s="1235"/>
      <c r="I394" s="1235"/>
      <c r="J394" s="1235"/>
      <c r="K394" s="302" t="s">
        <v>5070</v>
      </c>
      <c r="M394" s="959"/>
      <c r="N394" s="959"/>
    </row>
    <row r="395" spans="1:14" x14ac:dyDescent="0.3">
      <c r="K395" s="302" t="s">
        <v>5070</v>
      </c>
      <c r="M395" s="959"/>
      <c r="N395" s="959"/>
    </row>
    <row r="396" spans="1:14" ht="14.25" customHeight="1" x14ac:dyDescent="0.3">
      <c r="D396" s="1242" t="s">
        <v>7723</v>
      </c>
      <c r="E396" s="1242"/>
      <c r="F396" s="1242"/>
      <c r="G396" s="1242"/>
      <c r="H396" s="1242"/>
      <c r="I396" s="1242"/>
      <c r="J396" s="1242"/>
      <c r="K396" s="302" t="s">
        <v>5070</v>
      </c>
      <c r="M396" s="959"/>
      <c r="N396" s="959"/>
    </row>
    <row r="397" spans="1:14" x14ac:dyDescent="0.3">
      <c r="D397" s="351" t="s">
        <v>7724</v>
      </c>
      <c r="E397" s="351"/>
      <c r="F397" s="351"/>
      <c r="G397" s="352"/>
      <c r="H397" s="351"/>
      <c r="I397" s="351"/>
      <c r="J397" s="351"/>
      <c r="K397" s="302" t="s">
        <v>5125</v>
      </c>
      <c r="M397" s="959"/>
      <c r="N397" s="959"/>
    </row>
    <row r="398" spans="1:14" ht="12.95" customHeight="1" x14ac:dyDescent="0.3">
      <c r="D398" s="1243" t="s">
        <v>7725</v>
      </c>
      <c r="E398" s="1244"/>
      <c r="F398" s="1244"/>
      <c r="G398" s="1244"/>
      <c r="H398" s="1244"/>
      <c r="I398" s="1244"/>
      <c r="J398" s="1244"/>
      <c r="K398" s="302" t="s">
        <v>5070</v>
      </c>
      <c r="M398" s="959"/>
      <c r="N398" s="959"/>
    </row>
    <row r="399" spans="1:14" x14ac:dyDescent="0.3">
      <c r="K399" s="302" t="s">
        <v>5070</v>
      </c>
      <c r="M399" s="959"/>
      <c r="N399" s="959"/>
    </row>
    <row r="400" spans="1:14" x14ac:dyDescent="0.3">
      <c r="A400" s="1183">
        <f>$A$84</f>
        <v>2</v>
      </c>
      <c r="B400" s="1196">
        <f>IF(K400="ukryj",B394,B394+1)</f>
        <v>5</v>
      </c>
      <c r="C400" s="1197"/>
      <c r="D400" s="1235" t="s">
        <v>7726</v>
      </c>
      <c r="E400" s="1235"/>
      <c r="F400" s="1235"/>
      <c r="G400" s="1235"/>
      <c r="H400" s="1235"/>
      <c r="I400" s="1235"/>
      <c r="J400" s="1235"/>
      <c r="K400" s="302" t="s">
        <v>5070</v>
      </c>
      <c r="L400" s="301" t="s">
        <v>7727</v>
      </c>
      <c r="M400" s="959"/>
      <c r="N400" s="959"/>
    </row>
    <row r="401" spans="4:19" x14ac:dyDescent="0.3">
      <c r="K401" s="302" t="s">
        <v>5070</v>
      </c>
      <c r="M401" s="959"/>
      <c r="N401" s="959"/>
    </row>
    <row r="402" spans="4:19" ht="38.299999999999997" customHeight="1" x14ac:dyDescent="0.3">
      <c r="D402" s="1238" t="s">
        <v>7728</v>
      </c>
      <c r="E402" s="1238"/>
      <c r="F402" s="1238"/>
      <c r="G402" s="1238"/>
      <c r="H402" s="1238"/>
      <c r="I402" s="1238"/>
      <c r="J402" s="1238"/>
      <c r="K402" s="302" t="s">
        <v>5125</v>
      </c>
      <c r="M402" s="959"/>
      <c r="N402" s="959"/>
    </row>
    <row r="403" spans="4:19" x14ac:dyDescent="0.3">
      <c r="D403" s="1239" t="s">
        <v>7729</v>
      </c>
      <c r="E403" s="1239"/>
      <c r="F403" s="300"/>
      <c r="K403" s="302" t="s">
        <v>5070</v>
      </c>
      <c r="M403" s="959"/>
      <c r="N403" s="959"/>
    </row>
    <row r="404" spans="4:19" x14ac:dyDescent="0.3">
      <c r="K404" s="302" t="s">
        <v>5070</v>
      </c>
      <c r="M404" s="959"/>
      <c r="N404" s="959"/>
    </row>
    <row r="405" spans="4:19" x14ac:dyDescent="0.3">
      <c r="D405" s="1239" t="s">
        <v>7730</v>
      </c>
      <c r="E405" s="1239"/>
      <c r="K405" s="302" t="s">
        <v>5070</v>
      </c>
      <c r="M405" s="959"/>
      <c r="N405" s="959"/>
    </row>
    <row r="406" spans="4:19" x14ac:dyDescent="0.3">
      <c r="D406" s="1240"/>
      <c r="E406" s="1240"/>
      <c r="F406" s="1240"/>
      <c r="G406" s="1240"/>
      <c r="H406" s="1240"/>
      <c r="I406" s="1240"/>
      <c r="J406" s="1240"/>
      <c r="K406" s="302" t="s">
        <v>5070</v>
      </c>
      <c r="M406" s="1241" t="s">
        <v>7731</v>
      </c>
      <c r="N406" s="1241"/>
      <c r="O406" s="1241"/>
      <c r="P406" s="1241"/>
      <c r="Q406" s="1241"/>
      <c r="R406" s="1241"/>
      <c r="S406" s="1241"/>
    </row>
    <row r="407" spans="4:19" x14ac:dyDescent="0.3"/>
    <row r="408" spans="4:19" x14ac:dyDescent="0.3"/>
    <row r="409" spans="4:19" x14ac:dyDescent="0.3"/>
    <row r="410" spans="4:19" x14ac:dyDescent="0.3"/>
    <row r="411" spans="4:19" x14ac:dyDescent="0.3"/>
    <row r="412" spans="4:19" x14ac:dyDescent="0.3"/>
    <row r="413" spans="4:19" x14ac:dyDescent="0.3"/>
    <row r="414" spans="4:19" x14ac:dyDescent="0.3"/>
    <row r="415" spans="4:19" x14ac:dyDescent="0.3"/>
    <row r="416" spans="4:19" x14ac:dyDescent="0.3"/>
    <row r="417" x14ac:dyDescent="0.3"/>
    <row r="418" x14ac:dyDescent="0.3"/>
    <row r="419" x14ac:dyDescent="0.3"/>
    <row r="420" x14ac:dyDescent="0.3"/>
    <row r="421" x14ac:dyDescent="0.3"/>
    <row r="422" x14ac:dyDescent="0.3"/>
    <row r="423" x14ac:dyDescent="0.3"/>
    <row r="424" x14ac:dyDescent="0.3"/>
    <row r="425" x14ac:dyDescent="0.3"/>
    <row r="426" x14ac:dyDescent="0.3"/>
    <row r="427" x14ac:dyDescent="0.3"/>
    <row r="428" x14ac:dyDescent="0.3"/>
    <row r="429" x14ac:dyDescent="0.3"/>
    <row r="430" x14ac:dyDescent="0.3"/>
    <row r="431" x14ac:dyDescent="0.3"/>
    <row r="432" x14ac:dyDescent="0.3"/>
    <row r="433" x14ac:dyDescent="0.3"/>
    <row r="434" x14ac:dyDescent="0.3"/>
    <row r="435" x14ac:dyDescent="0.3"/>
    <row r="436" x14ac:dyDescent="0.3"/>
    <row r="437" x14ac:dyDescent="0.3"/>
    <row r="438" x14ac:dyDescent="0.3"/>
    <row r="439" x14ac:dyDescent="0.3"/>
    <row r="440" x14ac:dyDescent="0.3"/>
    <row r="441" x14ac:dyDescent="0.3"/>
    <row r="442" x14ac:dyDescent="0.3"/>
    <row r="443" x14ac:dyDescent="0.3"/>
    <row r="444" x14ac:dyDescent="0.3"/>
    <row r="445" x14ac:dyDescent="0.3"/>
    <row r="446" x14ac:dyDescent="0.3"/>
    <row r="447" x14ac:dyDescent="0.3"/>
    <row r="448" x14ac:dyDescent="0.3"/>
  </sheetData>
  <sheetProtection formatCells="0" formatColumns="0" formatRows="0" sort="0" autoFilter="0"/>
  <protectedRanges>
    <protectedRange sqref="D55:J55 D61:J63" name="Range1_1"/>
    <protectedRange sqref="D57:J57" name="Range1_2"/>
    <protectedRange sqref="D67:J68" name="Range1_4"/>
    <protectedRange sqref="D92:J92" name="Range1_5"/>
    <protectedRange sqref="D94:J94" name="Range1_6"/>
    <protectedRange sqref="D96:J96" name="Range1_7"/>
    <protectedRange sqref="D102:J102" name="Range1_8"/>
    <protectedRange sqref="D103:J103" name="Range1_9"/>
    <protectedRange sqref="D110:J110" name="Range1_10"/>
    <protectedRange sqref="D117:J117" name="Range1_11"/>
    <protectedRange sqref="D119:J119" name="Range1_12"/>
    <protectedRange sqref="D120:J120" name="Range1_13"/>
    <protectedRange sqref="D121:J121" name="Range1_14"/>
    <protectedRange sqref="E123:J124" name="Range1_15"/>
    <protectedRange sqref="D126:J126" name="Range1_16"/>
    <protectedRange sqref="D128:J128" name="Range1_17"/>
    <protectedRange sqref="D132:G136" name="Range1_18"/>
    <protectedRange sqref="D138" name="Range1_19"/>
    <protectedRange sqref="D140:J140" name="Range1_20"/>
    <protectedRange sqref="D144:J146" name="Range1_21"/>
    <protectedRange sqref="D150:J150" name="Range1_22"/>
    <protectedRange sqref="D155:J157" name="Range1_23"/>
    <protectedRange sqref="D161:J172" name="Range1_24"/>
    <protectedRange sqref="D177:J177" name="Range1_25"/>
    <protectedRange sqref="D180:J181" name="Range1_26"/>
    <protectedRange sqref="D184:J184" name="Range1_27"/>
    <protectedRange sqref="D188:J196" name="Range1_28"/>
    <protectedRange sqref="D198:J202" name="Range1_29"/>
    <protectedRange sqref="D206:J219" name="Range1_30"/>
    <protectedRange sqref="D221:J225" name="Range1_31"/>
    <protectedRange sqref="D229:J229" name="Range1_32"/>
    <protectedRange sqref="D233:J233" name="Range1_33"/>
    <protectedRange sqref="D237:J237" name="Range1_34"/>
    <protectedRange sqref="D241:J248" name="Range1_35"/>
    <protectedRange sqref="D252:J254" name="Range1_37"/>
    <protectedRange sqref="D258:J262" name="Range1_38"/>
    <protectedRange sqref="D264:J264" name="Range1_39"/>
    <protectedRange sqref="D266:J268" name="Range1_40"/>
    <protectedRange sqref="D272:J278" name="Range1_41"/>
    <protectedRange sqref="D280:J284" name="Range1_42"/>
    <protectedRange sqref="D288:J291" name="Range1_43"/>
    <protectedRange sqref="D296:J296" name="Range1_44"/>
    <protectedRange sqref="D298:J302" name="Range1_45"/>
    <protectedRange sqref="D304:J304" name="Range1_46"/>
    <protectedRange sqref="D306:J306" name="Range1_47"/>
    <protectedRange sqref="D308:J308" name="Range1_48"/>
    <protectedRange sqref="D310:J310" name="Range1_49"/>
    <protectedRange sqref="D312:J312" name="Range1_50"/>
    <protectedRange sqref="D313:J313" name="Range1_51"/>
    <protectedRange sqref="D315:J316" name="Range1_52"/>
    <protectedRange sqref="D318:J319" name="Range1_53"/>
    <protectedRange sqref="D321:J321" name="Range1_54"/>
    <protectedRange sqref="D323:J323" name="Range1_55"/>
    <protectedRange sqref="D325:J327" name="Range1_56"/>
    <protectedRange sqref="D329:J329" name="Range1_57"/>
    <protectedRange sqref="D331:J331" name="Range1_58"/>
    <protectedRange sqref="D333:J333" name="Range1_59"/>
    <protectedRange sqref="D335:J335" name="Range1_60"/>
    <protectedRange sqref="D337:J337" name="Range1_61"/>
    <protectedRange sqref="D339:J339" name="Range1_62"/>
    <protectedRange sqref="D343:J343" name="Range1_63"/>
    <protectedRange sqref="D351:J351" name="Range1_64"/>
    <protectedRange sqref="D357:J357" name="Range1_65"/>
    <protectedRange sqref="D359:J361" name="Range1_67"/>
    <protectedRange sqref="D363:J365" name="Range1_68"/>
    <protectedRange sqref="D367:J372" name="Range1_69"/>
    <protectedRange sqref="D376:J376" name="Range1_70"/>
    <protectedRange sqref="D380:J380" name="Range1_71"/>
    <protectedRange sqref="D382:J382" name="Range1_72"/>
    <protectedRange sqref="D384:J386" name="Range1_73"/>
    <protectedRange sqref="D392:J393" name="Range1_74"/>
    <protectedRange sqref="D396:J398" name="Range1_75"/>
    <protectedRange sqref="D402:J402" name="Range1_76"/>
  </protectedRanges>
  <autoFilter ref="K2:K406" xr:uid="{00000000-0009-0000-0000-00000B000000}"/>
  <dataConsolidate/>
  <mergeCells count="225">
    <mergeCell ref="D5:J5"/>
    <mergeCell ref="D7:J7"/>
    <mergeCell ref="D9:J9"/>
    <mergeCell ref="D11:J11"/>
    <mergeCell ref="D46:J46"/>
    <mergeCell ref="D26:J26"/>
    <mergeCell ref="D28:J28"/>
    <mergeCell ref="D31:J31"/>
    <mergeCell ref="D33:J33"/>
    <mergeCell ref="E35:J35"/>
    <mergeCell ref="E36:J36"/>
    <mergeCell ref="E37:J37"/>
    <mergeCell ref="E38:J38"/>
    <mergeCell ref="A2:J2"/>
    <mergeCell ref="A3:J3"/>
    <mergeCell ref="D86:J86"/>
    <mergeCell ref="D88:J88"/>
    <mergeCell ref="D90:J90"/>
    <mergeCell ref="D92:J92"/>
    <mergeCell ref="D94:J94"/>
    <mergeCell ref="D96:J96"/>
    <mergeCell ref="E39:J39"/>
    <mergeCell ref="E40:J40"/>
    <mergeCell ref="E41:J41"/>
    <mergeCell ref="E42:J42"/>
    <mergeCell ref="E43:J43"/>
    <mergeCell ref="E44:J44"/>
    <mergeCell ref="D76:J76"/>
    <mergeCell ref="D84:J84"/>
    <mergeCell ref="D52:J52"/>
    <mergeCell ref="D55:J55"/>
    <mergeCell ref="D57:J57"/>
    <mergeCell ref="D59:E59"/>
    <mergeCell ref="D65:E65"/>
    <mergeCell ref="D61:J61"/>
    <mergeCell ref="D69:J69"/>
    <mergeCell ref="D68:J68"/>
    <mergeCell ref="D78:I78"/>
    <mergeCell ref="H79:J79"/>
    <mergeCell ref="D107:G107"/>
    <mergeCell ref="D108:G108"/>
    <mergeCell ref="D110:J110"/>
    <mergeCell ref="D112:J112"/>
    <mergeCell ref="E113:J113"/>
    <mergeCell ref="E114:J114"/>
    <mergeCell ref="D98:J98"/>
    <mergeCell ref="D100:J100"/>
    <mergeCell ref="D102:J102"/>
    <mergeCell ref="D103:J103"/>
    <mergeCell ref="D105:G105"/>
    <mergeCell ref="D106:G106"/>
    <mergeCell ref="E124:J124"/>
    <mergeCell ref="D126:J126"/>
    <mergeCell ref="D128:J128"/>
    <mergeCell ref="D130:G130"/>
    <mergeCell ref="D132:G132"/>
    <mergeCell ref="D133:G133"/>
    <mergeCell ref="E115:J115"/>
    <mergeCell ref="D117:J117"/>
    <mergeCell ref="D119:J119"/>
    <mergeCell ref="D120:J120"/>
    <mergeCell ref="D121:J121"/>
    <mergeCell ref="E123:J123"/>
    <mergeCell ref="D145:J145"/>
    <mergeCell ref="D146:J146"/>
    <mergeCell ref="D148:J148"/>
    <mergeCell ref="D150:J150"/>
    <mergeCell ref="D152:J152"/>
    <mergeCell ref="D153:J153"/>
    <mergeCell ref="D134:G134"/>
    <mergeCell ref="D135:G135"/>
    <mergeCell ref="D136:G136"/>
    <mergeCell ref="D140:J140"/>
    <mergeCell ref="D142:J142"/>
    <mergeCell ref="D144:J144"/>
    <mergeCell ref="E166:J166"/>
    <mergeCell ref="D168:J168"/>
    <mergeCell ref="D170:J170"/>
    <mergeCell ref="D172:J172"/>
    <mergeCell ref="D174:J174"/>
    <mergeCell ref="D175:J175"/>
    <mergeCell ref="D155:J155"/>
    <mergeCell ref="D157:J157"/>
    <mergeCell ref="D159:J159"/>
    <mergeCell ref="D161:J161"/>
    <mergeCell ref="D163:J163"/>
    <mergeCell ref="E165:J165"/>
    <mergeCell ref="D190:J190"/>
    <mergeCell ref="D192:J192"/>
    <mergeCell ref="D194:J194"/>
    <mergeCell ref="D196:J196"/>
    <mergeCell ref="D198:J198"/>
    <mergeCell ref="D200:J200"/>
    <mergeCell ref="D177:J177"/>
    <mergeCell ref="D180:J180"/>
    <mergeCell ref="D181:J181"/>
    <mergeCell ref="D184:J184"/>
    <mergeCell ref="D186:J186"/>
    <mergeCell ref="D188:J188"/>
    <mergeCell ref="E213:J213"/>
    <mergeCell ref="E214:J214"/>
    <mergeCell ref="E215:J215"/>
    <mergeCell ref="E216:J216"/>
    <mergeCell ref="E217:J217"/>
    <mergeCell ref="D219:J219"/>
    <mergeCell ref="D202:J202"/>
    <mergeCell ref="D204:J204"/>
    <mergeCell ref="D206:J206"/>
    <mergeCell ref="D208:J208"/>
    <mergeCell ref="D210:J210"/>
    <mergeCell ref="D212:J212"/>
    <mergeCell ref="D233:J233"/>
    <mergeCell ref="D235:J235"/>
    <mergeCell ref="D237:J237"/>
    <mergeCell ref="D239:J239"/>
    <mergeCell ref="D241:J241"/>
    <mergeCell ref="E242:J242"/>
    <mergeCell ref="D250:J250"/>
    <mergeCell ref="D252:J252"/>
    <mergeCell ref="D221:J221"/>
    <mergeCell ref="D223:J223"/>
    <mergeCell ref="D225:J225"/>
    <mergeCell ref="D227:J227"/>
    <mergeCell ref="D229:J229"/>
    <mergeCell ref="D231:J231"/>
    <mergeCell ref="E253:J253"/>
    <mergeCell ref="E254:J254"/>
    <mergeCell ref="D256:J256"/>
    <mergeCell ref="D258:J258"/>
    <mergeCell ref="E243:J243"/>
    <mergeCell ref="D245:J245"/>
    <mergeCell ref="D246:J246"/>
    <mergeCell ref="D270:J270"/>
    <mergeCell ref="D272:J272"/>
    <mergeCell ref="D248:J248"/>
    <mergeCell ref="D274:J274"/>
    <mergeCell ref="D276:J276"/>
    <mergeCell ref="D278:J278"/>
    <mergeCell ref="D280:J280"/>
    <mergeCell ref="D260:J260"/>
    <mergeCell ref="D261:J261"/>
    <mergeCell ref="D262:J262"/>
    <mergeCell ref="D264:J264"/>
    <mergeCell ref="D266:J266"/>
    <mergeCell ref="D268:J268"/>
    <mergeCell ref="D291:J291"/>
    <mergeCell ref="D294:J294"/>
    <mergeCell ref="D296:J296"/>
    <mergeCell ref="D298:J298"/>
    <mergeCell ref="D299:J299"/>
    <mergeCell ref="D300:J300"/>
    <mergeCell ref="D282:J282"/>
    <mergeCell ref="D284:J284"/>
    <mergeCell ref="D286:J286"/>
    <mergeCell ref="D288:J288"/>
    <mergeCell ref="D289:J289"/>
    <mergeCell ref="D290:J290"/>
    <mergeCell ref="D308:J308"/>
    <mergeCell ref="D310:J310"/>
    <mergeCell ref="D312:J312"/>
    <mergeCell ref="D313:J313"/>
    <mergeCell ref="D315:J315"/>
    <mergeCell ref="D316:J316"/>
    <mergeCell ref="D301:J301"/>
    <mergeCell ref="D302:J302"/>
    <mergeCell ref="D303:J303"/>
    <mergeCell ref="D304:J304"/>
    <mergeCell ref="D306:J306"/>
    <mergeCell ref="D307:J307"/>
    <mergeCell ref="D327:J327"/>
    <mergeCell ref="D329:J329"/>
    <mergeCell ref="D331:J331"/>
    <mergeCell ref="D333:J333"/>
    <mergeCell ref="D335:J335"/>
    <mergeCell ref="D337:J337"/>
    <mergeCell ref="D318:J318"/>
    <mergeCell ref="D319:J319"/>
    <mergeCell ref="D321:J321"/>
    <mergeCell ref="D323:J323"/>
    <mergeCell ref="D325:J325"/>
    <mergeCell ref="D326:J326"/>
    <mergeCell ref="D357:J357"/>
    <mergeCell ref="D359:J359"/>
    <mergeCell ref="D361:J361"/>
    <mergeCell ref="D363:J363"/>
    <mergeCell ref="D365:J365"/>
    <mergeCell ref="D339:J339"/>
    <mergeCell ref="D341:J341"/>
    <mergeCell ref="D343:J343"/>
    <mergeCell ref="D351:J351"/>
    <mergeCell ref="D353:J353"/>
    <mergeCell ref="D355:J355"/>
    <mergeCell ref="D376:J376"/>
    <mergeCell ref="D378:J378"/>
    <mergeCell ref="D380:J380"/>
    <mergeCell ref="D382:J382"/>
    <mergeCell ref="E384:J384"/>
    <mergeCell ref="E386:J386"/>
    <mergeCell ref="D367:J367"/>
    <mergeCell ref="D369:J369"/>
    <mergeCell ref="E370:J370"/>
    <mergeCell ref="E371:J371"/>
    <mergeCell ref="E372:J372"/>
    <mergeCell ref="D374:J374"/>
    <mergeCell ref="D400:J400"/>
    <mergeCell ref="D402:J402"/>
    <mergeCell ref="D403:E403"/>
    <mergeCell ref="D405:E405"/>
    <mergeCell ref="D406:J406"/>
    <mergeCell ref="M406:S406"/>
    <mergeCell ref="D388:J388"/>
    <mergeCell ref="D390:J390"/>
    <mergeCell ref="D392:J392"/>
    <mergeCell ref="D394:J394"/>
    <mergeCell ref="D396:J396"/>
    <mergeCell ref="D398:J398"/>
    <mergeCell ref="E73:J73"/>
    <mergeCell ref="E74:J74"/>
    <mergeCell ref="D67:J67"/>
    <mergeCell ref="D70:J70"/>
    <mergeCell ref="D72:J72"/>
    <mergeCell ref="D48:J48"/>
    <mergeCell ref="D50:J50"/>
    <mergeCell ref="D54:E54"/>
    <mergeCell ref="D63:J63"/>
  </mergeCells>
  <conditionalFormatting sqref="B1:C1048576">
    <cfRule type="expression" dxfId="28" priority="1">
      <formula>$K1="ukryj"</formula>
    </cfRule>
  </conditionalFormatting>
  <printOptions horizontalCentered="1"/>
  <pageMargins left="0.70866141732283472" right="0.70866141732283472" top="0.74803149606299213" bottom="0.74803149606299213" header="0.31496062992125984" footer="0.31496062992125984"/>
  <pageSetup paperSize="9" scale="90" firstPageNumber="2" fitToWidth="15" fitToHeight="15" orientation="portrait" blackAndWhite="1" r:id="rId1"/>
  <headerFooter alignWithMargins="0">
    <oddFooter>&amp;C&amp;"Times New Roman.Normalny"&amp;10&amp;P</oddFooter>
  </headerFooter>
  <rowBreaks count="1" manualBreakCount="1">
    <brk id="97"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43013" r:id="rId4" name="Dodaj wiersze">
              <controlPr defaultSize="0" print="0" autoFill="0" autoPict="0" macro="[0]!dodajWierszNoty">
                <anchor>
                  <from>
                    <xdr:col>5</xdr:col>
                    <xdr:colOff>282633</xdr:colOff>
                    <xdr:row>0</xdr:row>
                    <xdr:rowOff>41564</xdr:rowOff>
                  </from>
                  <to>
                    <xdr:col>6</xdr:col>
                    <xdr:colOff>299258</xdr:colOff>
                    <xdr:row>0</xdr:row>
                    <xdr:rowOff>507076</xdr:rowOff>
                  </to>
                </anchor>
              </controlPr>
            </control>
          </mc:Choice>
        </mc:AlternateContent>
        <mc:AlternateContent xmlns:mc="http://schemas.openxmlformats.org/markup-compatibility/2006">
          <mc:Choice Requires="x14">
            <control shapeId="43015" r:id="rId5" name="Usuń dodane wiersze">
              <controlPr defaultSize="0" print="0" autoFill="0" autoPict="0" macro="[0]!UsunDodaneWiersze">
                <anchor>
                  <from>
                    <xdr:col>6</xdr:col>
                    <xdr:colOff>315884</xdr:colOff>
                    <xdr:row>0</xdr:row>
                    <xdr:rowOff>41564</xdr:rowOff>
                  </from>
                  <to>
                    <xdr:col>7</xdr:col>
                    <xdr:colOff>207818</xdr:colOff>
                    <xdr:row>0</xdr:row>
                    <xdr:rowOff>507076</xdr:rowOff>
                  </to>
                </anchor>
              </controlPr>
            </control>
          </mc:Choice>
        </mc:AlternateContent>
        <mc:AlternateContent xmlns:mc="http://schemas.openxmlformats.org/markup-compatibility/2006">
          <mc:Choice Requires="x14">
            <control shapeId="43017" r:id="rId6" name="Odkryj wszystkie wiersze">
              <controlPr defaultSize="0" print="0" autoFill="0" autoPict="0" macro="[0]!filtr_Odkryj">
                <anchor>
                  <from>
                    <xdr:col>11</xdr:col>
                    <xdr:colOff>365760</xdr:colOff>
                    <xdr:row>0</xdr:row>
                    <xdr:rowOff>41564</xdr:rowOff>
                  </from>
                  <to>
                    <xdr:col>12</xdr:col>
                    <xdr:colOff>656705</xdr:colOff>
                    <xdr:row>0</xdr:row>
                    <xdr:rowOff>507076</xdr:rowOff>
                  </to>
                </anchor>
              </controlPr>
            </control>
          </mc:Choice>
        </mc:AlternateContent>
        <mc:AlternateContent xmlns:mc="http://schemas.openxmlformats.org/markup-compatibility/2006">
          <mc:Choice Requires="x14">
            <control shapeId="43019" r:id="rId7" name="Ukryj wszystkie wiersze">
              <controlPr defaultSize="0" print="0" autoFill="0" autoPict="0" macro="[0]!filtr_Ukryj_Arkusz">
                <anchor>
                  <from>
                    <xdr:col>10</xdr:col>
                    <xdr:colOff>0</xdr:colOff>
                    <xdr:row>0</xdr:row>
                    <xdr:rowOff>41564</xdr:rowOff>
                  </from>
                  <to>
                    <xdr:col>11</xdr:col>
                    <xdr:colOff>340822</xdr:colOff>
                    <xdr:row>0</xdr:row>
                    <xdr:rowOff>507076</xdr:rowOff>
                  </to>
                </anchor>
              </controlPr>
            </control>
          </mc:Choice>
        </mc:AlternateContent>
        <mc:AlternateContent xmlns:mc="http://schemas.openxmlformats.org/markup-compatibility/2006">
          <mc:Choice Requires="x14">
            <control shapeId="43021" r:id="rId8" name="Scal/rozdziel komórki">
              <controlPr defaultSize="0" print="0" autoFill="0" autoPict="0" macro="[0]!Merge_cells">
                <anchor>
                  <from>
                    <xdr:col>7</xdr:col>
                    <xdr:colOff>340822</xdr:colOff>
                    <xdr:row>0</xdr:row>
                    <xdr:rowOff>41564</xdr:rowOff>
                  </from>
                  <to>
                    <xdr:col>9</xdr:col>
                    <xdr:colOff>149629</xdr:colOff>
                    <xdr:row>0</xdr:row>
                    <xdr:rowOff>507076</xdr:rowOff>
                  </to>
                </anchor>
              </controlPr>
            </control>
          </mc:Choice>
        </mc:AlternateContent>
        <mc:AlternateContent xmlns:mc="http://schemas.openxmlformats.org/markup-compatibility/2006">
          <mc:Choice Requires="x14">
            <control shapeId="43022" r:id="rId9" name="Dodaj notę">
              <controlPr defaultSize="0" print="0" autoFill="0" autoPict="0" macro="[0]!Dodaj_Note_Wstep">
                <anchor>
                  <from>
                    <xdr:col>0</xdr:col>
                    <xdr:colOff>41564</xdr:colOff>
                    <xdr:row>0</xdr:row>
                    <xdr:rowOff>41564</xdr:rowOff>
                  </from>
                  <to>
                    <xdr:col>4</xdr:col>
                    <xdr:colOff>149629</xdr:colOff>
                    <xdr:row>0</xdr:row>
                    <xdr:rowOff>507076</xdr:rowOff>
                  </to>
                </anchor>
              </controlPr>
            </control>
          </mc:Choice>
        </mc:AlternateContent>
        <mc:AlternateContent xmlns:mc="http://schemas.openxmlformats.org/markup-compatibility/2006">
          <mc:Choice Requires="x14">
            <control shapeId="43023" r:id="rId10" name="Usuń dodaną notę">
              <controlPr defaultSize="0" print="0" autoFill="0" autoPict="0" macro="[0]!Usun_Dodana_Note_Wstep">
                <anchor>
                  <from>
                    <xdr:col>4</xdr:col>
                    <xdr:colOff>174567</xdr:colOff>
                    <xdr:row>0</xdr:row>
                    <xdr:rowOff>41564</xdr:rowOff>
                  </from>
                  <to>
                    <xdr:col>5</xdr:col>
                    <xdr:colOff>149629</xdr:colOff>
                    <xdr:row>0</xdr:row>
                    <xdr:rowOff>507076</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WVV443"/>
  <sheetViews>
    <sheetView view="pageBreakPreview" zoomScaleNormal="100" zoomScaleSheetLayoutView="100" workbookViewId="0">
      <pane ySplit="1" topLeftCell="A20" activePane="bottomLeft" state="frozen"/>
      <selection activeCell="B4" sqref="B4"/>
      <selection pane="bottomLeft" activeCell="D26" sqref="D26:J26"/>
    </sheetView>
  </sheetViews>
  <sheetFormatPr defaultColWidth="0" defaultRowHeight="13.1" zeroHeight="1" x14ac:dyDescent="0.25"/>
  <cols>
    <col min="1" max="1" width="3" style="152" customWidth="1"/>
    <col min="2" max="2" width="2.5546875" style="93" customWidth="1"/>
    <col min="3" max="3" width="4" style="104" customWidth="1"/>
    <col min="4" max="4" width="4" style="93" customWidth="1"/>
    <col min="5" max="5" width="15.6640625" style="151" customWidth="1"/>
    <col min="6" max="6" width="15" style="93" customWidth="1"/>
    <col min="7" max="7" width="16.88671875" style="93" customWidth="1"/>
    <col min="8" max="8" width="14.44140625" style="108" customWidth="1"/>
    <col min="9" max="9" width="3.6640625" style="150" customWidth="1"/>
    <col min="10" max="10" width="17.88671875" style="93" customWidth="1"/>
    <col min="11" max="11" width="11" style="108" customWidth="1"/>
    <col min="12" max="12" width="6.88671875" style="93" customWidth="1"/>
    <col min="13" max="13" width="28" style="93" customWidth="1"/>
    <col min="14" max="14" width="6.109375" style="93" customWidth="1"/>
    <col min="15" max="21" width="11.44140625" style="93" hidden="1" customWidth="1"/>
    <col min="22" max="25" width="0" style="93" hidden="1" customWidth="1"/>
    <col min="26" max="256" width="11.44140625" style="93" hidden="1"/>
    <col min="257" max="257" width="3.33203125" style="93" hidden="1"/>
    <col min="258" max="258" width="2.5546875" style="93" hidden="1"/>
    <col min="259" max="259" width="3.88671875" style="93" hidden="1"/>
    <col min="260" max="260" width="4" style="93" hidden="1"/>
    <col min="261" max="261" width="15.109375" style="93" hidden="1"/>
    <col min="262" max="262" width="14.5546875" style="93" hidden="1"/>
    <col min="263" max="263" width="14.44140625" style="93" hidden="1"/>
    <col min="264" max="264" width="14.6640625" style="93" hidden="1"/>
    <col min="265" max="265" width="13.88671875" style="93" hidden="1"/>
    <col min="266" max="266" width="6.109375" style="93" hidden="1"/>
    <col min="267" max="267" width="11" style="93" hidden="1"/>
    <col min="268" max="268" width="6.88671875" style="93" hidden="1"/>
    <col min="269" max="269" width="4.5546875" style="93" hidden="1"/>
    <col min="270" max="270" width="6.109375" style="93" hidden="1"/>
    <col min="271" max="512" width="11.44140625" style="93" hidden="1"/>
    <col min="513" max="513" width="3.33203125" style="93" hidden="1"/>
    <col min="514" max="514" width="2.5546875" style="93" hidden="1"/>
    <col min="515" max="515" width="3.88671875" style="93" hidden="1"/>
    <col min="516" max="516" width="4" style="93" hidden="1"/>
    <col min="517" max="517" width="15.109375" style="93" hidden="1"/>
    <col min="518" max="518" width="14.5546875" style="93" hidden="1"/>
    <col min="519" max="519" width="14.44140625" style="93" hidden="1"/>
    <col min="520" max="520" width="14.6640625" style="93" hidden="1"/>
    <col min="521" max="521" width="13.88671875" style="93" hidden="1"/>
    <col min="522" max="522" width="6.109375" style="93" hidden="1"/>
    <col min="523" max="523" width="11" style="93" hidden="1"/>
    <col min="524" max="524" width="6.88671875" style="93" hidden="1"/>
    <col min="525" max="525" width="4.5546875" style="93" hidden="1"/>
    <col min="526" max="526" width="6.109375" style="93" hidden="1"/>
    <col min="527" max="768" width="11.44140625" style="93" hidden="1"/>
    <col min="769" max="769" width="3.33203125" style="93" hidden="1"/>
    <col min="770" max="770" width="2.5546875" style="93" hidden="1"/>
    <col min="771" max="771" width="3.88671875" style="93" hidden="1"/>
    <col min="772" max="772" width="4" style="93" hidden="1"/>
    <col min="773" max="773" width="15.109375" style="93" hidden="1"/>
    <col min="774" max="774" width="14.5546875" style="93" hidden="1"/>
    <col min="775" max="775" width="14.44140625" style="93" hidden="1"/>
    <col min="776" max="776" width="14.6640625" style="93" hidden="1"/>
    <col min="777" max="777" width="13.88671875" style="93" hidden="1"/>
    <col min="778" max="778" width="6.109375" style="93" hidden="1"/>
    <col min="779" max="779" width="11" style="93" hidden="1"/>
    <col min="780" max="780" width="6.88671875" style="93" hidden="1"/>
    <col min="781" max="781" width="4.5546875" style="93" hidden="1"/>
    <col min="782" max="782" width="6.109375" style="93" hidden="1"/>
    <col min="783" max="1024" width="11.44140625" style="93" hidden="1"/>
    <col min="1025" max="1025" width="3.33203125" style="93" hidden="1"/>
    <col min="1026" max="1026" width="2.5546875" style="93" hidden="1"/>
    <col min="1027" max="1027" width="3.88671875" style="93" hidden="1"/>
    <col min="1028" max="1028" width="4" style="93" hidden="1"/>
    <col min="1029" max="1029" width="15.109375" style="93" hidden="1"/>
    <col min="1030" max="1030" width="14.5546875" style="93" hidden="1"/>
    <col min="1031" max="1031" width="14.44140625" style="93" hidden="1"/>
    <col min="1032" max="1032" width="14.6640625" style="93" hidden="1"/>
    <col min="1033" max="1033" width="13.88671875" style="93" hidden="1"/>
    <col min="1034" max="1034" width="6.109375" style="93" hidden="1"/>
    <col min="1035" max="1035" width="11" style="93" hidden="1"/>
    <col min="1036" max="1036" width="6.88671875" style="93" hidden="1"/>
    <col min="1037" max="1037" width="4.5546875" style="93" hidden="1"/>
    <col min="1038" max="1038" width="6.109375" style="93" hidden="1"/>
    <col min="1039" max="1280" width="11.44140625" style="93" hidden="1"/>
    <col min="1281" max="1281" width="3.33203125" style="93" hidden="1"/>
    <col min="1282" max="1282" width="2.5546875" style="93" hidden="1"/>
    <col min="1283" max="1283" width="3.88671875" style="93" hidden="1"/>
    <col min="1284" max="1284" width="4" style="93" hidden="1"/>
    <col min="1285" max="1285" width="15.109375" style="93" hidden="1"/>
    <col min="1286" max="1286" width="14.5546875" style="93" hidden="1"/>
    <col min="1287" max="1287" width="14.44140625" style="93" hidden="1"/>
    <col min="1288" max="1288" width="14.6640625" style="93" hidden="1"/>
    <col min="1289" max="1289" width="13.88671875" style="93" hidden="1"/>
    <col min="1290" max="1290" width="6.109375" style="93" hidden="1"/>
    <col min="1291" max="1291" width="11" style="93" hidden="1"/>
    <col min="1292" max="1292" width="6.88671875" style="93" hidden="1"/>
    <col min="1293" max="1293" width="4.5546875" style="93" hidden="1"/>
    <col min="1294" max="1294" width="6.109375" style="93" hidden="1"/>
    <col min="1295" max="1536" width="11.44140625" style="93" hidden="1"/>
    <col min="1537" max="1537" width="3.33203125" style="93" hidden="1"/>
    <col min="1538" max="1538" width="2.5546875" style="93" hidden="1"/>
    <col min="1539" max="1539" width="3.88671875" style="93" hidden="1"/>
    <col min="1540" max="1540" width="4" style="93" hidden="1"/>
    <col min="1541" max="1541" width="15.109375" style="93" hidden="1"/>
    <col min="1542" max="1542" width="14.5546875" style="93" hidden="1"/>
    <col min="1543" max="1543" width="14.44140625" style="93" hidden="1"/>
    <col min="1544" max="1544" width="14.6640625" style="93" hidden="1"/>
    <col min="1545" max="1545" width="13.88671875" style="93" hidden="1"/>
    <col min="1546" max="1546" width="6.109375" style="93" hidden="1"/>
    <col min="1547" max="1547" width="11" style="93" hidden="1"/>
    <col min="1548" max="1548" width="6.88671875" style="93" hidden="1"/>
    <col min="1549" max="1549" width="4.5546875" style="93" hidden="1"/>
    <col min="1550" max="1550" width="6.109375" style="93" hidden="1"/>
    <col min="1551" max="1792" width="11.44140625" style="93" hidden="1"/>
    <col min="1793" max="1793" width="3.33203125" style="93" hidden="1"/>
    <col min="1794" max="1794" width="2.5546875" style="93" hidden="1"/>
    <col min="1795" max="1795" width="3.88671875" style="93" hidden="1"/>
    <col min="1796" max="1796" width="4" style="93" hidden="1"/>
    <col min="1797" max="1797" width="15.109375" style="93" hidden="1"/>
    <col min="1798" max="1798" width="14.5546875" style="93" hidden="1"/>
    <col min="1799" max="1799" width="14.44140625" style="93" hidden="1"/>
    <col min="1800" max="1800" width="14.6640625" style="93" hidden="1"/>
    <col min="1801" max="1801" width="13.88671875" style="93" hidden="1"/>
    <col min="1802" max="1802" width="6.109375" style="93" hidden="1"/>
    <col min="1803" max="1803" width="11" style="93" hidden="1"/>
    <col min="1804" max="1804" width="6.88671875" style="93" hidden="1"/>
    <col min="1805" max="1805" width="4.5546875" style="93" hidden="1"/>
    <col min="1806" max="1806" width="6.109375" style="93" hidden="1"/>
    <col min="1807" max="2048" width="11.44140625" style="93" hidden="1"/>
    <col min="2049" max="2049" width="3.33203125" style="93" hidden="1"/>
    <col min="2050" max="2050" width="2.5546875" style="93" hidden="1"/>
    <col min="2051" max="2051" width="3.88671875" style="93" hidden="1"/>
    <col min="2052" max="2052" width="4" style="93" hidden="1"/>
    <col min="2053" max="2053" width="15.109375" style="93" hidden="1"/>
    <col min="2054" max="2054" width="14.5546875" style="93" hidden="1"/>
    <col min="2055" max="2055" width="14.44140625" style="93" hidden="1"/>
    <col min="2056" max="2056" width="14.6640625" style="93" hidden="1"/>
    <col min="2057" max="2057" width="13.88671875" style="93" hidden="1"/>
    <col min="2058" max="2058" width="6.109375" style="93" hidden="1"/>
    <col min="2059" max="2059" width="11" style="93" hidden="1"/>
    <col min="2060" max="2060" width="6.88671875" style="93" hidden="1"/>
    <col min="2061" max="2061" width="4.5546875" style="93" hidden="1"/>
    <col min="2062" max="2062" width="6.109375" style="93" hidden="1"/>
    <col min="2063" max="2304" width="11.44140625" style="93" hidden="1"/>
    <col min="2305" max="2305" width="3.33203125" style="93" hidden="1"/>
    <col min="2306" max="2306" width="2.5546875" style="93" hidden="1"/>
    <col min="2307" max="2307" width="3.88671875" style="93" hidden="1"/>
    <col min="2308" max="2308" width="4" style="93" hidden="1"/>
    <col min="2309" max="2309" width="15.109375" style="93" hidden="1"/>
    <col min="2310" max="2310" width="14.5546875" style="93" hidden="1"/>
    <col min="2311" max="2311" width="14.44140625" style="93" hidden="1"/>
    <col min="2312" max="2312" width="14.6640625" style="93" hidden="1"/>
    <col min="2313" max="2313" width="13.88671875" style="93" hidden="1"/>
    <col min="2314" max="2314" width="6.109375" style="93" hidden="1"/>
    <col min="2315" max="2315" width="11" style="93" hidden="1"/>
    <col min="2316" max="2316" width="6.88671875" style="93" hidden="1"/>
    <col min="2317" max="2317" width="4.5546875" style="93" hidden="1"/>
    <col min="2318" max="2318" width="6.109375" style="93" hidden="1"/>
    <col min="2319" max="2560" width="11.44140625" style="93" hidden="1"/>
    <col min="2561" max="2561" width="3.33203125" style="93" hidden="1"/>
    <col min="2562" max="2562" width="2.5546875" style="93" hidden="1"/>
    <col min="2563" max="2563" width="3.88671875" style="93" hidden="1"/>
    <col min="2564" max="2564" width="4" style="93" hidden="1"/>
    <col min="2565" max="2565" width="15.109375" style="93" hidden="1"/>
    <col min="2566" max="2566" width="14.5546875" style="93" hidden="1"/>
    <col min="2567" max="2567" width="14.44140625" style="93" hidden="1"/>
    <col min="2568" max="2568" width="14.6640625" style="93" hidden="1"/>
    <col min="2569" max="2569" width="13.88671875" style="93" hidden="1"/>
    <col min="2570" max="2570" width="6.109375" style="93" hidden="1"/>
    <col min="2571" max="2571" width="11" style="93" hidden="1"/>
    <col min="2572" max="2572" width="6.88671875" style="93" hidden="1"/>
    <col min="2573" max="2573" width="4.5546875" style="93" hidden="1"/>
    <col min="2574" max="2574" width="6.109375" style="93" hidden="1"/>
    <col min="2575" max="2816" width="11.44140625" style="93" hidden="1"/>
    <col min="2817" max="2817" width="3.33203125" style="93" hidden="1"/>
    <col min="2818" max="2818" width="2.5546875" style="93" hidden="1"/>
    <col min="2819" max="2819" width="3.88671875" style="93" hidden="1"/>
    <col min="2820" max="2820" width="4" style="93" hidden="1"/>
    <col min="2821" max="2821" width="15.109375" style="93" hidden="1"/>
    <col min="2822" max="2822" width="14.5546875" style="93" hidden="1"/>
    <col min="2823" max="2823" width="14.44140625" style="93" hidden="1"/>
    <col min="2824" max="2824" width="14.6640625" style="93" hidden="1"/>
    <col min="2825" max="2825" width="13.88671875" style="93" hidden="1"/>
    <col min="2826" max="2826" width="6.109375" style="93" hidden="1"/>
    <col min="2827" max="2827" width="11" style="93" hidden="1"/>
    <col min="2828" max="2828" width="6.88671875" style="93" hidden="1"/>
    <col min="2829" max="2829" width="4.5546875" style="93" hidden="1"/>
    <col min="2830" max="2830" width="6.109375" style="93" hidden="1"/>
    <col min="2831" max="3072" width="11.44140625" style="93" hidden="1"/>
    <col min="3073" max="3073" width="3.33203125" style="93" hidden="1"/>
    <col min="3074" max="3074" width="2.5546875" style="93" hidden="1"/>
    <col min="3075" max="3075" width="3.88671875" style="93" hidden="1"/>
    <col min="3076" max="3076" width="4" style="93" hidden="1"/>
    <col min="3077" max="3077" width="15.109375" style="93" hidden="1"/>
    <col min="3078" max="3078" width="14.5546875" style="93" hidden="1"/>
    <col min="3079" max="3079" width="14.44140625" style="93" hidden="1"/>
    <col min="3080" max="3080" width="14.6640625" style="93" hidden="1"/>
    <col min="3081" max="3081" width="13.88671875" style="93" hidden="1"/>
    <col min="3082" max="3082" width="6.109375" style="93" hidden="1"/>
    <col min="3083" max="3083" width="11" style="93" hidden="1"/>
    <col min="3084" max="3084" width="6.88671875" style="93" hidden="1"/>
    <col min="3085" max="3085" width="4.5546875" style="93" hidden="1"/>
    <col min="3086" max="3086" width="6.109375" style="93" hidden="1"/>
    <col min="3087" max="3328" width="11.44140625" style="93" hidden="1"/>
    <col min="3329" max="3329" width="3.33203125" style="93" hidden="1"/>
    <col min="3330" max="3330" width="2.5546875" style="93" hidden="1"/>
    <col min="3331" max="3331" width="3.88671875" style="93" hidden="1"/>
    <col min="3332" max="3332" width="4" style="93" hidden="1"/>
    <col min="3333" max="3333" width="15.109375" style="93" hidden="1"/>
    <col min="3334" max="3334" width="14.5546875" style="93" hidden="1"/>
    <col min="3335" max="3335" width="14.44140625" style="93" hidden="1"/>
    <col min="3336" max="3336" width="14.6640625" style="93" hidden="1"/>
    <col min="3337" max="3337" width="13.88671875" style="93" hidden="1"/>
    <col min="3338" max="3338" width="6.109375" style="93" hidden="1"/>
    <col min="3339" max="3339" width="11" style="93" hidden="1"/>
    <col min="3340" max="3340" width="6.88671875" style="93" hidden="1"/>
    <col min="3341" max="3341" width="4.5546875" style="93" hidden="1"/>
    <col min="3342" max="3342" width="6.109375" style="93" hidden="1"/>
    <col min="3343" max="3584" width="11.44140625" style="93" hidden="1"/>
    <col min="3585" max="3585" width="3.33203125" style="93" hidden="1"/>
    <col min="3586" max="3586" width="2.5546875" style="93" hidden="1"/>
    <col min="3587" max="3587" width="3.88671875" style="93" hidden="1"/>
    <col min="3588" max="3588" width="4" style="93" hidden="1"/>
    <col min="3589" max="3589" width="15.109375" style="93" hidden="1"/>
    <col min="3590" max="3590" width="14.5546875" style="93" hidden="1"/>
    <col min="3591" max="3591" width="14.44140625" style="93" hidden="1"/>
    <col min="3592" max="3592" width="14.6640625" style="93" hidden="1"/>
    <col min="3593" max="3593" width="13.88671875" style="93" hidden="1"/>
    <col min="3594" max="3594" width="6.109375" style="93" hidden="1"/>
    <col min="3595" max="3595" width="11" style="93" hidden="1"/>
    <col min="3596" max="3596" width="6.88671875" style="93" hidden="1"/>
    <col min="3597" max="3597" width="4.5546875" style="93" hidden="1"/>
    <col min="3598" max="3598" width="6.109375" style="93" hidden="1"/>
    <col min="3599" max="3840" width="11.44140625" style="93" hidden="1"/>
    <col min="3841" max="3841" width="3.33203125" style="93" hidden="1"/>
    <col min="3842" max="3842" width="2.5546875" style="93" hidden="1"/>
    <col min="3843" max="3843" width="3.88671875" style="93" hidden="1"/>
    <col min="3844" max="3844" width="4" style="93" hidden="1"/>
    <col min="3845" max="3845" width="15.109375" style="93" hidden="1"/>
    <col min="3846" max="3846" width="14.5546875" style="93" hidden="1"/>
    <col min="3847" max="3847" width="14.44140625" style="93" hidden="1"/>
    <col min="3848" max="3848" width="14.6640625" style="93" hidden="1"/>
    <col min="3849" max="3849" width="13.88671875" style="93" hidden="1"/>
    <col min="3850" max="3850" width="6.109375" style="93" hidden="1"/>
    <col min="3851" max="3851" width="11" style="93" hidden="1"/>
    <col min="3852" max="3852" width="6.88671875" style="93" hidden="1"/>
    <col min="3853" max="3853" width="4.5546875" style="93" hidden="1"/>
    <col min="3854" max="3854" width="6.109375" style="93" hidden="1"/>
    <col min="3855" max="4096" width="11.44140625" style="93" hidden="1"/>
    <col min="4097" max="4097" width="3.33203125" style="93" hidden="1"/>
    <col min="4098" max="4098" width="2.5546875" style="93" hidden="1"/>
    <col min="4099" max="4099" width="3.88671875" style="93" hidden="1"/>
    <col min="4100" max="4100" width="4" style="93" hidden="1"/>
    <col min="4101" max="4101" width="15.109375" style="93" hidden="1"/>
    <col min="4102" max="4102" width="14.5546875" style="93" hidden="1"/>
    <col min="4103" max="4103" width="14.44140625" style="93" hidden="1"/>
    <col min="4104" max="4104" width="14.6640625" style="93" hidden="1"/>
    <col min="4105" max="4105" width="13.88671875" style="93" hidden="1"/>
    <col min="4106" max="4106" width="6.109375" style="93" hidden="1"/>
    <col min="4107" max="4107" width="11" style="93" hidden="1"/>
    <col min="4108" max="4108" width="6.88671875" style="93" hidden="1"/>
    <col min="4109" max="4109" width="4.5546875" style="93" hidden="1"/>
    <col min="4110" max="4110" width="6.109375" style="93" hidden="1"/>
    <col min="4111" max="4352" width="11.44140625" style="93" hidden="1"/>
    <col min="4353" max="4353" width="3.33203125" style="93" hidden="1"/>
    <col min="4354" max="4354" width="2.5546875" style="93" hidden="1"/>
    <col min="4355" max="4355" width="3.88671875" style="93" hidden="1"/>
    <col min="4356" max="4356" width="4" style="93" hidden="1"/>
    <col min="4357" max="4357" width="15.109375" style="93" hidden="1"/>
    <col min="4358" max="4358" width="14.5546875" style="93" hidden="1"/>
    <col min="4359" max="4359" width="14.44140625" style="93" hidden="1"/>
    <col min="4360" max="4360" width="14.6640625" style="93" hidden="1"/>
    <col min="4361" max="4361" width="13.88671875" style="93" hidden="1"/>
    <col min="4362" max="4362" width="6.109375" style="93" hidden="1"/>
    <col min="4363" max="4363" width="11" style="93" hidden="1"/>
    <col min="4364" max="4364" width="6.88671875" style="93" hidden="1"/>
    <col min="4365" max="4365" width="4.5546875" style="93" hidden="1"/>
    <col min="4366" max="4366" width="6.109375" style="93" hidden="1"/>
    <col min="4367" max="4608" width="11.44140625" style="93" hidden="1"/>
    <col min="4609" max="4609" width="3.33203125" style="93" hidden="1"/>
    <col min="4610" max="4610" width="2.5546875" style="93" hidden="1"/>
    <col min="4611" max="4611" width="3.88671875" style="93" hidden="1"/>
    <col min="4612" max="4612" width="4" style="93" hidden="1"/>
    <col min="4613" max="4613" width="15.109375" style="93" hidden="1"/>
    <col min="4614" max="4614" width="14.5546875" style="93" hidden="1"/>
    <col min="4615" max="4615" width="14.44140625" style="93" hidden="1"/>
    <col min="4616" max="4616" width="14.6640625" style="93" hidden="1"/>
    <col min="4617" max="4617" width="13.88671875" style="93" hidden="1"/>
    <col min="4618" max="4618" width="6.109375" style="93" hidden="1"/>
    <col min="4619" max="4619" width="11" style="93" hidden="1"/>
    <col min="4620" max="4620" width="6.88671875" style="93" hidden="1"/>
    <col min="4621" max="4621" width="4.5546875" style="93" hidden="1"/>
    <col min="4622" max="4622" width="6.109375" style="93" hidden="1"/>
    <col min="4623" max="4864" width="11.44140625" style="93" hidden="1"/>
    <col min="4865" max="4865" width="3.33203125" style="93" hidden="1"/>
    <col min="4866" max="4866" width="2.5546875" style="93" hidden="1"/>
    <col min="4867" max="4867" width="3.88671875" style="93" hidden="1"/>
    <col min="4868" max="4868" width="4" style="93" hidden="1"/>
    <col min="4869" max="4869" width="15.109375" style="93" hidden="1"/>
    <col min="4870" max="4870" width="14.5546875" style="93" hidden="1"/>
    <col min="4871" max="4871" width="14.44140625" style="93" hidden="1"/>
    <col min="4872" max="4872" width="14.6640625" style="93" hidden="1"/>
    <col min="4873" max="4873" width="13.88671875" style="93" hidden="1"/>
    <col min="4874" max="4874" width="6.109375" style="93" hidden="1"/>
    <col min="4875" max="4875" width="11" style="93" hidden="1"/>
    <col min="4876" max="4876" width="6.88671875" style="93" hidden="1"/>
    <col min="4877" max="4877" width="4.5546875" style="93" hidden="1"/>
    <col min="4878" max="4878" width="6.109375" style="93" hidden="1"/>
    <col min="4879" max="5120" width="11.44140625" style="93" hidden="1"/>
    <col min="5121" max="5121" width="3.33203125" style="93" hidden="1"/>
    <col min="5122" max="5122" width="2.5546875" style="93" hidden="1"/>
    <col min="5123" max="5123" width="3.88671875" style="93" hidden="1"/>
    <col min="5124" max="5124" width="4" style="93" hidden="1"/>
    <col min="5125" max="5125" width="15.109375" style="93" hidden="1"/>
    <col min="5126" max="5126" width="14.5546875" style="93" hidden="1"/>
    <col min="5127" max="5127" width="14.44140625" style="93" hidden="1"/>
    <col min="5128" max="5128" width="14.6640625" style="93" hidden="1"/>
    <col min="5129" max="5129" width="13.88671875" style="93" hidden="1"/>
    <col min="5130" max="5130" width="6.109375" style="93" hidden="1"/>
    <col min="5131" max="5131" width="11" style="93" hidden="1"/>
    <col min="5132" max="5132" width="6.88671875" style="93" hidden="1"/>
    <col min="5133" max="5133" width="4.5546875" style="93" hidden="1"/>
    <col min="5134" max="5134" width="6.109375" style="93" hidden="1"/>
    <col min="5135" max="5376" width="11.44140625" style="93" hidden="1"/>
    <col min="5377" max="5377" width="3.33203125" style="93" hidden="1"/>
    <col min="5378" max="5378" width="2.5546875" style="93" hidden="1"/>
    <col min="5379" max="5379" width="3.88671875" style="93" hidden="1"/>
    <col min="5380" max="5380" width="4" style="93" hidden="1"/>
    <col min="5381" max="5381" width="15.109375" style="93" hidden="1"/>
    <col min="5382" max="5382" width="14.5546875" style="93" hidden="1"/>
    <col min="5383" max="5383" width="14.44140625" style="93" hidden="1"/>
    <col min="5384" max="5384" width="14.6640625" style="93" hidden="1"/>
    <col min="5385" max="5385" width="13.88671875" style="93" hidden="1"/>
    <col min="5386" max="5386" width="6.109375" style="93" hidden="1"/>
    <col min="5387" max="5387" width="11" style="93" hidden="1"/>
    <col min="5388" max="5388" width="6.88671875" style="93" hidden="1"/>
    <col min="5389" max="5389" width="4.5546875" style="93" hidden="1"/>
    <col min="5390" max="5390" width="6.109375" style="93" hidden="1"/>
    <col min="5391" max="5632" width="11.44140625" style="93" hidden="1"/>
    <col min="5633" max="5633" width="3.33203125" style="93" hidden="1"/>
    <col min="5634" max="5634" width="2.5546875" style="93" hidden="1"/>
    <col min="5635" max="5635" width="3.88671875" style="93" hidden="1"/>
    <col min="5636" max="5636" width="4" style="93" hidden="1"/>
    <col min="5637" max="5637" width="15.109375" style="93" hidden="1"/>
    <col min="5638" max="5638" width="14.5546875" style="93" hidden="1"/>
    <col min="5639" max="5639" width="14.44140625" style="93" hidden="1"/>
    <col min="5640" max="5640" width="14.6640625" style="93" hidden="1"/>
    <col min="5641" max="5641" width="13.88671875" style="93" hidden="1"/>
    <col min="5642" max="5642" width="6.109375" style="93" hidden="1"/>
    <col min="5643" max="5643" width="11" style="93" hidden="1"/>
    <col min="5644" max="5644" width="6.88671875" style="93" hidden="1"/>
    <col min="5645" max="5645" width="4.5546875" style="93" hidden="1"/>
    <col min="5646" max="5646" width="6.109375" style="93" hidden="1"/>
    <col min="5647" max="5888" width="11.44140625" style="93" hidden="1"/>
    <col min="5889" max="5889" width="3.33203125" style="93" hidden="1"/>
    <col min="5890" max="5890" width="2.5546875" style="93" hidden="1"/>
    <col min="5891" max="5891" width="3.88671875" style="93" hidden="1"/>
    <col min="5892" max="5892" width="4" style="93" hidden="1"/>
    <col min="5893" max="5893" width="15.109375" style="93" hidden="1"/>
    <col min="5894" max="5894" width="14.5546875" style="93" hidden="1"/>
    <col min="5895" max="5895" width="14.44140625" style="93" hidden="1"/>
    <col min="5896" max="5896" width="14.6640625" style="93" hidden="1"/>
    <col min="5897" max="5897" width="13.88671875" style="93" hidden="1"/>
    <col min="5898" max="5898" width="6.109375" style="93" hidden="1"/>
    <col min="5899" max="5899" width="11" style="93" hidden="1"/>
    <col min="5900" max="5900" width="6.88671875" style="93" hidden="1"/>
    <col min="5901" max="5901" width="4.5546875" style="93" hidden="1"/>
    <col min="5902" max="5902" width="6.109375" style="93" hidden="1"/>
    <col min="5903" max="6144" width="11.44140625" style="93" hidden="1"/>
    <col min="6145" max="6145" width="3.33203125" style="93" hidden="1"/>
    <col min="6146" max="6146" width="2.5546875" style="93" hidden="1"/>
    <col min="6147" max="6147" width="3.88671875" style="93" hidden="1"/>
    <col min="6148" max="6148" width="4" style="93" hidden="1"/>
    <col min="6149" max="6149" width="15.109375" style="93" hidden="1"/>
    <col min="6150" max="6150" width="14.5546875" style="93" hidden="1"/>
    <col min="6151" max="6151" width="14.44140625" style="93" hidden="1"/>
    <col min="6152" max="6152" width="14.6640625" style="93" hidden="1"/>
    <col min="6153" max="6153" width="13.88671875" style="93" hidden="1"/>
    <col min="6154" max="6154" width="6.109375" style="93" hidden="1"/>
    <col min="6155" max="6155" width="11" style="93" hidden="1"/>
    <col min="6156" max="6156" width="6.88671875" style="93" hidden="1"/>
    <col min="6157" max="6157" width="4.5546875" style="93" hidden="1"/>
    <col min="6158" max="6158" width="6.109375" style="93" hidden="1"/>
    <col min="6159" max="6400" width="11.44140625" style="93" hidden="1"/>
    <col min="6401" max="6401" width="3.33203125" style="93" hidden="1"/>
    <col min="6402" max="6402" width="2.5546875" style="93" hidden="1"/>
    <col min="6403" max="6403" width="3.88671875" style="93" hidden="1"/>
    <col min="6404" max="6404" width="4" style="93" hidden="1"/>
    <col min="6405" max="6405" width="15.109375" style="93" hidden="1"/>
    <col min="6406" max="6406" width="14.5546875" style="93" hidden="1"/>
    <col min="6407" max="6407" width="14.44140625" style="93" hidden="1"/>
    <col min="6408" max="6408" width="14.6640625" style="93" hidden="1"/>
    <col min="6409" max="6409" width="13.88671875" style="93" hidden="1"/>
    <col min="6410" max="6410" width="6.109375" style="93" hidden="1"/>
    <col min="6411" max="6411" width="11" style="93" hidden="1"/>
    <col min="6412" max="6412" width="6.88671875" style="93" hidden="1"/>
    <col min="6413" max="6413" width="4.5546875" style="93" hidden="1"/>
    <col min="6414" max="6414" width="6.109375" style="93" hidden="1"/>
    <col min="6415" max="6656" width="11.44140625" style="93" hidden="1"/>
    <col min="6657" max="6657" width="3.33203125" style="93" hidden="1"/>
    <col min="6658" max="6658" width="2.5546875" style="93" hidden="1"/>
    <col min="6659" max="6659" width="3.88671875" style="93" hidden="1"/>
    <col min="6660" max="6660" width="4" style="93" hidden="1"/>
    <col min="6661" max="6661" width="15.109375" style="93" hidden="1"/>
    <col min="6662" max="6662" width="14.5546875" style="93" hidden="1"/>
    <col min="6663" max="6663" width="14.44140625" style="93" hidden="1"/>
    <col min="6664" max="6664" width="14.6640625" style="93" hidden="1"/>
    <col min="6665" max="6665" width="13.88671875" style="93" hidden="1"/>
    <col min="6666" max="6666" width="6.109375" style="93" hidden="1"/>
    <col min="6667" max="6667" width="11" style="93" hidden="1"/>
    <col min="6668" max="6668" width="6.88671875" style="93" hidden="1"/>
    <col min="6669" max="6669" width="4.5546875" style="93" hidden="1"/>
    <col min="6670" max="6670" width="6.109375" style="93" hidden="1"/>
    <col min="6671" max="6912" width="11.44140625" style="93" hidden="1"/>
    <col min="6913" max="6913" width="3.33203125" style="93" hidden="1"/>
    <col min="6914" max="6914" width="2.5546875" style="93" hidden="1"/>
    <col min="6915" max="6915" width="3.88671875" style="93" hidden="1"/>
    <col min="6916" max="6916" width="4" style="93" hidden="1"/>
    <col min="6917" max="6917" width="15.109375" style="93" hidden="1"/>
    <col min="6918" max="6918" width="14.5546875" style="93" hidden="1"/>
    <col min="6919" max="6919" width="14.44140625" style="93" hidden="1"/>
    <col min="6920" max="6920" width="14.6640625" style="93" hidden="1"/>
    <col min="6921" max="6921" width="13.88671875" style="93" hidden="1"/>
    <col min="6922" max="6922" width="6.109375" style="93" hidden="1"/>
    <col min="6923" max="6923" width="11" style="93" hidden="1"/>
    <col min="6924" max="6924" width="6.88671875" style="93" hidden="1"/>
    <col min="6925" max="6925" width="4.5546875" style="93" hidden="1"/>
    <col min="6926" max="6926" width="6.109375" style="93" hidden="1"/>
    <col min="6927" max="7168" width="11.44140625" style="93" hidden="1"/>
    <col min="7169" max="7169" width="3.33203125" style="93" hidden="1"/>
    <col min="7170" max="7170" width="2.5546875" style="93" hidden="1"/>
    <col min="7171" max="7171" width="3.88671875" style="93" hidden="1"/>
    <col min="7172" max="7172" width="4" style="93" hidden="1"/>
    <col min="7173" max="7173" width="15.109375" style="93" hidden="1"/>
    <col min="7174" max="7174" width="14.5546875" style="93" hidden="1"/>
    <col min="7175" max="7175" width="14.44140625" style="93" hidden="1"/>
    <col min="7176" max="7176" width="14.6640625" style="93" hidden="1"/>
    <col min="7177" max="7177" width="13.88671875" style="93" hidden="1"/>
    <col min="7178" max="7178" width="6.109375" style="93" hidden="1"/>
    <col min="7179" max="7179" width="11" style="93" hidden="1"/>
    <col min="7180" max="7180" width="6.88671875" style="93" hidden="1"/>
    <col min="7181" max="7181" width="4.5546875" style="93" hidden="1"/>
    <col min="7182" max="7182" width="6.109375" style="93" hidden="1"/>
    <col min="7183" max="7424" width="11.44140625" style="93" hidden="1"/>
    <col min="7425" max="7425" width="3.33203125" style="93" hidden="1"/>
    <col min="7426" max="7426" width="2.5546875" style="93" hidden="1"/>
    <col min="7427" max="7427" width="3.88671875" style="93" hidden="1"/>
    <col min="7428" max="7428" width="4" style="93" hidden="1"/>
    <col min="7429" max="7429" width="15.109375" style="93" hidden="1"/>
    <col min="7430" max="7430" width="14.5546875" style="93" hidden="1"/>
    <col min="7431" max="7431" width="14.44140625" style="93" hidden="1"/>
    <col min="7432" max="7432" width="14.6640625" style="93" hidden="1"/>
    <col min="7433" max="7433" width="13.88671875" style="93" hidden="1"/>
    <col min="7434" max="7434" width="6.109375" style="93" hidden="1"/>
    <col min="7435" max="7435" width="11" style="93" hidden="1"/>
    <col min="7436" max="7436" width="6.88671875" style="93" hidden="1"/>
    <col min="7437" max="7437" width="4.5546875" style="93" hidden="1"/>
    <col min="7438" max="7438" width="6.109375" style="93" hidden="1"/>
    <col min="7439" max="7680" width="11.44140625" style="93" hidden="1"/>
    <col min="7681" max="7681" width="3.33203125" style="93" hidden="1"/>
    <col min="7682" max="7682" width="2.5546875" style="93" hidden="1"/>
    <col min="7683" max="7683" width="3.88671875" style="93" hidden="1"/>
    <col min="7684" max="7684" width="4" style="93" hidden="1"/>
    <col min="7685" max="7685" width="15.109375" style="93" hidden="1"/>
    <col min="7686" max="7686" width="14.5546875" style="93" hidden="1"/>
    <col min="7687" max="7687" width="14.44140625" style="93" hidden="1"/>
    <col min="7688" max="7688" width="14.6640625" style="93" hidden="1"/>
    <col min="7689" max="7689" width="13.88671875" style="93" hidden="1"/>
    <col min="7690" max="7690" width="6.109375" style="93" hidden="1"/>
    <col min="7691" max="7691" width="11" style="93" hidden="1"/>
    <col min="7692" max="7692" width="6.88671875" style="93" hidden="1"/>
    <col min="7693" max="7693" width="4.5546875" style="93" hidden="1"/>
    <col min="7694" max="7694" width="6.109375" style="93" hidden="1"/>
    <col min="7695" max="7936" width="11.44140625" style="93" hidden="1"/>
    <col min="7937" max="7937" width="3.33203125" style="93" hidden="1"/>
    <col min="7938" max="7938" width="2.5546875" style="93" hidden="1"/>
    <col min="7939" max="7939" width="3.88671875" style="93" hidden="1"/>
    <col min="7940" max="7940" width="4" style="93" hidden="1"/>
    <col min="7941" max="7941" width="15.109375" style="93" hidden="1"/>
    <col min="7942" max="7942" width="14.5546875" style="93" hidden="1"/>
    <col min="7943" max="7943" width="14.44140625" style="93" hidden="1"/>
    <col min="7944" max="7944" width="14.6640625" style="93" hidden="1"/>
    <col min="7945" max="7945" width="13.88671875" style="93" hidden="1"/>
    <col min="7946" max="7946" width="6.109375" style="93" hidden="1"/>
    <col min="7947" max="7947" width="11" style="93" hidden="1"/>
    <col min="7948" max="7948" width="6.88671875" style="93" hidden="1"/>
    <col min="7949" max="7949" width="4.5546875" style="93" hidden="1"/>
    <col min="7950" max="7950" width="6.109375" style="93" hidden="1"/>
    <col min="7951" max="8192" width="11.44140625" style="93" hidden="1"/>
    <col min="8193" max="8193" width="3.33203125" style="93" hidden="1"/>
    <col min="8194" max="8194" width="2.5546875" style="93" hidden="1"/>
    <col min="8195" max="8195" width="3.88671875" style="93" hidden="1"/>
    <col min="8196" max="8196" width="4" style="93" hidden="1"/>
    <col min="8197" max="8197" width="15.109375" style="93" hidden="1"/>
    <col min="8198" max="8198" width="14.5546875" style="93" hidden="1"/>
    <col min="8199" max="8199" width="14.44140625" style="93" hidden="1"/>
    <col min="8200" max="8200" width="14.6640625" style="93" hidden="1"/>
    <col min="8201" max="8201" width="13.88671875" style="93" hidden="1"/>
    <col min="8202" max="8202" width="6.109375" style="93" hidden="1"/>
    <col min="8203" max="8203" width="11" style="93" hidden="1"/>
    <col min="8204" max="8204" width="6.88671875" style="93" hidden="1"/>
    <col min="8205" max="8205" width="4.5546875" style="93" hidden="1"/>
    <col min="8206" max="8206" width="6.109375" style="93" hidden="1"/>
    <col min="8207" max="8448" width="11.44140625" style="93" hidden="1"/>
    <col min="8449" max="8449" width="3.33203125" style="93" hidden="1"/>
    <col min="8450" max="8450" width="2.5546875" style="93" hidden="1"/>
    <col min="8451" max="8451" width="3.88671875" style="93" hidden="1"/>
    <col min="8452" max="8452" width="4" style="93" hidden="1"/>
    <col min="8453" max="8453" width="15.109375" style="93" hidden="1"/>
    <col min="8454" max="8454" width="14.5546875" style="93" hidden="1"/>
    <col min="8455" max="8455" width="14.44140625" style="93" hidden="1"/>
    <col min="8456" max="8456" width="14.6640625" style="93" hidden="1"/>
    <col min="8457" max="8457" width="13.88671875" style="93" hidden="1"/>
    <col min="8458" max="8458" width="6.109375" style="93" hidden="1"/>
    <col min="8459" max="8459" width="11" style="93" hidden="1"/>
    <col min="8460" max="8460" width="6.88671875" style="93" hidden="1"/>
    <col min="8461" max="8461" width="4.5546875" style="93" hidden="1"/>
    <col min="8462" max="8462" width="6.109375" style="93" hidden="1"/>
    <col min="8463" max="8704" width="11.44140625" style="93" hidden="1"/>
    <col min="8705" max="8705" width="3.33203125" style="93" hidden="1"/>
    <col min="8706" max="8706" width="2.5546875" style="93" hidden="1"/>
    <col min="8707" max="8707" width="3.88671875" style="93" hidden="1"/>
    <col min="8708" max="8708" width="4" style="93" hidden="1"/>
    <col min="8709" max="8709" width="15.109375" style="93" hidden="1"/>
    <col min="8710" max="8710" width="14.5546875" style="93" hidden="1"/>
    <col min="8711" max="8711" width="14.44140625" style="93" hidden="1"/>
    <col min="8712" max="8712" width="14.6640625" style="93" hidden="1"/>
    <col min="8713" max="8713" width="13.88671875" style="93" hidden="1"/>
    <col min="8714" max="8714" width="6.109375" style="93" hidden="1"/>
    <col min="8715" max="8715" width="11" style="93" hidden="1"/>
    <col min="8716" max="8716" width="6.88671875" style="93" hidden="1"/>
    <col min="8717" max="8717" width="4.5546875" style="93" hidden="1"/>
    <col min="8718" max="8718" width="6.109375" style="93" hidden="1"/>
    <col min="8719" max="8960" width="11.44140625" style="93" hidden="1"/>
    <col min="8961" max="8961" width="3.33203125" style="93" hidden="1"/>
    <col min="8962" max="8962" width="2.5546875" style="93" hidden="1"/>
    <col min="8963" max="8963" width="3.88671875" style="93" hidden="1"/>
    <col min="8964" max="8964" width="4" style="93" hidden="1"/>
    <col min="8965" max="8965" width="15.109375" style="93" hidden="1"/>
    <col min="8966" max="8966" width="14.5546875" style="93" hidden="1"/>
    <col min="8967" max="8967" width="14.44140625" style="93" hidden="1"/>
    <col min="8968" max="8968" width="14.6640625" style="93" hidden="1"/>
    <col min="8969" max="8969" width="13.88671875" style="93" hidden="1"/>
    <col min="8970" max="8970" width="6.109375" style="93" hidden="1"/>
    <col min="8971" max="8971" width="11" style="93" hidden="1"/>
    <col min="8972" max="8972" width="6.88671875" style="93" hidden="1"/>
    <col min="8973" max="8973" width="4.5546875" style="93" hidden="1"/>
    <col min="8974" max="8974" width="6.109375" style="93" hidden="1"/>
    <col min="8975" max="9216" width="11.44140625" style="93" hidden="1"/>
    <col min="9217" max="9217" width="3.33203125" style="93" hidden="1"/>
    <col min="9218" max="9218" width="2.5546875" style="93" hidden="1"/>
    <col min="9219" max="9219" width="3.88671875" style="93" hidden="1"/>
    <col min="9220" max="9220" width="4" style="93" hidden="1"/>
    <col min="9221" max="9221" width="15.109375" style="93" hidden="1"/>
    <col min="9222" max="9222" width="14.5546875" style="93" hidden="1"/>
    <col min="9223" max="9223" width="14.44140625" style="93" hidden="1"/>
    <col min="9224" max="9224" width="14.6640625" style="93" hidden="1"/>
    <col min="9225" max="9225" width="13.88671875" style="93" hidden="1"/>
    <col min="9226" max="9226" width="6.109375" style="93" hidden="1"/>
    <col min="9227" max="9227" width="11" style="93" hidden="1"/>
    <col min="9228" max="9228" width="6.88671875" style="93" hidden="1"/>
    <col min="9229" max="9229" width="4.5546875" style="93" hidden="1"/>
    <col min="9230" max="9230" width="6.109375" style="93" hidden="1"/>
    <col min="9231" max="9472" width="11.44140625" style="93" hidden="1"/>
    <col min="9473" max="9473" width="3.33203125" style="93" hidden="1"/>
    <col min="9474" max="9474" width="2.5546875" style="93" hidden="1"/>
    <col min="9475" max="9475" width="3.88671875" style="93" hidden="1"/>
    <col min="9476" max="9476" width="4" style="93" hidden="1"/>
    <col min="9477" max="9477" width="15.109375" style="93" hidden="1"/>
    <col min="9478" max="9478" width="14.5546875" style="93" hidden="1"/>
    <col min="9479" max="9479" width="14.44140625" style="93" hidden="1"/>
    <col min="9480" max="9480" width="14.6640625" style="93" hidden="1"/>
    <col min="9481" max="9481" width="13.88671875" style="93" hidden="1"/>
    <col min="9482" max="9482" width="6.109375" style="93" hidden="1"/>
    <col min="9483" max="9483" width="11" style="93" hidden="1"/>
    <col min="9484" max="9484" width="6.88671875" style="93" hidden="1"/>
    <col min="9485" max="9485" width="4.5546875" style="93" hidden="1"/>
    <col min="9486" max="9486" width="6.109375" style="93" hidden="1"/>
    <col min="9487" max="9728" width="11.44140625" style="93" hidden="1"/>
    <col min="9729" max="9729" width="3.33203125" style="93" hidden="1"/>
    <col min="9730" max="9730" width="2.5546875" style="93" hidden="1"/>
    <col min="9731" max="9731" width="3.88671875" style="93" hidden="1"/>
    <col min="9732" max="9732" width="4" style="93" hidden="1"/>
    <col min="9733" max="9733" width="15.109375" style="93" hidden="1"/>
    <col min="9734" max="9734" width="14.5546875" style="93" hidden="1"/>
    <col min="9735" max="9735" width="14.44140625" style="93" hidden="1"/>
    <col min="9736" max="9736" width="14.6640625" style="93" hidden="1"/>
    <col min="9737" max="9737" width="13.88671875" style="93" hidden="1"/>
    <col min="9738" max="9738" width="6.109375" style="93" hidden="1"/>
    <col min="9739" max="9739" width="11" style="93" hidden="1"/>
    <col min="9740" max="9740" width="6.88671875" style="93" hidden="1"/>
    <col min="9741" max="9741" width="4.5546875" style="93" hidden="1"/>
    <col min="9742" max="9742" width="6.109375" style="93" hidden="1"/>
    <col min="9743" max="9984" width="11.44140625" style="93" hidden="1"/>
    <col min="9985" max="9985" width="3.33203125" style="93" hidden="1"/>
    <col min="9986" max="9986" width="2.5546875" style="93" hidden="1"/>
    <col min="9987" max="9987" width="3.88671875" style="93" hidden="1"/>
    <col min="9988" max="9988" width="4" style="93" hidden="1"/>
    <col min="9989" max="9989" width="15.109375" style="93" hidden="1"/>
    <col min="9990" max="9990" width="14.5546875" style="93" hidden="1"/>
    <col min="9991" max="9991" width="14.44140625" style="93" hidden="1"/>
    <col min="9992" max="9992" width="14.6640625" style="93" hidden="1"/>
    <col min="9993" max="9993" width="13.88671875" style="93" hidden="1"/>
    <col min="9994" max="9994" width="6.109375" style="93" hidden="1"/>
    <col min="9995" max="9995" width="11" style="93" hidden="1"/>
    <col min="9996" max="9996" width="6.88671875" style="93" hidden="1"/>
    <col min="9997" max="9997" width="4.5546875" style="93" hidden="1"/>
    <col min="9998" max="9998" width="6.109375" style="93" hidden="1"/>
    <col min="9999" max="10240" width="11.44140625" style="93" hidden="1"/>
    <col min="10241" max="10241" width="3.33203125" style="93" hidden="1"/>
    <col min="10242" max="10242" width="2.5546875" style="93" hidden="1"/>
    <col min="10243" max="10243" width="3.88671875" style="93" hidden="1"/>
    <col min="10244" max="10244" width="4" style="93" hidden="1"/>
    <col min="10245" max="10245" width="15.109375" style="93" hidden="1"/>
    <col min="10246" max="10246" width="14.5546875" style="93" hidden="1"/>
    <col min="10247" max="10247" width="14.44140625" style="93" hidden="1"/>
    <col min="10248" max="10248" width="14.6640625" style="93" hidden="1"/>
    <col min="10249" max="10249" width="13.88671875" style="93" hidden="1"/>
    <col min="10250" max="10250" width="6.109375" style="93" hidden="1"/>
    <col min="10251" max="10251" width="11" style="93" hidden="1"/>
    <col min="10252" max="10252" width="6.88671875" style="93" hidden="1"/>
    <col min="10253" max="10253" width="4.5546875" style="93" hidden="1"/>
    <col min="10254" max="10254" width="6.109375" style="93" hidden="1"/>
    <col min="10255" max="10496" width="11.44140625" style="93" hidden="1"/>
    <col min="10497" max="10497" width="3.33203125" style="93" hidden="1"/>
    <col min="10498" max="10498" width="2.5546875" style="93" hidden="1"/>
    <col min="10499" max="10499" width="3.88671875" style="93" hidden="1"/>
    <col min="10500" max="10500" width="4" style="93" hidden="1"/>
    <col min="10501" max="10501" width="15.109375" style="93" hidden="1"/>
    <col min="10502" max="10502" width="14.5546875" style="93" hidden="1"/>
    <col min="10503" max="10503" width="14.44140625" style="93" hidden="1"/>
    <col min="10504" max="10504" width="14.6640625" style="93" hidden="1"/>
    <col min="10505" max="10505" width="13.88671875" style="93" hidden="1"/>
    <col min="10506" max="10506" width="6.109375" style="93" hidden="1"/>
    <col min="10507" max="10507" width="11" style="93" hidden="1"/>
    <col min="10508" max="10508" width="6.88671875" style="93" hidden="1"/>
    <col min="10509" max="10509" width="4.5546875" style="93" hidden="1"/>
    <col min="10510" max="10510" width="6.109375" style="93" hidden="1"/>
    <col min="10511" max="10752" width="11.44140625" style="93" hidden="1"/>
    <col min="10753" max="10753" width="3.33203125" style="93" hidden="1"/>
    <col min="10754" max="10754" width="2.5546875" style="93" hidden="1"/>
    <col min="10755" max="10755" width="3.88671875" style="93" hidden="1"/>
    <col min="10756" max="10756" width="4" style="93" hidden="1"/>
    <col min="10757" max="10757" width="15.109375" style="93" hidden="1"/>
    <col min="10758" max="10758" width="14.5546875" style="93" hidden="1"/>
    <col min="10759" max="10759" width="14.44140625" style="93" hidden="1"/>
    <col min="10760" max="10760" width="14.6640625" style="93" hidden="1"/>
    <col min="10761" max="10761" width="13.88671875" style="93" hidden="1"/>
    <col min="10762" max="10762" width="6.109375" style="93" hidden="1"/>
    <col min="10763" max="10763" width="11" style="93" hidden="1"/>
    <col min="10764" max="10764" width="6.88671875" style="93" hidden="1"/>
    <col min="10765" max="10765" width="4.5546875" style="93" hidden="1"/>
    <col min="10766" max="10766" width="6.109375" style="93" hidden="1"/>
    <col min="10767" max="11008" width="11.44140625" style="93" hidden="1"/>
    <col min="11009" max="11009" width="3.33203125" style="93" hidden="1"/>
    <col min="11010" max="11010" width="2.5546875" style="93" hidden="1"/>
    <col min="11011" max="11011" width="3.88671875" style="93" hidden="1"/>
    <col min="11012" max="11012" width="4" style="93" hidden="1"/>
    <col min="11013" max="11013" width="15.109375" style="93" hidden="1"/>
    <col min="11014" max="11014" width="14.5546875" style="93" hidden="1"/>
    <col min="11015" max="11015" width="14.44140625" style="93" hidden="1"/>
    <col min="11016" max="11016" width="14.6640625" style="93" hidden="1"/>
    <col min="11017" max="11017" width="13.88671875" style="93" hidden="1"/>
    <col min="11018" max="11018" width="6.109375" style="93" hidden="1"/>
    <col min="11019" max="11019" width="11" style="93" hidden="1"/>
    <col min="11020" max="11020" width="6.88671875" style="93" hidden="1"/>
    <col min="11021" max="11021" width="4.5546875" style="93" hidden="1"/>
    <col min="11022" max="11022" width="6.109375" style="93" hidden="1"/>
    <col min="11023" max="11264" width="11.44140625" style="93" hidden="1"/>
    <col min="11265" max="11265" width="3.33203125" style="93" hidden="1"/>
    <col min="11266" max="11266" width="2.5546875" style="93" hidden="1"/>
    <col min="11267" max="11267" width="3.88671875" style="93" hidden="1"/>
    <col min="11268" max="11268" width="4" style="93" hidden="1"/>
    <col min="11269" max="11269" width="15.109375" style="93" hidden="1"/>
    <col min="11270" max="11270" width="14.5546875" style="93" hidden="1"/>
    <col min="11271" max="11271" width="14.44140625" style="93" hidden="1"/>
    <col min="11272" max="11272" width="14.6640625" style="93" hidden="1"/>
    <col min="11273" max="11273" width="13.88671875" style="93" hidden="1"/>
    <col min="11274" max="11274" width="6.109375" style="93" hidden="1"/>
    <col min="11275" max="11275" width="11" style="93" hidden="1"/>
    <col min="11276" max="11276" width="6.88671875" style="93" hidden="1"/>
    <col min="11277" max="11277" width="4.5546875" style="93" hidden="1"/>
    <col min="11278" max="11278" width="6.109375" style="93" hidden="1"/>
    <col min="11279" max="11520" width="11.44140625" style="93" hidden="1"/>
    <col min="11521" max="11521" width="3.33203125" style="93" hidden="1"/>
    <col min="11522" max="11522" width="2.5546875" style="93" hidden="1"/>
    <col min="11523" max="11523" width="3.88671875" style="93" hidden="1"/>
    <col min="11524" max="11524" width="4" style="93" hidden="1"/>
    <col min="11525" max="11525" width="15.109375" style="93" hidden="1"/>
    <col min="11526" max="11526" width="14.5546875" style="93" hidden="1"/>
    <col min="11527" max="11527" width="14.44140625" style="93" hidden="1"/>
    <col min="11528" max="11528" width="14.6640625" style="93" hidden="1"/>
    <col min="11529" max="11529" width="13.88671875" style="93" hidden="1"/>
    <col min="11530" max="11530" width="6.109375" style="93" hidden="1"/>
    <col min="11531" max="11531" width="11" style="93" hidden="1"/>
    <col min="11532" max="11532" width="6.88671875" style="93" hidden="1"/>
    <col min="11533" max="11533" width="4.5546875" style="93" hidden="1"/>
    <col min="11534" max="11534" width="6.109375" style="93" hidden="1"/>
    <col min="11535" max="11776" width="11.44140625" style="93" hidden="1"/>
    <col min="11777" max="11777" width="3.33203125" style="93" hidden="1"/>
    <col min="11778" max="11778" width="2.5546875" style="93" hidden="1"/>
    <col min="11779" max="11779" width="3.88671875" style="93" hidden="1"/>
    <col min="11780" max="11780" width="4" style="93" hidden="1"/>
    <col min="11781" max="11781" width="15.109375" style="93" hidden="1"/>
    <col min="11782" max="11782" width="14.5546875" style="93" hidden="1"/>
    <col min="11783" max="11783" width="14.44140625" style="93" hidden="1"/>
    <col min="11784" max="11784" width="14.6640625" style="93" hidden="1"/>
    <col min="11785" max="11785" width="13.88671875" style="93" hidden="1"/>
    <col min="11786" max="11786" width="6.109375" style="93" hidden="1"/>
    <col min="11787" max="11787" width="11" style="93" hidden="1"/>
    <col min="11788" max="11788" width="6.88671875" style="93" hidden="1"/>
    <col min="11789" max="11789" width="4.5546875" style="93" hidden="1"/>
    <col min="11790" max="11790" width="6.109375" style="93" hidden="1"/>
    <col min="11791" max="12032" width="11.44140625" style="93" hidden="1"/>
    <col min="12033" max="12033" width="3.33203125" style="93" hidden="1"/>
    <col min="12034" max="12034" width="2.5546875" style="93" hidden="1"/>
    <col min="12035" max="12035" width="3.88671875" style="93" hidden="1"/>
    <col min="12036" max="12036" width="4" style="93" hidden="1"/>
    <col min="12037" max="12037" width="15.109375" style="93" hidden="1"/>
    <col min="12038" max="12038" width="14.5546875" style="93" hidden="1"/>
    <col min="12039" max="12039" width="14.44140625" style="93" hidden="1"/>
    <col min="12040" max="12040" width="14.6640625" style="93" hidden="1"/>
    <col min="12041" max="12041" width="13.88671875" style="93" hidden="1"/>
    <col min="12042" max="12042" width="6.109375" style="93" hidden="1"/>
    <col min="12043" max="12043" width="11" style="93" hidden="1"/>
    <col min="12044" max="12044" width="6.88671875" style="93" hidden="1"/>
    <col min="12045" max="12045" width="4.5546875" style="93" hidden="1"/>
    <col min="12046" max="12046" width="6.109375" style="93" hidden="1"/>
    <col min="12047" max="12288" width="11.44140625" style="93" hidden="1"/>
    <col min="12289" max="12289" width="3.33203125" style="93" hidden="1"/>
    <col min="12290" max="12290" width="2.5546875" style="93" hidden="1"/>
    <col min="12291" max="12291" width="3.88671875" style="93" hidden="1"/>
    <col min="12292" max="12292" width="4" style="93" hidden="1"/>
    <col min="12293" max="12293" width="15.109375" style="93" hidden="1"/>
    <col min="12294" max="12294" width="14.5546875" style="93" hidden="1"/>
    <col min="12295" max="12295" width="14.44140625" style="93" hidden="1"/>
    <col min="12296" max="12296" width="14.6640625" style="93" hidden="1"/>
    <col min="12297" max="12297" width="13.88671875" style="93" hidden="1"/>
    <col min="12298" max="12298" width="6.109375" style="93" hidden="1"/>
    <col min="12299" max="12299" width="11" style="93" hidden="1"/>
    <col min="12300" max="12300" width="6.88671875" style="93" hidden="1"/>
    <col min="12301" max="12301" width="4.5546875" style="93" hidden="1"/>
    <col min="12302" max="12302" width="6.109375" style="93" hidden="1"/>
    <col min="12303" max="12544" width="11.44140625" style="93" hidden="1"/>
    <col min="12545" max="12545" width="3.33203125" style="93" hidden="1"/>
    <col min="12546" max="12546" width="2.5546875" style="93" hidden="1"/>
    <col min="12547" max="12547" width="3.88671875" style="93" hidden="1"/>
    <col min="12548" max="12548" width="4" style="93" hidden="1"/>
    <col min="12549" max="12549" width="15.109375" style="93" hidden="1"/>
    <col min="12550" max="12550" width="14.5546875" style="93" hidden="1"/>
    <col min="12551" max="12551" width="14.44140625" style="93" hidden="1"/>
    <col min="12552" max="12552" width="14.6640625" style="93" hidden="1"/>
    <col min="12553" max="12553" width="13.88671875" style="93" hidden="1"/>
    <col min="12554" max="12554" width="6.109375" style="93" hidden="1"/>
    <col min="12555" max="12555" width="11" style="93" hidden="1"/>
    <col min="12556" max="12556" width="6.88671875" style="93" hidden="1"/>
    <col min="12557" max="12557" width="4.5546875" style="93" hidden="1"/>
    <col min="12558" max="12558" width="6.109375" style="93" hidden="1"/>
    <col min="12559" max="12800" width="11.44140625" style="93" hidden="1"/>
    <col min="12801" max="12801" width="3.33203125" style="93" hidden="1"/>
    <col min="12802" max="12802" width="2.5546875" style="93" hidden="1"/>
    <col min="12803" max="12803" width="3.88671875" style="93" hidden="1"/>
    <col min="12804" max="12804" width="4" style="93" hidden="1"/>
    <col min="12805" max="12805" width="15.109375" style="93" hidden="1"/>
    <col min="12806" max="12806" width="14.5546875" style="93" hidden="1"/>
    <col min="12807" max="12807" width="14.44140625" style="93" hidden="1"/>
    <col min="12808" max="12808" width="14.6640625" style="93" hidden="1"/>
    <col min="12809" max="12809" width="13.88671875" style="93" hidden="1"/>
    <col min="12810" max="12810" width="6.109375" style="93" hidden="1"/>
    <col min="12811" max="12811" width="11" style="93" hidden="1"/>
    <col min="12812" max="12812" width="6.88671875" style="93" hidden="1"/>
    <col min="12813" max="12813" width="4.5546875" style="93" hidden="1"/>
    <col min="12814" max="12814" width="6.109375" style="93" hidden="1"/>
    <col min="12815" max="13056" width="11.44140625" style="93" hidden="1"/>
    <col min="13057" max="13057" width="3.33203125" style="93" hidden="1"/>
    <col min="13058" max="13058" width="2.5546875" style="93" hidden="1"/>
    <col min="13059" max="13059" width="3.88671875" style="93" hidden="1"/>
    <col min="13060" max="13060" width="4" style="93" hidden="1"/>
    <col min="13061" max="13061" width="15.109375" style="93" hidden="1"/>
    <col min="13062" max="13062" width="14.5546875" style="93" hidden="1"/>
    <col min="13063" max="13063" width="14.44140625" style="93" hidden="1"/>
    <col min="13064" max="13064" width="14.6640625" style="93" hidden="1"/>
    <col min="13065" max="13065" width="13.88671875" style="93" hidden="1"/>
    <col min="13066" max="13066" width="6.109375" style="93" hidden="1"/>
    <col min="13067" max="13067" width="11" style="93" hidden="1"/>
    <col min="13068" max="13068" width="6.88671875" style="93" hidden="1"/>
    <col min="13069" max="13069" width="4.5546875" style="93" hidden="1"/>
    <col min="13070" max="13070" width="6.109375" style="93" hidden="1"/>
    <col min="13071" max="13312" width="11.44140625" style="93" hidden="1"/>
    <col min="13313" max="13313" width="3.33203125" style="93" hidden="1"/>
    <col min="13314" max="13314" width="2.5546875" style="93" hidden="1"/>
    <col min="13315" max="13315" width="3.88671875" style="93" hidden="1"/>
    <col min="13316" max="13316" width="4" style="93" hidden="1"/>
    <col min="13317" max="13317" width="15.109375" style="93" hidden="1"/>
    <col min="13318" max="13318" width="14.5546875" style="93" hidden="1"/>
    <col min="13319" max="13319" width="14.44140625" style="93" hidden="1"/>
    <col min="13320" max="13320" width="14.6640625" style="93" hidden="1"/>
    <col min="13321" max="13321" width="13.88671875" style="93" hidden="1"/>
    <col min="13322" max="13322" width="6.109375" style="93" hidden="1"/>
    <col min="13323" max="13323" width="11" style="93" hidden="1"/>
    <col min="13324" max="13324" width="6.88671875" style="93" hidden="1"/>
    <col min="13325" max="13325" width="4.5546875" style="93" hidden="1"/>
    <col min="13326" max="13326" width="6.109375" style="93" hidden="1"/>
    <col min="13327" max="13568" width="11.44140625" style="93" hidden="1"/>
    <col min="13569" max="13569" width="3.33203125" style="93" hidden="1"/>
    <col min="13570" max="13570" width="2.5546875" style="93" hidden="1"/>
    <col min="13571" max="13571" width="3.88671875" style="93" hidden="1"/>
    <col min="13572" max="13572" width="4" style="93" hidden="1"/>
    <col min="13573" max="13573" width="15.109375" style="93" hidden="1"/>
    <col min="13574" max="13574" width="14.5546875" style="93" hidden="1"/>
    <col min="13575" max="13575" width="14.44140625" style="93" hidden="1"/>
    <col min="13576" max="13576" width="14.6640625" style="93" hidden="1"/>
    <col min="13577" max="13577" width="13.88671875" style="93" hidden="1"/>
    <col min="13578" max="13578" width="6.109375" style="93" hidden="1"/>
    <col min="13579" max="13579" width="11" style="93" hidden="1"/>
    <col min="13580" max="13580" width="6.88671875" style="93" hidden="1"/>
    <col min="13581" max="13581" width="4.5546875" style="93" hidden="1"/>
    <col min="13582" max="13582" width="6.109375" style="93" hidden="1"/>
    <col min="13583" max="13824" width="11.44140625" style="93" hidden="1"/>
    <col min="13825" max="13825" width="3.33203125" style="93" hidden="1"/>
    <col min="13826" max="13826" width="2.5546875" style="93" hidden="1"/>
    <col min="13827" max="13827" width="3.88671875" style="93" hidden="1"/>
    <col min="13828" max="13828" width="4" style="93" hidden="1"/>
    <col min="13829" max="13829" width="15.109375" style="93" hidden="1"/>
    <col min="13830" max="13830" width="14.5546875" style="93" hidden="1"/>
    <col min="13831" max="13831" width="14.44140625" style="93" hidden="1"/>
    <col min="13832" max="13832" width="14.6640625" style="93" hidden="1"/>
    <col min="13833" max="13833" width="13.88671875" style="93" hidden="1"/>
    <col min="13834" max="13834" width="6.109375" style="93" hidden="1"/>
    <col min="13835" max="13835" width="11" style="93" hidden="1"/>
    <col min="13836" max="13836" width="6.88671875" style="93" hidden="1"/>
    <col min="13837" max="13837" width="4.5546875" style="93" hidden="1"/>
    <col min="13838" max="13838" width="6.109375" style="93" hidden="1"/>
    <col min="13839" max="14080" width="11.44140625" style="93" hidden="1"/>
    <col min="14081" max="14081" width="3.33203125" style="93" hidden="1"/>
    <col min="14082" max="14082" width="2.5546875" style="93" hidden="1"/>
    <col min="14083" max="14083" width="3.88671875" style="93" hidden="1"/>
    <col min="14084" max="14084" width="4" style="93" hidden="1"/>
    <col min="14085" max="14085" width="15.109375" style="93" hidden="1"/>
    <col min="14086" max="14086" width="14.5546875" style="93" hidden="1"/>
    <col min="14087" max="14087" width="14.44140625" style="93" hidden="1"/>
    <col min="14088" max="14088" width="14.6640625" style="93" hidden="1"/>
    <col min="14089" max="14089" width="13.88671875" style="93" hidden="1"/>
    <col min="14090" max="14090" width="6.109375" style="93" hidden="1"/>
    <col min="14091" max="14091" width="11" style="93" hidden="1"/>
    <col min="14092" max="14092" width="6.88671875" style="93" hidden="1"/>
    <col min="14093" max="14093" width="4.5546875" style="93" hidden="1"/>
    <col min="14094" max="14094" width="6.109375" style="93" hidden="1"/>
    <col min="14095" max="14336" width="11.44140625" style="93" hidden="1"/>
    <col min="14337" max="14337" width="3.33203125" style="93" hidden="1"/>
    <col min="14338" max="14338" width="2.5546875" style="93" hidden="1"/>
    <col min="14339" max="14339" width="3.88671875" style="93" hidden="1"/>
    <col min="14340" max="14340" width="4" style="93" hidden="1"/>
    <col min="14341" max="14341" width="15.109375" style="93" hidden="1"/>
    <col min="14342" max="14342" width="14.5546875" style="93" hidden="1"/>
    <col min="14343" max="14343" width="14.44140625" style="93" hidden="1"/>
    <col min="14344" max="14344" width="14.6640625" style="93" hidden="1"/>
    <col min="14345" max="14345" width="13.88671875" style="93" hidden="1"/>
    <col min="14346" max="14346" width="6.109375" style="93" hidden="1"/>
    <col min="14347" max="14347" width="11" style="93" hidden="1"/>
    <col min="14348" max="14348" width="6.88671875" style="93" hidden="1"/>
    <col min="14349" max="14349" width="4.5546875" style="93" hidden="1"/>
    <col min="14350" max="14350" width="6.109375" style="93" hidden="1"/>
    <col min="14351" max="14592" width="11.44140625" style="93" hidden="1"/>
    <col min="14593" max="14593" width="3.33203125" style="93" hidden="1"/>
    <col min="14594" max="14594" width="2.5546875" style="93" hidden="1"/>
    <col min="14595" max="14595" width="3.88671875" style="93" hidden="1"/>
    <col min="14596" max="14596" width="4" style="93" hidden="1"/>
    <col min="14597" max="14597" width="15.109375" style="93" hidden="1"/>
    <col min="14598" max="14598" width="14.5546875" style="93" hidden="1"/>
    <col min="14599" max="14599" width="14.44140625" style="93" hidden="1"/>
    <col min="14600" max="14600" width="14.6640625" style="93" hidden="1"/>
    <col min="14601" max="14601" width="13.88671875" style="93" hidden="1"/>
    <col min="14602" max="14602" width="6.109375" style="93" hidden="1"/>
    <col min="14603" max="14603" width="11" style="93" hidden="1"/>
    <col min="14604" max="14604" width="6.88671875" style="93" hidden="1"/>
    <col min="14605" max="14605" width="4.5546875" style="93" hidden="1"/>
    <col min="14606" max="14606" width="6.109375" style="93" hidden="1"/>
    <col min="14607" max="14848" width="11.44140625" style="93" hidden="1"/>
    <col min="14849" max="14849" width="3.33203125" style="93" hidden="1"/>
    <col min="14850" max="14850" width="2.5546875" style="93" hidden="1"/>
    <col min="14851" max="14851" width="3.88671875" style="93" hidden="1"/>
    <col min="14852" max="14852" width="4" style="93" hidden="1"/>
    <col min="14853" max="14853" width="15.109375" style="93" hidden="1"/>
    <col min="14854" max="14854" width="14.5546875" style="93" hidden="1"/>
    <col min="14855" max="14855" width="14.44140625" style="93" hidden="1"/>
    <col min="14856" max="14856" width="14.6640625" style="93" hidden="1"/>
    <col min="14857" max="14857" width="13.88671875" style="93" hidden="1"/>
    <col min="14858" max="14858" width="6.109375" style="93" hidden="1"/>
    <col min="14859" max="14859" width="11" style="93" hidden="1"/>
    <col min="14860" max="14860" width="6.88671875" style="93" hidden="1"/>
    <col min="14861" max="14861" width="4.5546875" style="93" hidden="1"/>
    <col min="14862" max="14862" width="6.109375" style="93" hidden="1"/>
    <col min="14863" max="15104" width="11.44140625" style="93" hidden="1"/>
    <col min="15105" max="15105" width="3.33203125" style="93" hidden="1"/>
    <col min="15106" max="15106" width="2.5546875" style="93" hidden="1"/>
    <col min="15107" max="15107" width="3.88671875" style="93" hidden="1"/>
    <col min="15108" max="15108" width="4" style="93" hidden="1"/>
    <col min="15109" max="15109" width="15.109375" style="93" hidden="1"/>
    <col min="15110" max="15110" width="14.5546875" style="93" hidden="1"/>
    <col min="15111" max="15111" width="14.44140625" style="93" hidden="1"/>
    <col min="15112" max="15112" width="14.6640625" style="93" hidden="1"/>
    <col min="15113" max="15113" width="13.88671875" style="93" hidden="1"/>
    <col min="15114" max="15114" width="6.109375" style="93" hidden="1"/>
    <col min="15115" max="15115" width="11" style="93" hidden="1"/>
    <col min="15116" max="15116" width="6.88671875" style="93" hidden="1"/>
    <col min="15117" max="15117" width="4.5546875" style="93" hidden="1"/>
    <col min="15118" max="15118" width="6.109375" style="93" hidden="1"/>
    <col min="15119" max="15360" width="11.44140625" style="93" hidden="1"/>
    <col min="15361" max="15361" width="3.33203125" style="93" hidden="1"/>
    <col min="15362" max="15362" width="2.5546875" style="93" hidden="1"/>
    <col min="15363" max="15363" width="3.88671875" style="93" hidden="1"/>
    <col min="15364" max="15364" width="4" style="93" hidden="1"/>
    <col min="15365" max="15365" width="15.109375" style="93" hidden="1"/>
    <col min="15366" max="15366" width="14.5546875" style="93" hidden="1"/>
    <col min="15367" max="15367" width="14.44140625" style="93" hidden="1"/>
    <col min="15368" max="15368" width="14.6640625" style="93" hidden="1"/>
    <col min="15369" max="15369" width="13.88671875" style="93" hidden="1"/>
    <col min="15370" max="15370" width="6.109375" style="93" hidden="1"/>
    <col min="15371" max="15371" width="11" style="93" hidden="1"/>
    <col min="15372" max="15372" width="6.88671875" style="93" hidden="1"/>
    <col min="15373" max="15373" width="4.5546875" style="93" hidden="1"/>
    <col min="15374" max="15374" width="6.109375" style="93" hidden="1"/>
    <col min="15375" max="15616" width="11.44140625" style="93" hidden="1"/>
    <col min="15617" max="15617" width="3.33203125" style="93" hidden="1"/>
    <col min="15618" max="15618" width="2.5546875" style="93" hidden="1"/>
    <col min="15619" max="15619" width="3.88671875" style="93" hidden="1"/>
    <col min="15620" max="15620" width="4" style="93" hidden="1"/>
    <col min="15621" max="15621" width="15.109375" style="93" hidden="1"/>
    <col min="15622" max="15622" width="14.5546875" style="93" hidden="1"/>
    <col min="15623" max="15623" width="14.44140625" style="93" hidden="1"/>
    <col min="15624" max="15624" width="14.6640625" style="93" hidden="1"/>
    <col min="15625" max="15625" width="13.88671875" style="93" hidden="1"/>
    <col min="15626" max="15626" width="6.109375" style="93" hidden="1"/>
    <col min="15627" max="15627" width="11" style="93" hidden="1"/>
    <col min="15628" max="15628" width="6.88671875" style="93" hidden="1"/>
    <col min="15629" max="15629" width="4.5546875" style="93" hidden="1"/>
    <col min="15630" max="15630" width="6.109375" style="93" hidden="1"/>
    <col min="15631" max="15872" width="11.44140625" style="93" hidden="1"/>
    <col min="15873" max="15873" width="3.33203125" style="93" hidden="1"/>
    <col min="15874" max="15874" width="2.5546875" style="93" hidden="1"/>
    <col min="15875" max="15875" width="3.88671875" style="93" hidden="1"/>
    <col min="15876" max="15876" width="4" style="93" hidden="1"/>
    <col min="15877" max="15877" width="15.109375" style="93" hidden="1"/>
    <col min="15878" max="15878" width="14.5546875" style="93" hidden="1"/>
    <col min="15879" max="15879" width="14.44140625" style="93" hidden="1"/>
    <col min="15880" max="15880" width="14.6640625" style="93" hidden="1"/>
    <col min="15881" max="15881" width="13.88671875" style="93" hidden="1"/>
    <col min="15882" max="15882" width="6.109375" style="93" hidden="1"/>
    <col min="15883" max="15883" width="11" style="93" hidden="1"/>
    <col min="15884" max="15884" width="6.88671875" style="93" hidden="1"/>
    <col min="15885" max="15885" width="4.5546875" style="93" hidden="1"/>
    <col min="15886" max="15886" width="6.109375" style="93" hidden="1"/>
    <col min="15887" max="16128" width="11.44140625" style="93" hidden="1"/>
    <col min="16129" max="16129" width="3.33203125" style="93" hidden="1"/>
    <col min="16130" max="16130" width="2.5546875" style="93" hidden="1"/>
    <col min="16131" max="16131" width="3.88671875" style="93" hidden="1"/>
    <col min="16132" max="16132" width="4" style="93" hidden="1"/>
    <col min="16133" max="16133" width="15.109375" style="93" hidden="1"/>
    <col min="16134" max="16134" width="14.5546875" style="93" hidden="1"/>
    <col min="16135" max="16135" width="14.44140625" style="93" hidden="1"/>
    <col min="16136" max="16136" width="14.6640625" style="93" hidden="1"/>
    <col min="16137" max="16137" width="13.88671875" style="93" hidden="1"/>
    <col min="16138" max="16138" width="6.109375" style="93" hidden="1"/>
    <col min="16139" max="16139" width="11" style="93" hidden="1"/>
    <col min="16140" max="16140" width="6.88671875" style="93" hidden="1"/>
    <col min="16141" max="16141" width="4.5546875" style="93" hidden="1"/>
    <col min="16142" max="16142" width="6.109375" style="93" hidden="1"/>
    <col min="16143" max="16384" width="11.44140625" style="93" hidden="1"/>
  </cols>
  <sheetData>
    <row r="1" spans="1:20" ht="44.2" customHeight="1" x14ac:dyDescent="0.25">
      <c r="A1" s="273"/>
      <c r="B1" s="799"/>
      <c r="C1" s="274"/>
      <c r="D1" s="799"/>
      <c r="E1" s="791"/>
      <c r="F1" s="799"/>
      <c r="G1" s="799"/>
      <c r="H1" s="275"/>
      <c r="I1" s="276"/>
      <c r="J1" s="799"/>
      <c r="K1" s="275"/>
      <c r="L1" s="799"/>
      <c r="M1" s="799"/>
      <c r="N1" s="799"/>
    </row>
    <row r="2" spans="1:20" ht="15.75" customHeight="1" x14ac:dyDescent="0.25">
      <c r="A2" s="1280" t="str">
        <f>UPPER(NazwaFirmy)</f>
        <v>TESTOWA 185 SP. Z O.O.</v>
      </c>
      <c r="B2" s="1280"/>
      <c r="C2" s="1280"/>
      <c r="D2" s="1280"/>
      <c r="E2" s="1280"/>
      <c r="F2" s="1280"/>
      <c r="G2" s="1280"/>
      <c r="H2" s="1280"/>
      <c r="I2" s="1280"/>
      <c r="J2" s="1280"/>
      <c r="K2" s="964" t="str">
        <f>wstęp!K2</f>
        <v>odkryj</v>
      </c>
      <c r="L2" s="799"/>
      <c r="M2" s="961"/>
      <c r="N2" s="961"/>
      <c r="O2" s="1042"/>
      <c r="P2" s="1042"/>
      <c r="Q2" s="1042"/>
      <c r="R2" s="1042"/>
      <c r="S2" s="1042"/>
      <c r="T2" s="1042"/>
    </row>
    <row r="3" spans="1:20" x14ac:dyDescent="0.25">
      <c r="A3" s="1280" t="s">
        <v>7732</v>
      </c>
      <c r="B3" s="1280"/>
      <c r="C3" s="1280"/>
      <c r="D3" s="1280"/>
      <c r="E3" s="1280"/>
      <c r="F3" s="1280"/>
      <c r="G3" s="1280"/>
      <c r="H3" s="1280"/>
      <c r="I3" s="1280"/>
      <c r="J3" s="1280"/>
      <c r="K3" s="964" t="str">
        <f>wstęp!K3</f>
        <v>odkryj</v>
      </c>
      <c r="L3" s="799"/>
      <c r="M3" s="961"/>
      <c r="N3" s="961"/>
      <c r="O3" s="1042"/>
      <c r="P3" s="1042"/>
      <c r="Q3" s="1042"/>
      <c r="R3" s="1042"/>
      <c r="S3" s="1042"/>
      <c r="T3" s="1042"/>
    </row>
    <row r="4" spans="1:20" ht="10.5" customHeight="1" x14ac:dyDescent="0.25">
      <c r="A4" s="303"/>
      <c r="B4" s="788"/>
      <c r="C4" s="788"/>
      <c r="D4" s="788"/>
      <c r="E4" s="788"/>
      <c r="F4" s="788"/>
      <c r="G4" s="301"/>
      <c r="H4" s="788"/>
      <c r="I4" s="788"/>
      <c r="J4" s="788"/>
      <c r="K4" s="964" t="str">
        <f>wstęp!K4</f>
        <v>odkryj</v>
      </c>
      <c r="L4" s="799"/>
      <c r="M4" s="961"/>
      <c r="N4" s="961"/>
      <c r="O4" s="1042"/>
      <c r="P4" s="1042"/>
      <c r="Q4" s="1042"/>
      <c r="R4" s="1042"/>
      <c r="S4" s="1042"/>
      <c r="T4" s="1042"/>
    </row>
    <row r="5" spans="1:20" s="153" customFormat="1" ht="15.75" customHeight="1" x14ac:dyDescent="0.25">
      <c r="A5" s="1193">
        <f>wstęp!A5</f>
        <v>1</v>
      </c>
      <c r="B5" s="1193"/>
      <c r="C5" s="1194"/>
      <c r="D5" s="1280" t="s">
        <v>7733</v>
      </c>
      <c r="E5" s="1280"/>
      <c r="F5" s="1280"/>
      <c r="G5" s="1280"/>
      <c r="H5" s="1280"/>
      <c r="I5" s="1280"/>
      <c r="J5" s="1280"/>
      <c r="K5" s="964" t="str">
        <f>wstęp!K5</f>
        <v>odkryj</v>
      </c>
      <c r="L5" s="799"/>
      <c r="M5" s="1043"/>
      <c r="N5" s="1043"/>
      <c r="O5" s="1044"/>
      <c r="P5" s="1044"/>
      <c r="Q5" s="1044"/>
      <c r="R5" s="1044"/>
      <c r="S5" s="1044"/>
      <c r="T5" s="1044"/>
    </row>
    <row r="6" spans="1:20" s="153" customFormat="1" ht="15.75" customHeight="1" x14ac:dyDescent="0.25">
      <c r="A6" s="305"/>
      <c r="B6" s="305"/>
      <c r="C6" s="305"/>
      <c r="D6" s="306"/>
      <c r="E6" s="306"/>
      <c r="F6" s="306"/>
      <c r="G6" s="305"/>
      <c r="H6" s="797"/>
      <c r="I6" s="797"/>
      <c r="J6" s="305"/>
      <c r="K6" s="964" t="str">
        <f>wstęp!K6</f>
        <v>odkryj</v>
      </c>
      <c r="L6" s="799"/>
      <c r="M6" s="1043"/>
      <c r="N6" s="1043"/>
      <c r="O6" s="1044"/>
      <c r="P6" s="1044"/>
      <c r="Q6" s="1044"/>
      <c r="R6" s="1044"/>
      <c r="S6" s="1044"/>
      <c r="T6" s="1044"/>
    </row>
    <row r="7" spans="1:20" s="153" customFormat="1" ht="18" customHeight="1" x14ac:dyDescent="0.25">
      <c r="A7" s="1195">
        <f>wstęp!A7</f>
        <v>1</v>
      </c>
      <c r="B7" s="1191">
        <f>wstęp!B7</f>
        <v>1</v>
      </c>
      <c r="C7" s="1192"/>
      <c r="D7" s="1235" t="s">
        <v>7734</v>
      </c>
      <c r="E7" s="1235"/>
      <c r="F7" s="1235"/>
      <c r="G7" s="1235"/>
      <c r="H7" s="1235"/>
      <c r="I7" s="1235"/>
      <c r="J7" s="1235"/>
      <c r="K7" s="964" t="str">
        <f>wstęp!K7</f>
        <v>odkryj</v>
      </c>
      <c r="L7" s="799"/>
      <c r="M7" s="1043"/>
      <c r="N7" s="1043"/>
      <c r="O7" s="1044"/>
      <c r="P7" s="1044"/>
      <c r="Q7" s="1044"/>
      <c r="R7" s="1044"/>
      <c r="S7" s="1044"/>
      <c r="T7" s="1044"/>
    </row>
    <row r="8" spans="1:20" s="153" customFormat="1" ht="15.75" customHeight="1" x14ac:dyDescent="0.25">
      <c r="A8" s="305"/>
      <c r="B8" s="305"/>
      <c r="C8" s="305"/>
      <c r="D8" s="306"/>
      <c r="E8" s="306"/>
      <c r="F8" s="306"/>
      <c r="G8" s="305"/>
      <c r="H8" s="797"/>
      <c r="I8" s="797"/>
      <c r="J8" s="305"/>
      <c r="K8" s="964" t="str">
        <f>wstęp!K8</f>
        <v>odkryj</v>
      </c>
      <c r="L8" s="799"/>
      <c r="M8" s="1043"/>
      <c r="N8" s="1043"/>
      <c r="O8" s="1044"/>
      <c r="P8" s="1044"/>
      <c r="Q8" s="1044"/>
      <c r="R8" s="1044"/>
      <c r="S8" s="1044"/>
      <c r="T8" s="1044"/>
    </row>
    <row r="9" spans="1:20" x14ac:dyDescent="0.25">
      <c r="A9" s="304"/>
      <c r="B9" s="788"/>
      <c r="C9" s="788"/>
      <c r="D9" s="1286" t="str">
        <f>NazwaFirmy</f>
        <v>Testowa 185 Sp. z o.o.</v>
      </c>
      <c r="E9" s="1286"/>
      <c r="F9" s="1286"/>
      <c r="G9" s="1286"/>
      <c r="H9" s="1286"/>
      <c r="I9" s="1286"/>
      <c r="J9" s="1286"/>
      <c r="K9" s="964" t="str">
        <f>wstęp!K9</f>
        <v>odkryj</v>
      </c>
      <c r="L9" s="799"/>
      <c r="M9" s="961"/>
      <c r="N9" s="961"/>
      <c r="O9" s="1042"/>
      <c r="P9" s="1042"/>
      <c r="Q9" s="1042"/>
      <c r="R9" s="1042"/>
      <c r="S9" s="1042"/>
      <c r="T9" s="1042"/>
    </row>
    <row r="10" spans="1:20" ht="15.75" customHeight="1" x14ac:dyDescent="0.25">
      <c r="A10" s="304"/>
      <c r="B10" s="788"/>
      <c r="C10" s="788"/>
      <c r="D10" s="301"/>
      <c r="E10" s="301"/>
      <c r="F10" s="301"/>
      <c r="G10" s="788"/>
      <c r="H10" s="788"/>
      <c r="I10" s="788"/>
      <c r="J10" s="788"/>
      <c r="K10" s="964" t="str">
        <f>wstęp!K10</f>
        <v>odkryj</v>
      </c>
      <c r="L10" s="799"/>
      <c r="M10" s="961"/>
      <c r="N10" s="961"/>
      <c r="O10" s="1042"/>
      <c r="P10" s="1289"/>
      <c r="Q10" s="1289"/>
      <c r="R10" s="1289"/>
      <c r="S10" s="1289"/>
      <c r="T10" s="1289"/>
    </row>
    <row r="11" spans="1:20" x14ac:dyDescent="0.25">
      <c r="A11" s="1195">
        <f>wstęp!A11</f>
        <v>1</v>
      </c>
      <c r="B11" s="1191">
        <f>wstęp!B11</f>
        <v>2</v>
      </c>
      <c r="C11" s="1192"/>
      <c r="D11" s="1235" t="s">
        <v>7735</v>
      </c>
      <c r="E11" s="1235"/>
      <c r="F11" s="1235"/>
      <c r="G11" s="1235"/>
      <c r="H11" s="1235"/>
      <c r="I11" s="1235"/>
      <c r="J11" s="1235"/>
      <c r="K11" s="964" t="str">
        <f>wstęp!K11</f>
        <v>odkryj</v>
      </c>
      <c r="L11" s="799"/>
      <c r="M11" s="961"/>
      <c r="N11" s="961"/>
      <c r="O11" s="1042"/>
      <c r="P11" s="1289"/>
      <c r="Q11" s="1289"/>
      <c r="R11" s="1289"/>
      <c r="S11" s="1289"/>
      <c r="T11" s="1289"/>
    </row>
    <row r="12" spans="1:20" ht="15.75" customHeight="1" x14ac:dyDescent="0.25">
      <c r="A12" s="283"/>
      <c r="B12" s="284"/>
      <c r="C12" s="284"/>
      <c r="D12" s="789"/>
      <c r="E12" s="789"/>
      <c r="F12" s="789"/>
      <c r="G12" s="788"/>
      <c r="H12" s="788"/>
      <c r="I12" s="788"/>
      <c r="J12" s="788"/>
      <c r="K12" s="964" t="str">
        <f>wstęp!K12</f>
        <v>odkryj</v>
      </c>
      <c r="L12" s="799"/>
      <c r="M12" s="961"/>
      <c r="N12" s="961"/>
      <c r="O12" s="1042"/>
      <c r="P12" s="1289"/>
      <c r="Q12" s="1289"/>
      <c r="R12" s="1289"/>
      <c r="S12" s="1289"/>
      <c r="T12" s="1289"/>
    </row>
    <row r="13" spans="1:20" ht="15.75" customHeight="1" x14ac:dyDescent="0.25">
      <c r="A13" s="304"/>
      <c r="B13" s="788"/>
      <c r="C13" s="788"/>
      <c r="D13" s="1114" t="s">
        <v>7736</v>
      </c>
      <c r="E13" s="788"/>
      <c r="F13" s="309"/>
      <c r="G13" s="957" t="str">
        <f>IF(Ulica_eng="",Ulica,Ulica_eng)</f>
        <v>Towarowa</v>
      </c>
      <c r="H13" s="309"/>
      <c r="I13" s="789"/>
      <c r="J13" s="310"/>
      <c r="K13" s="964" t="str">
        <f>wstęp!K13</f>
        <v>odkryj</v>
      </c>
      <c r="L13" s="799"/>
      <c r="M13" s="961"/>
      <c r="N13" s="961"/>
      <c r="O13" s="1042"/>
      <c r="P13" s="1045"/>
      <c r="Q13" s="1045"/>
      <c r="R13" s="1045"/>
      <c r="S13" s="1045"/>
      <c r="T13" s="1045"/>
    </row>
    <row r="14" spans="1:20" ht="15.75" customHeight="1" x14ac:dyDescent="0.25">
      <c r="A14" s="304"/>
      <c r="B14" s="788"/>
      <c r="C14" s="788"/>
      <c r="D14" s="1114" t="s">
        <v>7737</v>
      </c>
      <c r="E14" s="788"/>
      <c r="F14" s="309"/>
      <c r="G14" s="957">
        <f>IF(NrDomu_eng="",NrDomu,NrDomu_eng)</f>
        <v>28</v>
      </c>
      <c r="H14" s="309"/>
      <c r="I14" s="789"/>
      <c r="J14" s="310"/>
      <c r="K14" s="964" t="str">
        <f>wstęp!K14</f>
        <v>odkryj</v>
      </c>
      <c r="L14" s="799"/>
      <c r="M14" s="961"/>
      <c r="N14" s="961"/>
      <c r="O14" s="1042"/>
      <c r="P14" s="1045"/>
      <c r="Q14" s="1045"/>
      <c r="R14" s="1045"/>
      <c r="S14" s="1045"/>
      <c r="T14" s="1045"/>
    </row>
    <row r="15" spans="1:20" ht="15.75" customHeight="1" x14ac:dyDescent="0.25">
      <c r="A15" s="304"/>
      <c r="B15" s="788"/>
      <c r="C15" s="788"/>
      <c r="D15" s="1114" t="s">
        <v>7738</v>
      </c>
      <c r="E15" s="788"/>
      <c r="F15" s="309"/>
      <c r="G15" s="957" t="str">
        <f>IF(NrLokalu_eng="",IF(NrLokalu="","",NrLokalu),NrLokalu_eng)</f>
        <v/>
      </c>
      <c r="H15" s="309"/>
      <c r="I15" s="789"/>
      <c r="J15" s="310"/>
      <c r="K15" s="964" t="str">
        <f>wstęp!K15</f>
        <v>ukryj</v>
      </c>
      <c r="M15" s="1042"/>
      <c r="N15" s="1042"/>
      <c r="O15" s="1042"/>
      <c r="P15" s="1045"/>
      <c r="Q15" s="1045"/>
      <c r="R15" s="1045"/>
      <c r="S15" s="1045"/>
      <c r="T15" s="1045"/>
    </row>
    <row r="16" spans="1:20" ht="15.75" customHeight="1" x14ac:dyDescent="0.25">
      <c r="A16" s="304"/>
      <c r="B16" s="788"/>
      <c r="C16" s="788"/>
      <c r="D16" s="1114" t="s">
        <v>7739</v>
      </c>
      <c r="E16" s="788"/>
      <c r="F16" s="309"/>
      <c r="G16" s="957" t="str">
        <f>IF(Miejscowosc_eng="",Miejscowosc,Miejscowosc_eng)</f>
        <v>Łódź</v>
      </c>
      <c r="H16" s="309"/>
      <c r="I16" s="789"/>
      <c r="J16" s="310"/>
      <c r="K16" s="964" t="str">
        <f>wstęp!K16</f>
        <v>odkryj</v>
      </c>
      <c r="L16" s="799"/>
      <c r="M16" s="961"/>
      <c r="N16" s="961"/>
      <c r="O16" s="1042"/>
      <c r="P16" s="1045"/>
      <c r="Q16" s="1045"/>
      <c r="R16" s="1045"/>
      <c r="S16" s="1045"/>
      <c r="T16" s="1045"/>
    </row>
    <row r="17" spans="1:20" ht="15.75" customHeight="1" x14ac:dyDescent="0.25">
      <c r="A17" s="304"/>
      <c r="B17" s="788"/>
      <c r="C17" s="788"/>
      <c r="D17" s="1114" t="s">
        <v>7740</v>
      </c>
      <c r="E17" s="788"/>
      <c r="F17" s="309"/>
      <c r="G17" s="957" t="str">
        <f>IF(Poczta_eng="",Poczta,Poczta_eng)</f>
        <v>Łódź</v>
      </c>
      <c r="H17" s="309"/>
      <c r="I17" s="789"/>
      <c r="J17" s="310"/>
      <c r="K17" s="964" t="str">
        <f>wstęp!K17</f>
        <v>odkryj</v>
      </c>
      <c r="L17" s="799"/>
      <c r="M17" s="961"/>
      <c r="N17" s="961"/>
      <c r="O17" s="1042"/>
      <c r="P17" s="1045"/>
      <c r="Q17" s="1045"/>
      <c r="R17" s="1045"/>
      <c r="S17" s="1045"/>
      <c r="T17" s="1045"/>
    </row>
    <row r="18" spans="1:20" ht="15.75" customHeight="1" x14ac:dyDescent="0.25">
      <c r="A18" s="304"/>
      <c r="B18" s="788"/>
      <c r="C18" s="788"/>
      <c r="D18" s="1114" t="s">
        <v>7741</v>
      </c>
      <c r="E18" s="788"/>
      <c r="F18" s="309"/>
      <c r="G18" s="957" t="str">
        <f>IF(KodPocztowy_eng="",KodPocztowy,KodPocztowy_eng)</f>
        <v>93-231</v>
      </c>
      <c r="H18" s="309"/>
      <c r="I18" s="789"/>
      <c r="J18" s="310"/>
      <c r="K18" s="964" t="str">
        <f>wstęp!K18</f>
        <v>odkryj</v>
      </c>
      <c r="L18" s="799"/>
      <c r="M18" s="961"/>
      <c r="N18" s="961"/>
      <c r="O18" s="1042"/>
      <c r="P18" s="1045"/>
      <c r="Q18" s="1045"/>
      <c r="R18" s="1045"/>
      <c r="S18" s="1045"/>
      <c r="T18" s="1045"/>
    </row>
    <row r="19" spans="1:20" ht="15.75" customHeight="1" x14ac:dyDescent="0.25">
      <c r="A19" s="304"/>
      <c r="B19" s="788"/>
      <c r="C19" s="788"/>
      <c r="D19" s="1114" t="s">
        <v>7742</v>
      </c>
      <c r="E19" s="788"/>
      <c r="F19" s="309"/>
      <c r="G19" s="957" t="str">
        <f>IF(KodKraju_eng="",KodKraju,KodKraju_eng)</f>
        <v>PL</v>
      </c>
      <c r="H19" s="309"/>
      <c r="I19" s="789"/>
      <c r="J19" s="310"/>
      <c r="K19" s="964" t="str">
        <f>wstęp!K19</f>
        <v>odkryj</v>
      </c>
      <c r="L19" s="799"/>
      <c r="M19" s="961"/>
      <c r="N19" s="961"/>
      <c r="O19" s="1042"/>
      <c r="P19" s="1045"/>
      <c r="Q19" s="1045"/>
      <c r="R19" s="1045"/>
      <c r="S19" s="1045"/>
      <c r="T19" s="1045"/>
    </row>
    <row r="20" spans="1:20" ht="15.75" customHeight="1" x14ac:dyDescent="0.25">
      <c r="A20" s="304"/>
      <c r="B20" s="788"/>
      <c r="C20" s="788"/>
      <c r="D20" s="1114" t="s">
        <v>7743</v>
      </c>
      <c r="E20" s="788"/>
      <c r="F20" s="309"/>
      <c r="G20" s="957" t="str">
        <f>IF(Powiat_eng="",Powiat,Powiat_eng)</f>
        <v>M.St. Warszawa</v>
      </c>
      <c r="H20" s="309"/>
      <c r="I20" s="789"/>
      <c r="J20" s="310"/>
      <c r="K20" s="964" t="str">
        <f>wstęp!K20</f>
        <v>odkryj</v>
      </c>
      <c r="L20" s="799"/>
      <c r="M20" s="961"/>
      <c r="N20" s="961"/>
      <c r="O20" s="1042"/>
      <c r="P20" s="1045"/>
      <c r="Q20" s="1045"/>
      <c r="R20" s="1045"/>
      <c r="S20" s="1045"/>
      <c r="T20" s="1045"/>
    </row>
    <row r="21" spans="1:20" ht="15.75" customHeight="1" x14ac:dyDescent="0.25">
      <c r="A21" s="304"/>
      <c r="B21" s="788"/>
      <c r="C21" s="788"/>
      <c r="D21" s="1114" t="s">
        <v>7744</v>
      </c>
      <c r="E21" s="788"/>
      <c r="F21" s="309"/>
      <c r="G21" s="957" t="str">
        <f>IF(Gmina_eng="",Gmina,Gmina_eng)</f>
        <v>M.St. Warszawa</v>
      </c>
      <c r="H21" s="309"/>
      <c r="I21" s="789"/>
      <c r="J21" s="310"/>
      <c r="K21" s="964" t="str">
        <f>wstęp!K21</f>
        <v>odkryj</v>
      </c>
      <c r="L21" s="799"/>
      <c r="M21" s="961"/>
      <c r="N21" s="961"/>
      <c r="O21" s="1042"/>
      <c r="P21" s="1045"/>
      <c r="Q21" s="1045"/>
      <c r="R21" s="1045"/>
      <c r="S21" s="1045"/>
      <c r="T21" s="1045"/>
    </row>
    <row r="22" spans="1:20" ht="15.75" customHeight="1" x14ac:dyDescent="0.25">
      <c r="A22" s="304"/>
      <c r="B22" s="788"/>
      <c r="C22" s="788"/>
      <c r="D22" s="1114" t="s">
        <v>7745</v>
      </c>
      <c r="E22" s="788"/>
      <c r="F22" s="309"/>
      <c r="G22" s="957" t="str">
        <f>IF(Wojewodztwo_eng="",Wojewodztwo,Wojewodztwo_eng)</f>
        <v>Mazowieckie</v>
      </c>
      <c r="H22" s="309"/>
      <c r="I22" s="789"/>
      <c r="J22" s="310"/>
      <c r="K22" s="964" t="str">
        <f>wstęp!K22</f>
        <v>odkryj</v>
      </c>
      <c r="L22" s="799"/>
      <c r="M22" s="961"/>
      <c r="N22" s="961"/>
      <c r="O22" s="1042"/>
      <c r="P22" s="1045"/>
      <c r="Q22" s="1045"/>
      <c r="R22" s="1045"/>
      <c r="S22" s="1045"/>
      <c r="T22" s="1045"/>
    </row>
    <row r="23" spans="1:20" ht="15.75" customHeight="1" x14ac:dyDescent="0.25">
      <c r="A23" s="304"/>
      <c r="B23" s="788"/>
      <c r="C23" s="788"/>
      <c r="D23" s="1114" t="s">
        <v>7746</v>
      </c>
      <c r="E23" s="788"/>
      <c r="F23" s="309"/>
      <c r="G23" s="957" t="str">
        <f>NIP</f>
        <v>7282741164</v>
      </c>
      <c r="H23" s="309"/>
      <c r="I23" s="789"/>
      <c r="J23" s="310"/>
      <c r="K23" s="964" t="str">
        <f>wstęp!K23</f>
        <v>odkryj</v>
      </c>
      <c r="L23" s="799"/>
      <c r="M23" s="961"/>
      <c r="N23" s="961"/>
      <c r="O23" s="1042"/>
      <c r="P23" s="1045"/>
      <c r="Q23" s="1045"/>
      <c r="R23" s="1045"/>
      <c r="S23" s="1045"/>
      <c r="T23" s="1045"/>
    </row>
    <row r="24" spans="1:20" ht="15.75" customHeight="1" x14ac:dyDescent="0.25">
      <c r="A24" s="304"/>
      <c r="B24" s="788"/>
      <c r="C24" s="788"/>
      <c r="D24" s="1115" t="s">
        <v>7747</v>
      </c>
      <c r="E24" s="788"/>
      <c r="F24" s="311"/>
      <c r="G24" s="957" t="str">
        <f>IF(Input!C43="","",Input!C43)</f>
        <v/>
      </c>
      <c r="H24" s="311"/>
      <c r="I24" s="789"/>
      <c r="J24" s="310"/>
      <c r="K24" s="964" t="str">
        <f>wstęp!K24</f>
        <v>ukryj</v>
      </c>
      <c r="M24" s="1042"/>
      <c r="N24" s="1042"/>
      <c r="O24" s="1042"/>
      <c r="P24" s="1045"/>
      <c r="Q24" s="1045"/>
      <c r="R24" s="1045"/>
      <c r="S24" s="1045"/>
      <c r="T24" s="1045"/>
    </row>
    <row r="25" spans="1:20" ht="15.75" customHeight="1" x14ac:dyDescent="0.25">
      <c r="A25" s="304"/>
      <c r="B25" s="788"/>
      <c r="C25" s="788"/>
      <c r="D25" s="789"/>
      <c r="E25" s="789"/>
      <c r="F25" s="789"/>
      <c r="G25" s="788"/>
      <c r="H25" s="788"/>
      <c r="I25" s="788"/>
      <c r="J25" s="788"/>
      <c r="K25" s="964" t="str">
        <f>wstęp!K25</f>
        <v>odkryj</v>
      </c>
      <c r="L25" s="799"/>
      <c r="M25" s="961"/>
      <c r="N25" s="961"/>
      <c r="O25" s="1042"/>
      <c r="P25" s="1289"/>
      <c r="Q25" s="1289"/>
      <c r="R25" s="1289"/>
      <c r="S25" s="1289"/>
      <c r="T25" s="1289"/>
    </row>
    <row r="26" spans="1:20" x14ac:dyDescent="0.25">
      <c r="A26" s="1195">
        <f>wstęp!A26</f>
        <v>1</v>
      </c>
      <c r="B26" s="1191">
        <f>wstęp!B26</f>
        <v>3</v>
      </c>
      <c r="C26" s="1192"/>
      <c r="D26" s="1235" t="s">
        <v>7748</v>
      </c>
      <c r="E26" s="1235"/>
      <c r="F26" s="1235"/>
      <c r="G26" s="1235"/>
      <c r="H26" s="1235"/>
      <c r="I26" s="1235"/>
      <c r="J26" s="1235"/>
      <c r="K26" s="964" t="str">
        <f>wstęp!K26</f>
        <v>odkryj</v>
      </c>
      <c r="L26" s="799"/>
      <c r="M26" s="961"/>
      <c r="N26" s="961"/>
      <c r="O26" s="1042"/>
      <c r="P26" s="1289"/>
      <c r="Q26" s="1289"/>
      <c r="R26" s="1289"/>
      <c r="S26" s="1289"/>
      <c r="T26" s="1289"/>
    </row>
    <row r="27" spans="1:20" ht="15.75" customHeight="1" x14ac:dyDescent="0.25">
      <c r="A27" s="283"/>
      <c r="B27" s="284"/>
      <c r="C27" s="284"/>
      <c r="D27" s="789"/>
      <c r="E27" s="789"/>
      <c r="F27" s="789"/>
      <c r="G27" s="788"/>
      <c r="H27" s="788"/>
      <c r="I27" s="788"/>
      <c r="J27" s="788"/>
      <c r="K27" s="964" t="str">
        <f>wstęp!K27</f>
        <v>odkryj</v>
      </c>
      <c r="L27" s="799"/>
      <c r="M27" s="961"/>
      <c r="N27" s="961"/>
      <c r="O27" s="1042"/>
      <c r="P27" s="1289"/>
      <c r="Q27" s="1289"/>
      <c r="R27" s="1289"/>
      <c r="S27" s="1289"/>
      <c r="T27" s="1289"/>
    </row>
    <row r="28" spans="1:20" ht="53.2" customHeight="1" x14ac:dyDescent="0.25">
      <c r="A28" s="304"/>
      <c r="B28" s="788"/>
      <c r="C28" s="788"/>
      <c r="D28" s="1287" t="str">
        <f>Input!$C$2&amp;" (“the Company”) was established on "&amp;DAY(Input!$R$18)&amp;" "&amp;Input!$S$18&amp;" "&amp;YEAR(Input!$R$18)&amp;", by notarial deed and registered in the National Court Register kept in the local court in "&amp;Input!$D$68&amp;", "&amp;Input!$C$69&amp;" Business Department, under number: "&amp; IF(KRS="","",KRS)&amp;"."</f>
        <v>Testowa 185 Sp. z o.o. (“the Company”) was established on 1 January 1900, by notarial deed and registered in the National Court Register kept in the local court in ,  Business Department, under number: 0000000000.</v>
      </c>
      <c r="E28" s="1288"/>
      <c r="F28" s="1288"/>
      <c r="G28" s="1288"/>
      <c r="H28" s="1288"/>
      <c r="I28" s="1288"/>
      <c r="J28" s="1288"/>
      <c r="K28" s="964" t="str">
        <f>wstęp!K28</f>
        <v>odkryj</v>
      </c>
      <c r="L28" s="799"/>
      <c r="M28" s="961"/>
      <c r="N28" s="961"/>
      <c r="O28" s="1042"/>
      <c r="P28" s="1289"/>
      <c r="Q28" s="1289"/>
      <c r="R28" s="1289"/>
      <c r="S28" s="1289"/>
      <c r="T28" s="1289"/>
    </row>
    <row r="29" spans="1:20" ht="15.05" x14ac:dyDescent="0.3">
      <c r="A29" s="304"/>
      <c r="B29" s="788"/>
      <c r="C29" s="788"/>
      <c r="D29" s="309"/>
      <c r="E29" s="309"/>
      <c r="F29" s="309"/>
      <c r="G29" s="954"/>
      <c r="H29" s="309"/>
      <c r="I29" s="790"/>
      <c r="J29"/>
      <c r="K29" s="964" t="str">
        <f>wstęp!K29</f>
        <v>ukryj</v>
      </c>
      <c r="L29" s="799"/>
      <c r="M29" s="961"/>
      <c r="N29" s="961"/>
      <c r="O29" s="1042"/>
      <c r="P29" s="1045"/>
      <c r="Q29" s="1045"/>
      <c r="R29" s="1045"/>
      <c r="S29" s="1045"/>
      <c r="T29" s="1045"/>
    </row>
    <row r="30" spans="1:20" ht="15.75" customHeight="1" x14ac:dyDescent="0.25">
      <c r="A30" s="304"/>
      <c r="B30" s="788"/>
      <c r="C30" s="788"/>
      <c r="D30" s="795"/>
      <c r="E30" s="795"/>
      <c r="F30" s="795"/>
      <c r="G30" s="795"/>
      <c r="H30" s="795"/>
      <c r="I30" s="790"/>
      <c r="J30" s="790"/>
      <c r="K30" s="964" t="str">
        <f>wstęp!K30</f>
        <v>odkryj</v>
      </c>
      <c r="L30" s="799"/>
      <c r="M30" s="961"/>
      <c r="N30" s="961"/>
      <c r="O30" s="1042"/>
      <c r="P30" s="1289"/>
      <c r="Q30" s="1289"/>
      <c r="R30" s="1289"/>
      <c r="S30" s="1289"/>
      <c r="T30" s="1289"/>
    </row>
    <row r="31" spans="1:20" x14ac:dyDescent="0.25">
      <c r="A31" s="1195">
        <f>wstęp!A31</f>
        <v>1</v>
      </c>
      <c r="B31" s="1191">
        <f>wstęp!B31</f>
        <v>4</v>
      </c>
      <c r="C31" s="1192"/>
      <c r="D31" s="1235" t="s">
        <v>7749</v>
      </c>
      <c r="E31" s="1235"/>
      <c r="F31" s="1235"/>
      <c r="G31" s="1235"/>
      <c r="H31" s="1235"/>
      <c r="I31" s="1235"/>
      <c r="J31" s="1235"/>
      <c r="K31" s="964" t="str">
        <f>wstęp!K31</f>
        <v>odkryj</v>
      </c>
      <c r="L31" s="799"/>
      <c r="M31" s="961"/>
      <c r="N31" s="961"/>
      <c r="O31" s="1042"/>
      <c r="P31" s="1289"/>
      <c r="Q31" s="1289"/>
      <c r="R31" s="1289"/>
      <c r="S31" s="1289"/>
      <c r="T31" s="1289"/>
    </row>
    <row r="32" spans="1:20" ht="15.75" customHeight="1" x14ac:dyDescent="0.25">
      <c r="A32" s="283"/>
      <c r="B32" s="284"/>
      <c r="C32" s="284"/>
      <c r="D32" s="789"/>
      <c r="E32" s="789"/>
      <c r="F32" s="789"/>
      <c r="G32" s="788"/>
      <c r="H32" s="788"/>
      <c r="I32" s="788"/>
      <c r="J32" s="788"/>
      <c r="K32" s="964" t="str">
        <f>wstęp!K32</f>
        <v>odkryj</v>
      </c>
      <c r="L32" s="799"/>
      <c r="M32" s="961"/>
      <c r="N32" s="961"/>
      <c r="O32" s="1042"/>
      <c r="P32" s="1046"/>
      <c r="Q32" s="1047"/>
      <c r="R32" s="1048"/>
      <c r="S32" s="1049"/>
      <c r="T32" s="1049"/>
    </row>
    <row r="33" spans="1:20" x14ac:dyDescent="0.25">
      <c r="A33" s="304"/>
      <c r="B33" s="788"/>
      <c r="C33" s="788"/>
      <c r="D33" s="1239" t="s">
        <v>7750</v>
      </c>
      <c r="E33" s="1239"/>
      <c r="F33" s="1239"/>
      <c r="G33" s="1239"/>
      <c r="H33" s="1239"/>
      <c r="I33" s="1239"/>
      <c r="J33" s="1239"/>
      <c r="K33" s="964" t="str">
        <f>wstęp!K33</f>
        <v>odkryj</v>
      </c>
      <c r="L33" s="799"/>
      <c r="M33" s="961"/>
      <c r="N33" s="961"/>
      <c r="O33" s="1042"/>
      <c r="P33" s="1290"/>
      <c r="Q33" s="1290"/>
      <c r="R33" s="1290"/>
      <c r="S33" s="1290"/>
      <c r="T33" s="1290"/>
    </row>
    <row r="34" spans="1:20" ht="15.75" customHeight="1" x14ac:dyDescent="0.25">
      <c r="A34" s="304"/>
      <c r="B34" s="788"/>
      <c r="C34" s="788"/>
      <c r="D34" s="788"/>
      <c r="E34" s="788"/>
      <c r="F34" s="788"/>
      <c r="G34" s="788"/>
      <c r="H34" s="788"/>
      <c r="I34" s="788"/>
      <c r="J34" s="788"/>
      <c r="K34" s="964" t="str">
        <f>wstęp!K34</f>
        <v>odkryj</v>
      </c>
      <c r="L34" s="799"/>
      <c r="M34" s="961"/>
      <c r="N34" s="961"/>
      <c r="O34" s="1042"/>
      <c r="P34" s="1046"/>
      <c r="Q34" s="1047"/>
      <c r="R34" s="1048"/>
      <c r="S34" s="1049"/>
      <c r="T34" s="1049"/>
    </row>
    <row r="35" spans="1:20" x14ac:dyDescent="0.25">
      <c r="A35" s="304"/>
      <c r="B35" s="280"/>
      <c r="C35" s="280"/>
      <c r="D35" s="788" t="s">
        <v>7525</v>
      </c>
      <c r="E35" s="1284" t="str">
        <f>IFERROR(INDEX('Kody PKD'!C:C,MATCH(KodPKD1,'Kody PKD'!A:A,0))&amp;IF(E36="",".",","),"")</f>
        <v/>
      </c>
      <c r="F35" s="1284"/>
      <c r="G35" s="1284"/>
      <c r="H35" s="1284"/>
      <c r="I35" s="1284"/>
      <c r="J35" s="1284"/>
      <c r="K35" s="964" t="str">
        <f>wstęp!K35</f>
        <v>ukryj</v>
      </c>
      <c r="M35" s="1042"/>
      <c r="N35" s="1042"/>
      <c r="O35" s="1042"/>
      <c r="P35" s="1046"/>
      <c r="Q35" s="1047"/>
      <c r="R35" s="1048"/>
      <c r="S35" s="1049"/>
      <c r="T35" s="1049"/>
    </row>
    <row r="36" spans="1:20" x14ac:dyDescent="0.25">
      <c r="A36" s="304"/>
      <c r="B36" s="280"/>
      <c r="C36" s="280"/>
      <c r="D36" s="788" t="s">
        <v>7525</v>
      </c>
      <c r="E36" s="1284" t="str">
        <f>IFERROR(INDEX('Kody PKD'!C:C,MATCH(KodPKD2,'Kody PKD'!A:A,0))&amp;IF(E37="",".",","),"")</f>
        <v/>
      </c>
      <c r="F36" s="1284"/>
      <c r="G36" s="1284"/>
      <c r="H36" s="1284"/>
      <c r="I36" s="1284"/>
      <c r="J36" s="1284"/>
      <c r="K36" s="964" t="str">
        <f>wstęp!K36</f>
        <v>ukryj</v>
      </c>
      <c r="M36" s="1042"/>
      <c r="N36" s="1042"/>
      <c r="O36" s="1042"/>
      <c r="P36" s="1046"/>
      <c r="Q36" s="1047"/>
      <c r="R36" s="1048"/>
      <c r="S36" s="1049"/>
      <c r="T36" s="1049"/>
    </row>
    <row r="37" spans="1:20" x14ac:dyDescent="0.25">
      <c r="A37" s="304"/>
      <c r="B37" s="280"/>
      <c r="C37" s="280"/>
      <c r="D37" s="788" t="s">
        <v>7525</v>
      </c>
      <c r="E37" s="1284" t="str">
        <f>IFERROR(INDEX('Kody PKD'!C:C,MATCH(KodPKD3,'Kody PKD'!A:A,0))&amp;IF(E38="",".",","),"")</f>
        <v/>
      </c>
      <c r="F37" s="1284"/>
      <c r="G37" s="1284"/>
      <c r="H37" s="1284"/>
      <c r="I37" s="1284"/>
      <c r="J37" s="1284"/>
      <c r="K37" s="964" t="str">
        <f>wstęp!K37</f>
        <v>ukryj</v>
      </c>
      <c r="M37" s="1042"/>
      <c r="N37" s="1042"/>
      <c r="O37" s="1042"/>
      <c r="P37" s="1046"/>
      <c r="Q37" s="1042"/>
      <c r="R37" s="1042"/>
      <c r="S37" s="1042"/>
      <c r="T37" s="1042"/>
    </row>
    <row r="38" spans="1:20" x14ac:dyDescent="0.25">
      <c r="A38" s="304"/>
      <c r="B38" s="280"/>
      <c r="C38" s="280"/>
      <c r="D38" s="788" t="s">
        <v>7525</v>
      </c>
      <c r="E38" s="1284" t="str">
        <f>IFERROR(INDEX('Kody PKD'!C:C,MATCH(KodPKD4,'Kody PKD'!A:A,0))&amp;IF(E39="",".",","),"")</f>
        <v/>
      </c>
      <c r="F38" s="1284"/>
      <c r="G38" s="1284"/>
      <c r="H38" s="1284"/>
      <c r="I38" s="1284"/>
      <c r="J38" s="1284"/>
      <c r="K38" s="964" t="str">
        <f>wstęp!K38</f>
        <v>ukryj</v>
      </c>
      <c r="M38" s="1042"/>
      <c r="N38" s="1042"/>
      <c r="O38" s="1042"/>
      <c r="P38" s="1046"/>
      <c r="Q38" s="1042"/>
      <c r="R38" s="1042"/>
      <c r="S38" s="1042"/>
      <c r="T38" s="1042"/>
    </row>
    <row r="39" spans="1:20" x14ac:dyDescent="0.25">
      <c r="A39" s="304"/>
      <c r="B39" s="280"/>
      <c r="C39" s="280"/>
      <c r="D39" s="788" t="s">
        <v>7525</v>
      </c>
      <c r="E39" s="1284" t="str">
        <f>IFERROR(INDEX('Kody PKD'!C:C,MATCH(KodPKD5,'Kody PKD'!A:A,0))&amp;IF(E40="",".",","),"")</f>
        <v/>
      </c>
      <c r="F39" s="1284"/>
      <c r="G39" s="1284"/>
      <c r="H39" s="1284"/>
      <c r="I39" s="1284"/>
      <c r="J39" s="1284"/>
      <c r="K39" s="964" t="str">
        <f>wstęp!K39</f>
        <v>ukryj</v>
      </c>
      <c r="M39" s="1042"/>
      <c r="N39" s="1042"/>
      <c r="O39" s="1042"/>
      <c r="P39" s="1046"/>
      <c r="Q39" s="1042"/>
      <c r="R39" s="1042"/>
      <c r="S39" s="1042"/>
      <c r="T39" s="1042"/>
    </row>
    <row r="40" spans="1:20" x14ac:dyDescent="0.25">
      <c r="A40" s="304"/>
      <c r="B40" s="280"/>
      <c r="C40" s="280"/>
      <c r="D40" s="788" t="s">
        <v>7525</v>
      </c>
      <c r="E40" s="1284" t="str">
        <f>IFERROR(INDEX('Kody PKD'!C:C,MATCH(KodPKD6,'Kody PKD'!A:A,0))&amp;IF(E41="",".",","),"")</f>
        <v/>
      </c>
      <c r="F40" s="1284"/>
      <c r="G40" s="1284"/>
      <c r="H40" s="1284"/>
      <c r="I40" s="1284"/>
      <c r="J40" s="1284"/>
      <c r="K40" s="964" t="str">
        <f>wstęp!K40</f>
        <v>ukryj</v>
      </c>
      <c r="M40" s="1042"/>
      <c r="N40" s="1042"/>
      <c r="O40" s="1042"/>
      <c r="P40" s="1042"/>
      <c r="Q40" s="1042"/>
      <c r="R40" s="1042"/>
      <c r="S40" s="1042"/>
      <c r="T40" s="1042"/>
    </row>
    <row r="41" spans="1:20" x14ac:dyDescent="0.25">
      <c r="A41" s="304"/>
      <c r="B41" s="280"/>
      <c r="C41" s="280"/>
      <c r="D41" s="788" t="s">
        <v>7525</v>
      </c>
      <c r="E41" s="1284" t="str">
        <f>IFERROR(INDEX('Kody PKD'!C:C,MATCH(KodPKD7,'Kody PKD'!A:A,0))&amp;IF(E42="",".",","),"")</f>
        <v/>
      </c>
      <c r="F41" s="1284"/>
      <c r="G41" s="1284"/>
      <c r="H41" s="1284"/>
      <c r="I41" s="1284"/>
      <c r="J41" s="1284"/>
      <c r="K41" s="964" t="str">
        <f>wstęp!K41</f>
        <v>ukryj</v>
      </c>
      <c r="M41" s="1042"/>
      <c r="N41" s="1042"/>
      <c r="O41" s="1042"/>
      <c r="P41" s="1042"/>
      <c r="Q41" s="1042"/>
      <c r="R41" s="1042"/>
      <c r="S41" s="1042"/>
      <c r="T41" s="1042"/>
    </row>
    <row r="42" spans="1:20" x14ac:dyDescent="0.25">
      <c r="A42" s="304"/>
      <c r="B42" s="280"/>
      <c r="C42" s="280"/>
      <c r="D42" s="788" t="s">
        <v>7525</v>
      </c>
      <c r="E42" s="1284" t="str">
        <f>IFERROR(INDEX('Kody PKD'!C:C,MATCH(KodPKD8,'Kody PKD'!A:A,0))&amp;IF(E43="",".",","),"")</f>
        <v/>
      </c>
      <c r="F42" s="1284"/>
      <c r="G42" s="1284"/>
      <c r="H42" s="1284"/>
      <c r="I42" s="1284"/>
      <c r="J42" s="1284"/>
      <c r="K42" s="964" t="str">
        <f>wstęp!K42</f>
        <v>ukryj</v>
      </c>
      <c r="M42" s="1042"/>
      <c r="N42" s="1042"/>
      <c r="O42" s="1042"/>
      <c r="P42" s="1042"/>
      <c r="Q42" s="1042"/>
      <c r="R42" s="1042"/>
      <c r="S42" s="1042"/>
      <c r="T42" s="1042"/>
    </row>
    <row r="43" spans="1:20" x14ac:dyDescent="0.25">
      <c r="A43" s="304"/>
      <c r="B43" s="280"/>
      <c r="C43" s="280"/>
      <c r="D43" s="788" t="s">
        <v>7525</v>
      </c>
      <c r="E43" s="1284" t="str">
        <f>IFERROR(INDEX('Kody PKD'!C:C,MATCH(KodPKD9,'Kody PKD'!A:A,0))&amp;IF(E44="",".",","),"")</f>
        <v/>
      </c>
      <c r="F43" s="1284"/>
      <c r="G43" s="1284"/>
      <c r="H43" s="1284"/>
      <c r="I43" s="1284"/>
      <c r="J43" s="1284"/>
      <c r="K43" s="964" t="str">
        <f>wstęp!K43</f>
        <v>ukryj</v>
      </c>
      <c r="M43" s="1042"/>
      <c r="N43" s="1042"/>
      <c r="O43" s="1042"/>
      <c r="P43" s="1042"/>
      <c r="Q43" s="1042"/>
      <c r="R43" s="1042"/>
      <c r="S43" s="1042"/>
      <c r="T43" s="1042"/>
    </row>
    <row r="44" spans="1:20" x14ac:dyDescent="0.25">
      <c r="A44" s="304"/>
      <c r="B44" s="280"/>
      <c r="C44" s="280"/>
      <c r="D44" s="788" t="s">
        <v>7525</v>
      </c>
      <c r="E44" s="1284" t="str">
        <f>IFERROR(INDEX('Kody PKD'!C:C,MATCH(KodPKD10,'Kody PKD'!A:A,0))&amp;IF(E45="",".",","),"")</f>
        <v/>
      </c>
      <c r="F44" s="1284"/>
      <c r="G44" s="1284"/>
      <c r="H44" s="1284"/>
      <c r="I44" s="1284"/>
      <c r="J44" s="1284"/>
      <c r="K44" s="964" t="str">
        <f>wstęp!K44</f>
        <v>ukryj</v>
      </c>
      <c r="M44" s="1042"/>
      <c r="N44" s="1042"/>
      <c r="O44" s="1042"/>
      <c r="P44" s="1042"/>
      <c r="Q44" s="1042"/>
      <c r="R44" s="1042"/>
      <c r="S44" s="1042"/>
      <c r="T44" s="1042"/>
    </row>
    <row r="45" spans="1:20" x14ac:dyDescent="0.25">
      <c r="A45" s="304"/>
      <c r="B45" s="280"/>
      <c r="C45" s="280"/>
      <c r="D45" s="312"/>
      <c r="E45" s="788"/>
      <c r="F45" s="280"/>
      <c r="G45" s="301"/>
      <c r="H45" s="788"/>
      <c r="I45" s="788"/>
      <c r="J45" s="788"/>
      <c r="K45" s="964" t="str">
        <f>wstęp!K45</f>
        <v>odkryj</v>
      </c>
      <c r="L45" s="799"/>
      <c r="M45" s="961"/>
      <c r="N45" s="961"/>
      <c r="O45" s="1042"/>
      <c r="P45" s="1042"/>
      <c r="Q45" s="1042"/>
      <c r="R45" s="1042"/>
      <c r="S45" s="1042"/>
      <c r="T45" s="1042"/>
    </row>
    <row r="46" spans="1:20" x14ac:dyDescent="0.25">
      <c r="A46" s="304"/>
      <c r="B46" s="788"/>
      <c r="C46" s="788"/>
      <c r="D46" s="1276" t="s">
        <v>7751</v>
      </c>
      <c r="E46" s="1276"/>
      <c r="F46" s="1276"/>
      <c r="G46" s="1276"/>
      <c r="H46" s="1276"/>
      <c r="I46" s="1276"/>
      <c r="J46" s="1276"/>
      <c r="K46" s="964" t="str">
        <f>wstęp!K46</f>
        <v>odkryj</v>
      </c>
      <c r="L46" s="799"/>
      <c r="M46" s="961"/>
      <c r="N46" s="961"/>
      <c r="O46" s="1042"/>
      <c r="P46" s="1042"/>
      <c r="Q46" s="1042"/>
      <c r="R46" s="1042"/>
      <c r="S46" s="1042"/>
      <c r="T46" s="1042"/>
    </row>
    <row r="47" spans="1:20" x14ac:dyDescent="0.25">
      <c r="A47" s="304"/>
      <c r="B47" s="788"/>
      <c r="C47" s="788"/>
      <c r="D47" s="788"/>
      <c r="E47" s="788"/>
      <c r="F47" s="788"/>
      <c r="G47" s="788"/>
      <c r="H47" s="788"/>
      <c r="I47" s="788"/>
      <c r="J47" s="788"/>
      <c r="K47" s="964" t="str">
        <f>wstęp!K47</f>
        <v>odkryj</v>
      </c>
      <c r="L47" s="799"/>
      <c r="M47" s="961"/>
      <c r="N47" s="961"/>
      <c r="O47" s="1042"/>
      <c r="P47" s="1042"/>
      <c r="Q47" s="1042"/>
      <c r="R47" s="1042"/>
      <c r="S47" s="1042"/>
      <c r="T47" s="1042"/>
    </row>
    <row r="48" spans="1:20" x14ac:dyDescent="0.25">
      <c r="A48" s="1195">
        <f>wstęp!A48</f>
        <v>1</v>
      </c>
      <c r="B48" s="1191">
        <f>wstęp!B48</f>
        <v>5</v>
      </c>
      <c r="C48" s="1192"/>
      <c r="D48" s="1235" t="s">
        <v>7752</v>
      </c>
      <c r="E48" s="1235"/>
      <c r="F48" s="1235"/>
      <c r="G48" s="1235"/>
      <c r="H48" s="1235"/>
      <c r="I48" s="1235"/>
      <c r="J48" s="1235"/>
      <c r="K48" s="964" t="str">
        <f>wstęp!K48</f>
        <v>odkryj</v>
      </c>
      <c r="L48" s="799"/>
      <c r="M48" s="961"/>
      <c r="N48" s="961"/>
      <c r="O48" s="1042"/>
      <c r="P48" s="1051"/>
      <c r="Q48" s="1050"/>
      <c r="R48" s="1050"/>
      <c r="S48" s="1042"/>
      <c r="T48" s="1042"/>
    </row>
    <row r="49" spans="1:20" ht="15.75" customHeight="1" x14ac:dyDescent="0.25">
      <c r="A49" s="283"/>
      <c r="B49" s="284"/>
      <c r="C49" s="284"/>
      <c r="D49" s="789"/>
      <c r="E49" s="789"/>
      <c r="F49" s="789"/>
      <c r="G49" s="788"/>
      <c r="H49" s="788"/>
      <c r="I49" s="788"/>
      <c r="J49" s="788"/>
      <c r="K49" s="964" t="str">
        <f>wstęp!K49</f>
        <v>odkryj</v>
      </c>
      <c r="L49" s="799"/>
      <c r="M49" s="961"/>
      <c r="N49" s="961"/>
      <c r="O49" s="1042"/>
      <c r="P49" s="1051"/>
      <c r="Q49" s="1050"/>
      <c r="R49" s="1050"/>
      <c r="S49" s="1042"/>
      <c r="T49" s="1042"/>
    </row>
    <row r="50" spans="1:20" ht="33.75" customHeight="1" x14ac:dyDescent="0.25">
      <c r="A50" s="304"/>
      <c r="B50" s="788"/>
      <c r="C50" s="788"/>
      <c r="D50" s="1234" t="str">
        <f>IF(Input!P73=1,R50,Q50)</f>
        <v>The financial statements were prepared for the period from 1 January 2020 to 31 December 2020 and the comparative data is for the period from 1 January 2019 to 31 December 2019.</v>
      </c>
      <c r="E50" s="1234"/>
      <c r="F50" s="1234"/>
      <c r="G50" s="1234"/>
      <c r="H50" s="1234"/>
      <c r="I50" s="1234"/>
      <c r="J50" s="1234"/>
      <c r="K50" s="964" t="str">
        <f>wstęp!K50</f>
        <v>odkryj</v>
      </c>
      <c r="L50" s="799"/>
      <c r="M50" s="961"/>
      <c r="N50" s="961"/>
      <c r="O50" s="1042"/>
      <c r="P50" s="1050"/>
      <c r="Q50" s="85" t="str">
        <f>"The financial statements were prepared for the period from "&amp;DAY(DataOd)&amp;" "&amp;Input!S6&amp;" "&amp;YEAR(DataOd)&amp;" to "&amp;DAY(DataDo)&amp;" "&amp;Input!S7&amp;" "&amp;YEAR(DataDo)&amp;" and the comparative data is for the period from "&amp;DAY(Input!R10)&amp;" "&amp;Input!S10&amp;" "&amp;YEAR(Input!R10)&amp;" to "&amp;DAY(Input!R11)&amp;" "&amp;Input!S11&amp;" "&amp;YEAR(Input!R11)&amp;"."</f>
        <v>The financial statements were prepared for the period from 1 January 2020 to 31 December 2020 and the comparative data is for the period from 1 January 2019 to 31 December 2019.</v>
      </c>
      <c r="R50" s="85" t="str">
        <f>"The financial statements were prepared for the period from "&amp;DAY(DataOd)&amp;" "&amp;Input!S6&amp;" "&amp;YEAR(DataOd)&amp;" to "&amp;DAY(DataDo)&amp;" "&amp;Input!S7&amp;" "&amp;YEAR(DataDo)&amp;"."</f>
        <v>The financial statements were prepared for the period from 1 January 2020 to 31 December 2020.</v>
      </c>
      <c r="S50" s="1042"/>
      <c r="T50" s="1042"/>
    </row>
    <row r="51" spans="1:20" ht="15.75" customHeight="1" x14ac:dyDescent="0.25">
      <c r="A51" s="304"/>
      <c r="B51" s="788"/>
      <c r="C51" s="788"/>
      <c r="D51" s="790"/>
      <c r="E51" s="790"/>
      <c r="F51" s="790"/>
      <c r="G51" s="790"/>
      <c r="H51" s="790"/>
      <c r="I51" s="790"/>
      <c r="J51" s="790"/>
      <c r="K51" s="964" t="str">
        <f>wstęp!K51</f>
        <v>odkryj</v>
      </c>
      <c r="L51" s="799"/>
      <c r="M51" s="961"/>
      <c r="N51" s="961"/>
      <c r="O51" s="1042"/>
      <c r="P51" s="1050"/>
      <c r="Q51" s="85"/>
      <c r="R51" s="85"/>
      <c r="S51" s="1042"/>
      <c r="T51" s="1042"/>
    </row>
    <row r="52" spans="1:20" x14ac:dyDescent="0.25">
      <c r="A52" s="1195">
        <f>wstęp!A52</f>
        <v>1</v>
      </c>
      <c r="B52" s="1191">
        <f>wstęp!B52</f>
        <v>6</v>
      </c>
      <c r="C52" s="1192"/>
      <c r="D52" s="1235" t="s">
        <v>7753</v>
      </c>
      <c r="E52" s="1235"/>
      <c r="F52" s="1235"/>
      <c r="G52" s="1235"/>
      <c r="H52" s="1235"/>
      <c r="I52" s="1235"/>
      <c r="J52" s="1235"/>
      <c r="K52" s="964" t="str">
        <f>wstęp!K52</f>
        <v>odkryj</v>
      </c>
      <c r="L52" s="799"/>
      <c r="M52" s="961"/>
      <c r="N52" s="961"/>
      <c r="O52" s="1042"/>
      <c r="P52" s="1042"/>
      <c r="Q52" s="1042"/>
      <c r="R52" s="1042"/>
      <c r="S52" s="1042"/>
      <c r="T52" s="1042"/>
    </row>
    <row r="53" spans="1:20" ht="15.75" customHeight="1" x14ac:dyDescent="0.25">
      <c r="A53" s="283"/>
      <c r="B53" s="284"/>
      <c r="C53" s="284"/>
      <c r="D53" s="789"/>
      <c r="E53" s="789"/>
      <c r="F53" s="789"/>
      <c r="G53" s="789"/>
      <c r="H53" s="789"/>
      <c r="I53" s="789"/>
      <c r="J53" s="789"/>
      <c r="K53" s="964" t="str">
        <f>wstęp!K53</f>
        <v>odkryj</v>
      </c>
      <c r="L53" s="799"/>
      <c r="M53" s="961"/>
      <c r="N53" s="961"/>
      <c r="O53" s="1042"/>
      <c r="P53" s="1042"/>
      <c r="Q53" s="1042"/>
      <c r="R53" s="1042"/>
      <c r="S53" s="1042"/>
      <c r="T53" s="1042"/>
    </row>
    <row r="54" spans="1:20" ht="15.75" customHeight="1" x14ac:dyDescent="0.25">
      <c r="A54" s="304"/>
      <c r="B54" s="788"/>
      <c r="C54" s="788"/>
      <c r="D54" s="1236"/>
      <c r="E54" s="1236"/>
      <c r="F54" s="789"/>
      <c r="G54" s="788"/>
      <c r="H54" s="788"/>
      <c r="I54" s="788"/>
      <c r="J54" s="788"/>
      <c r="K54" s="964" t="str">
        <f>wstęp!K54</f>
        <v>ukryj</v>
      </c>
      <c r="L54" s="799"/>
      <c r="M54" s="961"/>
      <c r="N54" s="961"/>
      <c r="O54" s="1042"/>
      <c r="P54" s="1042"/>
      <c r="Q54" s="1042"/>
      <c r="R54" s="1042"/>
      <c r="S54" s="1042"/>
      <c r="T54" s="1042"/>
    </row>
    <row r="55" spans="1:20" ht="29.95" customHeight="1" x14ac:dyDescent="0.25">
      <c r="A55" s="304"/>
      <c r="B55" s="788"/>
      <c r="C55" s="788"/>
      <c r="D55" s="1285" t="s">
        <v>7754</v>
      </c>
      <c r="E55" s="1285"/>
      <c r="F55" s="1285"/>
      <c r="G55" s="1285"/>
      <c r="H55" s="1285"/>
      <c r="I55" s="1285"/>
      <c r="J55" s="1285"/>
      <c r="K55" s="964" t="str">
        <f>wstęp!K55</f>
        <v>odkryj</v>
      </c>
      <c r="L55" s="799"/>
      <c r="M55" s="961"/>
      <c r="N55" s="961"/>
      <c r="O55" s="1042"/>
      <c r="P55" s="1042"/>
      <c r="Q55" s="1042"/>
      <c r="R55" s="1042"/>
      <c r="S55" s="1042"/>
      <c r="T55" s="1042"/>
    </row>
    <row r="56" spans="1:20" ht="15.75" customHeight="1" x14ac:dyDescent="0.25">
      <c r="A56" s="304"/>
      <c r="B56" s="788"/>
      <c r="C56" s="788"/>
      <c r="D56" s="789"/>
      <c r="E56" s="789"/>
      <c r="F56" s="789"/>
      <c r="G56" s="788"/>
      <c r="H56" s="788"/>
      <c r="I56" s="788"/>
      <c r="J56" s="788"/>
      <c r="K56" s="964" t="str">
        <f>wstęp!K56</f>
        <v>odkryj</v>
      </c>
      <c r="L56" s="799"/>
      <c r="M56" s="961"/>
      <c r="N56" s="961"/>
      <c r="O56" s="1042"/>
      <c r="P56" s="1042"/>
      <c r="Q56" s="1042"/>
      <c r="R56" s="1042"/>
      <c r="S56" s="1042"/>
      <c r="T56" s="1042"/>
    </row>
    <row r="57" spans="1:20" ht="15.75" customHeight="1" x14ac:dyDescent="0.25">
      <c r="A57" s="304"/>
      <c r="B57" s="788"/>
      <c r="C57" s="788"/>
      <c r="D57" s="1285" t="s">
        <v>7755</v>
      </c>
      <c r="E57" s="1285"/>
      <c r="F57" s="1285"/>
      <c r="G57" s="1285"/>
      <c r="H57" s="1285"/>
      <c r="I57" s="1285"/>
      <c r="J57" s="1285"/>
      <c r="K57" s="964" t="str">
        <f>wstęp!K57</f>
        <v>odkryj</v>
      </c>
      <c r="L57" s="799"/>
      <c r="M57" s="961"/>
      <c r="N57" s="961"/>
      <c r="O57" s="1042"/>
      <c r="P57" s="1042"/>
      <c r="Q57" s="1042"/>
      <c r="R57" s="1042"/>
      <c r="S57" s="1042"/>
      <c r="T57" s="1042"/>
    </row>
    <row r="58" spans="1:20" ht="15.75" customHeight="1" x14ac:dyDescent="0.25">
      <c r="A58" s="299"/>
      <c r="B58" s="284"/>
      <c r="C58" s="284"/>
      <c r="D58" s="790"/>
      <c r="E58" s="790"/>
      <c r="F58" s="790"/>
      <c r="G58" s="790"/>
      <c r="H58" s="790"/>
      <c r="I58" s="790"/>
      <c r="J58" s="790"/>
      <c r="K58" s="964" t="str">
        <f>wstęp!K58</f>
        <v>odkryj</v>
      </c>
      <c r="L58" s="799"/>
      <c r="M58" s="961"/>
      <c r="N58" s="961"/>
      <c r="O58" s="1042"/>
      <c r="P58" s="1042"/>
      <c r="Q58" s="1042"/>
      <c r="R58" s="1042"/>
      <c r="S58" s="1042"/>
      <c r="T58" s="1042"/>
    </row>
    <row r="59" spans="1:20" ht="14.25" customHeight="1" x14ac:dyDescent="0.25">
      <c r="A59" s="299"/>
      <c r="B59" s="284"/>
      <c r="C59" s="284"/>
      <c r="D59" s="1236" t="s">
        <v>7756</v>
      </c>
      <c r="E59" s="1236"/>
      <c r="F59" s="790"/>
      <c r="G59" s="790"/>
      <c r="H59" s="790"/>
      <c r="I59" s="790"/>
      <c r="J59" s="790"/>
      <c r="K59" s="964" t="str">
        <f>wstęp!K59</f>
        <v>ukryj</v>
      </c>
      <c r="M59" s="1042"/>
      <c r="N59" s="1042"/>
      <c r="O59" s="1042"/>
      <c r="P59" s="1042"/>
      <c r="Q59" s="1042"/>
      <c r="R59" s="1042"/>
      <c r="S59" s="1042"/>
      <c r="T59" s="1042"/>
    </row>
    <row r="60" spans="1:20" ht="15.75" customHeight="1" x14ac:dyDescent="0.25">
      <c r="A60" s="299"/>
      <c r="B60" s="284"/>
      <c r="C60" s="284"/>
      <c r="D60" s="1159"/>
      <c r="E60" s="1159"/>
      <c r="F60" s="790"/>
      <c r="G60" s="790"/>
      <c r="H60" s="790"/>
      <c r="I60" s="790"/>
      <c r="J60" s="790"/>
      <c r="K60" s="964" t="str">
        <f>wstęp!K60</f>
        <v>ukryj</v>
      </c>
      <c r="M60" s="1042"/>
      <c r="N60" s="1042"/>
      <c r="O60" s="1042"/>
      <c r="P60" s="1042"/>
      <c r="Q60" s="1042"/>
      <c r="R60" s="1042"/>
      <c r="S60" s="1042"/>
      <c r="T60" s="1042"/>
    </row>
    <row r="61" spans="1:20" ht="34.549999999999997" customHeight="1" x14ac:dyDescent="0.25">
      <c r="A61" s="299"/>
      <c r="B61" s="284"/>
      <c r="C61" s="284"/>
      <c r="D61" s="1285" t="s">
        <v>7754</v>
      </c>
      <c r="E61" s="1285"/>
      <c r="F61" s="1285"/>
      <c r="G61" s="1285"/>
      <c r="H61" s="1285"/>
      <c r="I61" s="1285"/>
      <c r="J61" s="1285"/>
      <c r="K61" s="964" t="str">
        <f>wstęp!K61</f>
        <v>ukryj</v>
      </c>
      <c r="M61" s="1042"/>
      <c r="N61" s="1042"/>
      <c r="O61" s="1042"/>
      <c r="P61" s="1042"/>
      <c r="Q61" s="1042"/>
      <c r="R61" s="1042"/>
      <c r="S61" s="1042"/>
      <c r="T61" s="1042"/>
    </row>
    <row r="62" spans="1:20" ht="34.549999999999997" customHeight="1" x14ac:dyDescent="0.25">
      <c r="A62" s="317"/>
      <c r="B62" s="284"/>
      <c r="C62" s="284"/>
      <c r="D62" s="955"/>
      <c r="E62" s="955"/>
      <c r="F62" s="955"/>
      <c r="G62" s="955"/>
      <c r="H62" s="955"/>
      <c r="I62" s="955"/>
      <c r="J62" s="955"/>
      <c r="K62" s="964" t="str">
        <f>wstęp!K62</f>
        <v>ukryj</v>
      </c>
      <c r="M62" s="1042"/>
      <c r="N62" s="1042"/>
      <c r="O62" s="1042"/>
      <c r="P62" s="1042"/>
      <c r="Q62" s="1042"/>
      <c r="R62" s="1042"/>
      <c r="S62" s="1042"/>
      <c r="T62" s="1042"/>
    </row>
    <row r="63" spans="1:20" ht="136" customHeight="1" x14ac:dyDescent="0.25">
      <c r="A63" s="299"/>
      <c r="B63" s="284"/>
      <c r="C63" s="284"/>
      <c r="D63" s="1237" t="s">
        <v>7757</v>
      </c>
      <c r="E63" s="1237"/>
      <c r="F63" s="1237"/>
      <c r="G63" s="1237"/>
      <c r="H63" s="1237"/>
      <c r="I63" s="1237"/>
      <c r="J63" s="1237"/>
      <c r="K63" s="964" t="str">
        <f>wstęp!K63</f>
        <v>ukryj</v>
      </c>
      <c r="M63" s="1042"/>
      <c r="N63" s="1042"/>
      <c r="O63" s="1042"/>
      <c r="P63" s="1042"/>
      <c r="Q63" s="1042"/>
      <c r="R63" s="1042"/>
      <c r="S63" s="1042"/>
      <c r="T63" s="1042"/>
    </row>
    <row r="64" spans="1:20" ht="15.75" customHeight="1" x14ac:dyDescent="0.25">
      <c r="A64" s="299"/>
      <c r="B64" s="284"/>
      <c r="C64" s="284"/>
      <c r="D64" s="790"/>
      <c r="E64" s="790"/>
      <c r="F64" s="790"/>
      <c r="G64" s="790"/>
      <c r="H64" s="790"/>
      <c r="I64" s="790"/>
      <c r="J64" s="790"/>
      <c r="K64" s="964" t="str">
        <f>wstęp!K64</f>
        <v>ukryj</v>
      </c>
      <c r="M64" s="1042"/>
      <c r="N64" s="1042"/>
      <c r="O64" s="1042"/>
      <c r="P64" s="1042"/>
      <c r="Q64" s="1042"/>
      <c r="R64" s="1042"/>
      <c r="S64" s="1042"/>
      <c r="T64" s="1042"/>
    </row>
    <row r="65" spans="1:20" ht="15.75" customHeight="1" x14ac:dyDescent="0.25">
      <c r="A65" s="299"/>
      <c r="B65" s="284"/>
      <c r="C65" s="284"/>
      <c r="D65" s="1236" t="s">
        <v>7756</v>
      </c>
      <c r="E65" s="1236"/>
      <c r="F65" s="790"/>
      <c r="G65" s="790"/>
      <c r="H65" s="790"/>
      <c r="I65" s="790"/>
      <c r="J65" s="790"/>
      <c r="K65" s="964" t="str">
        <f>wstęp!K65</f>
        <v>ukryj</v>
      </c>
      <c r="M65" s="1042"/>
      <c r="N65" s="1042"/>
      <c r="O65" s="1042"/>
      <c r="P65" s="1042"/>
      <c r="Q65" s="1042"/>
      <c r="R65" s="1042"/>
      <c r="S65" s="1042"/>
      <c r="T65" s="1042"/>
    </row>
    <row r="66" spans="1:20" ht="15.75" customHeight="1" x14ac:dyDescent="0.25">
      <c r="A66" s="299"/>
      <c r="B66" s="284"/>
      <c r="C66" s="284"/>
      <c r="D66" s="1159"/>
      <c r="E66" s="1159"/>
      <c r="F66" s="790"/>
      <c r="G66" s="790"/>
      <c r="H66" s="790"/>
      <c r="I66" s="790"/>
      <c r="J66" s="790"/>
      <c r="K66" s="964" t="str">
        <f>wstęp!K66</f>
        <v>ukryj</v>
      </c>
      <c r="M66" s="1042"/>
      <c r="N66" s="1042"/>
      <c r="O66" s="1042"/>
      <c r="P66" s="1042"/>
      <c r="Q66" s="1042"/>
      <c r="R66" s="1042"/>
      <c r="S66" s="1042"/>
      <c r="T66" s="1042"/>
    </row>
    <row r="67" spans="1:20" ht="30.8" customHeight="1" x14ac:dyDescent="0.25">
      <c r="A67" s="299"/>
      <c r="B67" s="284"/>
      <c r="C67" s="284"/>
      <c r="D67" s="1234" t="s">
        <v>7758</v>
      </c>
      <c r="E67" s="1234"/>
      <c r="F67" s="1234"/>
      <c r="G67" s="1234"/>
      <c r="H67" s="1234"/>
      <c r="I67" s="1234"/>
      <c r="J67" s="1234"/>
      <c r="K67" s="964" t="str">
        <f>wstęp!K67</f>
        <v>ukryj</v>
      </c>
      <c r="M67" s="1042"/>
      <c r="N67" s="1042"/>
      <c r="O67" s="1042"/>
      <c r="P67" s="1042"/>
      <c r="Q67" s="1042"/>
      <c r="R67" s="1042"/>
      <c r="S67" s="1042"/>
      <c r="T67" s="1042"/>
    </row>
    <row r="68" spans="1:20" ht="67.599999999999994" customHeight="1" x14ac:dyDescent="0.25">
      <c r="A68" s="299"/>
      <c r="B68" s="284"/>
      <c r="C68" s="284"/>
      <c r="D68" s="1237" t="s">
        <v>7759</v>
      </c>
      <c r="E68" s="1237"/>
      <c r="F68" s="1237"/>
      <c r="G68" s="1237"/>
      <c r="H68" s="1237"/>
      <c r="I68" s="1237"/>
      <c r="J68" s="1237"/>
      <c r="K68" s="964" t="str">
        <f>wstęp!K68</f>
        <v>ukryj</v>
      </c>
      <c r="M68" s="1042"/>
      <c r="N68" s="1042"/>
      <c r="O68" s="1042"/>
      <c r="P68" s="1042"/>
      <c r="Q68" s="1042"/>
      <c r="R68" s="1042"/>
      <c r="S68" s="1042"/>
      <c r="T68" s="1042"/>
    </row>
    <row r="69" spans="1:20" ht="15.75" customHeight="1" x14ac:dyDescent="0.25">
      <c r="A69" s="299"/>
      <c r="B69" s="284"/>
      <c r="C69" s="284"/>
      <c r="D69" s="1234"/>
      <c r="E69" s="1234"/>
      <c r="F69" s="1234"/>
      <c r="G69" s="1234"/>
      <c r="H69" s="1234"/>
      <c r="I69" s="1234"/>
      <c r="J69" s="1234"/>
      <c r="K69" s="964" t="str">
        <f>wstęp!K69</f>
        <v>ukryj</v>
      </c>
      <c r="M69" s="1042"/>
      <c r="N69" s="1042"/>
      <c r="O69" s="1042"/>
      <c r="P69" s="1042"/>
      <c r="Q69" s="1042"/>
      <c r="R69" s="1042"/>
      <c r="S69" s="1042"/>
      <c r="T69" s="1042"/>
    </row>
    <row r="70" spans="1:20" x14ac:dyDescent="0.25">
      <c r="A70" s="1183" t="s">
        <v>7380</v>
      </c>
      <c r="B70" s="1191">
        <f>IF(K70="ukryj",B52,B52+1)</f>
        <v>6</v>
      </c>
      <c r="C70" s="1192"/>
      <c r="D70" s="1235" t="s">
        <v>7760</v>
      </c>
      <c r="E70" s="1235"/>
      <c r="F70" s="1235"/>
      <c r="G70" s="1235"/>
      <c r="H70" s="1235"/>
      <c r="I70" s="1235"/>
      <c r="J70" s="1235"/>
      <c r="K70" s="964" t="str">
        <f>wstęp!K70</f>
        <v>ukryj</v>
      </c>
      <c r="M70" s="1042"/>
      <c r="N70" s="1042"/>
      <c r="O70" s="1042"/>
      <c r="P70" s="1042"/>
      <c r="Q70" s="1042"/>
      <c r="R70" s="1042"/>
      <c r="S70" s="1042"/>
      <c r="T70" s="1042"/>
    </row>
    <row r="71" spans="1:20" ht="15.75" customHeight="1" x14ac:dyDescent="0.25">
      <c r="A71" s="299"/>
      <c r="B71" s="284"/>
      <c r="C71" s="284"/>
      <c r="D71" s="790"/>
      <c r="E71" s="790"/>
      <c r="F71" s="790"/>
      <c r="G71" s="790"/>
      <c r="H71" s="790"/>
      <c r="I71" s="790"/>
      <c r="J71" s="790"/>
      <c r="K71" s="964" t="str">
        <f>wstęp!K71</f>
        <v>ukryj</v>
      </c>
      <c r="M71" s="1042"/>
      <c r="N71" s="1042"/>
      <c r="O71" s="1042"/>
      <c r="P71" s="1042"/>
      <c r="Q71" s="1042"/>
      <c r="R71" s="1042"/>
      <c r="S71" s="1042"/>
      <c r="T71" s="1042"/>
    </row>
    <row r="72" spans="1:20" ht="31.6" customHeight="1" x14ac:dyDescent="0.25">
      <c r="A72" s="299"/>
      <c r="B72" s="284"/>
      <c r="C72" s="284"/>
      <c r="D72" s="1234" t="s">
        <v>7538</v>
      </c>
      <c r="E72" s="1234"/>
      <c r="F72" s="1234"/>
      <c r="G72" s="1234"/>
      <c r="H72" s="1234"/>
      <c r="I72" s="1234"/>
      <c r="J72" s="1234"/>
      <c r="K72" s="964" t="str">
        <f>wstęp!K72</f>
        <v>ukryj</v>
      </c>
      <c r="M72" s="1042"/>
      <c r="N72" s="1042"/>
      <c r="O72" s="1042"/>
      <c r="P72" s="1042"/>
      <c r="Q72" s="1042"/>
      <c r="R72" s="1042"/>
      <c r="S72" s="1042"/>
      <c r="T72" s="1042"/>
    </row>
    <row r="73" spans="1:20" x14ac:dyDescent="0.25">
      <c r="A73" s="318"/>
      <c r="B73" s="277"/>
      <c r="C73" s="277"/>
      <c r="D73" s="788" t="s">
        <v>7525</v>
      </c>
      <c r="E73" s="1233"/>
      <c r="F73" s="1233"/>
      <c r="G73" s="1233"/>
      <c r="H73" s="1233"/>
      <c r="I73" s="1233"/>
      <c r="J73" s="1233"/>
      <c r="K73" s="964" t="str">
        <f>wstęp!K73</f>
        <v>ukryj</v>
      </c>
      <c r="M73" s="1042"/>
      <c r="N73" s="1042"/>
      <c r="O73" s="1042"/>
      <c r="P73" s="1042"/>
      <c r="Q73" s="1042"/>
      <c r="R73" s="1042"/>
      <c r="S73" s="1042"/>
      <c r="T73" s="1042"/>
    </row>
    <row r="74" spans="1:20" x14ac:dyDescent="0.25">
      <c r="A74" s="318"/>
      <c r="B74" s="277"/>
      <c r="C74" s="277"/>
      <c r="D74" s="788" t="s">
        <v>7525</v>
      </c>
      <c r="E74" s="1233"/>
      <c r="F74" s="1233"/>
      <c r="G74" s="1233"/>
      <c r="H74" s="1233"/>
      <c r="I74" s="1233"/>
      <c r="J74" s="1233"/>
      <c r="K74" s="964" t="str">
        <f>wstęp!K74</f>
        <v>ukryj</v>
      </c>
      <c r="M74" s="1042"/>
      <c r="N74" s="1042"/>
      <c r="O74" s="1042"/>
      <c r="P74" s="1042"/>
      <c r="Q74" s="1042"/>
      <c r="R74" s="1042"/>
      <c r="S74" s="1042"/>
      <c r="T74" s="1042"/>
    </row>
    <row r="75" spans="1:20" ht="15.75" customHeight="1" x14ac:dyDescent="0.25">
      <c r="A75" s="299"/>
      <c r="B75" s="284"/>
      <c r="C75" s="284"/>
      <c r="D75" s="790"/>
      <c r="E75" s="790"/>
      <c r="F75" s="790"/>
      <c r="G75" s="790"/>
      <c r="H75" s="790"/>
      <c r="I75" s="790"/>
      <c r="J75" s="790"/>
      <c r="K75" s="964" t="str">
        <f>wstęp!K75</f>
        <v>ukryj</v>
      </c>
      <c r="M75" s="1042"/>
      <c r="N75" s="1042"/>
      <c r="O75" s="1042"/>
      <c r="P75" s="1042"/>
      <c r="Q75" s="1042"/>
      <c r="R75" s="1042"/>
      <c r="S75" s="1042"/>
      <c r="T75" s="1042"/>
    </row>
    <row r="76" spans="1:20" ht="17.2" customHeight="1" x14ac:dyDescent="0.25">
      <c r="A76" s="1195">
        <f>wstęp!A76</f>
        <v>1</v>
      </c>
      <c r="B76" s="1191">
        <f>wstęp!B76</f>
        <v>7</v>
      </c>
      <c r="C76" s="1192"/>
      <c r="D76" s="1235" t="s">
        <v>7761</v>
      </c>
      <c r="E76" s="1235"/>
      <c r="F76" s="1235"/>
      <c r="G76" s="1235"/>
      <c r="H76" s="1235"/>
      <c r="I76" s="1235"/>
      <c r="J76" s="1235"/>
      <c r="K76" s="964" t="str">
        <f>wstęp!K76</f>
        <v>odkryj</v>
      </c>
      <c r="L76" s="799"/>
      <c r="M76" s="961"/>
      <c r="N76" s="961"/>
      <c r="O76" s="1042"/>
      <c r="P76" s="1042"/>
      <c r="Q76" s="1042"/>
      <c r="R76" s="1042"/>
      <c r="S76" s="1042"/>
      <c r="T76" s="1042"/>
    </row>
    <row r="77" spans="1:20" x14ac:dyDescent="0.25">
      <c r="A77" s="299"/>
      <c r="B77" s="788"/>
      <c r="C77" s="788"/>
      <c r="D77" s="789"/>
      <c r="E77" s="789"/>
      <c r="F77" s="789"/>
      <c r="G77" s="788"/>
      <c r="H77" s="788"/>
      <c r="I77" s="788"/>
      <c r="J77" s="788"/>
      <c r="K77" s="964" t="str">
        <f>wstęp!K77</f>
        <v>odkryj</v>
      </c>
      <c r="L77" s="799"/>
      <c r="M77" s="961"/>
      <c r="N77" s="961"/>
      <c r="O77" s="1042"/>
      <c r="P77" s="1042"/>
      <c r="Q77" s="1042"/>
      <c r="R77" s="1042"/>
      <c r="S77" s="1042"/>
      <c r="T77" s="1042"/>
    </row>
    <row r="78" spans="1:20" ht="36" customHeight="1" x14ac:dyDescent="0.25">
      <c r="A78" s="299"/>
      <c r="B78" s="284"/>
      <c r="C78" s="1083"/>
      <c r="D78" s="1277" t="s">
        <v>7762</v>
      </c>
      <c r="E78" s="1277"/>
      <c r="F78" s="1277"/>
      <c r="G78" s="1277"/>
      <c r="H78" s="1277"/>
      <c r="I78" s="1277"/>
      <c r="J78" s="780"/>
      <c r="K78" s="964" t="str">
        <f>wstęp!K78</f>
        <v>ukryj</v>
      </c>
      <c r="M78" s="1042"/>
      <c r="N78" s="1042"/>
      <c r="O78" s="1042"/>
      <c r="P78" s="1042"/>
      <c r="Q78" s="1042"/>
      <c r="R78" s="1042"/>
      <c r="S78" s="1042"/>
      <c r="T78" s="1042"/>
    </row>
    <row r="79" spans="1:20" ht="15.75" customHeight="1" x14ac:dyDescent="0.25">
      <c r="A79" s="299"/>
      <c r="B79" s="284"/>
      <c r="C79" s="1083"/>
      <c r="D79" s="295" t="str">
        <f>"The transaction was accounted "&amp;IFERROR(IF(SEARCH("purchase",Input!$D$27),"for using the purchase method of accounting")," by the use of the pooling of interest method. ")</f>
        <v xml:space="preserve">The transaction was accounted  by the use of the pooling of interest method. </v>
      </c>
      <c r="E79" s="295"/>
      <c r="F79" s="295"/>
      <c r="G79" s="295"/>
      <c r="H79" s="1278"/>
      <c r="I79" s="1278"/>
      <c r="J79" s="1278"/>
      <c r="K79" s="964" t="str">
        <f>wstęp!K79</f>
        <v>ukryj</v>
      </c>
      <c r="M79" s="1042"/>
      <c r="N79" s="1042"/>
      <c r="O79" s="1042"/>
      <c r="P79" s="1042"/>
      <c r="Q79" s="1042"/>
      <c r="R79" s="1042"/>
      <c r="S79" s="1042"/>
      <c r="T79" s="1042"/>
    </row>
    <row r="80" spans="1:20" ht="15.75" customHeight="1" x14ac:dyDescent="0.25">
      <c r="A80" s="299"/>
      <c r="B80" s="284"/>
      <c r="C80" s="284"/>
      <c r="D80" s="295" t="str">
        <f>"Availalbe information can be found in the note "&amp;Noty!A1651&amp;"."</f>
        <v>Availalbe information can be found in the note 19.</v>
      </c>
      <c r="E80" s="295"/>
      <c r="F80" s="295"/>
      <c r="G80" s="295"/>
      <c r="H80" s="281"/>
      <c r="I80" s="281"/>
      <c r="J80" s="281"/>
      <c r="K80" s="964" t="str">
        <f>wstęp!K80</f>
        <v>ukryj</v>
      </c>
      <c r="M80" s="1042"/>
      <c r="N80" s="1042"/>
      <c r="O80" s="1042"/>
      <c r="P80" s="1042"/>
      <c r="Q80" s="1042"/>
      <c r="R80" s="1042"/>
      <c r="S80" s="1042"/>
      <c r="T80" s="1042"/>
    </row>
    <row r="81" spans="1:20" ht="15.75" customHeight="1" x14ac:dyDescent="0.25">
      <c r="A81" s="299"/>
      <c r="B81" s="284"/>
      <c r="C81" s="284"/>
      <c r="D81" s="319" t="s">
        <v>7756</v>
      </c>
      <c r="E81" s="295"/>
      <c r="F81" s="295"/>
      <c r="G81" s="295"/>
      <c r="H81" s="281"/>
      <c r="I81" s="281"/>
      <c r="J81" s="281"/>
      <c r="K81" s="964" t="str">
        <f>wstęp!K81</f>
        <v>ukryj</v>
      </c>
      <c r="M81" s="1042"/>
      <c r="N81" s="1042"/>
      <c r="O81" s="1042"/>
      <c r="P81" s="1042"/>
      <c r="Q81" s="1042"/>
      <c r="R81" s="1042"/>
      <c r="S81" s="1042"/>
      <c r="T81" s="1042"/>
    </row>
    <row r="82" spans="1:20" ht="15.75" customHeight="1" x14ac:dyDescent="0.25">
      <c r="A82" s="299"/>
      <c r="B82" s="284"/>
      <c r="C82" s="284"/>
      <c r="D82" s="295" t="s">
        <v>7763</v>
      </c>
      <c r="E82" s="295"/>
      <c r="F82" s="295"/>
      <c r="G82" s="295"/>
      <c r="H82" s="281"/>
      <c r="I82" s="281"/>
      <c r="J82" s="281"/>
      <c r="K82" s="964" t="str">
        <f>wstęp!K82</f>
        <v>odkryj</v>
      </c>
      <c r="L82" s="799"/>
      <c r="M82" s="961"/>
      <c r="N82" s="961"/>
      <c r="O82" s="1042"/>
      <c r="P82" s="1042"/>
      <c r="Q82" s="1042"/>
      <c r="R82" s="1042"/>
      <c r="S82" s="1042"/>
      <c r="T82" s="1042"/>
    </row>
    <row r="83" spans="1:20" ht="15.75" customHeight="1" x14ac:dyDescent="0.25">
      <c r="A83" s="283"/>
      <c r="B83" s="284"/>
      <c r="C83" s="284"/>
      <c r="D83" s="789"/>
      <c r="E83" s="789"/>
      <c r="F83" s="789"/>
      <c r="G83" s="788"/>
      <c r="H83" s="788"/>
      <c r="I83" s="788"/>
      <c r="J83" s="788"/>
      <c r="K83" s="964" t="str">
        <f>wstęp!K83</f>
        <v>odkryj</v>
      </c>
      <c r="M83" s="1042"/>
      <c r="N83" s="1042"/>
      <c r="O83" s="1042"/>
      <c r="P83" s="1042"/>
      <c r="Q83" s="1042"/>
      <c r="R83" s="1042"/>
      <c r="S83" s="1042"/>
      <c r="T83" s="1042"/>
    </row>
    <row r="84" spans="1:20" s="153" customFormat="1" ht="16.55" customHeight="1" x14ac:dyDescent="0.25">
      <c r="A84" s="1193">
        <f>wstęp!A84</f>
        <v>2</v>
      </c>
      <c r="B84" s="1185"/>
      <c r="C84" s="497"/>
      <c r="D84" s="1280" t="s">
        <v>7764</v>
      </c>
      <c r="E84" s="1280"/>
      <c r="F84" s="1280"/>
      <c r="G84" s="1280"/>
      <c r="H84" s="1280"/>
      <c r="I84" s="1280"/>
      <c r="J84" s="1280"/>
      <c r="K84" s="964" t="str">
        <f>wstęp!K84</f>
        <v>odkryj</v>
      </c>
      <c r="L84" s="799" t="s">
        <v>3459</v>
      </c>
      <c r="M84" s="1043"/>
      <c r="N84" s="1043"/>
      <c r="O84" s="1044"/>
      <c r="P84" s="1044"/>
      <c r="Q84" s="1044"/>
      <c r="R84" s="1044"/>
      <c r="S84" s="1044"/>
      <c r="T84" s="1044"/>
    </row>
    <row r="85" spans="1:20" s="153" customFormat="1" ht="15.75" customHeight="1" x14ac:dyDescent="0.25">
      <c r="A85" s="304"/>
      <c r="B85" s="307"/>
      <c r="C85" s="307"/>
      <c r="D85" s="307"/>
      <c r="E85" s="307"/>
      <c r="F85" s="307"/>
      <c r="G85" s="305"/>
      <c r="H85" s="305"/>
      <c r="I85" s="305"/>
      <c r="J85" s="305"/>
      <c r="K85" s="964" t="str">
        <f>wstęp!K85</f>
        <v>odkryj</v>
      </c>
      <c r="L85" s="799"/>
      <c r="M85" s="1043"/>
      <c r="N85" s="1043"/>
      <c r="O85" s="1044"/>
      <c r="P85" s="1044"/>
      <c r="Q85" s="1044"/>
      <c r="R85" s="1044"/>
      <c r="S85" s="1044"/>
      <c r="T85" s="1044"/>
    </row>
    <row r="86" spans="1:20" s="153" customFormat="1" ht="32.25" customHeight="1" x14ac:dyDescent="0.25">
      <c r="A86" s="304"/>
      <c r="B86" s="284"/>
      <c r="C86" s="284"/>
      <c r="D86" s="1281" t="s">
        <v>7765</v>
      </c>
      <c r="E86" s="1281"/>
      <c r="F86" s="1281"/>
      <c r="G86" s="1281"/>
      <c r="H86" s="1281"/>
      <c r="I86" s="1281"/>
      <c r="J86" s="1281"/>
      <c r="K86" s="964" t="str">
        <f>wstęp!K86</f>
        <v>odkryj</v>
      </c>
      <c r="L86" s="799"/>
      <c r="M86" s="1043"/>
      <c r="N86" s="1043"/>
      <c r="O86" s="1044"/>
      <c r="P86" s="1044"/>
      <c r="Q86" s="1044"/>
      <c r="R86" s="1044"/>
      <c r="S86" s="1044"/>
      <c r="T86" s="1044"/>
    </row>
    <row r="87" spans="1:20" s="153" customFormat="1" ht="15.75" customHeight="1" x14ac:dyDescent="0.25">
      <c r="A87" s="305"/>
      <c r="B87" s="305"/>
      <c r="C87" s="305"/>
      <c r="D87" s="307"/>
      <c r="E87" s="307"/>
      <c r="F87" s="307"/>
      <c r="G87" s="305"/>
      <c r="H87" s="797"/>
      <c r="I87" s="797"/>
      <c r="J87" s="305"/>
      <c r="K87" s="964" t="str">
        <f>wstęp!K87</f>
        <v>odkryj</v>
      </c>
      <c r="L87" s="799"/>
      <c r="M87" s="1043"/>
      <c r="N87" s="1043"/>
      <c r="O87" s="1044"/>
      <c r="P87" s="1044"/>
      <c r="Q87" s="1044"/>
      <c r="R87" s="1044"/>
      <c r="S87" s="1044"/>
      <c r="T87" s="1044"/>
    </row>
    <row r="88" spans="1:20" s="153" customFormat="1" ht="29.3" customHeight="1" x14ac:dyDescent="0.25">
      <c r="A88" s="1183">
        <f>wstęp!A88</f>
        <v>2</v>
      </c>
      <c r="B88" s="1196">
        <f>wstęp!B88</f>
        <v>1</v>
      </c>
      <c r="C88" s="1197"/>
      <c r="D88" s="1282" t="s">
        <v>7766</v>
      </c>
      <c r="E88" s="1282"/>
      <c r="F88" s="1282"/>
      <c r="G88" s="1282"/>
      <c r="H88" s="1282"/>
      <c r="I88" s="1282"/>
      <c r="J88" s="1282"/>
      <c r="K88" s="964" t="str">
        <f>wstęp!K88</f>
        <v>odkryj</v>
      </c>
      <c r="L88" s="799" t="s">
        <v>3467</v>
      </c>
      <c r="M88" s="1043"/>
      <c r="N88" s="1043"/>
      <c r="O88" s="1044"/>
      <c r="P88" s="1044"/>
      <c r="Q88" s="1044"/>
      <c r="R88" s="1044"/>
      <c r="S88" s="1044"/>
      <c r="T88" s="1044"/>
    </row>
    <row r="89" spans="1:20" s="153" customFormat="1" ht="15.75" customHeight="1" x14ac:dyDescent="0.25">
      <c r="A89" s="320"/>
      <c r="B89" s="320"/>
      <c r="C89" s="320"/>
      <c r="D89" s="321"/>
      <c r="E89" s="321"/>
      <c r="F89" s="321"/>
      <c r="G89" s="320"/>
      <c r="H89" s="797"/>
      <c r="I89" s="797"/>
      <c r="J89" s="320"/>
      <c r="K89" s="964" t="str">
        <f>wstęp!K89</f>
        <v>odkryj</v>
      </c>
      <c r="L89" s="799"/>
      <c r="M89" s="1043"/>
      <c r="N89" s="1043"/>
      <c r="O89" s="1044"/>
      <c r="P89" s="1044"/>
      <c r="Q89" s="1044"/>
      <c r="R89" s="1044"/>
      <c r="S89" s="1044"/>
      <c r="T89" s="1044"/>
    </row>
    <row r="90" spans="1:20" s="153" customFormat="1" ht="15.75" customHeight="1" x14ac:dyDescent="0.25">
      <c r="A90" s="1183">
        <f>wstęp!A90</f>
        <v>2</v>
      </c>
      <c r="B90" s="1183">
        <f>wstęp!B90</f>
        <v>1</v>
      </c>
      <c r="C90" s="1197">
        <f>wstęp!C90</f>
        <v>1</v>
      </c>
      <c r="D90" s="1235" t="s">
        <v>7767</v>
      </c>
      <c r="E90" s="1235"/>
      <c r="F90" s="1235"/>
      <c r="G90" s="1235"/>
      <c r="H90" s="1235"/>
      <c r="I90" s="1235"/>
      <c r="J90" s="1235"/>
      <c r="K90" s="964" t="str">
        <f>wstęp!K90</f>
        <v>odkryj</v>
      </c>
      <c r="L90" s="799"/>
      <c r="M90" s="1043"/>
      <c r="N90" s="1043"/>
      <c r="O90" s="1044"/>
      <c r="P90" s="1044"/>
      <c r="Q90" s="1044"/>
      <c r="R90" s="1044"/>
      <c r="S90" s="1044"/>
      <c r="T90" s="1044"/>
    </row>
    <row r="91" spans="1:20" s="153" customFormat="1" ht="15.75" customHeight="1" x14ac:dyDescent="0.25">
      <c r="A91" s="283"/>
      <c r="B91" s="284"/>
      <c r="C91" s="284"/>
      <c r="D91" s="322"/>
      <c r="E91" s="322"/>
      <c r="F91" s="322"/>
      <c r="G91" s="305"/>
      <c r="H91" s="797"/>
      <c r="I91" s="797"/>
      <c r="J91" s="305"/>
      <c r="K91" s="964" t="str">
        <f>wstęp!K91</f>
        <v>odkryj</v>
      </c>
      <c r="L91" s="799"/>
      <c r="M91" s="1043"/>
      <c r="N91" s="1043"/>
      <c r="O91" s="1044"/>
      <c r="P91" s="1044"/>
      <c r="Q91" s="1044"/>
      <c r="R91" s="1044"/>
      <c r="S91" s="1044"/>
      <c r="T91" s="1044"/>
    </row>
    <row r="92" spans="1:20" ht="53.2" customHeight="1" x14ac:dyDescent="0.25">
      <c r="A92" s="283"/>
      <c r="B92" s="284"/>
      <c r="C92" s="284"/>
      <c r="D92" s="1242" t="s">
        <v>7768</v>
      </c>
      <c r="E92" s="1242"/>
      <c r="F92" s="1242"/>
      <c r="G92" s="1242"/>
      <c r="H92" s="1242"/>
      <c r="I92" s="1242"/>
      <c r="J92" s="1242"/>
      <c r="K92" s="964" t="str">
        <f>wstęp!K92</f>
        <v>odkryj</v>
      </c>
      <c r="L92" s="799"/>
      <c r="M92" s="961"/>
      <c r="N92" s="961"/>
      <c r="O92" s="1042"/>
      <c r="P92" s="1042"/>
      <c r="Q92" s="1042"/>
      <c r="R92" s="1042"/>
      <c r="S92" s="1042"/>
      <c r="T92" s="1042"/>
    </row>
    <row r="93" spans="1:20" ht="15.75" customHeight="1" x14ac:dyDescent="0.25">
      <c r="A93" s="283"/>
      <c r="B93" s="284"/>
      <c r="C93" s="284"/>
      <c r="D93" s="322"/>
      <c r="E93" s="322"/>
      <c r="F93" s="322"/>
      <c r="G93" s="788"/>
      <c r="H93" s="788"/>
      <c r="I93" s="788"/>
      <c r="J93" s="788"/>
      <c r="K93" s="964" t="str">
        <f>wstęp!K93</f>
        <v>odkryj</v>
      </c>
      <c r="L93" s="799"/>
      <c r="M93" s="961"/>
      <c r="N93" s="961"/>
      <c r="O93" s="1042"/>
      <c r="P93" s="1042"/>
      <c r="Q93" s="1042"/>
      <c r="R93" s="1042"/>
      <c r="S93" s="1042"/>
      <c r="T93" s="1042"/>
    </row>
    <row r="94" spans="1:20" ht="36.85" customHeight="1" x14ac:dyDescent="0.25">
      <c r="A94" s="283"/>
      <c r="B94" s="284"/>
      <c r="C94" s="284"/>
      <c r="D94" s="1242" t="str">
        <f>"The accounting policies " &amp;IF(LEN(D96)&lt;&gt;448,"except for the changes described below ",IF(Noty!K$1669=""," except for the changes described in note "&amp;Noty!L$1667,"")) &amp; " have been consistently applied by the Company and are consistent with those used in the previous year. "</f>
        <v xml:space="preserve">The accounting policies  have been consistently applied by the Company and are consistent with those used in the previous year. </v>
      </c>
      <c r="E94" s="1242"/>
      <c r="F94" s="1242"/>
      <c r="G94" s="1242"/>
      <c r="H94" s="1242"/>
      <c r="I94" s="1242"/>
      <c r="J94" s="1242"/>
      <c r="K94" s="964" t="str">
        <f>wstęp!K94</f>
        <v>odkryj</v>
      </c>
      <c r="L94" s="799"/>
      <c r="M94" s="961"/>
      <c r="N94" s="961"/>
      <c r="O94" s="1042"/>
      <c r="P94" s="1042"/>
      <c r="Q94" s="1042"/>
      <c r="R94" s="1042"/>
      <c r="S94" s="1042"/>
      <c r="T94" s="1042"/>
    </row>
    <row r="95" spans="1:20" ht="15.75" customHeight="1" x14ac:dyDescent="0.25">
      <c r="A95" s="283"/>
      <c r="B95" s="284"/>
      <c r="C95" s="284"/>
      <c r="D95" s="322"/>
      <c r="E95" s="322"/>
      <c r="F95" s="322"/>
      <c r="G95" s="788"/>
      <c r="H95" s="788"/>
      <c r="I95" s="788"/>
      <c r="J95" s="788"/>
      <c r="K95" s="964" t="str">
        <f>wstęp!K95</f>
        <v>odkryj</v>
      </c>
      <c r="L95" s="282"/>
      <c r="M95" s="1052"/>
      <c r="N95" s="961"/>
      <c r="O95" s="1053"/>
      <c r="P95" s="1042"/>
      <c r="Q95" s="1042"/>
      <c r="R95" s="1042"/>
      <c r="S95" s="1042"/>
      <c r="T95" s="1042"/>
    </row>
    <row r="96" spans="1:20" ht="74.95" customHeight="1" x14ac:dyDescent="0.25">
      <c r="A96" s="283"/>
      <c r="B96" s="284"/>
      <c r="C96" s="284"/>
      <c r="D96" s="1283" t="s">
        <v>7769</v>
      </c>
      <c r="E96" s="1283"/>
      <c r="F96" s="1283"/>
      <c r="G96" s="1283"/>
      <c r="H96" s="1283"/>
      <c r="I96" s="1283"/>
      <c r="J96" s="1283"/>
      <c r="K96" s="964" t="str">
        <f>wstęp!K96</f>
        <v>odkryj</v>
      </c>
      <c r="L96" s="799"/>
      <c r="M96" s="961"/>
      <c r="N96" s="961"/>
      <c r="O96" s="1042"/>
      <c r="P96" s="1042"/>
      <c r="Q96" s="1042"/>
      <c r="R96" s="1042"/>
      <c r="S96" s="1042"/>
      <c r="T96" s="1042"/>
    </row>
    <row r="97" spans="1:20" ht="15.75" customHeight="1" x14ac:dyDescent="0.25">
      <c r="A97" s="283"/>
      <c r="B97" s="284"/>
      <c r="C97" s="284"/>
      <c r="D97" s="285"/>
      <c r="E97" s="285"/>
      <c r="F97" s="285"/>
      <c r="G97" s="285"/>
      <c r="H97" s="285"/>
      <c r="I97" s="285"/>
      <c r="J97" s="285"/>
      <c r="K97" s="964" t="str">
        <f>wstęp!K97</f>
        <v>odkryj</v>
      </c>
      <c r="L97" s="799"/>
      <c r="M97" s="961"/>
      <c r="N97" s="961"/>
      <c r="O97" s="1042"/>
      <c r="P97" s="1042"/>
      <c r="Q97" s="1042"/>
      <c r="R97" s="1042"/>
      <c r="S97" s="1042"/>
      <c r="T97" s="1042"/>
    </row>
    <row r="98" spans="1:20" ht="15.75" customHeight="1" x14ac:dyDescent="0.25">
      <c r="A98" s="1183">
        <f>wstęp!A98</f>
        <v>2</v>
      </c>
      <c r="B98" s="1196">
        <f>wstęp!B98</f>
        <v>2</v>
      </c>
      <c r="C98" s="1197"/>
      <c r="D98" s="1235" t="s">
        <v>7770</v>
      </c>
      <c r="E98" s="1235"/>
      <c r="F98" s="1235"/>
      <c r="G98" s="1235"/>
      <c r="H98" s="1235"/>
      <c r="I98" s="1235"/>
      <c r="J98" s="1235"/>
      <c r="K98" s="964" t="str">
        <f>wstęp!K98</f>
        <v>odkryj</v>
      </c>
      <c r="L98" s="799" t="s">
        <v>3461</v>
      </c>
      <c r="M98" s="961"/>
      <c r="N98" s="961"/>
      <c r="O98" s="1042"/>
      <c r="P98" s="1042"/>
      <c r="Q98" s="1042"/>
      <c r="R98" s="1042"/>
      <c r="S98" s="1042"/>
      <c r="T98" s="1042"/>
    </row>
    <row r="99" spans="1:20" ht="15.75" customHeight="1" x14ac:dyDescent="0.25">
      <c r="A99" s="323"/>
      <c r="B99" s="324"/>
      <c r="C99" s="324"/>
      <c r="D99" s="325"/>
      <c r="E99" s="325"/>
      <c r="F99" s="325"/>
      <c r="G99" s="325"/>
      <c r="H99" s="325"/>
      <c r="I99" s="325"/>
      <c r="J99" s="325"/>
      <c r="K99" s="964" t="str">
        <f>wstęp!K99</f>
        <v>odkryj</v>
      </c>
      <c r="L99" s="799"/>
      <c r="M99" s="961"/>
      <c r="N99" s="961"/>
      <c r="O99" s="1042"/>
      <c r="P99" s="1042"/>
      <c r="Q99" s="1042"/>
      <c r="R99" s="1042"/>
      <c r="S99" s="1042"/>
      <c r="T99" s="1042"/>
    </row>
    <row r="100" spans="1:20" x14ac:dyDescent="0.25">
      <c r="A100" s="1183">
        <f>wstęp!A100</f>
        <v>2</v>
      </c>
      <c r="B100" s="1183">
        <f>wstęp!B100</f>
        <v>2</v>
      </c>
      <c r="C100" s="1197">
        <f>wstęp!C100</f>
        <v>1</v>
      </c>
      <c r="D100" s="1235" t="s">
        <v>7771</v>
      </c>
      <c r="E100" s="1235"/>
      <c r="F100" s="1235"/>
      <c r="G100" s="1235"/>
      <c r="H100" s="1235"/>
      <c r="I100" s="1235"/>
      <c r="J100" s="1235"/>
      <c r="K100" s="964" t="str">
        <f>wstęp!K100</f>
        <v>odkryj</v>
      </c>
      <c r="L100" s="799"/>
      <c r="M100" s="961"/>
      <c r="N100" s="961"/>
      <c r="O100" s="1042"/>
      <c r="P100" s="1042"/>
      <c r="Q100" s="1042"/>
      <c r="R100" s="1042"/>
      <c r="S100" s="1042"/>
      <c r="T100" s="1042"/>
    </row>
    <row r="101" spans="1:20" ht="15.75" customHeight="1" x14ac:dyDescent="0.25">
      <c r="A101" s="323"/>
      <c r="B101" s="324"/>
      <c r="C101" s="324"/>
      <c r="D101" s="326"/>
      <c r="E101" s="326"/>
      <c r="F101" s="326"/>
      <c r="G101" s="955"/>
      <c r="H101" s="955"/>
      <c r="I101" s="955"/>
      <c r="J101" s="955"/>
      <c r="K101" s="964" t="str">
        <f>wstęp!K101</f>
        <v>odkryj</v>
      </c>
      <c r="L101" s="799"/>
      <c r="M101" s="961"/>
      <c r="N101" s="961"/>
      <c r="O101" s="1042"/>
      <c r="P101" s="1042"/>
      <c r="Q101" s="1042"/>
      <c r="R101" s="1042"/>
      <c r="S101" s="1042"/>
      <c r="T101" s="1042"/>
    </row>
    <row r="102" spans="1:20" ht="51.05" customHeight="1" x14ac:dyDescent="0.25">
      <c r="A102" s="283"/>
      <c r="B102" s="284"/>
      <c r="C102" s="284"/>
      <c r="D102" s="1242" t="s">
        <v>7772</v>
      </c>
      <c r="E102" s="1242"/>
      <c r="F102" s="1242"/>
      <c r="G102" s="1242"/>
      <c r="H102" s="1242"/>
      <c r="I102" s="1242"/>
      <c r="J102" s="1242"/>
      <c r="K102" s="964" t="str">
        <f>wstęp!K102</f>
        <v>odkryj</v>
      </c>
      <c r="L102" s="799"/>
      <c r="M102" s="961"/>
      <c r="N102" s="961"/>
      <c r="O102" s="1042"/>
      <c r="P102" s="1042"/>
      <c r="Q102" s="1042"/>
      <c r="R102" s="1042"/>
      <c r="S102" s="1042"/>
      <c r="T102" s="1042"/>
    </row>
    <row r="103" spans="1:20" ht="49.6" customHeight="1" x14ac:dyDescent="0.25">
      <c r="A103" s="283"/>
      <c r="B103" s="284"/>
      <c r="C103" s="284"/>
      <c r="D103" s="1242" t="s">
        <v>7773</v>
      </c>
      <c r="E103" s="1242"/>
      <c r="F103" s="1242"/>
      <c r="G103" s="1242"/>
      <c r="H103" s="1242"/>
      <c r="I103" s="1242"/>
      <c r="J103" s="1242"/>
      <c r="K103" s="964" t="str">
        <f>wstęp!K103</f>
        <v>odkryj</v>
      </c>
      <c r="L103" s="799"/>
      <c r="M103" s="961"/>
      <c r="N103" s="961"/>
      <c r="O103" s="1042"/>
      <c r="P103" s="1042"/>
      <c r="Q103" s="1042"/>
      <c r="R103" s="1042"/>
      <c r="S103" s="1042"/>
      <c r="T103" s="1042"/>
    </row>
    <row r="104" spans="1:20" ht="15.75" customHeight="1" x14ac:dyDescent="0.25">
      <c r="A104" s="283"/>
      <c r="B104" s="284"/>
      <c r="C104" s="284"/>
      <c r="D104" s="322"/>
      <c r="E104" s="322"/>
      <c r="F104" s="322"/>
      <c r="G104" s="788"/>
      <c r="H104" s="788"/>
      <c r="I104" s="788"/>
      <c r="J104" s="788"/>
      <c r="K104" s="964" t="str">
        <f>wstęp!K104</f>
        <v>odkryj</v>
      </c>
      <c r="L104" s="799"/>
      <c r="M104" s="961"/>
      <c r="N104" s="961"/>
      <c r="O104" s="1042"/>
      <c r="P104" s="1042"/>
      <c r="Q104" s="1042"/>
      <c r="R104" s="1042"/>
      <c r="S104" s="1042"/>
      <c r="T104" s="1042"/>
    </row>
    <row r="105" spans="1:20" ht="15.05" x14ac:dyDescent="0.3">
      <c r="A105" s="283"/>
      <c r="B105" s="284"/>
      <c r="C105" s="284"/>
      <c r="D105" s="1269" t="s">
        <v>7774</v>
      </c>
      <c r="E105" s="1269"/>
      <c r="F105" s="1269"/>
      <c r="G105" s="1269"/>
      <c r="H105" s="778" t="s">
        <v>7555</v>
      </c>
      <c r="I105"/>
      <c r="J105" s="788"/>
      <c r="K105" s="964" t="str">
        <f>wstęp!K105</f>
        <v>odkryj</v>
      </c>
      <c r="L105" s="799"/>
      <c r="M105" s="961"/>
      <c r="N105" s="961"/>
      <c r="O105" s="1042"/>
      <c r="P105" s="1042"/>
      <c r="Q105" s="1042"/>
      <c r="R105" s="1042"/>
      <c r="S105" s="1042"/>
      <c r="T105" s="1042"/>
    </row>
    <row r="106" spans="1:20" ht="15.05" x14ac:dyDescent="0.3">
      <c r="A106" s="283"/>
      <c r="B106" s="284"/>
      <c r="C106" s="284"/>
      <c r="D106" s="1269" t="s">
        <v>7775</v>
      </c>
      <c r="E106" s="1269"/>
      <c r="F106" s="1269"/>
      <c r="G106" s="1269"/>
      <c r="H106" s="778" t="s">
        <v>7555</v>
      </c>
      <c r="I106"/>
      <c r="J106" s="788"/>
      <c r="K106" s="964" t="str">
        <f>wstęp!K106</f>
        <v>odkryj</v>
      </c>
      <c r="L106" s="799"/>
      <c r="M106" s="961"/>
      <c r="N106" s="961"/>
      <c r="O106" s="1042"/>
      <c r="P106" s="1042"/>
      <c r="Q106" s="1042"/>
      <c r="R106" s="1042"/>
      <c r="S106" s="1042"/>
      <c r="T106" s="1042"/>
    </row>
    <row r="107" spans="1:20" ht="15.05" x14ac:dyDescent="0.3">
      <c r="A107" s="283"/>
      <c r="B107" s="284"/>
      <c r="C107" s="284"/>
      <c r="D107" s="1269" t="s">
        <v>7776</v>
      </c>
      <c r="E107" s="1269"/>
      <c r="F107" s="1269"/>
      <c r="G107" s="1269"/>
      <c r="H107" s="778" t="s">
        <v>7555</v>
      </c>
      <c r="I107"/>
      <c r="J107" s="788"/>
      <c r="K107" s="964" t="str">
        <f>wstęp!K107</f>
        <v>odkryj</v>
      </c>
      <c r="L107" s="799"/>
      <c r="M107" s="961"/>
      <c r="N107" s="961"/>
      <c r="O107" s="1042"/>
      <c r="P107" s="1042"/>
      <c r="Q107" s="1042"/>
      <c r="R107" s="1042"/>
      <c r="S107" s="1042"/>
      <c r="T107" s="1042"/>
    </row>
    <row r="108" spans="1:20" ht="15.05" x14ac:dyDescent="0.3">
      <c r="A108" s="283"/>
      <c r="B108" s="284"/>
      <c r="C108" s="284"/>
      <c r="D108" s="1279" t="s">
        <v>7777</v>
      </c>
      <c r="E108" s="1279"/>
      <c r="F108" s="1279"/>
      <c r="G108" s="1279"/>
      <c r="H108" s="778" t="s">
        <v>7555</v>
      </c>
      <c r="I108"/>
      <c r="J108" s="788"/>
      <c r="K108" s="964" t="str">
        <f>wstęp!K108</f>
        <v>odkryj</v>
      </c>
      <c r="L108" s="799"/>
      <c r="M108" s="961"/>
      <c r="N108" s="961"/>
      <c r="O108" s="1042"/>
      <c r="P108" s="1042"/>
      <c r="Q108" s="1042"/>
      <c r="R108" s="1042"/>
      <c r="S108" s="1042"/>
      <c r="T108" s="1042"/>
    </row>
    <row r="109" spans="1:20" ht="15.75" customHeight="1" x14ac:dyDescent="0.25">
      <c r="A109" s="283"/>
      <c r="B109" s="284"/>
      <c r="C109" s="284"/>
      <c r="D109" s="789"/>
      <c r="E109" s="789"/>
      <c r="F109" s="789"/>
      <c r="G109" s="788"/>
      <c r="H109" s="788"/>
      <c r="I109" s="788"/>
      <c r="J109" s="788"/>
      <c r="K109" s="964" t="str">
        <f>wstęp!K109</f>
        <v>odkryj</v>
      </c>
      <c r="L109" s="799"/>
      <c r="M109" s="961"/>
      <c r="N109" s="961"/>
      <c r="O109" s="1042"/>
      <c r="P109" s="1042"/>
      <c r="Q109" s="1042"/>
      <c r="R109" s="1042"/>
      <c r="S109" s="1042"/>
      <c r="T109" s="1042"/>
    </row>
    <row r="110" spans="1:20" ht="33.75" customHeight="1" x14ac:dyDescent="0.25">
      <c r="A110" s="283"/>
      <c r="B110" s="284"/>
      <c r="C110" s="284"/>
      <c r="D110" s="1249" t="s">
        <v>7778</v>
      </c>
      <c r="E110" s="1262"/>
      <c r="F110" s="1262"/>
      <c r="G110" s="1262"/>
      <c r="H110" s="1262"/>
      <c r="I110" s="1262"/>
      <c r="J110" s="1262"/>
      <c r="K110" s="964" t="str">
        <f>wstęp!K110</f>
        <v>odkryj</v>
      </c>
      <c r="L110" s="799"/>
      <c r="M110" s="961"/>
      <c r="N110" s="961"/>
      <c r="O110" s="1042"/>
      <c r="P110" s="1042"/>
      <c r="Q110" s="1042"/>
      <c r="R110" s="1042"/>
      <c r="S110" s="1042"/>
      <c r="T110" s="1042"/>
    </row>
    <row r="111" spans="1:20" ht="15.75" customHeight="1" x14ac:dyDescent="0.25">
      <c r="A111" s="283"/>
      <c r="B111" s="284"/>
      <c r="C111" s="284"/>
      <c r="D111" s="327"/>
      <c r="E111" s="314"/>
      <c r="F111" s="314"/>
      <c r="G111" s="314"/>
      <c r="H111" s="314"/>
      <c r="I111" s="314"/>
      <c r="J111" s="314"/>
      <c r="K111" s="964" t="str">
        <f>wstęp!K111</f>
        <v>odkryj</v>
      </c>
      <c r="L111" s="799"/>
      <c r="M111" s="961"/>
      <c r="N111" s="961"/>
      <c r="O111" s="1042"/>
      <c r="P111" s="1042"/>
      <c r="Q111" s="1042"/>
      <c r="R111" s="1042"/>
      <c r="S111" s="1042"/>
      <c r="T111" s="1042"/>
    </row>
    <row r="112" spans="1:20" ht="45.85" customHeight="1" x14ac:dyDescent="0.25">
      <c r="A112" s="328"/>
      <c r="B112" s="329"/>
      <c r="C112" s="329"/>
      <c r="D112" s="1275" t="s">
        <v>7779</v>
      </c>
      <c r="E112" s="1275"/>
      <c r="F112" s="1275"/>
      <c r="G112" s="1275"/>
      <c r="H112" s="1275"/>
      <c r="I112" s="1275"/>
      <c r="J112" s="1275"/>
      <c r="K112" s="964" t="str">
        <f>wstęp!K112</f>
        <v>odkryj</v>
      </c>
      <c r="L112" s="799"/>
      <c r="M112" s="961"/>
      <c r="N112" s="961"/>
      <c r="O112" s="1042"/>
      <c r="P112" s="1042"/>
      <c r="Q112" s="1042"/>
      <c r="R112" s="1042"/>
      <c r="S112" s="1042"/>
      <c r="T112" s="1042"/>
    </row>
    <row r="113" spans="1:20" ht="27.85" customHeight="1" x14ac:dyDescent="0.25">
      <c r="A113" s="328"/>
      <c r="B113" s="329"/>
      <c r="C113" s="329"/>
      <c r="D113" s="331" t="s">
        <v>7525</v>
      </c>
      <c r="E113" s="1275" t="s">
        <v>7780</v>
      </c>
      <c r="F113" s="1275"/>
      <c r="G113" s="1275"/>
      <c r="H113" s="1275"/>
      <c r="I113" s="1275"/>
      <c r="J113" s="1275"/>
      <c r="K113" s="964" t="str">
        <f>wstęp!K113</f>
        <v>odkryj</v>
      </c>
      <c r="L113" s="799"/>
      <c r="M113" s="961"/>
      <c r="N113" s="961"/>
      <c r="O113" s="1042"/>
      <c r="P113" s="1042"/>
      <c r="Q113" s="1042"/>
      <c r="R113" s="1042"/>
      <c r="S113" s="1042"/>
      <c r="T113" s="1042"/>
    </row>
    <row r="114" spans="1:20" ht="26.2" customHeight="1" x14ac:dyDescent="0.25">
      <c r="A114" s="328"/>
      <c r="B114" s="329"/>
      <c r="C114" s="329"/>
      <c r="D114" s="331" t="s">
        <v>7525</v>
      </c>
      <c r="E114" s="1275" t="s">
        <v>7781</v>
      </c>
      <c r="F114" s="1275"/>
      <c r="G114" s="1275"/>
      <c r="H114" s="1275"/>
      <c r="I114" s="1275"/>
      <c r="J114" s="1275"/>
      <c r="K114" s="964" t="str">
        <f>wstęp!K114</f>
        <v>odkryj</v>
      </c>
      <c r="L114" s="799"/>
      <c r="M114" s="961"/>
      <c r="N114" s="961"/>
      <c r="O114" s="1042"/>
      <c r="P114" s="1042"/>
      <c r="Q114" s="1042"/>
      <c r="R114" s="1042"/>
      <c r="S114" s="1042"/>
      <c r="T114" s="1042"/>
    </row>
    <row r="115" spans="1:20" ht="13.6" customHeight="1" x14ac:dyDescent="0.25">
      <c r="A115" s="328"/>
      <c r="B115" s="329"/>
      <c r="C115" s="329"/>
      <c r="D115" s="331" t="s">
        <v>7525</v>
      </c>
      <c r="E115" s="1275" t="s">
        <v>7782</v>
      </c>
      <c r="F115" s="1275"/>
      <c r="G115" s="1275"/>
      <c r="H115" s="1275"/>
      <c r="I115" s="1275"/>
      <c r="J115" s="1275"/>
      <c r="K115" s="964" t="str">
        <f>wstęp!K115</f>
        <v>odkryj</v>
      </c>
      <c r="L115" s="799"/>
      <c r="M115" s="961"/>
      <c r="N115" s="961"/>
      <c r="O115" s="1042"/>
      <c r="P115" s="1042"/>
      <c r="Q115" s="1042"/>
      <c r="R115" s="1042"/>
      <c r="S115" s="1042"/>
      <c r="T115" s="1042"/>
    </row>
    <row r="116" spans="1:20" ht="15.75" customHeight="1" x14ac:dyDescent="0.25">
      <c r="A116" s="283"/>
      <c r="B116" s="284"/>
      <c r="C116" s="284"/>
      <c r="D116" s="313"/>
      <c r="E116" s="314"/>
      <c r="F116" s="314"/>
      <c r="G116" s="314"/>
      <c r="H116" s="314"/>
      <c r="I116" s="314"/>
      <c r="J116" s="314"/>
      <c r="K116" s="964" t="str">
        <f>wstęp!K116</f>
        <v>odkryj</v>
      </c>
      <c r="L116" s="799"/>
      <c r="M116" s="961"/>
      <c r="N116" s="961"/>
      <c r="O116" s="1042"/>
      <c r="P116" s="1042"/>
      <c r="Q116" s="1042"/>
      <c r="R116" s="1042"/>
      <c r="S116" s="1042"/>
      <c r="T116" s="1042"/>
    </row>
    <row r="117" spans="1:20" x14ac:dyDescent="0.25">
      <c r="A117" s="1183">
        <f>wstęp!A117</f>
        <v>2</v>
      </c>
      <c r="B117" s="1183">
        <f>wstęp!B117</f>
        <v>2</v>
      </c>
      <c r="C117" s="1197">
        <f>wstęp!C117</f>
        <v>2</v>
      </c>
      <c r="D117" s="1235" t="s">
        <v>7783</v>
      </c>
      <c r="E117" s="1235"/>
      <c r="F117" s="1235"/>
      <c r="G117" s="1235"/>
      <c r="H117" s="1235"/>
      <c r="I117" s="1235"/>
      <c r="J117" s="1235"/>
      <c r="K117" s="964" t="str">
        <f>wstęp!K117</f>
        <v>odkryj</v>
      </c>
      <c r="L117" s="799"/>
      <c r="M117" s="961"/>
      <c r="N117" s="961"/>
      <c r="O117" s="1042"/>
      <c r="P117" s="1042"/>
      <c r="Q117" s="1042"/>
      <c r="R117" s="1042"/>
      <c r="S117" s="1042"/>
      <c r="T117" s="1042"/>
    </row>
    <row r="118" spans="1:20" ht="15.75" customHeight="1" x14ac:dyDescent="0.25">
      <c r="A118" s="789"/>
      <c r="B118" s="788"/>
      <c r="C118" s="788"/>
      <c r="D118" s="788"/>
      <c r="E118" s="788"/>
      <c r="F118" s="788"/>
      <c r="G118" s="301"/>
      <c r="H118" s="788"/>
      <c r="I118" s="788"/>
      <c r="J118" s="788"/>
      <c r="K118" s="964" t="str">
        <f>wstęp!K118</f>
        <v>odkryj</v>
      </c>
      <c r="L118" s="799"/>
      <c r="M118" s="961"/>
      <c r="N118" s="961"/>
      <c r="O118" s="1042"/>
      <c r="P118" s="1042"/>
      <c r="Q118" s="1042"/>
      <c r="R118" s="1042"/>
      <c r="S118" s="1042"/>
      <c r="T118" s="1042"/>
    </row>
    <row r="119" spans="1:20" ht="33.75" customHeight="1" x14ac:dyDescent="0.25">
      <c r="A119" s="789"/>
      <c r="B119" s="788"/>
      <c r="C119" s="788"/>
      <c r="D119" s="1251" t="s">
        <v>7784</v>
      </c>
      <c r="E119" s="1251"/>
      <c r="F119" s="1251"/>
      <c r="G119" s="1251"/>
      <c r="H119" s="1251"/>
      <c r="I119" s="1251"/>
      <c r="J119" s="1251"/>
      <c r="K119" s="964" t="str">
        <f>wstęp!K119</f>
        <v>odkryj</v>
      </c>
      <c r="L119" s="799"/>
      <c r="M119" s="961"/>
      <c r="N119" s="961"/>
      <c r="O119" s="1042"/>
      <c r="P119" s="1042"/>
      <c r="Q119" s="1042"/>
      <c r="R119" s="1042"/>
      <c r="S119" s="1042"/>
      <c r="T119" s="1042"/>
    </row>
    <row r="120" spans="1:20" ht="37.5" customHeight="1" x14ac:dyDescent="0.25">
      <c r="A120" s="789"/>
      <c r="B120" s="788"/>
      <c r="C120" s="788"/>
      <c r="D120" s="1249" t="s">
        <v>7785</v>
      </c>
      <c r="E120" s="1262"/>
      <c r="F120" s="1262"/>
      <c r="G120" s="1262"/>
      <c r="H120" s="1262"/>
      <c r="I120" s="1262"/>
      <c r="J120" s="1262"/>
      <c r="K120" s="964" t="str">
        <f>wstęp!K120</f>
        <v>odkryj</v>
      </c>
      <c r="L120" s="799"/>
      <c r="M120" s="961"/>
      <c r="N120" s="961"/>
      <c r="O120" s="1042"/>
      <c r="P120" s="1042"/>
      <c r="Q120" s="1042"/>
      <c r="R120" s="1042"/>
      <c r="S120" s="1042"/>
      <c r="T120" s="1042"/>
    </row>
    <row r="121" spans="1:20" ht="47.95" customHeight="1" x14ac:dyDescent="0.25">
      <c r="A121" s="789"/>
      <c r="B121" s="788"/>
      <c r="C121" s="788"/>
      <c r="D121" s="1251" t="s">
        <v>7786</v>
      </c>
      <c r="E121" s="1251"/>
      <c r="F121" s="1251"/>
      <c r="G121" s="1251"/>
      <c r="H121" s="1251"/>
      <c r="I121" s="1251"/>
      <c r="J121" s="1251"/>
      <c r="K121" s="964" t="str">
        <f>wstęp!K121</f>
        <v>odkryj</v>
      </c>
      <c r="L121" s="799"/>
      <c r="M121" s="961"/>
      <c r="N121" s="961"/>
      <c r="O121" s="1042"/>
      <c r="P121" s="1042"/>
      <c r="Q121" s="1042"/>
      <c r="R121" s="1042"/>
      <c r="S121" s="1042"/>
      <c r="T121" s="1042"/>
    </row>
    <row r="122" spans="1:20" ht="12.8" customHeight="1" x14ac:dyDescent="0.25">
      <c r="A122" s="789"/>
      <c r="B122" s="788"/>
      <c r="C122" s="788"/>
      <c r="D122" s="788"/>
      <c r="E122" s="788"/>
      <c r="F122" s="788"/>
      <c r="G122" s="301"/>
      <c r="H122" s="788"/>
      <c r="I122" s="788"/>
      <c r="J122" s="788"/>
      <c r="K122" s="964" t="str">
        <f>wstęp!K122</f>
        <v>odkryj</v>
      </c>
      <c r="L122" s="799"/>
      <c r="M122" s="961"/>
      <c r="N122" s="961"/>
      <c r="O122" s="1042"/>
      <c r="P122" s="1042"/>
      <c r="Q122" s="1042"/>
      <c r="R122" s="1042"/>
      <c r="S122" s="1042"/>
      <c r="T122" s="1042"/>
    </row>
    <row r="123" spans="1:20" x14ac:dyDescent="0.25">
      <c r="A123" s="789"/>
      <c r="B123" s="788"/>
      <c r="C123" s="788"/>
      <c r="D123" s="788" t="s">
        <v>7525</v>
      </c>
      <c r="E123" s="1276" t="s">
        <v>7787</v>
      </c>
      <c r="F123" s="1276"/>
      <c r="G123" s="1276"/>
      <c r="H123" s="1276"/>
      <c r="I123" s="1276"/>
      <c r="J123" s="1276"/>
      <c r="K123" s="964" t="str">
        <f>wstęp!K123</f>
        <v>odkryj</v>
      </c>
      <c r="L123" s="799"/>
      <c r="M123" s="961"/>
      <c r="N123" s="961"/>
      <c r="O123" s="1042"/>
      <c r="P123" s="1042"/>
      <c r="Q123" s="1042"/>
      <c r="R123" s="1042"/>
      <c r="S123" s="1042"/>
      <c r="T123" s="1042"/>
    </row>
    <row r="124" spans="1:20" ht="18.850000000000001" customHeight="1" x14ac:dyDescent="0.25">
      <c r="A124" s="789"/>
      <c r="B124" s="788"/>
      <c r="C124" s="788"/>
      <c r="D124" s="788" t="s">
        <v>7525</v>
      </c>
      <c r="E124" s="1251" t="s">
        <v>7788</v>
      </c>
      <c r="F124" s="1251"/>
      <c r="G124" s="1251"/>
      <c r="H124" s="1251"/>
      <c r="I124" s="1251"/>
      <c r="J124" s="1251"/>
      <c r="K124" s="964" t="str">
        <f>wstęp!K124</f>
        <v>odkryj</v>
      </c>
      <c r="L124" s="799"/>
      <c r="M124" s="961"/>
      <c r="N124" s="961"/>
      <c r="O124" s="1042"/>
      <c r="P124" s="1042"/>
      <c r="Q124" s="1042"/>
      <c r="R124" s="1042"/>
      <c r="S124" s="1042"/>
      <c r="T124" s="1042"/>
    </row>
    <row r="125" spans="1:20" ht="15.75" customHeight="1" x14ac:dyDescent="0.25">
      <c r="A125" s="789"/>
      <c r="B125" s="788"/>
      <c r="C125" s="788"/>
      <c r="D125" s="788"/>
      <c r="E125" s="788"/>
      <c r="F125" s="788"/>
      <c r="G125" s="301"/>
      <c r="H125" s="788"/>
      <c r="I125" s="788"/>
      <c r="J125" s="788"/>
      <c r="K125" s="964" t="str">
        <f>wstęp!K125</f>
        <v>odkryj</v>
      </c>
      <c r="L125" s="799"/>
      <c r="M125" s="961"/>
      <c r="N125" s="961"/>
      <c r="O125" s="1042"/>
      <c r="P125" s="1042"/>
      <c r="Q125" s="1042"/>
      <c r="R125" s="1042"/>
      <c r="S125" s="1042"/>
      <c r="T125" s="1042"/>
    </row>
    <row r="126" spans="1:20" ht="50.25" customHeight="1" x14ac:dyDescent="0.25">
      <c r="A126" s="789"/>
      <c r="B126" s="788"/>
      <c r="C126" s="788"/>
      <c r="D126" s="1251" t="s">
        <v>7789</v>
      </c>
      <c r="E126" s="1251"/>
      <c r="F126" s="1251"/>
      <c r="G126" s="1251"/>
      <c r="H126" s="1251"/>
      <c r="I126" s="1251"/>
      <c r="J126" s="1251"/>
      <c r="K126" s="964" t="str">
        <f>wstęp!K126</f>
        <v>odkryj</v>
      </c>
      <c r="L126" s="799"/>
      <c r="M126" s="961"/>
      <c r="N126" s="961"/>
      <c r="O126" s="1042"/>
      <c r="P126" s="1042"/>
      <c r="Q126" s="1042"/>
      <c r="R126" s="1042"/>
      <c r="S126" s="1042"/>
      <c r="T126" s="1042"/>
    </row>
    <row r="127" spans="1:20" ht="15.75" customHeight="1" x14ac:dyDescent="0.25">
      <c r="A127" s="789"/>
      <c r="B127" s="788"/>
      <c r="C127" s="788"/>
      <c r="D127" s="788"/>
      <c r="E127" s="788"/>
      <c r="F127" s="788"/>
      <c r="G127" s="301"/>
      <c r="H127" s="788"/>
      <c r="I127" s="788"/>
      <c r="J127" s="788"/>
      <c r="K127" s="964" t="str">
        <f>wstęp!K127</f>
        <v>odkryj</v>
      </c>
      <c r="L127" s="799"/>
      <c r="M127" s="961"/>
      <c r="N127" s="961"/>
      <c r="O127" s="1042"/>
      <c r="P127" s="1042"/>
      <c r="Q127" s="1042"/>
      <c r="R127" s="1042"/>
      <c r="S127" s="1042"/>
      <c r="T127" s="1042"/>
    </row>
    <row r="128" spans="1:20" ht="81.849999999999994" customHeight="1" x14ac:dyDescent="0.25">
      <c r="A128" s="789"/>
      <c r="B128" s="788"/>
      <c r="C128" s="788"/>
      <c r="D128" s="1251" t="s">
        <v>7790</v>
      </c>
      <c r="E128" s="1251"/>
      <c r="F128" s="1251"/>
      <c r="G128" s="1251"/>
      <c r="H128" s="1251"/>
      <c r="I128" s="1251"/>
      <c r="J128" s="1251"/>
      <c r="K128" s="964" t="str">
        <f>wstęp!K128</f>
        <v>odkryj</v>
      </c>
      <c r="L128" s="799"/>
      <c r="M128" s="961"/>
      <c r="N128" s="961"/>
      <c r="O128" s="1042"/>
      <c r="P128" s="1042"/>
      <c r="Q128" s="1042"/>
      <c r="R128" s="1042"/>
      <c r="S128" s="1042"/>
      <c r="T128" s="1042"/>
    </row>
    <row r="129" spans="1:20" ht="15.75" customHeight="1" x14ac:dyDescent="0.25">
      <c r="A129" s="789"/>
      <c r="B129" s="788"/>
      <c r="C129" s="788"/>
      <c r="D129" s="792"/>
      <c r="E129" s="792"/>
      <c r="F129" s="792"/>
      <c r="G129" s="792"/>
      <c r="H129" s="792"/>
      <c r="I129" s="792"/>
      <c r="J129" s="792"/>
      <c r="K129" s="964" t="str">
        <f>wstęp!K129</f>
        <v>odkryj</v>
      </c>
      <c r="L129" s="799"/>
      <c r="M129" s="961"/>
      <c r="N129" s="961"/>
      <c r="O129" s="1042"/>
      <c r="P129" s="1042"/>
      <c r="Q129" s="1042"/>
      <c r="R129" s="1042"/>
      <c r="S129" s="1042"/>
      <c r="T129" s="1042"/>
    </row>
    <row r="130" spans="1:20" ht="15.75" customHeight="1" x14ac:dyDescent="0.25">
      <c r="A130" s="789"/>
      <c r="B130" s="788"/>
      <c r="C130" s="788"/>
      <c r="D130" s="1273" t="s">
        <v>7791</v>
      </c>
      <c r="E130" s="1273"/>
      <c r="F130" s="1273"/>
      <c r="G130" s="1274"/>
      <c r="H130" s="788"/>
      <c r="I130" s="788"/>
      <c r="J130" s="788"/>
      <c r="K130" s="964" t="str">
        <f>wstęp!K130</f>
        <v>odkryj</v>
      </c>
      <c r="L130" s="799"/>
      <c r="M130" s="961"/>
      <c r="N130" s="961"/>
      <c r="O130" s="1042"/>
      <c r="P130" s="1042"/>
      <c r="Q130" s="1042"/>
      <c r="R130" s="1042"/>
      <c r="S130" s="1042"/>
      <c r="T130" s="1042"/>
    </row>
    <row r="131" spans="1:20" ht="15.75" customHeight="1" x14ac:dyDescent="0.25">
      <c r="A131" s="789"/>
      <c r="B131" s="788"/>
      <c r="C131" s="788"/>
      <c r="D131" s="788"/>
      <c r="E131" s="788"/>
      <c r="F131" s="788"/>
      <c r="G131" s="301"/>
      <c r="H131" s="788"/>
      <c r="I131" s="788"/>
      <c r="J131" s="788"/>
      <c r="K131" s="964" t="str">
        <f>wstęp!K131</f>
        <v>odkryj</v>
      </c>
      <c r="L131" s="799"/>
      <c r="M131" s="961"/>
      <c r="N131" s="961"/>
      <c r="O131" s="1042"/>
      <c r="P131" s="1042"/>
      <c r="Q131" s="1042"/>
      <c r="R131" s="1042"/>
      <c r="S131" s="1042"/>
      <c r="T131" s="1042"/>
    </row>
    <row r="132" spans="1:20" ht="15.05" x14ac:dyDescent="0.3">
      <c r="A132" s="789"/>
      <c r="B132" s="788"/>
      <c r="C132" s="788"/>
      <c r="D132" s="1269" t="s">
        <v>7792</v>
      </c>
      <c r="E132" s="1269"/>
      <c r="F132" s="1269"/>
      <c r="G132" s="1269"/>
      <c r="H132" s="779" t="s">
        <v>7574</v>
      </c>
      <c r="I132"/>
      <c r="J132" s="788"/>
      <c r="K132" s="964" t="str">
        <f>wstęp!K132</f>
        <v>odkryj</v>
      </c>
      <c r="L132" s="799"/>
      <c r="M132" s="961"/>
      <c r="N132" s="961"/>
      <c r="O132" s="1042"/>
      <c r="P132" s="1042"/>
      <c r="Q132" s="1042"/>
      <c r="R132" s="1042"/>
      <c r="S132" s="1042"/>
      <c r="T132" s="1042"/>
    </row>
    <row r="133" spans="1:20" ht="15.05" x14ac:dyDescent="0.3">
      <c r="A133" s="789"/>
      <c r="B133" s="788"/>
      <c r="C133" s="788"/>
      <c r="D133" s="1269" t="s">
        <v>7793</v>
      </c>
      <c r="E133" s="1269"/>
      <c r="F133" s="1269"/>
      <c r="G133" s="1269"/>
      <c r="H133" s="779" t="s">
        <v>7576</v>
      </c>
      <c r="I133"/>
      <c r="J133" s="788"/>
      <c r="K133" s="964" t="str">
        <f>wstęp!K133</f>
        <v>odkryj</v>
      </c>
      <c r="L133" s="799"/>
      <c r="M133" s="961"/>
      <c r="N133" s="961"/>
      <c r="O133" s="1042"/>
      <c r="P133" s="1042"/>
      <c r="Q133" s="1042"/>
      <c r="R133" s="1042"/>
      <c r="S133" s="1042"/>
      <c r="T133" s="1042"/>
    </row>
    <row r="134" spans="1:20" ht="15.05" x14ac:dyDescent="0.3">
      <c r="A134" s="789"/>
      <c r="B134" s="788"/>
      <c r="C134" s="788"/>
      <c r="D134" s="1269" t="s">
        <v>7794</v>
      </c>
      <c r="E134" s="1269"/>
      <c r="F134" s="1269"/>
      <c r="G134" s="1269"/>
      <c r="H134" s="779" t="s">
        <v>7578</v>
      </c>
      <c r="I134"/>
      <c r="J134" s="788"/>
      <c r="K134" s="964" t="str">
        <f>wstęp!K134</f>
        <v>odkryj</v>
      </c>
      <c r="L134" s="799"/>
      <c r="M134" s="961"/>
      <c r="N134" s="961"/>
      <c r="O134" s="1042"/>
      <c r="P134" s="1042"/>
      <c r="Q134" s="1042"/>
      <c r="R134" s="1042"/>
      <c r="S134" s="1042"/>
      <c r="T134" s="1042"/>
    </row>
    <row r="135" spans="1:20" ht="15.05" x14ac:dyDescent="0.3">
      <c r="A135" s="789"/>
      <c r="B135" s="788"/>
      <c r="C135" s="788"/>
      <c r="D135" s="1269" t="s">
        <v>7795</v>
      </c>
      <c r="E135" s="1269"/>
      <c r="F135" s="1269"/>
      <c r="G135" s="1269"/>
      <c r="H135" s="779" t="s">
        <v>7574</v>
      </c>
      <c r="I135"/>
      <c r="J135" s="788"/>
      <c r="K135" s="964" t="str">
        <f>wstęp!K135</f>
        <v>odkryj</v>
      </c>
      <c r="L135" s="799"/>
      <c r="M135" s="961"/>
      <c r="N135" s="961"/>
      <c r="O135" s="1042"/>
      <c r="P135" s="1042"/>
      <c r="Q135" s="1042"/>
      <c r="R135" s="1042"/>
      <c r="S135" s="1042"/>
      <c r="T135" s="1042"/>
    </row>
    <row r="136" spans="1:20" ht="15.05" x14ac:dyDescent="0.3">
      <c r="A136" s="789"/>
      <c r="B136" s="788"/>
      <c r="C136" s="788"/>
      <c r="D136" s="1270" t="s">
        <v>7796</v>
      </c>
      <c r="E136" s="1270"/>
      <c r="F136" s="1270"/>
      <c r="G136" s="1270"/>
      <c r="H136" s="779" t="s">
        <v>7574</v>
      </c>
      <c r="I136"/>
      <c r="J136" s="788"/>
      <c r="K136" s="964" t="str">
        <f>wstęp!K136</f>
        <v>odkryj</v>
      </c>
      <c r="L136" s="799"/>
      <c r="M136" s="961"/>
      <c r="N136" s="961"/>
      <c r="O136" s="1042"/>
      <c r="P136" s="1042"/>
      <c r="Q136" s="1042"/>
      <c r="R136" s="1042"/>
      <c r="S136" s="1042"/>
      <c r="T136" s="1042"/>
    </row>
    <row r="137" spans="1:20" ht="15.75" customHeight="1" x14ac:dyDescent="0.25">
      <c r="A137" s="789"/>
      <c r="B137" s="788"/>
      <c r="C137" s="788"/>
      <c r="D137" s="332"/>
      <c r="E137" s="796"/>
      <c r="F137" s="796"/>
      <c r="G137" s="301"/>
      <c r="H137" s="333"/>
      <c r="I137" s="333"/>
      <c r="J137" s="788"/>
      <c r="K137" s="964" t="str">
        <f>wstęp!K137</f>
        <v>odkryj</v>
      </c>
      <c r="L137" s="799"/>
      <c r="M137" s="961"/>
      <c r="N137" s="961"/>
      <c r="O137" s="1042"/>
      <c r="P137" s="1042"/>
      <c r="Q137" s="1042"/>
      <c r="R137" s="1042"/>
      <c r="S137" s="1042"/>
      <c r="T137" s="1042"/>
    </row>
    <row r="138" spans="1:20" ht="21.8" customHeight="1" x14ac:dyDescent="0.25">
      <c r="A138" s="789"/>
      <c r="B138" s="788"/>
      <c r="C138" s="788"/>
      <c r="D138" s="334" t="s">
        <v>7797</v>
      </c>
      <c r="E138" s="958"/>
      <c r="F138" s="958"/>
      <c r="G138" s="958"/>
      <c r="H138" s="958"/>
      <c r="I138" s="794"/>
      <c r="J138" s="959"/>
      <c r="K138" s="964" t="str">
        <f>wstęp!K138</f>
        <v>odkryj</v>
      </c>
      <c r="L138" s="791" t="s">
        <v>7798</v>
      </c>
      <c r="M138" s="961"/>
      <c r="N138" s="961"/>
      <c r="O138" s="1042"/>
      <c r="P138" s="1042"/>
      <c r="Q138" s="1042"/>
      <c r="R138" s="1042"/>
      <c r="S138" s="1042"/>
      <c r="T138" s="1042"/>
    </row>
    <row r="139" spans="1:20" ht="15.75" customHeight="1" x14ac:dyDescent="0.25">
      <c r="A139" s="789"/>
      <c r="B139" s="788"/>
      <c r="C139" s="788"/>
      <c r="D139" s="332"/>
      <c r="E139" s="796"/>
      <c r="F139" s="796"/>
      <c r="G139" s="301"/>
      <c r="H139" s="333"/>
      <c r="I139" s="333"/>
      <c r="J139" s="788"/>
      <c r="K139" s="964" t="str">
        <f>wstęp!K139</f>
        <v>odkryj</v>
      </c>
      <c r="L139" s="799"/>
      <c r="M139" s="961"/>
      <c r="N139" s="961"/>
      <c r="O139" s="1042"/>
      <c r="P139" s="1042"/>
      <c r="Q139" s="1042"/>
      <c r="R139" s="1042"/>
      <c r="S139" s="1042"/>
      <c r="T139" s="1042"/>
    </row>
    <row r="140" spans="1:20" ht="63.85" customHeight="1" x14ac:dyDescent="0.25">
      <c r="A140" s="789"/>
      <c r="B140" s="788"/>
      <c r="C140" s="788"/>
      <c r="D140" s="1271" t="s">
        <v>7799</v>
      </c>
      <c r="E140" s="1272"/>
      <c r="F140" s="1272"/>
      <c r="G140" s="1272"/>
      <c r="H140" s="1272"/>
      <c r="I140" s="1272"/>
      <c r="J140" s="1272"/>
      <c r="K140" s="964" t="str">
        <f>wstęp!K140</f>
        <v>odkryj</v>
      </c>
      <c r="L140" s="799"/>
      <c r="M140" s="961"/>
      <c r="N140" s="961"/>
      <c r="O140" s="1042"/>
      <c r="P140" s="1042"/>
      <c r="Q140" s="1042"/>
      <c r="R140" s="1042"/>
      <c r="S140" s="1042"/>
      <c r="T140" s="1042"/>
    </row>
    <row r="141" spans="1:20" ht="15.75" customHeight="1" x14ac:dyDescent="0.25">
      <c r="A141" s="789"/>
      <c r="B141" s="788"/>
      <c r="C141" s="788"/>
      <c r="D141" s="796"/>
      <c r="E141" s="796"/>
      <c r="F141" s="796"/>
      <c r="G141" s="301"/>
      <c r="H141" s="788"/>
      <c r="I141" s="788"/>
      <c r="J141" s="333"/>
      <c r="K141" s="964" t="str">
        <f>wstęp!K141</f>
        <v>odkryj</v>
      </c>
      <c r="L141" s="799"/>
      <c r="M141" s="961"/>
      <c r="N141" s="961"/>
      <c r="O141" s="1042"/>
      <c r="P141" s="1042"/>
      <c r="Q141" s="1042"/>
      <c r="R141" s="1042"/>
      <c r="S141" s="1042"/>
      <c r="T141" s="1042"/>
    </row>
    <row r="142" spans="1:20" x14ac:dyDescent="0.25">
      <c r="A142" s="1183">
        <f>wstęp!A142</f>
        <v>2</v>
      </c>
      <c r="B142" s="1183">
        <f>wstęp!B142</f>
        <v>2</v>
      </c>
      <c r="C142" s="1197">
        <f>wstęp!C142</f>
        <v>3</v>
      </c>
      <c r="D142" s="1235" t="s">
        <v>7800</v>
      </c>
      <c r="E142" s="1235"/>
      <c r="F142" s="1235"/>
      <c r="G142" s="1235"/>
      <c r="H142" s="1235"/>
      <c r="I142" s="1235"/>
      <c r="J142" s="1235"/>
      <c r="K142" s="964" t="str">
        <f>wstęp!K142</f>
        <v>odkryj</v>
      </c>
      <c r="L142" s="799"/>
      <c r="M142" s="961"/>
      <c r="N142" s="961"/>
      <c r="O142" s="1042"/>
      <c r="P142" s="1042"/>
      <c r="Q142" s="1042"/>
      <c r="R142" s="1042"/>
      <c r="S142" s="1042"/>
      <c r="T142" s="1042"/>
    </row>
    <row r="143" spans="1:20" ht="15.75" customHeight="1" x14ac:dyDescent="0.25">
      <c r="A143" s="283"/>
      <c r="B143" s="284"/>
      <c r="C143" s="284"/>
      <c r="D143" s="789"/>
      <c r="E143" s="789"/>
      <c r="F143" s="789"/>
      <c r="G143" s="301"/>
      <c r="H143" s="788"/>
      <c r="I143" s="788"/>
      <c r="J143" s="788"/>
      <c r="K143" s="964" t="str">
        <f>wstęp!K143</f>
        <v>odkryj</v>
      </c>
      <c r="L143" s="799"/>
      <c r="M143" s="961"/>
      <c r="N143" s="961"/>
      <c r="O143" s="1042"/>
      <c r="P143" s="1042"/>
      <c r="Q143" s="1042"/>
      <c r="R143" s="1042"/>
      <c r="S143" s="1042"/>
      <c r="T143" s="1042"/>
    </row>
    <row r="144" spans="1:20" ht="32.25" customHeight="1" x14ac:dyDescent="0.25">
      <c r="A144" s="789"/>
      <c r="B144" s="788"/>
      <c r="C144" s="788"/>
      <c r="D144" s="1245" t="s">
        <v>7585</v>
      </c>
      <c r="E144" s="1245"/>
      <c r="F144" s="1245"/>
      <c r="G144" s="1245"/>
      <c r="H144" s="1245"/>
      <c r="I144" s="1245"/>
      <c r="J144" s="1245"/>
      <c r="K144" s="964" t="str">
        <f>wstęp!K144</f>
        <v>odkryj</v>
      </c>
      <c r="L144" s="799"/>
      <c r="M144" s="961"/>
      <c r="N144" s="961"/>
      <c r="O144" s="1042"/>
      <c r="P144" s="1042"/>
      <c r="Q144" s="1042"/>
      <c r="R144" s="1042"/>
      <c r="S144" s="1042"/>
      <c r="T144" s="1042"/>
    </row>
    <row r="145" spans="1:20" ht="32.25" customHeight="1" x14ac:dyDescent="0.25">
      <c r="A145" s="789"/>
      <c r="B145" s="788"/>
      <c r="C145" s="788"/>
      <c r="D145" s="1245" t="s">
        <v>7801</v>
      </c>
      <c r="E145" s="1245"/>
      <c r="F145" s="1245"/>
      <c r="G145" s="1245"/>
      <c r="H145" s="1245"/>
      <c r="I145" s="1245"/>
      <c r="J145" s="1245"/>
      <c r="K145" s="964" t="str">
        <f>wstęp!K145</f>
        <v>odkryj</v>
      </c>
      <c r="L145" s="799"/>
      <c r="M145" s="961"/>
      <c r="N145" s="961"/>
      <c r="O145" s="1042"/>
      <c r="P145" s="1042"/>
      <c r="Q145" s="1042"/>
      <c r="R145" s="1042"/>
      <c r="S145" s="1042"/>
      <c r="T145" s="1042"/>
    </row>
    <row r="146" spans="1:20" ht="13.6" customHeight="1" x14ac:dyDescent="0.25">
      <c r="A146" s="789"/>
      <c r="B146" s="788"/>
      <c r="C146" s="788"/>
      <c r="D146" s="1245" t="s">
        <v>7802</v>
      </c>
      <c r="E146" s="1245"/>
      <c r="F146" s="1245"/>
      <c r="G146" s="1245"/>
      <c r="H146" s="1245"/>
      <c r="I146" s="1245"/>
      <c r="J146" s="1245"/>
      <c r="K146" s="964" t="str">
        <f>wstęp!K146</f>
        <v>odkryj</v>
      </c>
      <c r="L146" s="799"/>
      <c r="M146" s="961"/>
      <c r="N146" s="961"/>
      <c r="O146" s="1042"/>
      <c r="P146" s="1042"/>
      <c r="Q146" s="1042"/>
      <c r="R146" s="1042"/>
      <c r="S146" s="1042"/>
      <c r="T146" s="1042"/>
    </row>
    <row r="147" spans="1:20" ht="15.75" customHeight="1" x14ac:dyDescent="0.25">
      <c r="A147" s="789"/>
      <c r="B147" s="788"/>
      <c r="C147" s="788"/>
      <c r="D147" s="789"/>
      <c r="E147" s="789"/>
      <c r="F147" s="789"/>
      <c r="G147" s="301"/>
      <c r="H147" s="788"/>
      <c r="I147" s="788"/>
      <c r="J147" s="788"/>
      <c r="K147" s="964" t="str">
        <f>wstęp!K147</f>
        <v>odkryj</v>
      </c>
      <c r="L147" s="799"/>
      <c r="M147" s="961"/>
      <c r="N147" s="961"/>
      <c r="O147" s="1042"/>
      <c r="P147" s="1042"/>
      <c r="Q147" s="1042"/>
      <c r="R147" s="1042"/>
      <c r="S147" s="1042"/>
      <c r="T147" s="1042"/>
    </row>
    <row r="148" spans="1:20" ht="15.75" customHeight="1" x14ac:dyDescent="0.25">
      <c r="A148" s="1183">
        <f>wstęp!A148</f>
        <v>2</v>
      </c>
      <c r="B148" s="1183">
        <f>wstęp!B148</f>
        <v>2</v>
      </c>
      <c r="C148" s="1197">
        <f>wstęp!C148</f>
        <v>4</v>
      </c>
      <c r="D148" s="1235" t="s">
        <v>7803</v>
      </c>
      <c r="E148" s="1235"/>
      <c r="F148" s="1235"/>
      <c r="G148" s="1235"/>
      <c r="H148" s="1235"/>
      <c r="I148" s="1235"/>
      <c r="J148" s="1235"/>
      <c r="K148" s="964" t="str">
        <f>wstęp!K148</f>
        <v>odkryj</v>
      </c>
      <c r="L148" s="799"/>
      <c r="M148" s="961"/>
      <c r="N148" s="961"/>
      <c r="O148" s="1042"/>
      <c r="P148" s="1042"/>
      <c r="Q148" s="1042"/>
      <c r="R148" s="1042"/>
      <c r="S148" s="1042"/>
      <c r="T148" s="1042"/>
    </row>
    <row r="149" spans="1:20" ht="15.75" customHeight="1" x14ac:dyDescent="0.25">
      <c r="A149" s="283"/>
      <c r="B149" s="284"/>
      <c r="C149" s="284"/>
      <c r="D149" s="789"/>
      <c r="E149" s="789"/>
      <c r="F149" s="789"/>
      <c r="G149" s="301"/>
      <c r="H149" s="789"/>
      <c r="I149" s="789"/>
      <c r="J149" s="788"/>
      <c r="K149" s="964" t="str">
        <f>wstęp!K149</f>
        <v>odkryj</v>
      </c>
      <c r="L149" s="799"/>
      <c r="M149" s="961"/>
      <c r="N149" s="961"/>
      <c r="O149" s="1042"/>
      <c r="P149" s="1042"/>
      <c r="Q149" s="1042"/>
      <c r="R149" s="1042"/>
      <c r="S149" s="1042"/>
      <c r="T149" s="1042"/>
    </row>
    <row r="150" spans="1:20" ht="30.8" customHeight="1" x14ac:dyDescent="0.25">
      <c r="A150" s="283"/>
      <c r="B150" s="284"/>
      <c r="C150" s="284"/>
      <c r="D150" s="1245" t="s">
        <v>7804</v>
      </c>
      <c r="E150" s="1245"/>
      <c r="F150" s="1245"/>
      <c r="G150" s="1245"/>
      <c r="H150" s="1245"/>
      <c r="I150" s="1245"/>
      <c r="J150" s="1245"/>
      <c r="K150" s="964" t="str">
        <f>wstęp!K150</f>
        <v>odkryj</v>
      </c>
      <c r="L150" s="799"/>
      <c r="M150" s="961"/>
      <c r="N150" s="961"/>
      <c r="O150" s="1042"/>
      <c r="P150" s="1042"/>
      <c r="Q150" s="1042"/>
      <c r="R150" s="1042"/>
      <c r="S150" s="1042"/>
      <c r="T150" s="1042"/>
    </row>
    <row r="151" spans="1:20" ht="15.75" customHeight="1" x14ac:dyDescent="0.25">
      <c r="A151" s="283"/>
      <c r="B151" s="284"/>
      <c r="C151" s="284"/>
      <c r="D151" s="789"/>
      <c r="E151" s="789"/>
      <c r="F151" s="789"/>
      <c r="G151" s="301"/>
      <c r="H151" s="789"/>
      <c r="I151" s="789"/>
      <c r="J151" s="788"/>
      <c r="K151" s="964" t="str">
        <f>wstęp!K151</f>
        <v>odkryj</v>
      </c>
      <c r="L151" s="799"/>
      <c r="M151" s="961"/>
      <c r="N151" s="961"/>
      <c r="O151" s="1042"/>
      <c r="P151" s="1042"/>
      <c r="Q151" s="1042"/>
      <c r="R151" s="1042"/>
      <c r="S151" s="1042"/>
      <c r="T151" s="1042"/>
    </row>
    <row r="152" spans="1:20" ht="15.75" customHeight="1" x14ac:dyDescent="0.25">
      <c r="A152" s="283"/>
      <c r="B152" s="284"/>
      <c r="C152" s="284"/>
      <c r="D152" s="1253" t="s">
        <v>7805</v>
      </c>
      <c r="E152" s="1253"/>
      <c r="F152" s="1253"/>
      <c r="G152" s="1253"/>
      <c r="H152" s="1253"/>
      <c r="I152" s="1253"/>
      <c r="J152" s="1253"/>
      <c r="K152" s="964" t="str">
        <f>wstęp!K152</f>
        <v>odkryj</v>
      </c>
      <c r="L152" s="799"/>
      <c r="M152" s="961"/>
      <c r="N152" s="961"/>
      <c r="O152" s="1042"/>
      <c r="P152" s="1042"/>
      <c r="Q152" s="1042"/>
      <c r="R152" s="1042"/>
      <c r="S152" s="1042"/>
      <c r="T152" s="1042"/>
    </row>
    <row r="153" spans="1:20" ht="15.75" customHeight="1" x14ac:dyDescent="0.25">
      <c r="A153" s="283"/>
      <c r="B153" s="284"/>
      <c r="C153" s="284"/>
      <c r="D153" s="1265" t="s">
        <v>7806</v>
      </c>
      <c r="E153" s="1265"/>
      <c r="F153" s="1265"/>
      <c r="G153" s="1265"/>
      <c r="H153" s="1265"/>
      <c r="I153" s="1265"/>
      <c r="J153" s="1265"/>
      <c r="K153" s="964" t="str">
        <f>wstęp!K153</f>
        <v>ukryj</v>
      </c>
      <c r="M153" s="1042"/>
      <c r="N153" s="1042"/>
      <c r="O153" s="1042"/>
      <c r="P153" s="1042"/>
      <c r="Q153" s="1042"/>
      <c r="R153" s="1042"/>
      <c r="S153" s="1042"/>
      <c r="T153" s="1042"/>
    </row>
    <row r="154" spans="1:20" ht="15.75" customHeight="1" x14ac:dyDescent="0.25">
      <c r="A154" s="283"/>
      <c r="B154" s="284"/>
      <c r="C154" s="284"/>
      <c r="D154" s="789"/>
      <c r="E154" s="789"/>
      <c r="F154" s="789"/>
      <c r="G154" s="301"/>
      <c r="H154" s="789"/>
      <c r="I154" s="789"/>
      <c r="J154" s="788"/>
      <c r="K154" s="964" t="str">
        <f>wstęp!K154</f>
        <v>odkryj</v>
      </c>
      <c r="L154" s="799"/>
      <c r="M154" s="961"/>
      <c r="N154" s="961"/>
      <c r="O154" s="1042"/>
      <c r="P154" s="1042"/>
      <c r="Q154" s="1042"/>
      <c r="R154" s="1042"/>
      <c r="S154" s="1042"/>
      <c r="T154" s="1042"/>
    </row>
    <row r="155" spans="1:20" ht="13.6" customHeight="1" x14ac:dyDescent="0.25">
      <c r="A155" s="283"/>
      <c r="B155" s="284"/>
      <c r="C155" s="284"/>
      <c r="D155" s="1245" t="s">
        <v>7807</v>
      </c>
      <c r="E155" s="1245"/>
      <c r="F155" s="1245"/>
      <c r="G155" s="1245"/>
      <c r="H155" s="1245"/>
      <c r="I155" s="1245"/>
      <c r="J155" s="1245"/>
      <c r="K155" s="964" t="str">
        <f>wstęp!K155</f>
        <v>odkryj</v>
      </c>
      <c r="L155" s="799"/>
      <c r="M155" s="961"/>
      <c r="N155" s="961"/>
      <c r="O155" s="1042"/>
      <c r="P155" s="1042"/>
      <c r="Q155" s="1042"/>
      <c r="R155" s="1042"/>
      <c r="S155" s="1042"/>
      <c r="T155" s="1042"/>
    </row>
    <row r="156" spans="1:20" ht="15.75" customHeight="1" x14ac:dyDescent="0.25">
      <c r="A156" s="283"/>
      <c r="B156" s="284"/>
      <c r="C156" s="284"/>
      <c r="D156" s="292"/>
      <c r="E156" s="292"/>
      <c r="F156" s="292"/>
      <c r="G156" s="293"/>
      <c r="H156" s="292"/>
      <c r="I156" s="292"/>
      <c r="J156" s="294"/>
      <c r="K156" s="964" t="str">
        <f>wstęp!K156</f>
        <v>odkryj</v>
      </c>
      <c r="L156" s="799"/>
      <c r="M156" s="961"/>
      <c r="N156" s="961"/>
      <c r="O156" s="1042"/>
      <c r="P156" s="1042"/>
      <c r="Q156" s="1042"/>
      <c r="R156" s="1042"/>
      <c r="S156" s="1042"/>
      <c r="T156" s="1042"/>
    </row>
    <row r="157" spans="1:20" ht="47.3" customHeight="1" x14ac:dyDescent="0.25">
      <c r="A157" s="283"/>
      <c r="B157" s="284"/>
      <c r="C157" s="284"/>
      <c r="D157" s="1245" t="s">
        <v>7808</v>
      </c>
      <c r="E157" s="1245"/>
      <c r="F157" s="1245"/>
      <c r="G157" s="1245"/>
      <c r="H157" s="1245"/>
      <c r="I157" s="1245"/>
      <c r="J157" s="1245"/>
      <c r="K157" s="964" t="str">
        <f>wstęp!K157</f>
        <v>odkryj</v>
      </c>
      <c r="L157" s="799"/>
      <c r="M157" s="961"/>
      <c r="N157" s="961"/>
      <c r="O157" s="1042"/>
      <c r="P157" s="1042"/>
      <c r="Q157" s="1042"/>
      <c r="R157" s="1042"/>
      <c r="S157" s="1042"/>
      <c r="T157" s="1042"/>
    </row>
    <row r="158" spans="1:20" ht="15.75" customHeight="1" x14ac:dyDescent="0.25">
      <c r="A158" s="283"/>
      <c r="B158" s="284"/>
      <c r="C158" s="284"/>
      <c r="D158" s="292"/>
      <c r="E158" s="292"/>
      <c r="F158" s="292"/>
      <c r="G158" s="293"/>
      <c r="H158" s="292"/>
      <c r="I158" s="292"/>
      <c r="J158" s="294"/>
      <c r="K158" s="964" t="str">
        <f>wstęp!K158</f>
        <v>odkryj</v>
      </c>
      <c r="L158" s="799"/>
      <c r="M158" s="961"/>
      <c r="N158" s="961"/>
      <c r="O158" s="1042"/>
      <c r="P158" s="1042"/>
      <c r="Q158" s="1042"/>
      <c r="R158" s="1042"/>
      <c r="S158" s="1042"/>
      <c r="T158" s="1042"/>
    </row>
    <row r="159" spans="1:20" ht="15.75" customHeight="1" x14ac:dyDescent="0.25">
      <c r="A159" s="283"/>
      <c r="B159" s="284"/>
      <c r="C159" s="284"/>
      <c r="D159" s="1265" t="s">
        <v>7809</v>
      </c>
      <c r="E159" s="1265"/>
      <c r="F159" s="1265"/>
      <c r="G159" s="1265"/>
      <c r="H159" s="1265"/>
      <c r="I159" s="1265"/>
      <c r="J159" s="1265"/>
      <c r="K159" s="964" t="str">
        <f>wstęp!K159</f>
        <v>ukryj</v>
      </c>
      <c r="M159" s="1042"/>
      <c r="N159" s="1042"/>
      <c r="O159" s="1042"/>
      <c r="P159" s="1042"/>
      <c r="Q159" s="1042"/>
      <c r="R159" s="1042"/>
      <c r="S159" s="1042"/>
      <c r="T159" s="1042"/>
    </row>
    <row r="160" spans="1:20" ht="15.75" customHeight="1" x14ac:dyDescent="0.25">
      <c r="A160" s="283"/>
      <c r="B160" s="284"/>
      <c r="C160" s="284"/>
      <c r="D160" s="292"/>
      <c r="E160" s="292"/>
      <c r="F160" s="292"/>
      <c r="G160" s="293"/>
      <c r="H160" s="292"/>
      <c r="I160" s="292"/>
      <c r="J160" s="294"/>
      <c r="K160" s="964" t="str">
        <f>wstęp!K160</f>
        <v>odkryj</v>
      </c>
      <c r="L160" s="799"/>
      <c r="M160" s="961"/>
      <c r="N160" s="961"/>
      <c r="O160" s="1042"/>
      <c r="P160" s="1042"/>
      <c r="Q160" s="1042"/>
      <c r="R160" s="1042"/>
      <c r="S160" s="1042"/>
      <c r="T160" s="1042"/>
    </row>
    <row r="161" spans="1:20" ht="37.5" customHeight="1" x14ac:dyDescent="0.25">
      <c r="A161" s="789"/>
      <c r="B161" s="788"/>
      <c r="C161" s="788"/>
      <c r="D161" s="1266" t="s">
        <v>7810</v>
      </c>
      <c r="E161" s="1267"/>
      <c r="F161" s="1267"/>
      <c r="G161" s="1267"/>
      <c r="H161" s="1267"/>
      <c r="I161" s="1267"/>
      <c r="J161" s="1267"/>
      <c r="K161" s="964" t="str">
        <f>wstęp!K161</f>
        <v>odkryj</v>
      </c>
      <c r="L161" s="799"/>
      <c r="M161" s="961"/>
      <c r="N161" s="961"/>
      <c r="O161" s="1042"/>
      <c r="P161" s="1042"/>
      <c r="Q161" s="1042"/>
      <c r="R161" s="1042"/>
      <c r="S161" s="1042"/>
      <c r="T161" s="1042"/>
    </row>
    <row r="162" spans="1:20" x14ac:dyDescent="0.25">
      <c r="A162" s="789"/>
      <c r="B162" s="788"/>
      <c r="C162" s="788"/>
      <c r="D162" s="335"/>
      <c r="E162" s="336"/>
      <c r="F162" s="336"/>
      <c r="G162" s="336"/>
      <c r="H162" s="336"/>
      <c r="I162" s="336"/>
      <c r="J162" s="336"/>
      <c r="K162" s="964" t="str">
        <f>wstęp!K162</f>
        <v>odkryj</v>
      </c>
      <c r="L162" s="799"/>
      <c r="M162" s="961"/>
      <c r="N162" s="961"/>
      <c r="O162" s="1042"/>
      <c r="P162" s="1042"/>
      <c r="Q162" s="1042"/>
      <c r="R162" s="1042"/>
      <c r="S162" s="1042"/>
      <c r="T162" s="1042"/>
    </row>
    <row r="163" spans="1:20" ht="47.95" customHeight="1" x14ac:dyDescent="0.25">
      <c r="A163" s="789"/>
      <c r="B163" s="788"/>
      <c r="C163" s="788"/>
      <c r="D163" s="1264" t="s">
        <v>7811</v>
      </c>
      <c r="E163" s="1264"/>
      <c r="F163" s="1264"/>
      <c r="G163" s="1264"/>
      <c r="H163" s="1264"/>
      <c r="I163" s="1264"/>
      <c r="J163" s="1264"/>
      <c r="K163" s="964" t="str">
        <f>wstęp!K163</f>
        <v>odkryj</v>
      </c>
      <c r="L163" s="799"/>
      <c r="M163" s="961"/>
      <c r="N163" s="961"/>
      <c r="O163" s="1042"/>
      <c r="P163" s="1042"/>
      <c r="Q163" s="1042"/>
      <c r="R163" s="1042"/>
      <c r="S163" s="1042"/>
      <c r="T163" s="1042"/>
    </row>
    <row r="164" spans="1:20" ht="15.75" customHeight="1" x14ac:dyDescent="0.25">
      <c r="A164" s="789"/>
      <c r="B164" s="788"/>
      <c r="C164" s="788"/>
      <c r="D164" s="337"/>
      <c r="E164" s="337"/>
      <c r="F164" s="337"/>
      <c r="G164" s="338"/>
      <c r="H164" s="337"/>
      <c r="I164" s="337"/>
      <c r="J164" s="337"/>
      <c r="K164" s="964" t="str">
        <f>wstęp!K164</f>
        <v>odkryj</v>
      </c>
      <c r="L164" s="799"/>
      <c r="M164" s="961"/>
      <c r="N164" s="961"/>
      <c r="O164" s="1042"/>
      <c r="P164" s="1042"/>
      <c r="Q164" s="1042"/>
      <c r="R164" s="1042"/>
      <c r="S164" s="1042"/>
      <c r="T164" s="1042"/>
    </row>
    <row r="165" spans="1:20" x14ac:dyDescent="0.25">
      <c r="A165" s="789"/>
      <c r="B165" s="788"/>
      <c r="C165" s="788"/>
      <c r="D165" s="337" t="s">
        <v>7525</v>
      </c>
      <c r="E165" s="1268" t="s">
        <v>7787</v>
      </c>
      <c r="F165" s="1268"/>
      <c r="G165" s="1268"/>
      <c r="H165" s="1268"/>
      <c r="I165" s="1268"/>
      <c r="J165" s="1268"/>
      <c r="K165" s="964" t="str">
        <f>wstęp!K165</f>
        <v>odkryj</v>
      </c>
      <c r="L165" s="799"/>
      <c r="M165" s="961"/>
      <c r="N165" s="961"/>
      <c r="O165" s="1042"/>
      <c r="P165" s="1042"/>
      <c r="Q165" s="1042"/>
      <c r="R165" s="1042"/>
      <c r="S165" s="1042"/>
      <c r="T165" s="1042"/>
    </row>
    <row r="166" spans="1:20" ht="15.75" customHeight="1" x14ac:dyDescent="0.25">
      <c r="A166" s="789"/>
      <c r="B166" s="788"/>
      <c r="C166" s="788"/>
      <c r="D166" s="286" t="s">
        <v>7525</v>
      </c>
      <c r="E166" s="1263" t="s">
        <v>7788</v>
      </c>
      <c r="F166" s="1263"/>
      <c r="G166" s="1263"/>
      <c r="H166" s="1263"/>
      <c r="I166" s="1263"/>
      <c r="J166" s="1263"/>
      <c r="K166" s="964" t="str">
        <f>wstęp!K166</f>
        <v>odkryj</v>
      </c>
      <c r="L166" s="799"/>
      <c r="M166" s="961"/>
      <c r="N166" s="961"/>
      <c r="O166" s="1042"/>
      <c r="P166" s="1042"/>
      <c r="Q166" s="1042"/>
      <c r="R166" s="1042"/>
      <c r="S166" s="1042"/>
      <c r="T166" s="1042"/>
    </row>
    <row r="167" spans="1:20" ht="15.75" customHeight="1" x14ac:dyDescent="0.25">
      <c r="A167" s="789"/>
      <c r="B167" s="788"/>
      <c r="C167" s="788"/>
      <c r="D167" s="337"/>
      <c r="E167" s="337"/>
      <c r="F167" s="337"/>
      <c r="G167" s="338"/>
      <c r="H167" s="337"/>
      <c r="I167" s="337"/>
      <c r="J167" s="337"/>
      <c r="K167" s="964" t="str">
        <f>wstęp!K167</f>
        <v>odkryj</v>
      </c>
      <c r="L167" s="799"/>
      <c r="M167" s="961"/>
      <c r="N167" s="961"/>
      <c r="O167" s="1042"/>
      <c r="P167" s="1042"/>
      <c r="Q167" s="1042"/>
      <c r="R167" s="1042"/>
      <c r="S167" s="1042"/>
      <c r="T167" s="1042"/>
    </row>
    <row r="168" spans="1:20" ht="47.95" customHeight="1" x14ac:dyDescent="0.25">
      <c r="A168" s="789"/>
      <c r="B168" s="788"/>
      <c r="C168" s="788"/>
      <c r="D168" s="1264" t="s">
        <v>7789</v>
      </c>
      <c r="E168" s="1264"/>
      <c r="F168" s="1264"/>
      <c r="G168" s="1264"/>
      <c r="H168" s="1264"/>
      <c r="I168" s="1264"/>
      <c r="J168" s="1264"/>
      <c r="K168" s="964" t="str">
        <f>wstęp!K168</f>
        <v>odkryj</v>
      </c>
      <c r="L168" s="799"/>
      <c r="M168" s="961"/>
      <c r="N168" s="961"/>
      <c r="O168" s="1042"/>
      <c r="P168" s="1042"/>
      <c r="Q168" s="1042"/>
      <c r="R168" s="1042"/>
      <c r="S168" s="1042"/>
      <c r="T168" s="1042"/>
    </row>
    <row r="169" spans="1:20" ht="15.75" customHeight="1" x14ac:dyDescent="0.25">
      <c r="A169" s="789"/>
      <c r="B169" s="788"/>
      <c r="C169" s="788"/>
      <c r="D169" s="337"/>
      <c r="E169" s="337"/>
      <c r="F169" s="337"/>
      <c r="G169" s="338"/>
      <c r="H169" s="337"/>
      <c r="I169" s="337"/>
      <c r="J169" s="337"/>
      <c r="K169" s="964" t="str">
        <f>wstęp!K169</f>
        <v>odkryj</v>
      </c>
      <c r="L169" s="799"/>
      <c r="M169" s="961"/>
      <c r="N169" s="961"/>
      <c r="O169" s="1042"/>
      <c r="P169" s="1042"/>
      <c r="Q169" s="1042"/>
      <c r="R169" s="1042"/>
      <c r="S169" s="1042"/>
      <c r="T169" s="1042"/>
    </row>
    <row r="170" spans="1:20" ht="81" customHeight="1" x14ac:dyDescent="0.25">
      <c r="A170" s="789"/>
      <c r="B170" s="788"/>
      <c r="C170" s="788"/>
      <c r="D170" s="1264" t="s">
        <v>7812</v>
      </c>
      <c r="E170" s="1264"/>
      <c r="F170" s="1264"/>
      <c r="G170" s="1264"/>
      <c r="H170" s="1264"/>
      <c r="I170" s="1264"/>
      <c r="J170" s="1264"/>
      <c r="K170" s="964" t="str">
        <f>wstęp!K170</f>
        <v>odkryj</v>
      </c>
      <c r="L170" s="799"/>
      <c r="M170" s="961"/>
      <c r="N170" s="961"/>
      <c r="O170" s="1042"/>
      <c r="P170" s="1042"/>
      <c r="Q170" s="1042"/>
      <c r="R170" s="1042"/>
      <c r="S170" s="1042"/>
      <c r="T170" s="1042"/>
    </row>
    <row r="171" spans="1:20" ht="15.75" customHeight="1" x14ac:dyDescent="0.25">
      <c r="A171" s="789"/>
      <c r="B171" s="788"/>
      <c r="C171" s="788"/>
      <c r="D171" s="287"/>
      <c r="E171" s="287"/>
      <c r="F171" s="287"/>
      <c r="G171" s="287"/>
      <c r="H171" s="287"/>
      <c r="I171" s="287"/>
      <c r="J171" s="287"/>
      <c r="K171" s="964" t="str">
        <f>wstęp!K171</f>
        <v>odkryj</v>
      </c>
      <c r="L171" s="799"/>
      <c r="M171" s="961"/>
      <c r="N171" s="961"/>
      <c r="O171" s="1042"/>
      <c r="P171" s="1042"/>
      <c r="Q171" s="1042"/>
      <c r="R171" s="1042"/>
      <c r="S171" s="1042"/>
      <c r="T171" s="1042"/>
    </row>
    <row r="172" spans="1:20" ht="49.6" customHeight="1" x14ac:dyDescent="0.25">
      <c r="A172" s="789"/>
      <c r="B172" s="788"/>
      <c r="C172" s="788"/>
      <c r="D172" s="1264" t="s">
        <v>7813</v>
      </c>
      <c r="E172" s="1264"/>
      <c r="F172" s="1264"/>
      <c r="G172" s="1264"/>
      <c r="H172" s="1264"/>
      <c r="I172" s="1264"/>
      <c r="J172" s="1264"/>
      <c r="K172" s="964" t="str">
        <f>wstęp!K172</f>
        <v>odkryj</v>
      </c>
      <c r="L172" s="799"/>
      <c r="M172" s="961"/>
      <c r="N172" s="961"/>
      <c r="O172" s="1042"/>
      <c r="P172" s="1042"/>
      <c r="Q172" s="1042"/>
      <c r="R172" s="1042"/>
      <c r="S172" s="1042"/>
      <c r="T172" s="1042"/>
    </row>
    <row r="173" spans="1:20" ht="15.75" customHeight="1" x14ac:dyDescent="0.25">
      <c r="A173" s="283"/>
      <c r="B173" s="284"/>
      <c r="C173" s="284"/>
      <c r="D173" s="292"/>
      <c r="E173" s="292"/>
      <c r="F173" s="292"/>
      <c r="G173" s="293"/>
      <c r="H173" s="292"/>
      <c r="I173" s="292"/>
      <c r="J173" s="294"/>
      <c r="K173" s="964" t="str">
        <f>wstęp!K173</f>
        <v>odkryj</v>
      </c>
      <c r="L173" s="799"/>
      <c r="M173" s="961"/>
      <c r="N173" s="961"/>
      <c r="O173" s="1042"/>
      <c r="P173" s="1042"/>
      <c r="Q173" s="1042"/>
      <c r="R173" s="1042"/>
      <c r="S173" s="1042"/>
      <c r="T173" s="1042"/>
    </row>
    <row r="174" spans="1:20" ht="15.75" customHeight="1" x14ac:dyDescent="0.25">
      <c r="A174" s="283"/>
      <c r="B174" s="284"/>
      <c r="C174" s="284"/>
      <c r="D174" s="1253" t="s">
        <v>7814</v>
      </c>
      <c r="E174" s="1253"/>
      <c r="F174" s="1253"/>
      <c r="G174" s="1253"/>
      <c r="H174" s="1253"/>
      <c r="I174" s="1253"/>
      <c r="J174" s="1253"/>
      <c r="K174" s="964" t="str">
        <f>wstęp!K174</f>
        <v>odkryj</v>
      </c>
      <c r="L174" s="799"/>
      <c r="M174" s="961"/>
      <c r="N174" s="961"/>
      <c r="O174" s="1042"/>
      <c r="P174" s="1042"/>
      <c r="Q174" s="1042"/>
      <c r="R174" s="1042"/>
      <c r="S174" s="1042"/>
      <c r="T174" s="1042"/>
    </row>
    <row r="175" spans="1:20" ht="15.75" customHeight="1" x14ac:dyDescent="0.25">
      <c r="A175" s="283"/>
      <c r="B175" s="284"/>
      <c r="C175" s="284"/>
      <c r="D175" s="1265" t="s">
        <v>7815</v>
      </c>
      <c r="E175" s="1265"/>
      <c r="F175" s="1265"/>
      <c r="G175" s="1265"/>
      <c r="H175" s="1265"/>
      <c r="I175" s="1265"/>
      <c r="J175" s="1265"/>
      <c r="K175" s="964" t="str">
        <f>wstęp!K175</f>
        <v>ukryj</v>
      </c>
      <c r="M175" s="1042"/>
      <c r="N175" s="1042"/>
      <c r="O175" s="1042"/>
      <c r="P175" s="1042"/>
      <c r="Q175" s="1042"/>
      <c r="R175" s="1042"/>
      <c r="S175" s="1042"/>
      <c r="T175" s="1042"/>
    </row>
    <row r="176" spans="1:20" ht="15.75" customHeight="1" x14ac:dyDescent="0.25">
      <c r="A176" s="283"/>
      <c r="B176" s="284"/>
      <c r="C176" s="284"/>
      <c r="D176" s="339"/>
      <c r="E176" s="789"/>
      <c r="F176" s="789"/>
      <c r="G176" s="301"/>
      <c r="H176" s="789"/>
      <c r="I176" s="789"/>
      <c r="J176" s="788"/>
      <c r="K176" s="964" t="str">
        <f>wstęp!K176</f>
        <v>odkryj</v>
      </c>
      <c r="L176" s="799"/>
      <c r="M176" s="961"/>
      <c r="N176" s="961"/>
      <c r="O176" s="1042"/>
      <c r="P176" s="1042"/>
      <c r="Q176" s="1042"/>
      <c r="R176" s="1042"/>
      <c r="S176" s="1042"/>
      <c r="T176" s="1042"/>
    </row>
    <row r="177" spans="1:20" ht="49.6" customHeight="1" x14ac:dyDescent="0.25">
      <c r="A177" s="283"/>
      <c r="B177" s="284"/>
      <c r="C177" s="284"/>
      <c r="D177" s="1245" t="s">
        <v>7816</v>
      </c>
      <c r="E177" s="1245"/>
      <c r="F177" s="1245"/>
      <c r="G177" s="1245"/>
      <c r="H177" s="1245"/>
      <c r="I177" s="1245"/>
      <c r="J177" s="1245"/>
      <c r="K177" s="964" t="str">
        <f>wstęp!K177</f>
        <v>odkryj</v>
      </c>
      <c r="L177" s="799"/>
      <c r="M177" s="961"/>
      <c r="N177" s="961"/>
      <c r="O177" s="1042"/>
      <c r="P177" s="1042"/>
      <c r="Q177" s="1042"/>
      <c r="R177" s="1042"/>
      <c r="S177" s="1042"/>
      <c r="T177" s="1042"/>
    </row>
    <row r="178" spans="1:20" ht="15.75" customHeight="1" x14ac:dyDescent="0.25">
      <c r="A178" s="283"/>
      <c r="B178" s="284"/>
      <c r="C178" s="284"/>
      <c r="D178" s="789"/>
      <c r="E178" s="789"/>
      <c r="F178" s="789"/>
      <c r="G178" s="301"/>
      <c r="H178" s="789"/>
      <c r="I178" s="789"/>
      <c r="J178" s="788"/>
      <c r="K178" s="964" t="str">
        <f>wstęp!K178</f>
        <v>odkryj</v>
      </c>
      <c r="L178" s="799"/>
      <c r="M178" s="961"/>
      <c r="N178" s="961"/>
      <c r="O178" s="1042"/>
      <c r="P178" s="1042"/>
      <c r="Q178" s="1042"/>
      <c r="R178" s="1042"/>
      <c r="S178" s="1042"/>
      <c r="T178" s="1042"/>
    </row>
    <row r="179" spans="1:20" ht="15.75" customHeight="1" x14ac:dyDescent="0.25">
      <c r="A179" s="283"/>
      <c r="B179" s="284"/>
      <c r="C179" s="284"/>
      <c r="D179" s="340" t="s">
        <v>7817</v>
      </c>
      <c r="E179" s="341"/>
      <c r="F179" s="341"/>
      <c r="G179" s="342"/>
      <c r="H179" s="343"/>
      <c r="I179" s="343"/>
      <c r="J179" s="289"/>
      <c r="K179" s="964" t="str">
        <f>wstęp!K179</f>
        <v>ukryj</v>
      </c>
      <c r="M179" s="1042"/>
      <c r="N179" s="1042"/>
      <c r="O179" s="1042"/>
      <c r="P179" s="1042"/>
      <c r="Q179" s="1042"/>
      <c r="R179" s="1042"/>
      <c r="S179" s="1042"/>
      <c r="T179" s="1042"/>
    </row>
    <row r="180" spans="1:20" ht="47.95" customHeight="1" x14ac:dyDescent="0.25">
      <c r="A180" s="283"/>
      <c r="B180" s="284"/>
      <c r="C180" s="284"/>
      <c r="D180" s="1246" t="s">
        <v>7818</v>
      </c>
      <c r="E180" s="1246"/>
      <c r="F180" s="1246"/>
      <c r="G180" s="1246"/>
      <c r="H180" s="1246"/>
      <c r="I180" s="1246"/>
      <c r="J180" s="1246"/>
      <c r="K180" s="964" t="str">
        <f>wstęp!K180</f>
        <v>odkryj</v>
      </c>
      <c r="L180" s="799"/>
      <c r="M180" s="961"/>
      <c r="N180" s="961"/>
      <c r="O180" s="1042"/>
      <c r="P180" s="1042"/>
      <c r="Q180" s="1042"/>
      <c r="R180" s="1042"/>
      <c r="S180" s="1042"/>
      <c r="T180" s="1042"/>
    </row>
    <row r="181" spans="1:20" ht="50.25" customHeight="1" x14ac:dyDescent="0.25">
      <c r="A181" s="283"/>
      <c r="B181" s="284"/>
      <c r="C181" s="284"/>
      <c r="D181" s="1246" t="s">
        <v>7819</v>
      </c>
      <c r="E181" s="1246"/>
      <c r="F181" s="1246"/>
      <c r="G181" s="1246"/>
      <c r="H181" s="1246"/>
      <c r="I181" s="1246"/>
      <c r="J181" s="1246"/>
      <c r="K181" s="964" t="str">
        <f>wstęp!K181</f>
        <v>odkryj</v>
      </c>
      <c r="L181" s="799"/>
      <c r="M181" s="961"/>
      <c r="N181" s="961"/>
      <c r="O181" s="1042"/>
      <c r="P181" s="1042"/>
      <c r="Q181" s="1042"/>
      <c r="R181" s="1042"/>
      <c r="S181" s="1042"/>
      <c r="T181" s="1042"/>
    </row>
    <row r="182" spans="1:20" ht="15.75" customHeight="1" x14ac:dyDescent="0.25">
      <c r="A182" s="283"/>
      <c r="B182" s="284"/>
      <c r="C182" s="284"/>
      <c r="D182" s="789"/>
      <c r="E182" s="789"/>
      <c r="F182" s="789"/>
      <c r="G182" s="301"/>
      <c r="H182" s="789"/>
      <c r="I182" s="789"/>
      <c r="J182" s="788"/>
      <c r="K182" s="964" t="str">
        <f>wstęp!K182</f>
        <v>odkryj</v>
      </c>
      <c r="L182" s="799"/>
      <c r="M182" s="961"/>
      <c r="N182" s="961"/>
      <c r="O182" s="1042"/>
      <c r="P182" s="1042"/>
      <c r="Q182" s="1042"/>
      <c r="R182" s="1042"/>
      <c r="S182" s="1042"/>
      <c r="T182" s="1042"/>
    </row>
    <row r="183" spans="1:20" ht="15.75" customHeight="1" x14ac:dyDescent="0.25">
      <c r="A183" s="283"/>
      <c r="B183" s="284"/>
      <c r="C183" s="284"/>
      <c r="D183" s="340" t="s">
        <v>7820</v>
      </c>
      <c r="E183" s="344"/>
      <c r="F183" s="344"/>
      <c r="G183" s="345"/>
      <c r="H183" s="344"/>
      <c r="I183" s="344"/>
      <c r="J183" s="346"/>
      <c r="K183" s="964" t="str">
        <f>wstęp!K183</f>
        <v>ukryj</v>
      </c>
      <c r="M183" s="1042"/>
      <c r="N183" s="1042"/>
      <c r="O183" s="1042"/>
      <c r="P183" s="1042"/>
      <c r="Q183" s="1042"/>
      <c r="R183" s="1042"/>
      <c r="S183" s="1042"/>
      <c r="T183" s="1042"/>
    </row>
    <row r="184" spans="1:20" ht="33.049999999999997" customHeight="1" x14ac:dyDescent="0.25">
      <c r="A184" s="283"/>
      <c r="B184" s="284"/>
      <c r="C184" s="284"/>
      <c r="D184" s="1263" t="s">
        <v>7821</v>
      </c>
      <c r="E184" s="1263"/>
      <c r="F184" s="1263"/>
      <c r="G184" s="1263"/>
      <c r="H184" s="1263"/>
      <c r="I184" s="1263"/>
      <c r="J184" s="1263"/>
      <c r="K184" s="964" t="str">
        <f>wstęp!K184</f>
        <v>odkryj</v>
      </c>
      <c r="L184" s="799"/>
      <c r="M184" s="961"/>
      <c r="N184" s="961"/>
      <c r="O184" s="1042"/>
      <c r="P184" s="1042"/>
      <c r="Q184" s="1042"/>
      <c r="R184" s="1042"/>
      <c r="S184" s="1042"/>
      <c r="T184" s="1042"/>
    </row>
    <row r="185" spans="1:20" ht="15.75" customHeight="1" x14ac:dyDescent="0.25">
      <c r="A185" s="283"/>
      <c r="B185" s="284"/>
      <c r="C185" s="284"/>
      <c r="D185" s="788"/>
      <c r="E185" s="788"/>
      <c r="F185" s="788"/>
      <c r="G185" s="301"/>
      <c r="H185" s="789"/>
      <c r="I185" s="789"/>
      <c r="J185" s="788"/>
      <c r="K185" s="964" t="str">
        <f>wstęp!K185</f>
        <v>odkryj</v>
      </c>
      <c r="L185" s="799"/>
      <c r="M185" s="961"/>
      <c r="N185" s="961"/>
      <c r="O185" s="1042"/>
      <c r="P185" s="1042"/>
      <c r="Q185" s="1042"/>
      <c r="R185" s="1042"/>
      <c r="S185" s="1042"/>
      <c r="T185" s="1042"/>
    </row>
    <row r="186" spans="1:20" ht="15.75" customHeight="1" x14ac:dyDescent="0.25">
      <c r="A186" s="1183">
        <f>wstęp!A186</f>
        <v>2</v>
      </c>
      <c r="B186" s="1183">
        <f>wstęp!B186</f>
        <v>2</v>
      </c>
      <c r="C186" s="1197">
        <f>wstęp!C186</f>
        <v>5</v>
      </c>
      <c r="D186" s="1235" t="s">
        <v>7822</v>
      </c>
      <c r="E186" s="1235"/>
      <c r="F186" s="1235"/>
      <c r="G186" s="1235"/>
      <c r="H186" s="1235"/>
      <c r="I186" s="1235"/>
      <c r="J186" s="1235"/>
      <c r="K186" s="964" t="str">
        <f>wstęp!K186</f>
        <v>odkryj</v>
      </c>
      <c r="L186" s="799"/>
      <c r="M186" s="961"/>
      <c r="N186" s="961"/>
      <c r="O186" s="1042"/>
      <c r="P186" s="1042"/>
      <c r="Q186" s="1042"/>
      <c r="R186" s="1042"/>
      <c r="S186" s="1042"/>
      <c r="T186" s="1042"/>
    </row>
    <row r="187" spans="1:20" ht="15.75" customHeight="1" x14ac:dyDescent="0.25">
      <c r="A187" s="283"/>
      <c r="B187" s="284"/>
      <c r="C187" s="284"/>
      <c r="D187" s="789"/>
      <c r="E187" s="789"/>
      <c r="F187" s="789"/>
      <c r="G187" s="301"/>
      <c r="H187" s="789"/>
      <c r="I187" s="789"/>
      <c r="J187" s="788"/>
      <c r="K187" s="964" t="str">
        <f>wstęp!K187</f>
        <v>odkryj</v>
      </c>
      <c r="L187" s="799"/>
      <c r="M187" s="961"/>
      <c r="N187" s="961"/>
      <c r="O187" s="1042"/>
      <c r="P187" s="1042"/>
      <c r="Q187" s="1042"/>
      <c r="R187" s="1042"/>
      <c r="S187" s="1042"/>
      <c r="T187" s="1042"/>
    </row>
    <row r="188" spans="1:20" ht="36" customHeight="1" x14ac:dyDescent="0.25">
      <c r="A188" s="283"/>
      <c r="B188" s="284"/>
      <c r="C188" s="284"/>
      <c r="D188" s="1245" t="s">
        <v>7823</v>
      </c>
      <c r="E188" s="1245"/>
      <c r="F188" s="1245"/>
      <c r="G188" s="1245"/>
      <c r="H188" s="1245"/>
      <c r="I188" s="1245"/>
      <c r="J188" s="1245"/>
      <c r="K188" s="964" t="str">
        <f>wstęp!K188</f>
        <v>odkryj</v>
      </c>
      <c r="L188" s="799"/>
      <c r="M188" s="961"/>
      <c r="N188" s="961"/>
      <c r="O188" s="1042"/>
      <c r="P188" s="1042"/>
      <c r="Q188" s="1042"/>
      <c r="R188" s="1042"/>
      <c r="S188" s="1042"/>
      <c r="T188" s="1042"/>
    </row>
    <row r="189" spans="1:20" ht="15.75" customHeight="1" x14ac:dyDescent="0.25">
      <c r="A189" s="283"/>
      <c r="B189" s="284"/>
      <c r="C189" s="284"/>
      <c r="D189" s="789"/>
      <c r="E189" s="789"/>
      <c r="F189" s="789"/>
      <c r="G189" s="301"/>
      <c r="H189" s="789"/>
      <c r="I189" s="789"/>
      <c r="J189" s="788"/>
      <c r="K189" s="964" t="str">
        <f>wstęp!K189</f>
        <v>odkryj</v>
      </c>
      <c r="L189" s="281"/>
      <c r="M189" s="1054"/>
      <c r="N189" s="1054"/>
      <c r="O189" s="1055"/>
      <c r="P189" s="1055"/>
      <c r="Q189" s="1042"/>
      <c r="R189" s="1042"/>
      <c r="S189" s="1042"/>
      <c r="T189" s="1042"/>
    </row>
    <row r="190" spans="1:20" ht="15.75" customHeight="1" x14ac:dyDescent="0.25">
      <c r="A190" s="283"/>
      <c r="B190" s="284"/>
      <c r="C190" s="284"/>
      <c r="D190" s="1258" t="s">
        <v>7824</v>
      </c>
      <c r="E190" s="1258"/>
      <c r="F190" s="1258"/>
      <c r="G190" s="1258"/>
      <c r="H190" s="1258"/>
      <c r="I190" s="1258"/>
      <c r="J190" s="1258"/>
      <c r="K190" s="964" t="str">
        <f>wstęp!K190</f>
        <v>odkryj</v>
      </c>
      <c r="L190" s="281"/>
      <c r="M190" s="1054"/>
      <c r="N190" s="1054"/>
      <c r="O190" s="1055"/>
      <c r="P190" s="1055"/>
      <c r="Q190" s="1042"/>
      <c r="R190" s="1042"/>
      <c r="S190" s="1042"/>
      <c r="T190" s="1042"/>
    </row>
    <row r="191" spans="1:20" ht="15.75" customHeight="1" x14ac:dyDescent="0.25">
      <c r="A191" s="283"/>
      <c r="B191" s="284"/>
      <c r="C191" s="284"/>
      <c r="D191" s="789"/>
      <c r="E191" s="789"/>
      <c r="F191" s="789"/>
      <c r="G191" s="301"/>
      <c r="H191" s="789"/>
      <c r="I191" s="789"/>
      <c r="J191" s="788"/>
      <c r="K191" s="964" t="str">
        <f>wstęp!K191</f>
        <v>odkryj</v>
      </c>
      <c r="L191" s="279"/>
      <c r="M191" s="962"/>
      <c r="N191" s="963"/>
      <c r="O191" s="1056"/>
      <c r="P191" s="1042"/>
      <c r="Q191" s="1042"/>
      <c r="R191" s="1042"/>
      <c r="S191" s="1042"/>
      <c r="T191" s="1042"/>
    </row>
    <row r="192" spans="1:20" ht="34.549999999999997" customHeight="1" x14ac:dyDescent="0.25">
      <c r="A192" s="283"/>
      <c r="B192" s="284"/>
      <c r="C192" s="284"/>
      <c r="D192" s="1245" t="s">
        <v>7825</v>
      </c>
      <c r="E192" s="1245"/>
      <c r="F192" s="1245"/>
      <c r="G192" s="1245"/>
      <c r="H192" s="1245"/>
      <c r="I192" s="1245"/>
      <c r="J192" s="1245"/>
      <c r="K192" s="964" t="str">
        <f>wstęp!K192</f>
        <v>odkryj</v>
      </c>
      <c r="L192" s="795"/>
      <c r="M192" s="998"/>
      <c r="N192" s="963"/>
      <c r="O192" s="1056"/>
      <c r="P192" s="1042"/>
      <c r="Q192" s="1042"/>
      <c r="R192" s="1042"/>
      <c r="S192" s="1042"/>
      <c r="T192" s="1042"/>
    </row>
    <row r="193" spans="1:20" ht="15.75" customHeight="1" x14ac:dyDescent="0.25">
      <c r="A193" s="283"/>
      <c r="B193" s="284"/>
      <c r="C193" s="284"/>
      <c r="D193" s="789"/>
      <c r="E193" s="789"/>
      <c r="F193" s="789"/>
      <c r="G193" s="301"/>
      <c r="H193" s="789"/>
      <c r="I193" s="789"/>
      <c r="J193" s="788"/>
      <c r="K193" s="964" t="str">
        <f>wstęp!K193</f>
        <v>odkryj</v>
      </c>
      <c r="L193" s="279"/>
      <c r="M193" s="962"/>
      <c r="N193" s="963"/>
      <c r="O193" s="1056"/>
      <c r="P193" s="1042"/>
      <c r="Q193" s="1042"/>
      <c r="R193" s="1042"/>
      <c r="S193" s="1042"/>
      <c r="T193" s="1042"/>
    </row>
    <row r="194" spans="1:20" ht="33.049999999999997" customHeight="1" x14ac:dyDescent="0.25">
      <c r="A194" s="283"/>
      <c r="B194" s="284"/>
      <c r="C194" s="284"/>
      <c r="D194" s="1245" t="s">
        <v>7826</v>
      </c>
      <c r="E194" s="1245"/>
      <c r="F194" s="1245"/>
      <c r="G194" s="1245"/>
      <c r="H194" s="1245"/>
      <c r="I194" s="1245"/>
      <c r="J194" s="1245"/>
      <c r="K194" s="964" t="str">
        <f>wstęp!K194</f>
        <v>odkryj</v>
      </c>
      <c r="L194" s="288"/>
      <c r="M194" s="1057"/>
      <c r="N194" s="1057"/>
      <c r="O194" s="1058"/>
      <c r="P194" s="1058"/>
      <c r="Q194" s="1042"/>
      <c r="R194" s="1042"/>
      <c r="S194" s="1042"/>
      <c r="T194" s="1042"/>
    </row>
    <row r="195" spans="1:20" ht="15.75" customHeight="1" x14ac:dyDescent="0.25">
      <c r="A195" s="283"/>
      <c r="B195" s="284"/>
      <c r="C195" s="284"/>
      <c r="D195" s="789"/>
      <c r="E195" s="789"/>
      <c r="F195" s="789"/>
      <c r="G195" s="301"/>
      <c r="H195" s="789"/>
      <c r="I195" s="789"/>
      <c r="J195" s="788"/>
      <c r="K195" s="964" t="str">
        <f>wstęp!K195</f>
        <v>odkryj</v>
      </c>
      <c r="L195" s="288"/>
      <c r="M195" s="1057"/>
      <c r="N195" s="1057"/>
      <c r="O195" s="1058"/>
      <c r="P195" s="1058"/>
      <c r="Q195" s="1042"/>
      <c r="R195" s="1042"/>
      <c r="S195" s="1042"/>
      <c r="T195" s="1042"/>
    </row>
    <row r="196" spans="1:20" ht="87.75" customHeight="1" x14ac:dyDescent="0.25">
      <c r="A196" s="283"/>
      <c r="B196" s="284"/>
      <c r="C196" s="284"/>
      <c r="D196" s="1245" t="s">
        <v>7827</v>
      </c>
      <c r="E196" s="1245"/>
      <c r="F196" s="1245"/>
      <c r="G196" s="1245"/>
      <c r="H196" s="1245"/>
      <c r="I196" s="1245"/>
      <c r="J196" s="1245"/>
      <c r="K196" s="964" t="str">
        <f>wstęp!K196</f>
        <v>odkryj</v>
      </c>
      <c r="L196" s="288"/>
      <c r="M196" s="1057"/>
      <c r="N196" s="1057"/>
      <c r="O196" s="1058"/>
      <c r="P196" s="1058"/>
      <c r="Q196" s="1042"/>
      <c r="R196" s="1042"/>
      <c r="S196" s="1042"/>
      <c r="T196" s="1042"/>
    </row>
    <row r="197" spans="1:20" ht="15.75" customHeight="1" x14ac:dyDescent="0.25">
      <c r="A197" s="283"/>
      <c r="B197" s="284"/>
      <c r="C197" s="284"/>
      <c r="D197" s="789"/>
      <c r="E197" s="789"/>
      <c r="F197" s="789"/>
      <c r="G197" s="301"/>
      <c r="H197" s="789"/>
      <c r="I197" s="789"/>
      <c r="J197" s="788"/>
      <c r="K197" s="964" t="str">
        <f>wstęp!K197</f>
        <v>odkryj</v>
      </c>
      <c r="L197" s="279"/>
      <c r="M197" s="962"/>
      <c r="N197" s="963"/>
      <c r="O197" s="1056"/>
      <c r="P197" s="1042"/>
      <c r="Q197" s="1042"/>
      <c r="R197" s="1042"/>
      <c r="S197" s="1042"/>
      <c r="T197" s="1042"/>
    </row>
    <row r="198" spans="1:20" ht="15.75" customHeight="1" x14ac:dyDescent="0.25">
      <c r="A198" s="283"/>
      <c r="B198" s="284"/>
      <c r="C198" s="284"/>
      <c r="D198" s="1245" t="s">
        <v>7828</v>
      </c>
      <c r="E198" s="1245"/>
      <c r="F198" s="1245"/>
      <c r="G198" s="1245"/>
      <c r="H198" s="1245"/>
      <c r="I198" s="1245"/>
      <c r="J198" s="1245"/>
      <c r="K198" s="964" t="str">
        <f>wstęp!K198</f>
        <v>odkryj</v>
      </c>
      <c r="L198" s="795"/>
      <c r="M198" s="998"/>
      <c r="N198" s="963"/>
      <c r="O198" s="1056"/>
      <c r="P198" s="1042"/>
      <c r="Q198" s="1042"/>
      <c r="R198" s="1042"/>
      <c r="S198" s="1042"/>
      <c r="T198" s="1042"/>
    </row>
    <row r="199" spans="1:20" ht="15.75" customHeight="1" x14ac:dyDescent="0.25">
      <c r="A199" s="283"/>
      <c r="B199" s="284"/>
      <c r="C199" s="284"/>
      <c r="D199" s="790"/>
      <c r="E199" s="790"/>
      <c r="F199" s="790"/>
      <c r="G199" s="790"/>
      <c r="H199" s="790"/>
      <c r="I199" s="790"/>
      <c r="J199" s="790"/>
      <c r="K199" s="964" t="str">
        <f>wstęp!K199</f>
        <v>odkryj</v>
      </c>
      <c r="L199" s="279"/>
      <c r="M199" s="962"/>
      <c r="N199" s="963"/>
      <c r="O199" s="1056"/>
      <c r="P199" s="1042"/>
      <c r="Q199" s="1042"/>
      <c r="R199" s="1042"/>
      <c r="S199" s="1042"/>
      <c r="T199" s="1042"/>
    </row>
    <row r="200" spans="1:20" ht="54.85" customHeight="1" x14ac:dyDescent="0.25">
      <c r="A200" s="283"/>
      <c r="B200" s="284"/>
      <c r="C200" s="284"/>
      <c r="D200" s="1245" t="s">
        <v>7829</v>
      </c>
      <c r="E200" s="1245"/>
      <c r="F200" s="1245"/>
      <c r="G200" s="1245"/>
      <c r="H200" s="1245"/>
      <c r="I200" s="1245"/>
      <c r="J200" s="1245"/>
      <c r="K200" s="964" t="str">
        <f>wstęp!K200</f>
        <v>odkryj</v>
      </c>
      <c r="L200" s="281"/>
      <c r="M200" s="1054"/>
      <c r="N200" s="1054"/>
      <c r="O200" s="1059"/>
      <c r="P200" s="1059"/>
      <c r="Q200" s="1042"/>
      <c r="R200" s="1042"/>
      <c r="S200" s="1042"/>
      <c r="T200" s="1042"/>
    </row>
    <row r="201" spans="1:20" x14ac:dyDescent="0.25">
      <c r="A201" s="283"/>
      <c r="B201" s="284"/>
      <c r="C201" s="284"/>
      <c r="D201" s="790"/>
      <c r="E201" s="790"/>
      <c r="F201" s="790"/>
      <c r="G201" s="790"/>
      <c r="H201" s="790"/>
      <c r="I201" s="790"/>
      <c r="J201" s="790"/>
      <c r="K201" s="964" t="str">
        <f>wstęp!K201</f>
        <v>odkryj</v>
      </c>
      <c r="L201" s="790"/>
      <c r="M201" s="997"/>
      <c r="N201" s="997"/>
      <c r="O201" s="1060"/>
      <c r="P201" s="1060"/>
      <c r="Q201" s="1042"/>
      <c r="R201" s="1042"/>
      <c r="S201" s="1042"/>
      <c r="T201" s="1042"/>
    </row>
    <row r="202" spans="1:20" ht="32.25" customHeight="1" x14ac:dyDescent="0.25">
      <c r="A202" s="283"/>
      <c r="B202" s="284"/>
      <c r="C202" s="284"/>
      <c r="D202" s="1261" t="s">
        <v>7830</v>
      </c>
      <c r="E202" s="1262"/>
      <c r="F202" s="1262"/>
      <c r="G202" s="1262"/>
      <c r="H202" s="1262"/>
      <c r="I202" s="1262"/>
      <c r="J202" s="1262"/>
      <c r="K202" s="964" t="str">
        <f>wstęp!K202</f>
        <v>odkryj</v>
      </c>
      <c r="L202" s="790"/>
      <c r="M202" s="997"/>
      <c r="N202" s="997"/>
      <c r="O202" s="1060"/>
      <c r="P202" s="1060"/>
      <c r="Q202" s="1042"/>
      <c r="R202" s="1042"/>
      <c r="S202" s="1042"/>
      <c r="T202" s="1042"/>
    </row>
    <row r="203" spans="1:20" ht="15.75" customHeight="1" x14ac:dyDescent="0.25">
      <c r="A203" s="283"/>
      <c r="B203" s="284"/>
      <c r="C203" s="284"/>
      <c r="D203" s="790"/>
      <c r="E203" s="790"/>
      <c r="F203" s="790"/>
      <c r="G203" s="790"/>
      <c r="H203" s="790"/>
      <c r="I203" s="790"/>
      <c r="J203" s="790"/>
      <c r="K203" s="964" t="str">
        <f>wstęp!K203</f>
        <v>odkryj</v>
      </c>
      <c r="L203" s="281"/>
      <c r="M203" s="1054"/>
      <c r="N203" s="1054"/>
      <c r="O203" s="1059"/>
      <c r="P203" s="1059"/>
      <c r="Q203" s="1042"/>
      <c r="R203" s="1042"/>
      <c r="S203" s="1042"/>
      <c r="T203" s="1042"/>
    </row>
    <row r="204" spans="1:20" ht="15.75" customHeight="1" x14ac:dyDescent="0.25">
      <c r="A204" s="1183">
        <f>wstęp!A204</f>
        <v>2</v>
      </c>
      <c r="B204" s="1183">
        <f>wstęp!B204</f>
        <v>2</v>
      </c>
      <c r="C204" s="1197">
        <f>wstęp!C204</f>
        <v>6</v>
      </c>
      <c r="D204" s="1235" t="s">
        <v>7831</v>
      </c>
      <c r="E204" s="1235"/>
      <c r="F204" s="1235"/>
      <c r="G204" s="1235"/>
      <c r="H204" s="1235"/>
      <c r="I204" s="1235"/>
      <c r="J204" s="1235"/>
      <c r="K204" s="964" t="str">
        <f>wstęp!K204</f>
        <v>odkryj</v>
      </c>
      <c r="L204" s="281"/>
      <c r="M204" s="1054"/>
      <c r="N204" s="1054"/>
      <c r="O204" s="1059"/>
      <c r="P204" s="1059"/>
      <c r="Q204" s="1042"/>
      <c r="R204" s="1042"/>
      <c r="S204" s="1042"/>
      <c r="T204" s="1042"/>
    </row>
    <row r="205" spans="1:20" ht="15.75" customHeight="1" x14ac:dyDescent="0.25">
      <c r="A205" s="283"/>
      <c r="B205" s="284"/>
      <c r="C205" s="284"/>
      <c r="D205" s="789"/>
      <c r="E205" s="789"/>
      <c r="F205" s="789"/>
      <c r="G205" s="301"/>
      <c r="H205" s="789"/>
      <c r="I205" s="789"/>
      <c r="J205" s="788"/>
      <c r="K205" s="964" t="str">
        <f>wstęp!K205</f>
        <v>odkryj</v>
      </c>
      <c r="L205" s="799"/>
      <c r="M205" s="961"/>
      <c r="N205" s="961"/>
      <c r="O205" s="1042"/>
      <c r="P205" s="1042"/>
      <c r="Q205" s="1042"/>
      <c r="R205" s="1042"/>
      <c r="S205" s="1042"/>
      <c r="T205" s="1042"/>
    </row>
    <row r="206" spans="1:20" ht="15.75" customHeight="1" x14ac:dyDescent="0.25">
      <c r="A206" s="283"/>
      <c r="B206" s="284"/>
      <c r="C206" s="284"/>
      <c r="D206" s="1253" t="s">
        <v>7832</v>
      </c>
      <c r="E206" s="1253"/>
      <c r="F206" s="1253"/>
      <c r="G206" s="1253"/>
      <c r="H206" s="1253"/>
      <c r="I206" s="1253"/>
      <c r="J206" s="1253"/>
      <c r="K206" s="964" t="str">
        <f>wstęp!K206</f>
        <v>odkryj</v>
      </c>
      <c r="L206" s="799"/>
      <c r="M206" s="961"/>
      <c r="N206" s="961"/>
      <c r="O206" s="1042"/>
      <c r="P206" s="1042"/>
      <c r="Q206" s="1042"/>
      <c r="R206" s="1042"/>
      <c r="S206" s="1042"/>
      <c r="T206" s="1042"/>
    </row>
    <row r="207" spans="1:20" ht="15.75" customHeight="1" x14ac:dyDescent="0.25">
      <c r="A207" s="283"/>
      <c r="B207" s="284"/>
      <c r="C207" s="284"/>
      <c r="D207" s="339"/>
      <c r="E207" s="789"/>
      <c r="F207" s="789"/>
      <c r="G207" s="301"/>
      <c r="H207" s="789"/>
      <c r="I207" s="789"/>
      <c r="J207" s="788"/>
      <c r="K207" s="964" t="str">
        <f>wstęp!K207</f>
        <v>odkryj</v>
      </c>
      <c r="L207" s="799"/>
      <c r="M207" s="961"/>
      <c r="N207" s="961"/>
      <c r="O207" s="1042"/>
      <c r="P207" s="1042"/>
      <c r="Q207" s="1042"/>
      <c r="R207" s="1042"/>
      <c r="S207" s="1042"/>
      <c r="T207" s="1042"/>
    </row>
    <row r="208" spans="1:20" ht="31.6" customHeight="1" x14ac:dyDescent="0.25">
      <c r="A208" s="283"/>
      <c r="B208" s="284"/>
      <c r="C208" s="284"/>
      <c r="D208" s="1245" t="s">
        <v>7833</v>
      </c>
      <c r="E208" s="1245"/>
      <c r="F208" s="1245"/>
      <c r="G208" s="1245"/>
      <c r="H208" s="1245"/>
      <c r="I208" s="1245"/>
      <c r="J208" s="1245"/>
      <c r="K208" s="964" t="str">
        <f>wstęp!K208</f>
        <v>odkryj</v>
      </c>
      <c r="L208" s="799"/>
      <c r="M208" s="961"/>
      <c r="N208" s="961"/>
      <c r="O208" s="1042"/>
      <c r="P208" s="1042"/>
      <c r="Q208" s="1042"/>
      <c r="R208" s="1042"/>
      <c r="S208" s="1042"/>
      <c r="T208" s="1042"/>
    </row>
    <row r="209" spans="1:20" ht="15.75" customHeight="1" x14ac:dyDescent="0.25">
      <c r="A209" s="283"/>
      <c r="B209" s="284"/>
      <c r="C209" s="284"/>
      <c r="D209" s="789"/>
      <c r="E209" s="789"/>
      <c r="F209" s="789"/>
      <c r="G209" s="301"/>
      <c r="H209" s="789"/>
      <c r="I209" s="789"/>
      <c r="J209" s="788"/>
      <c r="K209" s="964" t="str">
        <f>wstęp!K209</f>
        <v>odkryj</v>
      </c>
      <c r="L209" s="799"/>
      <c r="M209" s="961"/>
      <c r="N209" s="961"/>
      <c r="O209" s="1042"/>
      <c r="P209" s="1042"/>
      <c r="Q209" s="1042"/>
      <c r="R209" s="1042"/>
      <c r="S209" s="1042"/>
      <c r="T209" s="1042"/>
    </row>
    <row r="210" spans="1:20" ht="47.95" customHeight="1" x14ac:dyDescent="0.25">
      <c r="A210" s="283"/>
      <c r="B210" s="284"/>
      <c r="C210" s="284"/>
      <c r="D210" s="1245" t="s">
        <v>7834</v>
      </c>
      <c r="E210" s="1245"/>
      <c r="F210" s="1245"/>
      <c r="G210" s="1245"/>
      <c r="H210" s="1245"/>
      <c r="I210" s="1245"/>
      <c r="J210" s="1245"/>
      <c r="K210" s="964" t="str">
        <f>wstęp!K210</f>
        <v>odkryj</v>
      </c>
      <c r="L210" s="799"/>
      <c r="M210" s="961"/>
      <c r="N210" s="961"/>
      <c r="O210" s="1042"/>
      <c r="P210" s="1042"/>
      <c r="Q210" s="1042"/>
      <c r="R210" s="1042"/>
      <c r="S210" s="1042"/>
      <c r="T210" s="1042"/>
    </row>
    <row r="211" spans="1:20" ht="15.75" customHeight="1" x14ac:dyDescent="0.25">
      <c r="A211" s="283"/>
      <c r="B211" s="284"/>
      <c r="C211" s="284"/>
      <c r="D211" s="790"/>
      <c r="E211" s="790"/>
      <c r="F211" s="790"/>
      <c r="G211" s="790"/>
      <c r="H211" s="790"/>
      <c r="I211" s="790"/>
      <c r="J211" s="790"/>
      <c r="K211" s="964" t="str">
        <f>wstęp!K211</f>
        <v>odkryj</v>
      </c>
      <c r="L211" s="799"/>
      <c r="M211" s="961"/>
      <c r="N211" s="961"/>
      <c r="O211" s="1042"/>
      <c r="P211" s="1042"/>
      <c r="Q211" s="1042"/>
      <c r="R211" s="1042"/>
      <c r="S211" s="1042"/>
      <c r="T211" s="1042"/>
    </row>
    <row r="212" spans="1:20" ht="19.5" customHeight="1" x14ac:dyDescent="0.25">
      <c r="A212" s="283"/>
      <c r="B212" s="284"/>
      <c r="C212" s="284"/>
      <c r="D212" s="1245" t="s">
        <v>7835</v>
      </c>
      <c r="E212" s="1245"/>
      <c r="F212" s="1245"/>
      <c r="G212" s="1245"/>
      <c r="H212" s="1245"/>
      <c r="I212" s="1245"/>
      <c r="J212" s="1245"/>
      <c r="K212" s="964" t="str">
        <f>wstęp!K212</f>
        <v>odkryj</v>
      </c>
      <c r="L212" s="799"/>
      <c r="M212" s="961"/>
      <c r="N212" s="961"/>
      <c r="O212" s="1042"/>
      <c r="P212" s="1042"/>
      <c r="Q212" s="1042"/>
      <c r="R212" s="1042"/>
      <c r="S212" s="1042"/>
      <c r="T212" s="1042"/>
    </row>
    <row r="213" spans="1:20" ht="56.95" customHeight="1" x14ac:dyDescent="0.25">
      <c r="A213" s="283"/>
      <c r="B213" s="284"/>
      <c r="C213" s="284"/>
      <c r="D213" s="788" t="s">
        <v>7525</v>
      </c>
      <c r="E213" s="1245" t="s">
        <v>7836</v>
      </c>
      <c r="F213" s="1245"/>
      <c r="G213" s="1245"/>
      <c r="H213" s="1245"/>
      <c r="I213" s="1245"/>
      <c r="J213" s="1245"/>
      <c r="K213" s="964" t="str">
        <f>wstęp!K213</f>
        <v>odkryj</v>
      </c>
      <c r="L213" s="799"/>
      <c r="M213" s="961"/>
      <c r="N213" s="961"/>
      <c r="O213" s="1042"/>
      <c r="P213" s="1042"/>
      <c r="Q213" s="1042"/>
      <c r="R213" s="1042"/>
      <c r="S213" s="1042"/>
      <c r="T213" s="1042"/>
    </row>
    <row r="214" spans="1:20" ht="29.95" customHeight="1" x14ac:dyDescent="0.25">
      <c r="A214" s="283"/>
      <c r="B214" s="284"/>
      <c r="C214" s="284"/>
      <c r="D214" s="788" t="s">
        <v>7525</v>
      </c>
      <c r="E214" s="1245" t="s">
        <v>7837</v>
      </c>
      <c r="F214" s="1245"/>
      <c r="G214" s="1245"/>
      <c r="H214" s="1245"/>
      <c r="I214" s="1245"/>
      <c r="J214" s="1245"/>
      <c r="K214" s="964" t="str">
        <f>wstęp!K214</f>
        <v>odkryj</v>
      </c>
      <c r="L214" s="799"/>
      <c r="M214" s="961"/>
      <c r="N214" s="961"/>
      <c r="O214" s="1042"/>
      <c r="P214" s="1042"/>
      <c r="Q214" s="1042"/>
      <c r="R214" s="1042"/>
      <c r="S214" s="1042"/>
      <c r="T214" s="1042"/>
    </row>
    <row r="215" spans="1:20" ht="48.8" customHeight="1" x14ac:dyDescent="0.25">
      <c r="A215" s="283"/>
      <c r="B215" s="284"/>
      <c r="C215" s="284"/>
      <c r="D215" s="788" t="s">
        <v>7525</v>
      </c>
      <c r="E215" s="1245" t="s">
        <v>7838</v>
      </c>
      <c r="F215" s="1245"/>
      <c r="G215" s="1245"/>
      <c r="H215" s="1245"/>
      <c r="I215" s="1245"/>
      <c r="J215" s="1245"/>
      <c r="K215" s="964" t="str">
        <f>wstęp!K215</f>
        <v>odkryj</v>
      </c>
      <c r="L215" s="799"/>
      <c r="M215" s="961"/>
      <c r="N215" s="961"/>
      <c r="O215" s="1042"/>
      <c r="P215" s="1042"/>
      <c r="Q215" s="1042"/>
      <c r="R215" s="1042"/>
      <c r="S215" s="1042"/>
      <c r="T215" s="1042"/>
    </row>
    <row r="216" spans="1:20" ht="33.75" customHeight="1" x14ac:dyDescent="0.25">
      <c r="A216" s="283"/>
      <c r="B216" s="284"/>
      <c r="C216" s="284"/>
      <c r="D216" s="788" t="s">
        <v>7525</v>
      </c>
      <c r="E216" s="1245" t="s">
        <v>7839</v>
      </c>
      <c r="F216" s="1245"/>
      <c r="G216" s="1245"/>
      <c r="H216" s="1245"/>
      <c r="I216" s="1245"/>
      <c r="J216" s="1245"/>
      <c r="K216" s="964" t="str">
        <f>wstęp!K216</f>
        <v>odkryj</v>
      </c>
      <c r="L216" s="799"/>
      <c r="M216" s="961"/>
      <c r="N216" s="961"/>
      <c r="O216" s="1042"/>
      <c r="P216" s="1042"/>
      <c r="Q216" s="1042"/>
      <c r="R216" s="1042"/>
      <c r="S216" s="1042"/>
      <c r="T216" s="1042"/>
    </row>
    <row r="217" spans="1:20" ht="53.2" customHeight="1" x14ac:dyDescent="0.25">
      <c r="A217" s="283"/>
      <c r="B217" s="284"/>
      <c r="C217" s="284"/>
      <c r="D217" s="788" t="s">
        <v>7525</v>
      </c>
      <c r="E217" s="1245" t="s">
        <v>7840</v>
      </c>
      <c r="F217" s="1245"/>
      <c r="G217" s="1245"/>
      <c r="H217" s="1245"/>
      <c r="I217" s="1245"/>
      <c r="J217" s="1245"/>
      <c r="K217" s="964" t="str">
        <f>wstęp!K217</f>
        <v>odkryj</v>
      </c>
      <c r="L217" s="799"/>
      <c r="M217" s="961"/>
      <c r="N217" s="961"/>
      <c r="O217" s="1042"/>
      <c r="P217" s="1042"/>
      <c r="Q217" s="1042"/>
      <c r="R217" s="1042"/>
      <c r="S217" s="1042"/>
      <c r="T217" s="1042"/>
    </row>
    <row r="218" spans="1:20" ht="15.75" customHeight="1" x14ac:dyDescent="0.25">
      <c r="A218" s="283"/>
      <c r="B218" s="284"/>
      <c r="C218" s="284"/>
      <c r="D218" s="790"/>
      <c r="E218" s="790"/>
      <c r="F218" s="790"/>
      <c r="G218" s="790"/>
      <c r="H218" s="790"/>
      <c r="I218" s="790"/>
      <c r="J218" s="790"/>
      <c r="K218" s="964" t="str">
        <f>wstęp!K218</f>
        <v>odkryj</v>
      </c>
      <c r="L218" s="799"/>
      <c r="M218" s="961"/>
      <c r="N218" s="961"/>
      <c r="O218" s="1042"/>
      <c r="P218" s="1042"/>
      <c r="Q218" s="1042"/>
      <c r="R218" s="1042"/>
      <c r="S218" s="1042"/>
      <c r="T218" s="1042"/>
    </row>
    <row r="219" spans="1:20" ht="44.2" customHeight="1" x14ac:dyDescent="0.25">
      <c r="A219" s="283"/>
      <c r="B219" s="284"/>
      <c r="C219" s="284"/>
      <c r="D219" s="1260" t="s">
        <v>7841</v>
      </c>
      <c r="E219" s="1260"/>
      <c r="F219" s="1260"/>
      <c r="G219" s="1260"/>
      <c r="H219" s="1260"/>
      <c r="I219" s="1260"/>
      <c r="J219" s="1260"/>
      <c r="K219" s="964" t="str">
        <f>wstęp!K219</f>
        <v>odkryj</v>
      </c>
      <c r="L219" s="799"/>
      <c r="M219" s="961"/>
      <c r="N219" s="961"/>
      <c r="O219" s="1042"/>
      <c r="P219" s="1042"/>
      <c r="Q219" s="1042"/>
      <c r="R219" s="1042"/>
      <c r="S219" s="1042"/>
      <c r="T219" s="1042"/>
    </row>
    <row r="220" spans="1:20" ht="15.75" customHeight="1" x14ac:dyDescent="0.25">
      <c r="A220" s="283"/>
      <c r="B220" s="284"/>
      <c r="C220" s="284"/>
      <c r="D220" s="790"/>
      <c r="E220" s="790"/>
      <c r="F220" s="790"/>
      <c r="G220" s="790"/>
      <c r="H220" s="790"/>
      <c r="I220" s="790"/>
      <c r="J220" s="790"/>
      <c r="K220" s="964" t="str">
        <f>wstęp!K220</f>
        <v>odkryj</v>
      </c>
      <c r="L220" s="799"/>
      <c r="M220" s="961"/>
      <c r="N220" s="961"/>
      <c r="O220" s="1042"/>
      <c r="P220" s="1042"/>
      <c r="Q220" s="1042"/>
      <c r="R220" s="1042"/>
      <c r="S220" s="1042"/>
      <c r="T220" s="1042"/>
    </row>
    <row r="221" spans="1:20" ht="15.75" customHeight="1" x14ac:dyDescent="0.25">
      <c r="A221" s="283"/>
      <c r="B221" s="284"/>
      <c r="C221" s="284"/>
      <c r="D221" s="1253" t="s">
        <v>7842</v>
      </c>
      <c r="E221" s="1253"/>
      <c r="F221" s="1253"/>
      <c r="G221" s="1253"/>
      <c r="H221" s="1253"/>
      <c r="I221" s="1253"/>
      <c r="J221" s="1253"/>
      <c r="K221" s="964" t="str">
        <f>wstęp!K221</f>
        <v>odkryj</v>
      </c>
      <c r="L221" s="799"/>
      <c r="M221" s="961"/>
      <c r="N221" s="961"/>
      <c r="O221" s="1042"/>
      <c r="P221" s="1042"/>
      <c r="Q221" s="1042"/>
      <c r="R221" s="1042"/>
      <c r="S221" s="1042"/>
      <c r="T221" s="1042"/>
    </row>
    <row r="222" spans="1:20" ht="15.75" customHeight="1" x14ac:dyDescent="0.25">
      <c r="A222" s="283"/>
      <c r="B222" s="284"/>
      <c r="C222" s="284"/>
      <c r="D222" s="789"/>
      <c r="E222" s="789"/>
      <c r="F222" s="789"/>
      <c r="G222" s="301"/>
      <c r="H222" s="789"/>
      <c r="I222" s="789"/>
      <c r="J222" s="788"/>
      <c r="K222" s="964" t="str">
        <f>wstęp!K222</f>
        <v>odkryj</v>
      </c>
      <c r="L222" s="799"/>
      <c r="M222" s="961"/>
      <c r="N222" s="961"/>
      <c r="O222" s="1042"/>
      <c r="P222" s="1042"/>
      <c r="Q222" s="1042"/>
      <c r="R222" s="1042"/>
      <c r="S222" s="1042"/>
      <c r="T222" s="1042"/>
    </row>
    <row r="223" spans="1:20" ht="13.6" customHeight="1" x14ac:dyDescent="0.25">
      <c r="A223" s="283"/>
      <c r="B223" s="284"/>
      <c r="C223" s="284"/>
      <c r="D223" s="1245" t="s">
        <v>7843</v>
      </c>
      <c r="E223" s="1245"/>
      <c r="F223" s="1245"/>
      <c r="G223" s="1245"/>
      <c r="H223" s="1245"/>
      <c r="I223" s="1245"/>
      <c r="J223" s="1245"/>
      <c r="K223" s="964" t="str">
        <f>wstęp!K223</f>
        <v>odkryj</v>
      </c>
      <c r="L223" s="799"/>
      <c r="M223" s="961"/>
      <c r="N223" s="961"/>
      <c r="O223" s="1042"/>
      <c r="P223" s="1042"/>
      <c r="Q223" s="1042"/>
      <c r="R223" s="1042"/>
      <c r="S223" s="1042"/>
      <c r="T223" s="1042"/>
    </row>
    <row r="224" spans="1:20" ht="15.75" customHeight="1" x14ac:dyDescent="0.25">
      <c r="A224" s="283"/>
      <c r="B224" s="284"/>
      <c r="C224" s="284"/>
      <c r="D224" s="787"/>
      <c r="E224" s="787"/>
      <c r="F224" s="787"/>
      <c r="G224" s="960"/>
      <c r="H224" s="787"/>
      <c r="I224" s="787"/>
      <c r="J224" s="959"/>
      <c r="K224" s="964" t="str">
        <f>wstęp!K224</f>
        <v>odkryj</v>
      </c>
      <c r="L224" s="799"/>
      <c r="M224" s="961"/>
      <c r="N224" s="961"/>
      <c r="O224" s="1042"/>
      <c r="P224" s="1042"/>
      <c r="Q224" s="1042"/>
      <c r="R224" s="1042"/>
      <c r="S224" s="1042"/>
      <c r="T224" s="1042"/>
    </row>
    <row r="225" spans="1:20" ht="35.200000000000003" customHeight="1" x14ac:dyDescent="0.25">
      <c r="A225" s="283"/>
      <c r="B225" s="284"/>
      <c r="C225" s="284"/>
      <c r="D225" s="1245" t="s">
        <v>7844</v>
      </c>
      <c r="E225" s="1245"/>
      <c r="F225" s="1245"/>
      <c r="G225" s="1245"/>
      <c r="H225" s="1245"/>
      <c r="I225" s="1245"/>
      <c r="J225" s="1245"/>
      <c r="K225" s="964" t="str">
        <f>wstęp!K225</f>
        <v>odkryj</v>
      </c>
      <c r="L225" s="799"/>
      <c r="M225" s="961"/>
      <c r="N225" s="961"/>
      <c r="O225" s="1042"/>
      <c r="P225" s="1042"/>
      <c r="Q225" s="1042"/>
      <c r="R225" s="1042"/>
      <c r="S225" s="1042"/>
      <c r="T225" s="1042"/>
    </row>
    <row r="226" spans="1:20" ht="15.05" customHeight="1" x14ac:dyDescent="0.25">
      <c r="A226" s="299"/>
      <c r="B226" s="788"/>
      <c r="C226" s="788"/>
      <c r="D226" s="788"/>
      <c r="E226" s="788"/>
      <c r="F226" s="788"/>
      <c r="G226" s="301"/>
      <c r="H226" s="789"/>
      <c r="I226" s="789"/>
      <c r="J226" s="788"/>
      <c r="K226" s="964" t="str">
        <f>wstęp!K226</f>
        <v>odkryj</v>
      </c>
      <c r="L226" s="799"/>
      <c r="M226" s="961"/>
      <c r="N226" s="961"/>
      <c r="O226" s="1042"/>
      <c r="P226" s="1042"/>
      <c r="Q226" s="1042"/>
      <c r="R226" s="1042"/>
      <c r="S226" s="1042"/>
      <c r="T226" s="1042"/>
    </row>
    <row r="227" spans="1:20" s="109" customFormat="1" ht="15.75" customHeight="1" x14ac:dyDescent="0.3">
      <c r="A227" s="1183">
        <f>wstęp!A227</f>
        <v>2</v>
      </c>
      <c r="B227" s="1183">
        <f>wstęp!B227</f>
        <v>2</v>
      </c>
      <c r="C227" s="1197">
        <f>wstęp!C227</f>
        <v>7</v>
      </c>
      <c r="D227" s="1235" t="s">
        <v>7845</v>
      </c>
      <c r="E227" s="1235"/>
      <c r="F227" s="1235"/>
      <c r="G227" s="1235"/>
      <c r="H227" s="1235"/>
      <c r="I227" s="1235"/>
      <c r="J227" s="1235"/>
      <c r="K227" s="964" t="str">
        <f>wstęp!K227</f>
        <v>odkryj</v>
      </c>
      <c r="L227" s="289"/>
      <c r="M227" s="1040"/>
      <c r="N227" s="1040"/>
      <c r="O227" s="1061"/>
      <c r="P227" s="1061"/>
      <c r="Q227" s="1061"/>
      <c r="R227" s="1061"/>
      <c r="S227" s="1061"/>
      <c r="T227" s="1061"/>
    </row>
    <row r="228" spans="1:20" s="109" customFormat="1" ht="15.75" customHeight="1" x14ac:dyDescent="0.3">
      <c r="A228" s="283"/>
      <c r="B228" s="284"/>
      <c r="C228" s="284"/>
      <c r="D228" s="789"/>
      <c r="E228" s="789"/>
      <c r="F228" s="789"/>
      <c r="G228" s="789"/>
      <c r="H228" s="789"/>
      <c r="I228" s="789"/>
      <c r="J228" s="789"/>
      <c r="K228" s="964" t="str">
        <f>wstęp!K228</f>
        <v>odkryj</v>
      </c>
      <c r="L228" s="289"/>
      <c r="M228" s="1040"/>
      <c r="N228" s="1040"/>
      <c r="O228" s="1061"/>
      <c r="P228" s="1061"/>
      <c r="Q228" s="1061"/>
      <c r="R228" s="1061"/>
      <c r="S228" s="1061"/>
      <c r="T228" s="1061"/>
    </row>
    <row r="229" spans="1:20" s="109" customFormat="1" ht="55.5" customHeight="1" x14ac:dyDescent="0.3">
      <c r="A229" s="299"/>
      <c r="B229" s="788"/>
      <c r="C229" s="788"/>
      <c r="D229" s="1245" t="s">
        <v>7846</v>
      </c>
      <c r="E229" s="1245"/>
      <c r="F229" s="1245"/>
      <c r="G229" s="1245"/>
      <c r="H229" s="1245"/>
      <c r="I229" s="1245"/>
      <c r="J229" s="1245"/>
      <c r="K229" s="964" t="str">
        <f>wstęp!K229</f>
        <v>odkryj</v>
      </c>
      <c r="L229" s="289"/>
      <c r="M229" s="1040"/>
      <c r="N229" s="1040"/>
      <c r="O229" s="1061"/>
      <c r="P229" s="1061"/>
      <c r="Q229" s="1061"/>
      <c r="R229" s="1061"/>
      <c r="S229" s="1061"/>
      <c r="T229" s="1061"/>
    </row>
    <row r="230" spans="1:20" ht="15.75" customHeight="1" x14ac:dyDescent="0.25">
      <c r="A230" s="299"/>
      <c r="B230" s="788"/>
      <c r="C230" s="788"/>
      <c r="D230" s="788"/>
      <c r="E230" s="788"/>
      <c r="F230" s="788"/>
      <c r="G230" s="301"/>
      <c r="H230" s="789"/>
      <c r="I230" s="789"/>
      <c r="J230" s="788"/>
      <c r="K230" s="964" t="str">
        <f>wstęp!K230</f>
        <v>odkryj</v>
      </c>
      <c r="L230" s="799"/>
      <c r="M230" s="961"/>
      <c r="N230" s="961"/>
      <c r="O230" s="1042"/>
      <c r="P230" s="1042"/>
      <c r="Q230" s="1042"/>
      <c r="R230" s="1042"/>
      <c r="S230" s="1042"/>
      <c r="T230" s="1042"/>
    </row>
    <row r="231" spans="1:20" ht="15.75" customHeight="1" x14ac:dyDescent="0.25">
      <c r="A231" s="1183">
        <f>wstęp!A231</f>
        <v>2</v>
      </c>
      <c r="B231" s="1183">
        <f>wstęp!B231</f>
        <v>2</v>
      </c>
      <c r="C231" s="1197">
        <f>wstęp!C231</f>
        <v>8</v>
      </c>
      <c r="D231" s="1235" t="s">
        <v>7847</v>
      </c>
      <c r="E231" s="1235"/>
      <c r="F231" s="1235"/>
      <c r="G231" s="1235"/>
      <c r="H231" s="1235"/>
      <c r="I231" s="1235"/>
      <c r="J231" s="1235"/>
      <c r="K231" s="964" t="str">
        <f>wstęp!K231</f>
        <v>odkryj</v>
      </c>
      <c r="L231" s="799"/>
      <c r="M231" s="961"/>
      <c r="N231" s="961"/>
      <c r="O231" s="1042"/>
      <c r="P231" s="1042"/>
      <c r="Q231" s="1042"/>
      <c r="R231" s="1042"/>
      <c r="S231" s="1042"/>
      <c r="T231" s="1042"/>
    </row>
    <row r="232" spans="1:20" ht="15.75" customHeight="1" x14ac:dyDescent="0.25">
      <c r="A232" s="299"/>
      <c r="B232" s="788"/>
      <c r="C232" s="788"/>
      <c r="D232" s="788"/>
      <c r="E232" s="788"/>
      <c r="F232" s="788"/>
      <c r="G232" s="301"/>
      <c r="H232" s="789"/>
      <c r="I232" s="789"/>
      <c r="J232" s="788"/>
      <c r="K232" s="964" t="str">
        <f>wstęp!K232</f>
        <v>odkryj</v>
      </c>
      <c r="L232" s="799"/>
      <c r="M232" s="961"/>
      <c r="N232" s="961"/>
      <c r="O232" s="1042"/>
      <c r="P232" s="1042"/>
      <c r="Q232" s="1042"/>
      <c r="R232" s="1042"/>
      <c r="S232" s="1042"/>
      <c r="T232" s="1042"/>
    </row>
    <row r="233" spans="1:20" ht="27.85" customHeight="1" x14ac:dyDescent="0.25">
      <c r="A233" s="283"/>
      <c r="B233" s="284"/>
      <c r="C233" s="284"/>
      <c r="D233" s="1245" t="s">
        <v>7848</v>
      </c>
      <c r="E233" s="1245"/>
      <c r="F233" s="1245"/>
      <c r="G233" s="1245"/>
      <c r="H233" s="1245"/>
      <c r="I233" s="1245"/>
      <c r="J233" s="1245"/>
      <c r="K233" s="964" t="str">
        <f>wstęp!K233</f>
        <v>odkryj</v>
      </c>
      <c r="L233" s="799"/>
      <c r="M233" s="961"/>
      <c r="N233" s="961"/>
      <c r="O233" s="1042"/>
      <c r="P233" s="1042"/>
      <c r="Q233" s="1042"/>
      <c r="R233" s="1042"/>
      <c r="S233" s="1042"/>
      <c r="T233" s="1042"/>
    </row>
    <row r="234" spans="1:20" ht="15.75" customHeight="1" x14ac:dyDescent="0.25">
      <c r="A234" s="283"/>
      <c r="B234" s="284"/>
      <c r="C234" s="284"/>
      <c r="D234" s="790"/>
      <c r="E234" s="790"/>
      <c r="F234" s="790"/>
      <c r="G234" s="790"/>
      <c r="H234" s="790"/>
      <c r="I234" s="790"/>
      <c r="J234" s="790"/>
      <c r="K234" s="964" t="str">
        <f>wstęp!K234</f>
        <v>odkryj</v>
      </c>
      <c r="L234" s="799"/>
      <c r="M234" s="961"/>
      <c r="N234" s="961"/>
      <c r="O234" s="1042"/>
      <c r="P234" s="1042"/>
      <c r="Q234" s="1042"/>
      <c r="R234" s="1042"/>
      <c r="S234" s="1042"/>
      <c r="T234" s="1042"/>
    </row>
    <row r="235" spans="1:20" ht="18.850000000000001" customHeight="1" x14ac:dyDescent="0.25">
      <c r="A235" s="1183">
        <f>wstęp!A235</f>
        <v>2</v>
      </c>
      <c r="B235" s="1183">
        <f>wstęp!B235</f>
        <v>2</v>
      </c>
      <c r="C235" s="1197">
        <f>wstęp!C235</f>
        <v>9</v>
      </c>
      <c r="D235" s="1235" t="s">
        <v>7849</v>
      </c>
      <c r="E235" s="1235"/>
      <c r="F235" s="1235"/>
      <c r="G235" s="1235"/>
      <c r="H235" s="1235"/>
      <c r="I235" s="1235"/>
      <c r="J235" s="1235"/>
      <c r="K235" s="964" t="str">
        <f>wstęp!K235</f>
        <v>odkryj</v>
      </c>
      <c r="L235" s="799"/>
      <c r="M235" s="961"/>
      <c r="N235" s="961"/>
      <c r="O235" s="1042"/>
      <c r="P235" s="1042"/>
      <c r="Q235" s="1042"/>
      <c r="R235" s="1042"/>
      <c r="S235" s="1042"/>
      <c r="T235" s="1042"/>
    </row>
    <row r="236" spans="1:20" ht="15.75" customHeight="1" x14ac:dyDescent="0.25">
      <c r="A236" s="283"/>
      <c r="B236" s="348"/>
      <c r="C236" s="348"/>
      <c r="D236" s="789"/>
      <c r="E236" s="789"/>
      <c r="F236" s="789"/>
      <c r="G236" s="301"/>
      <c r="H236" s="789"/>
      <c r="I236" s="789"/>
      <c r="J236" s="788"/>
      <c r="K236" s="964" t="str">
        <f>wstęp!K236</f>
        <v>odkryj</v>
      </c>
      <c r="L236" s="799"/>
      <c r="M236" s="961"/>
      <c r="N236" s="961"/>
      <c r="O236" s="1042"/>
      <c r="P236" s="1042"/>
      <c r="Q236" s="1042"/>
      <c r="R236" s="1042"/>
      <c r="S236" s="1042"/>
      <c r="T236" s="1042"/>
    </row>
    <row r="237" spans="1:20" ht="31.6" customHeight="1" x14ac:dyDescent="0.25">
      <c r="A237" s="283"/>
      <c r="B237" s="348"/>
      <c r="C237" s="348"/>
      <c r="D237" s="1251" t="s">
        <v>7850</v>
      </c>
      <c r="E237" s="1254"/>
      <c r="F237" s="1254"/>
      <c r="G237" s="1254"/>
      <c r="H237" s="1254"/>
      <c r="I237" s="1254"/>
      <c r="J237" s="1254"/>
      <c r="K237" s="964" t="str">
        <f>wstęp!K237</f>
        <v>odkryj</v>
      </c>
      <c r="L237" s="799"/>
      <c r="M237" s="961"/>
      <c r="N237" s="961"/>
      <c r="O237" s="1042"/>
      <c r="P237" s="1042"/>
      <c r="Q237" s="1042"/>
      <c r="R237" s="1042"/>
      <c r="S237" s="1042"/>
      <c r="T237" s="1042"/>
    </row>
    <row r="238" spans="1:20" ht="15.75" customHeight="1" x14ac:dyDescent="0.25">
      <c r="A238" s="283"/>
      <c r="B238" s="348"/>
      <c r="C238" s="348"/>
      <c r="D238" s="792"/>
      <c r="E238" s="793"/>
      <c r="F238" s="793"/>
      <c r="G238" s="793"/>
      <c r="H238" s="793"/>
      <c r="I238" s="793"/>
      <c r="J238" s="793"/>
      <c r="K238" s="964" t="str">
        <f>wstęp!K238</f>
        <v>odkryj</v>
      </c>
      <c r="L238" s="799"/>
      <c r="M238" s="961"/>
      <c r="N238" s="961"/>
      <c r="O238" s="1042"/>
      <c r="P238" s="1042"/>
      <c r="Q238" s="1042"/>
      <c r="R238" s="1042"/>
      <c r="S238" s="1042"/>
      <c r="T238" s="1042"/>
    </row>
    <row r="239" spans="1:20" ht="16.55" customHeight="1" x14ac:dyDescent="0.25">
      <c r="A239" s="1183">
        <f>wstęp!A239</f>
        <v>2</v>
      </c>
      <c r="B239" s="1183">
        <f>wstęp!B239</f>
        <v>2</v>
      </c>
      <c r="C239" s="1197">
        <f>wstęp!C239</f>
        <v>10</v>
      </c>
      <c r="D239" s="1235" t="s">
        <v>7851</v>
      </c>
      <c r="E239" s="1235"/>
      <c r="F239" s="1235"/>
      <c r="G239" s="1235"/>
      <c r="H239" s="1235"/>
      <c r="I239" s="1235"/>
      <c r="J239" s="1235"/>
      <c r="K239" s="964" t="str">
        <f>wstęp!K239</f>
        <v>odkryj</v>
      </c>
      <c r="L239" s="799"/>
      <c r="M239" s="961"/>
      <c r="N239" s="961"/>
      <c r="O239" s="1042"/>
      <c r="P239" s="1042"/>
      <c r="Q239" s="1042"/>
      <c r="R239" s="1042"/>
      <c r="S239" s="1042"/>
      <c r="T239" s="1042"/>
    </row>
    <row r="240" spans="1:20" ht="15.75" customHeight="1" x14ac:dyDescent="0.25">
      <c r="A240" s="283"/>
      <c r="B240" s="348"/>
      <c r="C240" s="348"/>
      <c r="D240" s="789"/>
      <c r="E240" s="793"/>
      <c r="F240" s="793"/>
      <c r="G240" s="793"/>
      <c r="H240" s="793"/>
      <c r="I240" s="793"/>
      <c r="J240" s="793"/>
      <c r="K240" s="964" t="str">
        <f>wstęp!K240</f>
        <v>odkryj</v>
      </c>
      <c r="L240" s="799"/>
      <c r="M240" s="961"/>
      <c r="N240" s="961"/>
      <c r="O240" s="1042"/>
      <c r="P240" s="1042"/>
      <c r="Q240" s="1042"/>
      <c r="R240" s="1042"/>
      <c r="S240" s="1042"/>
      <c r="T240" s="1042"/>
    </row>
    <row r="241" spans="1:20" ht="16.55" customHeight="1" x14ac:dyDescent="0.25">
      <c r="A241" s="283"/>
      <c r="B241" s="284"/>
      <c r="C241" s="284"/>
      <c r="D241" s="1251" t="s">
        <v>7852</v>
      </c>
      <c r="E241" s="1251"/>
      <c r="F241" s="1251"/>
      <c r="G241" s="1251"/>
      <c r="H241" s="1251"/>
      <c r="I241" s="1251"/>
      <c r="J241" s="1251"/>
      <c r="K241" s="964" t="str">
        <f>wstęp!K241</f>
        <v>odkryj</v>
      </c>
      <c r="L241" s="799"/>
      <c r="M241" s="961"/>
      <c r="N241" s="961"/>
      <c r="O241" s="1042"/>
      <c r="P241" s="1042"/>
      <c r="Q241" s="1042"/>
      <c r="R241" s="1042"/>
      <c r="S241" s="1042"/>
      <c r="T241" s="1042"/>
    </row>
    <row r="242" spans="1:20" ht="30.8" customHeight="1" x14ac:dyDescent="0.25">
      <c r="A242" s="283"/>
      <c r="B242" s="284"/>
      <c r="C242" s="284"/>
      <c r="D242" s="792" t="s">
        <v>7525</v>
      </c>
      <c r="E242" s="1251" t="s">
        <v>7853</v>
      </c>
      <c r="F242" s="1251"/>
      <c r="G242" s="1251"/>
      <c r="H242" s="1251"/>
      <c r="I242" s="1251"/>
      <c r="J242" s="1251"/>
      <c r="K242" s="964" t="str">
        <f>wstęp!K242</f>
        <v>odkryj</v>
      </c>
      <c r="L242" s="799"/>
      <c r="M242" s="961"/>
      <c r="N242" s="961"/>
      <c r="O242" s="1042"/>
      <c r="P242" s="1042"/>
      <c r="Q242" s="1042"/>
      <c r="R242" s="1042"/>
      <c r="S242" s="1042"/>
      <c r="T242" s="1042"/>
    </row>
    <row r="243" spans="1:20" ht="29.95" customHeight="1" x14ac:dyDescent="0.25">
      <c r="A243" s="283"/>
      <c r="B243" s="284"/>
      <c r="C243" s="284"/>
      <c r="D243" s="792" t="s">
        <v>7525</v>
      </c>
      <c r="E243" s="1251" t="s">
        <v>7854</v>
      </c>
      <c r="F243" s="1251"/>
      <c r="G243" s="1251"/>
      <c r="H243" s="1251"/>
      <c r="I243" s="1251"/>
      <c r="J243" s="1251"/>
      <c r="K243" s="964" t="str">
        <f>wstęp!K243</f>
        <v>odkryj</v>
      </c>
      <c r="L243" s="799"/>
      <c r="M243" s="961"/>
      <c r="N243" s="961"/>
      <c r="O243" s="1042"/>
      <c r="P243" s="1042"/>
      <c r="Q243" s="1042"/>
      <c r="R243" s="1042"/>
      <c r="S243" s="1042"/>
      <c r="T243" s="1042"/>
    </row>
    <row r="244" spans="1:20" ht="12.8" customHeight="1" x14ac:dyDescent="0.25">
      <c r="A244" s="283"/>
      <c r="B244" s="284"/>
      <c r="C244" s="284"/>
      <c r="D244" s="792"/>
      <c r="E244" s="793"/>
      <c r="F244" s="793"/>
      <c r="G244" s="793"/>
      <c r="H244" s="793"/>
      <c r="I244" s="793"/>
      <c r="J244" s="793"/>
      <c r="K244" s="964" t="str">
        <f>wstęp!K244</f>
        <v>odkryj</v>
      </c>
      <c r="L244" s="799"/>
      <c r="M244" s="961"/>
      <c r="N244" s="961"/>
      <c r="O244" s="1042"/>
      <c r="P244" s="1042"/>
      <c r="Q244" s="1042"/>
      <c r="R244" s="1042"/>
      <c r="S244" s="1042"/>
      <c r="T244" s="1042"/>
    </row>
    <row r="245" spans="1:20" ht="20.95" customHeight="1" x14ac:dyDescent="0.25">
      <c r="A245" s="283"/>
      <c r="B245" s="284"/>
      <c r="C245" s="284"/>
      <c r="D245" s="1251" t="s">
        <v>7855</v>
      </c>
      <c r="E245" s="1251"/>
      <c r="F245" s="1251"/>
      <c r="G245" s="1251"/>
      <c r="H245" s="1251"/>
      <c r="I245" s="1251"/>
      <c r="J245" s="1251"/>
      <c r="K245" s="964" t="str">
        <f>wstęp!K245</f>
        <v>odkryj</v>
      </c>
      <c r="L245" s="799"/>
      <c r="M245" s="961"/>
      <c r="N245" s="961"/>
      <c r="O245" s="1042"/>
      <c r="P245" s="1042"/>
      <c r="Q245" s="1042"/>
      <c r="R245" s="1042"/>
      <c r="S245" s="1042"/>
      <c r="T245" s="1042"/>
    </row>
    <row r="246" spans="1:20" ht="36.85" customHeight="1" x14ac:dyDescent="0.25">
      <c r="A246" s="283"/>
      <c r="B246" s="284"/>
      <c r="C246" s="284"/>
      <c r="D246" s="1251" t="s">
        <v>7856</v>
      </c>
      <c r="E246" s="1251"/>
      <c r="F246" s="1251"/>
      <c r="G246" s="1251"/>
      <c r="H246" s="1251"/>
      <c r="I246" s="1251"/>
      <c r="J246" s="1251"/>
      <c r="K246" s="964" t="str">
        <f>wstęp!K246</f>
        <v>odkryj</v>
      </c>
      <c r="L246" s="799"/>
      <c r="M246" s="961"/>
      <c r="N246" s="961"/>
      <c r="O246" s="1042"/>
      <c r="P246" s="1042"/>
      <c r="Q246" s="1042"/>
      <c r="R246" s="1042"/>
      <c r="S246" s="1042"/>
      <c r="T246" s="1042"/>
    </row>
    <row r="247" spans="1:20" x14ac:dyDescent="0.25">
      <c r="A247" s="283"/>
      <c r="B247" s="284"/>
      <c r="C247" s="284"/>
      <c r="D247" s="792"/>
      <c r="E247" s="792"/>
      <c r="F247" s="792"/>
      <c r="G247" s="792"/>
      <c r="H247" s="792"/>
      <c r="I247" s="792"/>
      <c r="J247" s="792"/>
      <c r="K247" s="964" t="str">
        <f>wstęp!K247</f>
        <v>odkryj</v>
      </c>
      <c r="L247" s="799"/>
      <c r="M247" s="961"/>
      <c r="N247" s="961"/>
      <c r="O247" s="1042"/>
      <c r="P247" s="1042"/>
      <c r="Q247" s="1042"/>
      <c r="R247" s="1042"/>
      <c r="S247" s="1042"/>
      <c r="T247" s="1042"/>
    </row>
    <row r="248" spans="1:20" ht="29.95" customHeight="1" x14ac:dyDescent="0.25">
      <c r="A248" s="283"/>
      <c r="B248" s="284"/>
      <c r="C248" s="284"/>
      <c r="D248" s="1251" t="s">
        <v>7857</v>
      </c>
      <c r="E248" s="1254"/>
      <c r="F248" s="1254"/>
      <c r="G248" s="1254"/>
      <c r="H248" s="1254"/>
      <c r="I248" s="1254"/>
      <c r="J248" s="1254"/>
      <c r="K248" s="964" t="str">
        <f>wstęp!K248</f>
        <v>odkryj</v>
      </c>
      <c r="L248" s="799"/>
      <c r="M248" s="961"/>
      <c r="N248" s="961"/>
      <c r="O248" s="1042"/>
      <c r="P248" s="1042"/>
      <c r="Q248" s="1042"/>
      <c r="R248" s="1042"/>
      <c r="S248" s="1042"/>
      <c r="T248" s="1042"/>
    </row>
    <row r="249" spans="1:20" ht="15.75" customHeight="1" x14ac:dyDescent="0.25">
      <c r="A249" s="283"/>
      <c r="B249" s="284"/>
      <c r="C249" s="284"/>
      <c r="D249" s="789"/>
      <c r="E249" s="789"/>
      <c r="F249" s="789"/>
      <c r="G249" s="301"/>
      <c r="H249" s="789"/>
      <c r="I249" s="789"/>
      <c r="J249" s="788"/>
      <c r="K249" s="964" t="str">
        <f>wstęp!K249</f>
        <v>odkryj</v>
      </c>
      <c r="L249" s="799"/>
      <c r="M249" s="961"/>
      <c r="N249" s="961"/>
      <c r="O249" s="1042"/>
      <c r="P249" s="1042"/>
      <c r="Q249" s="1042"/>
      <c r="R249" s="1042"/>
      <c r="S249" s="1042"/>
      <c r="T249" s="1042"/>
    </row>
    <row r="250" spans="1:20" ht="15.05" customHeight="1" x14ac:dyDescent="0.25">
      <c r="A250" s="1183">
        <f>wstęp!A250</f>
        <v>2</v>
      </c>
      <c r="B250" s="1183">
        <f>wstęp!B250</f>
        <v>2</v>
      </c>
      <c r="C250" s="1197">
        <f>wstęp!C250</f>
        <v>11</v>
      </c>
      <c r="D250" s="1235" t="s">
        <v>7858</v>
      </c>
      <c r="E250" s="1235"/>
      <c r="F250" s="1235"/>
      <c r="G250" s="1235"/>
      <c r="H250" s="1235"/>
      <c r="I250" s="1235"/>
      <c r="J250" s="1235"/>
      <c r="K250" s="964" t="str">
        <f>wstęp!K250</f>
        <v>odkryj</v>
      </c>
      <c r="L250" s="799"/>
      <c r="M250" s="961"/>
      <c r="N250" s="961"/>
      <c r="O250" s="1042"/>
      <c r="P250" s="1042"/>
      <c r="Q250" s="1042"/>
      <c r="R250" s="1042"/>
      <c r="S250" s="1042"/>
      <c r="T250" s="1042"/>
    </row>
    <row r="251" spans="1:20" ht="15.75" customHeight="1" x14ac:dyDescent="0.25">
      <c r="A251" s="283"/>
      <c r="B251" s="284"/>
      <c r="C251" s="284"/>
      <c r="D251" s="789"/>
      <c r="E251" s="789"/>
      <c r="F251" s="789"/>
      <c r="G251" s="301"/>
      <c r="H251" s="789"/>
      <c r="I251" s="789"/>
      <c r="J251" s="788"/>
      <c r="K251" s="964" t="str">
        <f>wstęp!K251</f>
        <v>odkryj</v>
      </c>
      <c r="L251" s="799"/>
      <c r="M251" s="961"/>
      <c r="N251" s="961"/>
      <c r="O251" s="1042"/>
      <c r="P251" s="1042"/>
      <c r="Q251" s="1042"/>
      <c r="R251" s="1042"/>
      <c r="S251" s="1042"/>
      <c r="T251" s="1042"/>
    </row>
    <row r="252" spans="1:20" ht="18" customHeight="1" x14ac:dyDescent="0.25">
      <c r="A252" s="283"/>
      <c r="B252" s="284"/>
      <c r="C252" s="284"/>
      <c r="D252" s="1258" t="s">
        <v>7859</v>
      </c>
      <c r="E252" s="1258" t="s">
        <v>7860</v>
      </c>
      <c r="F252" s="1258"/>
      <c r="G252" s="1258"/>
      <c r="H252" s="1258"/>
      <c r="I252" s="1258"/>
      <c r="J252" s="1258"/>
      <c r="K252" s="964" t="str">
        <f>wstęp!K252</f>
        <v>odkryj</v>
      </c>
      <c r="L252" s="799"/>
      <c r="M252" s="961"/>
      <c r="N252" s="961"/>
      <c r="O252" s="1042"/>
      <c r="P252" s="1042"/>
      <c r="Q252" s="1042"/>
      <c r="R252" s="1042"/>
      <c r="S252" s="1042"/>
      <c r="T252" s="1042"/>
    </row>
    <row r="253" spans="1:20" ht="29.95" customHeight="1" x14ac:dyDescent="0.25">
      <c r="A253" s="283"/>
      <c r="B253" s="284"/>
      <c r="C253" s="284"/>
      <c r="D253" s="789" t="s">
        <v>7525</v>
      </c>
      <c r="E253" s="1259" t="s">
        <v>7861</v>
      </c>
      <c r="F253" s="1259"/>
      <c r="G253" s="1259"/>
      <c r="H253" s="1259"/>
      <c r="I253" s="1259"/>
      <c r="J253" s="1259"/>
      <c r="K253" s="964" t="str">
        <f>wstęp!K253</f>
        <v>odkryj</v>
      </c>
      <c r="L253" s="799"/>
      <c r="M253" s="961"/>
      <c r="N253" s="961"/>
      <c r="O253" s="1042"/>
      <c r="P253" s="1042"/>
      <c r="Q253" s="1042"/>
      <c r="R253" s="1042"/>
      <c r="S253" s="1042"/>
      <c r="T253" s="1042"/>
    </row>
    <row r="254" spans="1:20" ht="48.8" customHeight="1" x14ac:dyDescent="0.25">
      <c r="A254" s="283"/>
      <c r="B254" s="284"/>
      <c r="C254" s="284"/>
      <c r="D254" s="789" t="s">
        <v>7525</v>
      </c>
      <c r="E254" s="1259" t="s">
        <v>7862</v>
      </c>
      <c r="F254" s="1259"/>
      <c r="G254" s="1259"/>
      <c r="H254" s="1259"/>
      <c r="I254" s="1259"/>
      <c r="J254" s="1259"/>
      <c r="K254" s="964" t="str">
        <f>wstęp!K254</f>
        <v>odkryj</v>
      </c>
      <c r="L254" s="799"/>
      <c r="M254" s="961"/>
      <c r="N254" s="961"/>
      <c r="O254" s="1042"/>
      <c r="P254" s="1042"/>
      <c r="Q254" s="1042"/>
      <c r="R254" s="1042"/>
      <c r="S254" s="1042"/>
      <c r="T254" s="1042"/>
    </row>
    <row r="255" spans="1:20" ht="15.75" customHeight="1" x14ac:dyDescent="0.25">
      <c r="A255" s="283"/>
      <c r="B255" s="284"/>
      <c r="C255" s="284"/>
      <c r="D255" s="789"/>
      <c r="E255" s="789"/>
      <c r="F255" s="789"/>
      <c r="G255" s="301"/>
      <c r="H255" s="789"/>
      <c r="I255" s="789"/>
      <c r="J255" s="788"/>
      <c r="K255" s="964" t="str">
        <f>wstęp!K255</f>
        <v>odkryj</v>
      </c>
      <c r="L255" s="799"/>
      <c r="M255" s="961"/>
      <c r="N255" s="961"/>
      <c r="O255" s="1042"/>
      <c r="P255" s="1042"/>
      <c r="Q255" s="1042"/>
      <c r="R255" s="1042"/>
      <c r="S255" s="1042"/>
      <c r="T255" s="1042"/>
    </row>
    <row r="256" spans="1:20" ht="15.75" customHeight="1" x14ac:dyDescent="0.25">
      <c r="A256" s="1183">
        <f>wstęp!A256</f>
        <v>2</v>
      </c>
      <c r="B256" s="1183">
        <f>wstęp!B256</f>
        <v>2</v>
      </c>
      <c r="C256" s="1197">
        <f>wstęp!C256</f>
        <v>12</v>
      </c>
      <c r="D256" s="1235" t="s">
        <v>7863</v>
      </c>
      <c r="E256" s="1235"/>
      <c r="F256" s="1235"/>
      <c r="G256" s="1235"/>
      <c r="H256" s="1235"/>
      <c r="I256" s="1235"/>
      <c r="J256" s="1235"/>
      <c r="K256" s="964" t="str">
        <f>wstęp!K256</f>
        <v>odkryj</v>
      </c>
      <c r="L256" s="799"/>
      <c r="M256" s="961"/>
      <c r="N256" s="961"/>
      <c r="O256" s="1042"/>
      <c r="P256" s="1042"/>
      <c r="Q256" s="1042"/>
      <c r="R256" s="1042"/>
      <c r="S256" s="1042"/>
      <c r="T256" s="1042"/>
    </row>
    <row r="257" spans="1:20" ht="15.75" customHeight="1" x14ac:dyDescent="0.25">
      <c r="A257" s="283"/>
      <c r="B257" s="284"/>
      <c r="C257" s="284"/>
      <c r="D257" s="789"/>
      <c r="E257" s="789"/>
      <c r="F257" s="789"/>
      <c r="G257" s="301"/>
      <c r="H257" s="789"/>
      <c r="I257" s="789"/>
      <c r="J257" s="788"/>
      <c r="K257" s="964" t="str">
        <f>wstęp!K257</f>
        <v>odkryj</v>
      </c>
      <c r="L257" s="799"/>
      <c r="M257" s="961"/>
      <c r="N257" s="961"/>
      <c r="O257" s="1042"/>
      <c r="P257" s="1042"/>
      <c r="Q257" s="1042"/>
      <c r="R257" s="1042"/>
      <c r="S257" s="1042"/>
      <c r="T257" s="1042"/>
    </row>
    <row r="258" spans="1:20" ht="70.55" customHeight="1" x14ac:dyDescent="0.25">
      <c r="A258" s="283"/>
      <c r="B258" s="284"/>
      <c r="C258" s="284"/>
      <c r="D258" s="1245" t="s">
        <v>7864</v>
      </c>
      <c r="E258" s="1245"/>
      <c r="F258" s="1245"/>
      <c r="G258" s="1245"/>
      <c r="H258" s="1245"/>
      <c r="I258" s="1245"/>
      <c r="J258" s="1245"/>
      <c r="K258" s="964" t="str">
        <f>wstęp!K258</f>
        <v>odkryj</v>
      </c>
      <c r="L258" s="288"/>
      <c r="M258" s="1057"/>
      <c r="N258" s="1057"/>
      <c r="O258" s="1058"/>
      <c r="P258" s="1058"/>
      <c r="Q258" s="1042"/>
      <c r="R258" s="1042"/>
      <c r="S258" s="1042"/>
      <c r="T258" s="1042"/>
    </row>
    <row r="259" spans="1:20" ht="15.75" customHeight="1" x14ac:dyDescent="0.25">
      <c r="A259" s="283"/>
      <c r="B259" s="284"/>
      <c r="C259" s="284"/>
      <c r="D259" s="789"/>
      <c r="E259" s="789"/>
      <c r="F259" s="789"/>
      <c r="G259" s="301"/>
      <c r="H259" s="789"/>
      <c r="I259" s="789"/>
      <c r="J259" s="788"/>
      <c r="K259" s="964" t="str">
        <f>wstęp!K259</f>
        <v>odkryj</v>
      </c>
      <c r="L259" s="278"/>
      <c r="M259" s="1062"/>
      <c r="N259" s="1063"/>
      <c r="O259" s="1064"/>
      <c r="P259" s="1065"/>
      <c r="Q259" s="1042"/>
      <c r="R259" s="1042"/>
      <c r="S259" s="1042"/>
      <c r="T259" s="1042"/>
    </row>
    <row r="260" spans="1:20" ht="65.95" customHeight="1" x14ac:dyDescent="0.25">
      <c r="A260" s="283"/>
      <c r="B260" s="284"/>
      <c r="C260" s="284"/>
      <c r="D260" s="1245" t="s">
        <v>7865</v>
      </c>
      <c r="E260" s="1245"/>
      <c r="F260" s="1245"/>
      <c r="G260" s="1245"/>
      <c r="H260" s="1245"/>
      <c r="I260" s="1245"/>
      <c r="J260" s="1245"/>
      <c r="K260" s="964" t="str">
        <f>wstęp!K260</f>
        <v>odkryj</v>
      </c>
      <c r="L260" s="288"/>
      <c r="M260" s="1057"/>
      <c r="N260" s="1057"/>
      <c r="O260" s="1058"/>
      <c r="P260" s="1058"/>
      <c r="Q260" s="1042"/>
      <c r="R260" s="1042"/>
      <c r="S260" s="1042"/>
      <c r="T260" s="1042"/>
    </row>
    <row r="261" spans="1:20" ht="15.75" customHeight="1" x14ac:dyDescent="0.25">
      <c r="A261" s="283"/>
      <c r="B261" s="284"/>
      <c r="C261" s="284"/>
      <c r="D261" s="1234"/>
      <c r="E261" s="1234"/>
      <c r="F261" s="1234"/>
      <c r="G261" s="1234"/>
      <c r="H261" s="1234"/>
      <c r="I261" s="1234"/>
      <c r="J261" s="1234"/>
      <c r="K261" s="964" t="str">
        <f>wstęp!K261</f>
        <v>odkryj</v>
      </c>
      <c r="L261" s="278"/>
      <c r="M261" s="1062"/>
      <c r="N261" s="1063"/>
      <c r="O261" s="1064"/>
      <c r="P261" s="1065"/>
      <c r="Q261" s="1042"/>
      <c r="R261" s="1042"/>
      <c r="S261" s="1042"/>
      <c r="T261" s="1042"/>
    </row>
    <row r="262" spans="1:20" ht="32.25" customHeight="1" x14ac:dyDescent="0.25">
      <c r="A262" s="283"/>
      <c r="B262" s="284"/>
      <c r="C262" s="284"/>
      <c r="D262" s="1245" t="s">
        <v>7866</v>
      </c>
      <c r="E262" s="1245"/>
      <c r="F262" s="1245"/>
      <c r="G262" s="1245"/>
      <c r="H262" s="1245"/>
      <c r="I262" s="1245"/>
      <c r="J262" s="1245"/>
      <c r="K262" s="964" t="str">
        <f>wstęp!K262</f>
        <v>odkryj</v>
      </c>
      <c r="L262" s="288"/>
      <c r="M262" s="1057"/>
      <c r="N262" s="1057"/>
      <c r="O262" s="1058"/>
      <c r="P262" s="1058"/>
      <c r="Q262" s="1042"/>
      <c r="R262" s="1042"/>
      <c r="S262" s="1042"/>
      <c r="T262" s="1042"/>
    </row>
    <row r="263" spans="1:20" ht="15.75" customHeight="1" x14ac:dyDescent="0.25">
      <c r="A263" s="283"/>
      <c r="B263" s="284"/>
      <c r="C263" s="284"/>
      <c r="D263" s="789"/>
      <c r="E263" s="789"/>
      <c r="F263" s="789"/>
      <c r="G263" s="301"/>
      <c r="H263" s="789"/>
      <c r="I263" s="789"/>
      <c r="J263" s="788"/>
      <c r="K263" s="964" t="str">
        <f>wstęp!K263</f>
        <v>odkryj</v>
      </c>
      <c r="L263" s="799"/>
      <c r="M263" s="961"/>
      <c r="N263" s="961"/>
      <c r="O263" s="1042"/>
      <c r="P263" s="1042"/>
      <c r="Q263" s="1042"/>
      <c r="R263" s="1042"/>
      <c r="S263" s="1042"/>
      <c r="T263" s="1042"/>
    </row>
    <row r="264" spans="1:20" ht="15.75" customHeight="1" x14ac:dyDescent="0.25">
      <c r="A264" s="283"/>
      <c r="B264" s="284"/>
      <c r="C264" s="284"/>
      <c r="D264" s="1253" t="s">
        <v>7867</v>
      </c>
      <c r="E264" s="1253"/>
      <c r="F264" s="1253"/>
      <c r="G264" s="1253"/>
      <c r="H264" s="1253"/>
      <c r="I264" s="1253"/>
      <c r="J264" s="1253"/>
      <c r="K264" s="964" t="str">
        <f>wstęp!K264</f>
        <v>odkryj</v>
      </c>
      <c r="L264" s="799"/>
      <c r="M264" s="961"/>
      <c r="N264" s="961"/>
      <c r="O264" s="1042"/>
      <c r="P264" s="1042"/>
      <c r="Q264" s="1042"/>
      <c r="R264" s="1042"/>
      <c r="S264" s="1042"/>
      <c r="T264" s="1042"/>
    </row>
    <row r="265" spans="1:20" ht="15.75" customHeight="1" x14ac:dyDescent="0.25">
      <c r="A265" s="283"/>
      <c r="B265" s="284"/>
      <c r="C265" s="284"/>
      <c r="D265" s="789"/>
      <c r="E265" s="789"/>
      <c r="F265" s="789"/>
      <c r="G265" s="301"/>
      <c r="H265" s="789"/>
      <c r="I265" s="789"/>
      <c r="J265" s="788"/>
      <c r="K265" s="964" t="str">
        <f>wstęp!K265</f>
        <v>odkryj</v>
      </c>
      <c r="L265" s="799"/>
      <c r="M265" s="961"/>
      <c r="N265" s="961"/>
      <c r="O265" s="1042"/>
      <c r="P265" s="1042"/>
      <c r="Q265" s="1042"/>
      <c r="R265" s="1042"/>
      <c r="S265" s="1042"/>
      <c r="T265" s="1042"/>
    </row>
    <row r="266" spans="1:20" ht="15.75" customHeight="1" x14ac:dyDescent="0.25">
      <c r="A266" s="283"/>
      <c r="B266" s="284"/>
      <c r="C266" s="284"/>
      <c r="D266" s="1258" t="s">
        <v>7868</v>
      </c>
      <c r="E266" s="1258"/>
      <c r="F266" s="1258"/>
      <c r="G266" s="1258"/>
      <c r="H266" s="1258"/>
      <c r="I266" s="1258"/>
      <c r="J266" s="1258"/>
      <c r="K266" s="964" t="str">
        <f>wstęp!K266</f>
        <v>odkryj</v>
      </c>
      <c r="L266" s="799"/>
      <c r="M266" s="961"/>
      <c r="N266" s="961"/>
      <c r="O266" s="1042"/>
      <c r="P266" s="1042"/>
      <c r="Q266" s="1042"/>
      <c r="R266" s="1042"/>
      <c r="S266" s="1042"/>
      <c r="T266" s="1042"/>
    </row>
    <row r="267" spans="1:20" ht="15.75" customHeight="1" x14ac:dyDescent="0.25">
      <c r="A267" s="283"/>
      <c r="B267" s="284"/>
      <c r="C267" s="284"/>
      <c r="D267" s="789"/>
      <c r="E267" s="789"/>
      <c r="F267" s="789"/>
      <c r="G267" s="301"/>
      <c r="H267" s="789"/>
      <c r="I267" s="789"/>
      <c r="J267" s="788"/>
      <c r="K267" s="964" t="str">
        <f>wstęp!K267</f>
        <v>odkryj</v>
      </c>
      <c r="L267" s="799"/>
      <c r="M267" s="961"/>
      <c r="N267" s="961"/>
      <c r="O267" s="1042"/>
      <c r="P267" s="1042"/>
      <c r="Q267" s="1042"/>
      <c r="R267" s="1042"/>
      <c r="S267" s="1042"/>
      <c r="T267" s="1042"/>
    </row>
    <row r="268" spans="1:20" ht="32.25" customHeight="1" x14ac:dyDescent="0.25">
      <c r="A268" s="283"/>
      <c r="B268" s="284"/>
      <c r="C268" s="284"/>
      <c r="D268" s="1245" t="s">
        <v>7869</v>
      </c>
      <c r="E268" s="1245"/>
      <c r="F268" s="1245"/>
      <c r="G268" s="1245"/>
      <c r="H268" s="1245"/>
      <c r="I268" s="1245"/>
      <c r="J268" s="1245"/>
      <c r="K268" s="964" t="str">
        <f>wstęp!K268</f>
        <v>odkryj</v>
      </c>
      <c r="L268" s="799"/>
      <c r="M268" s="961"/>
      <c r="N268" s="961"/>
      <c r="O268" s="1042"/>
      <c r="P268" s="1042"/>
      <c r="Q268" s="1042"/>
      <c r="R268" s="1042"/>
      <c r="S268" s="1042"/>
      <c r="T268" s="1042"/>
    </row>
    <row r="269" spans="1:20" ht="15.75" customHeight="1" x14ac:dyDescent="0.25">
      <c r="A269" s="283"/>
      <c r="B269" s="284"/>
      <c r="C269" s="284"/>
      <c r="D269" s="789"/>
      <c r="E269" s="789"/>
      <c r="F269" s="789"/>
      <c r="G269" s="301"/>
      <c r="H269" s="789"/>
      <c r="I269" s="789"/>
      <c r="J269" s="788"/>
      <c r="K269" s="964" t="str">
        <f>wstęp!K269</f>
        <v>odkryj</v>
      </c>
      <c r="L269" s="799"/>
      <c r="M269" s="961"/>
      <c r="N269" s="961"/>
      <c r="O269" s="1042"/>
      <c r="P269" s="1042"/>
      <c r="Q269" s="1042"/>
      <c r="R269" s="1042"/>
      <c r="S269" s="1042"/>
      <c r="T269" s="1042"/>
    </row>
    <row r="270" spans="1:20" x14ac:dyDescent="0.25">
      <c r="A270" s="1183">
        <f>wstęp!A270</f>
        <v>2</v>
      </c>
      <c r="B270" s="1183">
        <f>wstęp!B270</f>
        <v>2</v>
      </c>
      <c r="C270" s="1197">
        <f>wstęp!C270</f>
        <v>13</v>
      </c>
      <c r="D270" s="1235" t="s">
        <v>7870</v>
      </c>
      <c r="E270" s="1235"/>
      <c r="F270" s="1235"/>
      <c r="G270" s="1235"/>
      <c r="H270" s="1235"/>
      <c r="I270" s="1235"/>
      <c r="J270" s="1235"/>
      <c r="K270" s="964" t="str">
        <f>wstęp!K270</f>
        <v>odkryj</v>
      </c>
      <c r="L270" s="799"/>
      <c r="M270" s="961"/>
      <c r="N270" s="961"/>
      <c r="O270" s="1042"/>
      <c r="P270" s="1042"/>
      <c r="Q270" s="1042"/>
      <c r="R270" s="1042"/>
      <c r="S270" s="1042"/>
      <c r="T270" s="1042"/>
    </row>
    <row r="271" spans="1:20" ht="15.75" customHeight="1" x14ac:dyDescent="0.25">
      <c r="A271" s="283"/>
      <c r="B271" s="284"/>
      <c r="C271" s="284"/>
      <c r="D271" s="789"/>
      <c r="E271" s="789"/>
      <c r="F271" s="789"/>
      <c r="G271" s="301"/>
      <c r="H271" s="789"/>
      <c r="I271" s="789"/>
      <c r="J271" s="788"/>
      <c r="K271" s="964" t="str">
        <f>wstęp!K271</f>
        <v>odkryj</v>
      </c>
      <c r="L271" s="799"/>
      <c r="M271" s="961"/>
      <c r="N271" s="961"/>
      <c r="O271" s="1042"/>
      <c r="P271" s="1042"/>
      <c r="Q271" s="1042"/>
      <c r="R271" s="1042"/>
      <c r="S271" s="1042"/>
      <c r="T271" s="1042"/>
    </row>
    <row r="272" spans="1:20" ht="15.75" customHeight="1" x14ac:dyDescent="0.25">
      <c r="A272" s="283"/>
      <c r="B272" s="284"/>
      <c r="C272" s="284"/>
      <c r="D272" s="1245" t="s">
        <v>7871</v>
      </c>
      <c r="E272" s="1245"/>
      <c r="F272" s="1245"/>
      <c r="G272" s="1245"/>
      <c r="H272" s="1245"/>
      <c r="I272" s="1245"/>
      <c r="J272" s="1245"/>
      <c r="K272" s="964" t="str">
        <f>wstęp!K272</f>
        <v>odkryj</v>
      </c>
      <c r="L272" s="799"/>
      <c r="M272" s="961"/>
      <c r="N272" s="961"/>
      <c r="O272" s="1042"/>
      <c r="P272" s="1042"/>
      <c r="Q272" s="1042"/>
      <c r="R272" s="1042"/>
      <c r="S272" s="1042"/>
      <c r="T272" s="1042"/>
    </row>
    <row r="273" spans="1:20" ht="15.75" customHeight="1" x14ac:dyDescent="0.25">
      <c r="A273" s="283"/>
      <c r="B273" s="284"/>
      <c r="C273" s="284"/>
      <c r="D273" s="789"/>
      <c r="E273" s="789"/>
      <c r="F273" s="789"/>
      <c r="G273" s="301"/>
      <c r="H273" s="789"/>
      <c r="I273" s="789"/>
      <c r="J273" s="788"/>
      <c r="K273" s="964" t="str">
        <f>wstęp!K273</f>
        <v>odkryj</v>
      </c>
      <c r="L273" s="799"/>
      <c r="M273" s="961"/>
      <c r="N273" s="961"/>
      <c r="O273" s="1042"/>
      <c r="P273" s="1042"/>
      <c r="Q273" s="1042"/>
      <c r="R273" s="1042"/>
      <c r="S273" s="1042"/>
      <c r="T273" s="1042"/>
    </row>
    <row r="274" spans="1:20" ht="33.75" customHeight="1" x14ac:dyDescent="0.25">
      <c r="A274" s="283"/>
      <c r="B274" s="284"/>
      <c r="C274" s="284"/>
      <c r="D274" s="1245" t="s">
        <v>7872</v>
      </c>
      <c r="E274" s="1245"/>
      <c r="F274" s="1245"/>
      <c r="G274" s="1245"/>
      <c r="H274" s="1245"/>
      <c r="I274" s="1245"/>
      <c r="J274" s="1245"/>
      <c r="K274" s="964" t="str">
        <f>wstęp!K274</f>
        <v>odkryj</v>
      </c>
      <c r="L274" s="799"/>
      <c r="M274" s="961"/>
      <c r="N274" s="961"/>
      <c r="O274" s="1042"/>
      <c r="P274" s="1042"/>
      <c r="Q274" s="1042"/>
      <c r="R274" s="1042"/>
      <c r="S274" s="1042"/>
      <c r="T274" s="1042"/>
    </row>
    <row r="275" spans="1:20" ht="15.75" customHeight="1" x14ac:dyDescent="0.25">
      <c r="A275" s="283"/>
      <c r="B275" s="284"/>
      <c r="C275" s="284"/>
      <c r="D275" s="789"/>
      <c r="E275" s="789"/>
      <c r="F275" s="789"/>
      <c r="G275" s="301"/>
      <c r="H275" s="789"/>
      <c r="I275" s="789"/>
      <c r="J275" s="788"/>
      <c r="K275" s="964" t="str">
        <f>wstęp!K275</f>
        <v>odkryj</v>
      </c>
      <c r="L275" s="799"/>
      <c r="M275" s="961"/>
      <c r="N275" s="961"/>
      <c r="O275" s="1042"/>
      <c r="P275" s="1042"/>
      <c r="Q275" s="1042"/>
      <c r="R275" s="1042"/>
      <c r="S275" s="1042"/>
      <c r="T275" s="1042"/>
    </row>
    <row r="276" spans="1:20" ht="13.6" customHeight="1" x14ac:dyDescent="0.25">
      <c r="A276" s="283"/>
      <c r="B276" s="284"/>
      <c r="C276" s="284"/>
      <c r="D276" s="1245" t="s">
        <v>7873</v>
      </c>
      <c r="E276" s="1245"/>
      <c r="F276" s="1245"/>
      <c r="G276" s="1245"/>
      <c r="H276" s="1245"/>
      <c r="I276" s="1245"/>
      <c r="J276" s="1245"/>
      <c r="K276" s="964" t="str">
        <f>wstęp!K276</f>
        <v>odkryj</v>
      </c>
      <c r="L276" s="799"/>
      <c r="M276" s="961"/>
      <c r="N276" s="961"/>
      <c r="O276" s="1042"/>
      <c r="P276" s="1042"/>
      <c r="Q276" s="1042"/>
      <c r="R276" s="1042"/>
      <c r="S276" s="1042"/>
      <c r="T276" s="1042"/>
    </row>
    <row r="277" spans="1:20" ht="15.75" customHeight="1" x14ac:dyDescent="0.25">
      <c r="A277" s="283"/>
      <c r="B277" s="284"/>
      <c r="C277" s="284"/>
      <c r="D277" s="789"/>
      <c r="E277" s="789"/>
      <c r="F277" s="789"/>
      <c r="G277" s="301"/>
      <c r="H277" s="789"/>
      <c r="I277" s="789"/>
      <c r="J277" s="788"/>
      <c r="K277" s="964" t="str">
        <f>wstęp!K277</f>
        <v>odkryj</v>
      </c>
      <c r="L277" s="799"/>
      <c r="M277" s="961"/>
      <c r="N277" s="961"/>
      <c r="O277" s="1042"/>
      <c r="P277" s="1042"/>
      <c r="Q277" s="1042"/>
      <c r="R277" s="1042"/>
      <c r="S277" s="1042"/>
      <c r="T277" s="1042"/>
    </row>
    <row r="278" spans="1:20" ht="62.2" customHeight="1" x14ac:dyDescent="0.25">
      <c r="A278" s="283"/>
      <c r="B278" s="284"/>
      <c r="C278" s="284"/>
      <c r="D278" s="1245" t="s">
        <v>7874</v>
      </c>
      <c r="E278" s="1245"/>
      <c r="F278" s="1245"/>
      <c r="G278" s="1245"/>
      <c r="H278" s="1245"/>
      <c r="I278" s="1245"/>
      <c r="J278" s="1245"/>
      <c r="K278" s="964" t="str">
        <f>wstęp!K278</f>
        <v>odkryj</v>
      </c>
      <c r="L278" s="799"/>
      <c r="M278" s="961"/>
      <c r="N278" s="961"/>
      <c r="O278" s="1042"/>
      <c r="P278" s="1042"/>
      <c r="Q278" s="1042"/>
      <c r="R278" s="1042"/>
      <c r="S278" s="1042"/>
      <c r="T278" s="1042"/>
    </row>
    <row r="279" spans="1:20" ht="15.75" customHeight="1" x14ac:dyDescent="0.25">
      <c r="A279" s="283"/>
      <c r="B279" s="284"/>
      <c r="C279" s="284"/>
      <c r="D279" s="789"/>
      <c r="E279" s="789"/>
      <c r="F279" s="789"/>
      <c r="G279" s="301"/>
      <c r="H279" s="789"/>
      <c r="I279" s="789"/>
      <c r="J279" s="788"/>
      <c r="K279" s="964" t="str">
        <f>wstęp!K279</f>
        <v>odkryj</v>
      </c>
      <c r="L279" s="799"/>
      <c r="M279" s="961"/>
      <c r="N279" s="961"/>
      <c r="O279" s="1042"/>
      <c r="P279" s="1042"/>
      <c r="Q279" s="1042"/>
      <c r="R279" s="1042"/>
      <c r="S279" s="1042"/>
      <c r="T279" s="1042"/>
    </row>
    <row r="280" spans="1:20" ht="33.75" customHeight="1" x14ac:dyDescent="0.25">
      <c r="A280" s="283"/>
      <c r="B280" s="284"/>
      <c r="C280" s="284"/>
      <c r="D280" s="1245" t="s">
        <v>7875</v>
      </c>
      <c r="E280" s="1245"/>
      <c r="F280" s="1245"/>
      <c r="G280" s="1245"/>
      <c r="H280" s="1245"/>
      <c r="I280" s="1245"/>
      <c r="J280" s="1245"/>
      <c r="K280" s="964" t="str">
        <f>wstęp!K280</f>
        <v>odkryj</v>
      </c>
      <c r="L280" s="799"/>
      <c r="M280" s="961"/>
      <c r="N280" s="961"/>
      <c r="O280" s="1042"/>
      <c r="P280" s="1042"/>
      <c r="Q280" s="1042"/>
      <c r="R280" s="1042"/>
      <c r="S280" s="1042"/>
      <c r="T280" s="1042"/>
    </row>
    <row r="281" spans="1:20" ht="15.75" customHeight="1" x14ac:dyDescent="0.25">
      <c r="A281" s="283"/>
      <c r="B281" s="284"/>
      <c r="C281" s="284"/>
      <c r="D281" s="789"/>
      <c r="E281" s="789"/>
      <c r="F281" s="789"/>
      <c r="G281" s="301"/>
      <c r="H281" s="789"/>
      <c r="I281" s="789"/>
      <c r="J281" s="788"/>
      <c r="K281" s="964" t="str">
        <f>wstęp!K281</f>
        <v>odkryj</v>
      </c>
      <c r="L281" s="799"/>
      <c r="M281" s="961"/>
      <c r="N281" s="961"/>
      <c r="O281" s="1042"/>
      <c r="P281" s="1042"/>
      <c r="Q281" s="1042"/>
      <c r="R281" s="1042"/>
      <c r="S281" s="1042"/>
      <c r="T281" s="1042"/>
    </row>
    <row r="282" spans="1:20" ht="32.25" customHeight="1" x14ac:dyDescent="0.25">
      <c r="A282" s="283"/>
      <c r="B282" s="284"/>
      <c r="C282" s="284"/>
      <c r="D282" s="1245" t="s">
        <v>7876</v>
      </c>
      <c r="E282" s="1245"/>
      <c r="F282" s="1245"/>
      <c r="G282" s="1245"/>
      <c r="H282" s="1245"/>
      <c r="I282" s="1245"/>
      <c r="J282" s="1245"/>
      <c r="K282" s="964" t="str">
        <f>wstęp!K282</f>
        <v>odkryj</v>
      </c>
      <c r="L282" s="799"/>
      <c r="M282" s="961"/>
      <c r="N282" s="961"/>
      <c r="O282" s="1042"/>
      <c r="P282" s="1042"/>
      <c r="Q282" s="1042"/>
      <c r="R282" s="1042"/>
      <c r="S282" s="1042"/>
      <c r="T282" s="1042"/>
    </row>
    <row r="283" spans="1:20" ht="15.75" customHeight="1" x14ac:dyDescent="0.25">
      <c r="A283" s="283"/>
      <c r="B283" s="284"/>
      <c r="C283" s="284"/>
      <c r="D283" s="789"/>
      <c r="E283" s="789"/>
      <c r="F283" s="789"/>
      <c r="G283" s="301"/>
      <c r="H283" s="789"/>
      <c r="I283" s="789"/>
      <c r="J283" s="788"/>
      <c r="K283" s="964" t="str">
        <f>wstęp!K283</f>
        <v>odkryj</v>
      </c>
      <c r="L283" s="799"/>
      <c r="M283" s="961"/>
      <c r="N283" s="961"/>
      <c r="O283" s="1042"/>
      <c r="P283" s="1042"/>
      <c r="Q283" s="1042"/>
      <c r="R283" s="1042"/>
      <c r="S283" s="1042"/>
      <c r="T283" s="1042"/>
    </row>
    <row r="284" spans="1:20" ht="49.6" customHeight="1" x14ac:dyDescent="0.25">
      <c r="A284" s="283"/>
      <c r="B284" s="284"/>
      <c r="C284" s="284"/>
      <c r="D284" s="1245" t="s">
        <v>7877</v>
      </c>
      <c r="E284" s="1245"/>
      <c r="F284" s="1245"/>
      <c r="G284" s="1245"/>
      <c r="H284" s="1245"/>
      <c r="I284" s="1245"/>
      <c r="J284" s="1245"/>
      <c r="K284" s="964" t="str">
        <f>wstęp!K284</f>
        <v>odkryj</v>
      </c>
      <c r="L284" s="799"/>
      <c r="M284" s="961"/>
      <c r="N284" s="961"/>
      <c r="O284" s="1042"/>
      <c r="P284" s="1042"/>
      <c r="Q284" s="1042"/>
      <c r="R284" s="1042"/>
      <c r="S284" s="1042"/>
      <c r="T284" s="1042"/>
    </row>
    <row r="285" spans="1:20" ht="15.75" customHeight="1" x14ac:dyDescent="0.25">
      <c r="A285" s="283"/>
      <c r="B285" s="284"/>
      <c r="C285" s="284"/>
      <c r="D285" s="790"/>
      <c r="E285" s="790"/>
      <c r="F285" s="790"/>
      <c r="G285" s="790"/>
      <c r="H285" s="790"/>
      <c r="I285" s="790"/>
      <c r="J285" s="790"/>
      <c r="K285" s="964" t="str">
        <f>wstęp!K285</f>
        <v>odkryj</v>
      </c>
      <c r="L285" s="799"/>
      <c r="M285" s="961"/>
      <c r="N285" s="961"/>
      <c r="O285" s="1042"/>
      <c r="P285" s="1042"/>
      <c r="Q285" s="1042"/>
      <c r="R285" s="1042"/>
      <c r="S285" s="1042"/>
      <c r="T285" s="1042"/>
    </row>
    <row r="286" spans="1:20" ht="18" customHeight="1" x14ac:dyDescent="0.25">
      <c r="A286" s="1183">
        <f>wstęp!A286</f>
        <v>2</v>
      </c>
      <c r="B286" s="1183">
        <f>wstęp!B286</f>
        <v>2</v>
      </c>
      <c r="C286" s="1197">
        <f>wstęp!C286</f>
        <v>14</v>
      </c>
      <c r="D286" s="1235" t="s">
        <v>7878</v>
      </c>
      <c r="E286" s="1235"/>
      <c r="F286" s="1235"/>
      <c r="G286" s="1235"/>
      <c r="H286" s="1235"/>
      <c r="I286" s="1235"/>
      <c r="J286" s="1235"/>
      <c r="K286" s="964" t="str">
        <f>wstęp!K286</f>
        <v>odkryj</v>
      </c>
      <c r="L286" s="799"/>
      <c r="M286" s="961"/>
      <c r="N286" s="961"/>
      <c r="O286" s="1042"/>
      <c r="P286" s="1042"/>
      <c r="Q286" s="1042"/>
      <c r="R286" s="1042"/>
      <c r="S286" s="1042"/>
      <c r="T286" s="1042"/>
    </row>
    <row r="287" spans="1:20" ht="15.75" customHeight="1" x14ac:dyDescent="0.25">
      <c r="A287" s="283"/>
      <c r="B287" s="284"/>
      <c r="C287" s="284"/>
      <c r="D287" s="790"/>
      <c r="E287" s="790"/>
      <c r="F287" s="790"/>
      <c r="G287" s="790"/>
      <c r="H287" s="790"/>
      <c r="I287" s="790"/>
      <c r="J287" s="790"/>
      <c r="K287" s="964" t="str">
        <f>wstęp!K287</f>
        <v>odkryj</v>
      </c>
      <c r="L287" s="799"/>
      <c r="M287" s="961"/>
      <c r="N287" s="961"/>
      <c r="O287" s="1042"/>
      <c r="P287" s="1042"/>
      <c r="Q287" s="1042"/>
      <c r="R287" s="1042"/>
      <c r="S287" s="1042"/>
      <c r="T287" s="1042"/>
    </row>
    <row r="288" spans="1:20" ht="42.75" customHeight="1" x14ac:dyDescent="0.25">
      <c r="A288" s="283"/>
      <c r="B288" s="284"/>
      <c r="C288" s="284"/>
      <c r="D288" s="1245" t="s">
        <v>7879</v>
      </c>
      <c r="E288" s="1245"/>
      <c r="F288" s="1245"/>
      <c r="G288" s="1245"/>
      <c r="H288" s="1245"/>
      <c r="I288" s="1245"/>
      <c r="J288" s="1245"/>
      <c r="K288" s="964" t="str">
        <f>wstęp!K288</f>
        <v>odkryj</v>
      </c>
      <c r="L288" s="799"/>
      <c r="M288" s="961"/>
      <c r="N288" s="961"/>
      <c r="O288" s="1042"/>
      <c r="P288" s="1042"/>
      <c r="Q288" s="1042"/>
      <c r="R288" s="1042"/>
      <c r="S288" s="1042"/>
      <c r="T288" s="1042"/>
    </row>
    <row r="289" spans="1:20" ht="13.6" customHeight="1" x14ac:dyDescent="0.25">
      <c r="A289" s="283"/>
      <c r="B289" s="284"/>
      <c r="C289" s="284"/>
      <c r="D289" s="1245" t="s">
        <v>7880</v>
      </c>
      <c r="E289" s="1245"/>
      <c r="F289" s="1245"/>
      <c r="G289" s="1245"/>
      <c r="H289" s="1245"/>
      <c r="I289" s="1245"/>
      <c r="J289" s="1245"/>
      <c r="K289" s="964" t="str">
        <f>wstęp!K289</f>
        <v>odkryj</v>
      </c>
      <c r="L289" s="799"/>
      <c r="M289" s="961"/>
      <c r="N289" s="961"/>
      <c r="O289" s="1042"/>
      <c r="P289" s="1042"/>
      <c r="Q289" s="1042"/>
      <c r="R289" s="1042"/>
      <c r="S289" s="1042"/>
      <c r="T289" s="1042"/>
    </row>
    <row r="290" spans="1:20" ht="15.75" customHeight="1" x14ac:dyDescent="0.25">
      <c r="A290" s="283"/>
      <c r="B290" s="284"/>
      <c r="C290" s="284"/>
      <c r="D290" s="1234"/>
      <c r="E290" s="1234"/>
      <c r="F290" s="1234"/>
      <c r="G290" s="1234"/>
      <c r="H290" s="1234"/>
      <c r="I290" s="1234"/>
      <c r="J290" s="1234"/>
      <c r="K290" s="964" t="str">
        <f>wstęp!K290</f>
        <v>odkryj</v>
      </c>
      <c r="L290" s="799"/>
      <c r="M290" s="961"/>
      <c r="N290" s="961"/>
      <c r="O290" s="1042"/>
      <c r="P290" s="1042"/>
      <c r="Q290" s="1042"/>
      <c r="R290" s="1042"/>
      <c r="S290" s="1042"/>
      <c r="T290" s="1042"/>
    </row>
    <row r="291" spans="1:20" ht="56.3" customHeight="1" x14ac:dyDescent="0.25">
      <c r="A291" s="283"/>
      <c r="B291" s="284"/>
      <c r="C291" s="284"/>
      <c r="D291" s="1245" t="s">
        <v>7881</v>
      </c>
      <c r="E291" s="1245"/>
      <c r="F291" s="1245"/>
      <c r="G291" s="1245"/>
      <c r="H291" s="1245"/>
      <c r="I291" s="1245"/>
      <c r="J291" s="1245"/>
      <c r="K291" s="964" t="str">
        <f>wstęp!K291</f>
        <v>odkryj</v>
      </c>
      <c r="L291" s="799"/>
      <c r="M291" s="961"/>
      <c r="N291" s="961"/>
      <c r="O291" s="1042"/>
      <c r="P291" s="1042"/>
      <c r="Q291" s="1042"/>
      <c r="R291" s="1042"/>
      <c r="S291" s="1042"/>
      <c r="T291" s="1042"/>
    </row>
    <row r="292" spans="1:20" x14ac:dyDescent="0.25">
      <c r="A292" s="283"/>
      <c r="B292" s="284"/>
      <c r="C292" s="284"/>
      <c r="D292" s="790"/>
      <c r="E292" s="790"/>
      <c r="F292" s="790"/>
      <c r="G292" s="790"/>
      <c r="H292" s="790"/>
      <c r="I292" s="790"/>
      <c r="J292" s="790"/>
      <c r="K292" s="964" t="str">
        <f>wstęp!K292</f>
        <v>odkryj</v>
      </c>
      <c r="L292" s="799"/>
      <c r="M292" s="961"/>
      <c r="N292" s="961"/>
      <c r="O292" s="1042"/>
      <c r="P292" s="1042"/>
      <c r="Q292" s="1042"/>
      <c r="R292" s="1042"/>
      <c r="S292" s="1042"/>
      <c r="T292" s="1042"/>
    </row>
    <row r="293" spans="1:20" ht="15.75" customHeight="1" x14ac:dyDescent="0.25">
      <c r="A293" s="283"/>
      <c r="B293" s="284"/>
      <c r="C293" s="284"/>
      <c r="D293" s="298"/>
      <c r="E293" s="298"/>
      <c r="F293" s="298"/>
      <c r="G293" s="298"/>
      <c r="H293" s="298"/>
      <c r="I293" s="298"/>
      <c r="J293" s="298"/>
      <c r="K293" s="964" t="str">
        <f>wstęp!K293</f>
        <v>odkryj</v>
      </c>
      <c r="L293" s="799"/>
      <c r="M293" s="961"/>
      <c r="N293" s="961"/>
      <c r="O293" s="1042"/>
      <c r="P293" s="1042"/>
      <c r="Q293" s="1042"/>
      <c r="R293" s="1042"/>
      <c r="S293" s="1042"/>
      <c r="T293" s="1042"/>
    </row>
    <row r="294" spans="1:20" ht="16.55" customHeight="1" x14ac:dyDescent="0.25">
      <c r="A294" s="1183">
        <f>wstęp!A294</f>
        <v>2</v>
      </c>
      <c r="B294" s="1183">
        <f>wstęp!B294</f>
        <v>2</v>
      </c>
      <c r="C294" s="1197">
        <f>wstęp!C294</f>
        <v>15</v>
      </c>
      <c r="D294" s="1235" t="s">
        <v>7882</v>
      </c>
      <c r="E294" s="1235"/>
      <c r="F294" s="1235"/>
      <c r="G294" s="1235"/>
      <c r="H294" s="1235"/>
      <c r="I294" s="1235"/>
      <c r="J294" s="1235"/>
      <c r="K294" s="964" t="str">
        <f>wstęp!K294</f>
        <v>odkryj</v>
      </c>
      <c r="L294" s="799"/>
      <c r="M294" s="961"/>
      <c r="N294" s="961"/>
      <c r="O294" s="1042"/>
      <c r="P294" s="1042"/>
      <c r="Q294" s="1042"/>
      <c r="R294" s="1042"/>
      <c r="S294" s="1042"/>
      <c r="T294" s="1042"/>
    </row>
    <row r="295" spans="1:20" ht="16.55" customHeight="1" x14ac:dyDescent="0.25">
      <c r="A295" s="283"/>
      <c r="B295" s="284"/>
      <c r="C295" s="284"/>
      <c r="D295" s="789"/>
      <c r="E295" s="789"/>
      <c r="F295" s="789"/>
      <c r="G295" s="301"/>
      <c r="H295" s="789"/>
      <c r="I295" s="789"/>
      <c r="J295" s="788"/>
      <c r="K295" s="964" t="str">
        <f>wstęp!K295</f>
        <v>odkryj</v>
      </c>
      <c r="L295" s="799"/>
      <c r="M295" s="961"/>
      <c r="N295" s="961"/>
      <c r="O295" s="1042"/>
      <c r="P295" s="1042"/>
      <c r="Q295" s="1042"/>
      <c r="R295" s="1042"/>
      <c r="S295" s="1042"/>
      <c r="T295" s="1042"/>
    </row>
    <row r="296" spans="1:20" ht="87.05" customHeight="1" x14ac:dyDescent="0.25">
      <c r="A296" s="283"/>
      <c r="B296" s="284"/>
      <c r="C296" s="284"/>
      <c r="D296" s="1257" t="s">
        <v>7668</v>
      </c>
      <c r="E296" s="1257"/>
      <c r="F296" s="1257"/>
      <c r="G296" s="1257"/>
      <c r="H296" s="1257"/>
      <c r="I296" s="1257"/>
      <c r="J296" s="1257"/>
      <c r="K296" s="964" t="str">
        <f>wstęp!K296</f>
        <v>odkryj</v>
      </c>
      <c r="L296" s="799"/>
      <c r="M296" s="961"/>
      <c r="N296" s="961"/>
      <c r="O296" s="1042"/>
      <c r="P296" s="1042"/>
      <c r="Q296" s="1042"/>
      <c r="R296" s="1042"/>
      <c r="S296" s="1042"/>
      <c r="T296" s="1042"/>
    </row>
    <row r="297" spans="1:20" ht="15.75" customHeight="1" x14ac:dyDescent="0.25">
      <c r="A297" s="283"/>
      <c r="B297" s="284"/>
      <c r="C297" s="284"/>
      <c r="D297" s="956"/>
      <c r="E297" s="956"/>
      <c r="F297" s="956"/>
      <c r="G297" s="956"/>
      <c r="H297" s="956"/>
      <c r="I297" s="956"/>
      <c r="J297" s="956"/>
      <c r="K297" s="964" t="str">
        <f>wstęp!K297</f>
        <v>odkryj</v>
      </c>
      <c r="L297" s="799"/>
      <c r="M297" s="961"/>
      <c r="N297" s="961"/>
      <c r="O297" s="1042"/>
      <c r="P297" s="1042"/>
      <c r="Q297" s="1042"/>
      <c r="R297" s="1042"/>
      <c r="S297" s="1042"/>
      <c r="T297" s="1042"/>
    </row>
    <row r="298" spans="1:20" ht="34.549999999999997" customHeight="1" x14ac:dyDescent="0.25">
      <c r="A298" s="283"/>
      <c r="B298" s="284"/>
      <c r="C298" s="284"/>
      <c r="D298" s="1251" t="s">
        <v>7883</v>
      </c>
      <c r="E298" s="1254"/>
      <c r="F298" s="1254"/>
      <c r="G298" s="1254"/>
      <c r="H298" s="1254"/>
      <c r="I298" s="1254"/>
      <c r="J298" s="1254"/>
      <c r="K298" s="964" t="str">
        <f>wstęp!K298</f>
        <v>odkryj</v>
      </c>
      <c r="L298" s="799"/>
      <c r="M298" s="961"/>
      <c r="N298" s="961"/>
      <c r="O298" s="1042"/>
      <c r="P298" s="1042"/>
      <c r="Q298" s="1042"/>
      <c r="R298" s="1042"/>
      <c r="S298" s="1042"/>
      <c r="T298" s="1042"/>
    </row>
    <row r="299" spans="1:20" ht="127.5" customHeight="1" x14ac:dyDescent="0.25">
      <c r="A299" s="283"/>
      <c r="B299" s="284"/>
      <c r="C299" s="284"/>
      <c r="D299" s="1251" t="s">
        <v>7884</v>
      </c>
      <c r="E299" s="1254"/>
      <c r="F299" s="1254"/>
      <c r="G299" s="1254"/>
      <c r="H299" s="1254"/>
      <c r="I299" s="1254"/>
      <c r="J299" s="1254"/>
      <c r="K299" s="964" t="str">
        <f>wstęp!K299</f>
        <v>odkryj</v>
      </c>
      <c r="L299" s="799"/>
      <c r="M299" s="961"/>
      <c r="N299" s="961"/>
      <c r="O299" s="1042"/>
      <c r="P299" s="1042"/>
      <c r="Q299" s="1042"/>
      <c r="R299" s="1042"/>
      <c r="S299" s="1042"/>
      <c r="T299" s="1042"/>
    </row>
    <row r="300" spans="1:20" ht="133.55000000000001" customHeight="1" x14ac:dyDescent="0.25">
      <c r="A300" s="283"/>
      <c r="B300" s="284"/>
      <c r="C300" s="284"/>
      <c r="D300" s="1251" t="s">
        <v>7885</v>
      </c>
      <c r="E300" s="1254"/>
      <c r="F300" s="1254"/>
      <c r="G300" s="1254"/>
      <c r="H300" s="1254"/>
      <c r="I300" s="1254"/>
      <c r="J300" s="1254"/>
      <c r="K300" s="964" t="str">
        <f>wstęp!K300</f>
        <v>odkryj</v>
      </c>
      <c r="L300" s="799"/>
      <c r="M300" s="961"/>
      <c r="N300" s="961"/>
      <c r="O300" s="1042"/>
      <c r="P300" s="1042"/>
      <c r="Q300" s="1042"/>
      <c r="R300" s="1042"/>
      <c r="S300" s="1042"/>
      <c r="T300" s="1042"/>
    </row>
    <row r="301" spans="1:20" ht="15.75" customHeight="1" x14ac:dyDescent="0.25">
      <c r="A301" s="283"/>
      <c r="B301" s="284"/>
      <c r="C301" s="284"/>
      <c r="D301" s="1234"/>
      <c r="E301" s="1234"/>
      <c r="F301" s="1234"/>
      <c r="G301" s="1234"/>
      <c r="H301" s="1234"/>
      <c r="I301" s="1234"/>
      <c r="J301" s="1234"/>
      <c r="K301" s="964" t="str">
        <f>wstęp!K301</f>
        <v>odkryj</v>
      </c>
      <c r="L301" s="799"/>
      <c r="M301" s="961"/>
      <c r="N301" s="961"/>
      <c r="O301" s="1042"/>
      <c r="P301" s="1042"/>
      <c r="Q301" s="1042"/>
      <c r="R301" s="1042"/>
      <c r="S301" s="1042"/>
      <c r="T301" s="1042"/>
    </row>
    <row r="302" spans="1:20" ht="52.55" customHeight="1" x14ac:dyDescent="0.25">
      <c r="A302" s="283"/>
      <c r="B302" s="284"/>
      <c r="C302" s="284"/>
      <c r="D302" s="1245" t="s">
        <v>7886</v>
      </c>
      <c r="E302" s="1245"/>
      <c r="F302" s="1245"/>
      <c r="G302" s="1245"/>
      <c r="H302" s="1245"/>
      <c r="I302" s="1245"/>
      <c r="J302" s="1245"/>
      <c r="K302" s="964" t="str">
        <f>wstęp!K302</f>
        <v>odkryj</v>
      </c>
      <c r="L302" s="799"/>
      <c r="M302" s="961"/>
      <c r="N302" s="961"/>
      <c r="O302" s="1042"/>
      <c r="P302" s="1042"/>
      <c r="Q302" s="1042"/>
      <c r="R302" s="1042"/>
      <c r="S302" s="1042"/>
      <c r="T302" s="1042"/>
    </row>
    <row r="303" spans="1:20" ht="15.75" customHeight="1" x14ac:dyDescent="0.25">
      <c r="A303" s="283"/>
      <c r="B303" s="284"/>
      <c r="C303" s="284"/>
      <c r="D303" s="1234"/>
      <c r="E303" s="1234"/>
      <c r="F303" s="1234"/>
      <c r="G303" s="1234"/>
      <c r="H303" s="1234"/>
      <c r="I303" s="1234"/>
      <c r="J303" s="1234"/>
      <c r="K303" s="964" t="str">
        <f>wstęp!K303</f>
        <v>odkryj</v>
      </c>
      <c r="L303" s="799"/>
      <c r="M303" s="961"/>
      <c r="N303" s="961"/>
      <c r="O303" s="1042"/>
      <c r="P303" s="1042"/>
      <c r="Q303" s="1042"/>
      <c r="R303" s="1042"/>
      <c r="S303" s="1042"/>
      <c r="T303" s="1042"/>
    </row>
    <row r="304" spans="1:20" ht="49.6" customHeight="1" x14ac:dyDescent="0.25">
      <c r="A304" s="283"/>
      <c r="B304" s="284"/>
      <c r="C304" s="284"/>
      <c r="D304" s="1245" t="s">
        <v>7887</v>
      </c>
      <c r="E304" s="1245"/>
      <c r="F304" s="1245"/>
      <c r="G304" s="1245"/>
      <c r="H304" s="1245"/>
      <c r="I304" s="1245"/>
      <c r="J304" s="1245"/>
      <c r="K304" s="964" t="str">
        <f>wstęp!K304</f>
        <v>odkryj</v>
      </c>
      <c r="L304" s="799"/>
      <c r="M304" s="961"/>
      <c r="N304" s="961"/>
      <c r="O304" s="1042"/>
      <c r="P304" s="1042"/>
      <c r="Q304" s="1042"/>
      <c r="R304" s="1042"/>
      <c r="S304" s="1042"/>
      <c r="T304" s="1042"/>
    </row>
    <row r="305" spans="1:20" ht="15.75" customHeight="1" x14ac:dyDescent="0.25">
      <c r="A305" s="283"/>
      <c r="B305" s="284"/>
      <c r="C305" s="284"/>
      <c r="D305" s="790"/>
      <c r="E305" s="790"/>
      <c r="F305" s="790"/>
      <c r="G305" s="790"/>
      <c r="H305" s="790"/>
      <c r="I305" s="790"/>
      <c r="J305" s="790"/>
      <c r="K305" s="964" t="str">
        <f>wstęp!K305</f>
        <v>odkryj</v>
      </c>
      <c r="L305" s="799"/>
      <c r="M305" s="961"/>
      <c r="N305" s="961"/>
      <c r="O305" s="1042"/>
      <c r="P305" s="1042"/>
      <c r="Q305" s="1042"/>
      <c r="R305" s="1042"/>
      <c r="S305" s="1042"/>
      <c r="T305" s="1042"/>
    </row>
    <row r="306" spans="1:20" ht="93.8" customHeight="1" x14ac:dyDescent="0.25">
      <c r="A306" s="283"/>
      <c r="B306" s="284"/>
      <c r="C306" s="284"/>
      <c r="D306" s="1251" t="s">
        <v>7888</v>
      </c>
      <c r="E306" s="1254"/>
      <c r="F306" s="1254"/>
      <c r="G306" s="1254"/>
      <c r="H306" s="1254"/>
      <c r="I306" s="1254"/>
      <c r="J306" s="1254"/>
      <c r="K306" s="964" t="str">
        <f>wstęp!K306</f>
        <v>odkryj</v>
      </c>
      <c r="L306" s="799"/>
      <c r="M306" s="961"/>
      <c r="N306" s="1066"/>
      <c r="O306" s="1042"/>
      <c r="P306" s="1042"/>
      <c r="Q306" s="1042"/>
      <c r="R306" s="1042"/>
      <c r="S306" s="1042"/>
      <c r="T306" s="1042"/>
    </row>
    <row r="307" spans="1:20" ht="15.75" customHeight="1" x14ac:dyDescent="0.25">
      <c r="A307" s="283"/>
      <c r="B307" s="284"/>
      <c r="C307" s="284"/>
      <c r="D307" s="1255"/>
      <c r="E307" s="1256"/>
      <c r="F307" s="1256"/>
      <c r="G307" s="1256"/>
      <c r="H307" s="1256"/>
      <c r="I307" s="1256"/>
      <c r="J307" s="1256"/>
      <c r="K307" s="964" t="str">
        <f>wstęp!K307</f>
        <v>odkryj</v>
      </c>
      <c r="L307" s="799"/>
      <c r="M307" s="961"/>
      <c r="N307" s="961"/>
      <c r="O307" s="1042"/>
      <c r="P307" s="1042"/>
      <c r="Q307" s="1042"/>
      <c r="R307" s="1042"/>
      <c r="S307" s="1042"/>
      <c r="T307" s="1042"/>
    </row>
    <row r="308" spans="1:20" ht="141.75" customHeight="1" x14ac:dyDescent="0.25">
      <c r="A308" s="283"/>
      <c r="B308" s="284"/>
      <c r="C308" s="284"/>
      <c r="D308" s="1251" t="s">
        <v>7889</v>
      </c>
      <c r="E308" s="1254"/>
      <c r="F308" s="1254"/>
      <c r="G308" s="1254"/>
      <c r="H308" s="1254"/>
      <c r="I308" s="1254"/>
      <c r="J308" s="1254"/>
      <c r="K308" s="964" t="str">
        <f>wstęp!K308</f>
        <v>odkryj</v>
      </c>
      <c r="L308" s="799"/>
      <c r="M308" s="961"/>
      <c r="N308" s="961"/>
      <c r="O308" s="1042"/>
      <c r="P308" s="1042"/>
      <c r="Q308" s="1042"/>
      <c r="R308" s="1042"/>
      <c r="S308" s="1042"/>
      <c r="T308" s="1042"/>
    </row>
    <row r="309" spans="1:20" ht="15.75" customHeight="1" x14ac:dyDescent="0.25">
      <c r="A309" s="283"/>
      <c r="B309" s="284"/>
      <c r="C309" s="284"/>
      <c r="D309" s="790"/>
      <c r="E309" s="790"/>
      <c r="F309" s="790"/>
      <c r="G309" s="790"/>
      <c r="H309" s="790"/>
      <c r="I309" s="790"/>
      <c r="J309" s="790"/>
      <c r="K309" s="964" t="str">
        <f>wstęp!K309</f>
        <v>odkryj</v>
      </c>
      <c r="L309" s="799"/>
      <c r="M309" s="961"/>
      <c r="N309" s="961"/>
      <c r="O309" s="1042"/>
      <c r="P309" s="1042"/>
      <c r="Q309" s="1042"/>
      <c r="R309" s="1042"/>
      <c r="S309" s="1042"/>
      <c r="T309" s="1042"/>
    </row>
    <row r="310" spans="1:20" ht="17.2" customHeight="1" x14ac:dyDescent="0.25">
      <c r="A310" s="283"/>
      <c r="B310" s="284"/>
      <c r="C310" s="284"/>
      <c r="D310" s="1253" t="s">
        <v>7890</v>
      </c>
      <c r="E310" s="1253"/>
      <c r="F310" s="1253"/>
      <c r="G310" s="1253"/>
      <c r="H310" s="1253"/>
      <c r="I310" s="1253"/>
      <c r="J310" s="1253"/>
      <c r="K310" s="964" t="str">
        <f>wstęp!K310</f>
        <v>odkryj</v>
      </c>
      <c r="L310" s="799"/>
      <c r="M310" s="961"/>
      <c r="N310" s="961"/>
      <c r="O310" s="1042"/>
      <c r="P310" s="1042"/>
      <c r="Q310" s="1042"/>
      <c r="R310" s="1042"/>
      <c r="S310" s="1042"/>
      <c r="T310" s="1042"/>
    </row>
    <row r="311" spans="1:20" ht="15.75" customHeight="1" x14ac:dyDescent="0.25">
      <c r="A311" s="283"/>
      <c r="B311" s="284"/>
      <c r="C311" s="284"/>
      <c r="D311" s="790"/>
      <c r="E311" s="790"/>
      <c r="F311" s="790"/>
      <c r="G311" s="790"/>
      <c r="H311" s="790"/>
      <c r="I311" s="790"/>
      <c r="J311" s="790"/>
      <c r="K311" s="964" t="str">
        <f>wstęp!K311</f>
        <v>odkryj</v>
      </c>
      <c r="L311" s="799"/>
      <c r="M311" s="961"/>
      <c r="N311" s="961"/>
      <c r="O311" s="1042"/>
      <c r="P311" s="1042"/>
      <c r="Q311" s="1042"/>
      <c r="R311" s="1042"/>
      <c r="S311" s="1042"/>
      <c r="T311" s="1042"/>
    </row>
    <row r="312" spans="1:20" ht="46.5" customHeight="1" x14ac:dyDescent="0.25">
      <c r="A312" s="283"/>
      <c r="B312" s="284"/>
      <c r="C312" s="284"/>
      <c r="D312" s="1245" t="s">
        <v>7891</v>
      </c>
      <c r="E312" s="1245"/>
      <c r="F312" s="1245"/>
      <c r="G312" s="1245"/>
      <c r="H312" s="1245"/>
      <c r="I312" s="1245"/>
      <c r="J312" s="1245"/>
      <c r="K312" s="964" t="str">
        <f>wstęp!K312</f>
        <v>odkryj</v>
      </c>
      <c r="L312" s="799"/>
      <c r="M312" s="961"/>
      <c r="N312" s="961"/>
      <c r="O312" s="1042"/>
      <c r="P312" s="1042"/>
      <c r="Q312" s="1042"/>
      <c r="R312" s="1042"/>
      <c r="S312" s="1042"/>
      <c r="T312" s="1042"/>
    </row>
    <row r="313" spans="1:20" ht="46.5" customHeight="1" x14ac:dyDescent="0.25">
      <c r="A313" s="283"/>
      <c r="B313" s="284"/>
      <c r="C313" s="284"/>
      <c r="D313" s="1245" t="s">
        <v>7892</v>
      </c>
      <c r="E313" s="1245"/>
      <c r="F313" s="1245"/>
      <c r="G313" s="1245"/>
      <c r="H313" s="1245"/>
      <c r="I313" s="1245"/>
      <c r="J313" s="1245"/>
      <c r="K313" s="964" t="str">
        <f>wstęp!K313</f>
        <v>odkryj</v>
      </c>
      <c r="L313" s="799"/>
      <c r="M313" s="961"/>
      <c r="N313" s="961"/>
      <c r="O313" s="1042"/>
      <c r="P313" s="1042"/>
      <c r="Q313" s="1042"/>
      <c r="R313" s="1042"/>
      <c r="S313" s="1042"/>
      <c r="T313" s="1042"/>
    </row>
    <row r="314" spans="1:20" ht="15.75" customHeight="1" x14ac:dyDescent="0.25">
      <c r="A314" s="283"/>
      <c r="B314" s="284"/>
      <c r="C314" s="284"/>
      <c r="D314" s="789"/>
      <c r="E314" s="789"/>
      <c r="F314" s="789"/>
      <c r="G314" s="301"/>
      <c r="H314" s="789"/>
      <c r="I314" s="789"/>
      <c r="J314" s="788"/>
      <c r="K314" s="964" t="str">
        <f>wstęp!K314</f>
        <v>odkryj</v>
      </c>
      <c r="L314" s="799"/>
      <c r="M314" s="961"/>
      <c r="N314" s="961"/>
      <c r="O314" s="1042"/>
      <c r="P314" s="1042"/>
      <c r="Q314" s="1042"/>
      <c r="R314" s="1042"/>
      <c r="S314" s="1042"/>
      <c r="T314" s="1042"/>
    </row>
    <row r="315" spans="1:20" ht="15.75" customHeight="1" x14ac:dyDescent="0.25">
      <c r="A315" s="283"/>
      <c r="B315" s="284"/>
      <c r="C315" s="284"/>
      <c r="D315" s="1252" t="s">
        <v>7893</v>
      </c>
      <c r="E315" s="1252"/>
      <c r="F315" s="1252"/>
      <c r="G315" s="1252"/>
      <c r="H315" s="1252"/>
      <c r="I315" s="1252"/>
      <c r="J315" s="1252"/>
      <c r="K315" s="964" t="str">
        <f>wstęp!K315</f>
        <v>ukryj</v>
      </c>
      <c r="M315" s="1042"/>
      <c r="N315" s="1042"/>
      <c r="O315" s="1042"/>
      <c r="P315" s="1042"/>
      <c r="Q315" s="1042"/>
      <c r="R315" s="1042"/>
      <c r="S315" s="1042"/>
      <c r="T315" s="1042"/>
    </row>
    <row r="316" spans="1:20" ht="30.8" customHeight="1" x14ac:dyDescent="0.25">
      <c r="A316" s="283"/>
      <c r="B316" s="284"/>
      <c r="C316" s="284"/>
      <c r="D316" s="1245" t="s">
        <v>7894</v>
      </c>
      <c r="E316" s="1245"/>
      <c r="F316" s="1245"/>
      <c r="G316" s="1245"/>
      <c r="H316" s="1245"/>
      <c r="I316" s="1245"/>
      <c r="J316" s="1245"/>
      <c r="K316" s="964" t="str">
        <f>wstęp!K316</f>
        <v>odkryj</v>
      </c>
      <c r="L316" s="799"/>
      <c r="M316" s="961"/>
      <c r="N316" s="961"/>
      <c r="O316" s="1042"/>
      <c r="P316" s="1042"/>
      <c r="Q316" s="1042"/>
      <c r="R316" s="1042"/>
      <c r="S316" s="1042"/>
      <c r="T316" s="1042"/>
    </row>
    <row r="317" spans="1:20" ht="15.75" customHeight="1" x14ac:dyDescent="0.25">
      <c r="A317" s="283"/>
      <c r="B317" s="284"/>
      <c r="C317" s="284"/>
      <c r="D317" s="789"/>
      <c r="E317" s="789"/>
      <c r="F317" s="789"/>
      <c r="G317" s="301"/>
      <c r="H317" s="789"/>
      <c r="I317" s="789"/>
      <c r="J317" s="788"/>
      <c r="K317" s="964" t="str">
        <f>wstęp!K317</f>
        <v>odkryj</v>
      </c>
      <c r="L317" s="799"/>
      <c r="M317" s="961"/>
      <c r="N317" s="961"/>
      <c r="O317" s="1042"/>
      <c r="P317" s="1042"/>
      <c r="Q317" s="1042"/>
      <c r="R317" s="1042"/>
      <c r="S317" s="1042"/>
      <c r="T317" s="1042"/>
    </row>
    <row r="318" spans="1:20" x14ac:dyDescent="0.25">
      <c r="A318" s="283"/>
      <c r="B318" s="284"/>
      <c r="C318" s="284"/>
      <c r="D318" s="1252" t="s">
        <v>7895</v>
      </c>
      <c r="E318" s="1252"/>
      <c r="F318" s="1252"/>
      <c r="G318" s="1252"/>
      <c r="H318" s="1252"/>
      <c r="I318" s="1252"/>
      <c r="J318" s="1252"/>
      <c r="K318" s="964" t="str">
        <f>wstęp!K318</f>
        <v>ukryj</v>
      </c>
      <c r="M318" s="1042"/>
      <c r="N318" s="1042"/>
      <c r="O318" s="1042"/>
      <c r="P318" s="1042"/>
      <c r="Q318" s="1042"/>
      <c r="R318" s="1042"/>
      <c r="S318" s="1042"/>
      <c r="T318" s="1042"/>
    </row>
    <row r="319" spans="1:20" ht="13.6" customHeight="1" x14ac:dyDescent="0.25">
      <c r="A319" s="283"/>
      <c r="B319" s="284"/>
      <c r="C319" s="284"/>
      <c r="D319" s="1245" t="s">
        <v>7896</v>
      </c>
      <c r="E319" s="1245"/>
      <c r="F319" s="1245"/>
      <c r="G319" s="1245"/>
      <c r="H319" s="1245"/>
      <c r="I319" s="1245"/>
      <c r="J319" s="1245"/>
      <c r="K319" s="964" t="str">
        <f>wstęp!K319</f>
        <v>odkryj</v>
      </c>
      <c r="L319" s="799"/>
      <c r="M319" s="961"/>
      <c r="N319" s="961"/>
      <c r="O319" s="1042"/>
      <c r="P319" s="1042"/>
      <c r="Q319" s="1042"/>
      <c r="R319" s="1042"/>
      <c r="S319" s="1042"/>
      <c r="T319" s="1042"/>
    </row>
    <row r="320" spans="1:20" ht="15.75" customHeight="1" x14ac:dyDescent="0.25">
      <c r="A320" s="283"/>
      <c r="B320" s="284"/>
      <c r="C320" s="284"/>
      <c r="D320" s="789"/>
      <c r="E320" s="789"/>
      <c r="F320" s="789"/>
      <c r="G320" s="301"/>
      <c r="H320" s="789"/>
      <c r="I320" s="789"/>
      <c r="J320" s="788"/>
      <c r="K320" s="964" t="str">
        <f>wstęp!K320</f>
        <v>odkryj</v>
      </c>
      <c r="L320" s="799"/>
      <c r="M320" s="961"/>
      <c r="N320" s="961"/>
      <c r="O320" s="1042"/>
      <c r="P320" s="1042"/>
      <c r="Q320" s="1042"/>
      <c r="R320" s="1042"/>
      <c r="S320" s="1042"/>
      <c r="T320" s="1042"/>
    </row>
    <row r="321" spans="1:20" x14ac:dyDescent="0.25">
      <c r="A321" s="283"/>
      <c r="B321" s="284"/>
      <c r="C321" s="284"/>
      <c r="D321" s="1253" t="s">
        <v>7897</v>
      </c>
      <c r="E321" s="1253"/>
      <c r="F321" s="1253"/>
      <c r="G321" s="1253"/>
      <c r="H321" s="1253"/>
      <c r="I321" s="1253"/>
      <c r="J321" s="1253"/>
      <c r="K321" s="964" t="str">
        <f>wstęp!K321</f>
        <v>odkryj</v>
      </c>
      <c r="L321" s="799"/>
      <c r="M321" s="961"/>
      <c r="N321" s="961"/>
      <c r="O321" s="1042"/>
      <c r="P321" s="1042"/>
      <c r="Q321" s="1042"/>
      <c r="R321" s="1042"/>
      <c r="S321" s="1042"/>
      <c r="T321" s="1042"/>
    </row>
    <row r="322" spans="1:20" ht="15.75" customHeight="1" x14ac:dyDescent="0.25">
      <c r="A322" s="283"/>
      <c r="B322" s="284"/>
      <c r="C322" s="284"/>
      <c r="D322" s="789"/>
      <c r="E322" s="789"/>
      <c r="F322" s="789"/>
      <c r="G322" s="301"/>
      <c r="H322" s="789"/>
      <c r="I322" s="789"/>
      <c r="J322" s="788"/>
      <c r="K322" s="964" t="str">
        <f>wstęp!K322</f>
        <v>odkryj</v>
      </c>
      <c r="L322" s="799"/>
      <c r="M322" s="961"/>
      <c r="N322" s="961"/>
      <c r="O322" s="1042"/>
      <c r="P322" s="1042"/>
      <c r="Q322" s="1042"/>
      <c r="R322" s="1042"/>
      <c r="S322" s="1042"/>
      <c r="T322" s="1042"/>
    </row>
    <row r="323" spans="1:20" ht="15.75" customHeight="1" x14ac:dyDescent="0.25">
      <c r="A323" s="283"/>
      <c r="B323" s="284"/>
      <c r="C323" s="284"/>
      <c r="D323" s="1251" t="s">
        <v>7898</v>
      </c>
      <c r="E323" s="1254"/>
      <c r="F323" s="1254"/>
      <c r="G323" s="1254"/>
      <c r="H323" s="1254"/>
      <c r="I323" s="1254"/>
      <c r="J323" s="1254"/>
      <c r="K323" s="964" t="str">
        <f>wstęp!K323</f>
        <v>odkryj</v>
      </c>
      <c r="L323" s="799"/>
      <c r="M323" s="961"/>
      <c r="N323" s="961"/>
      <c r="O323" s="1042"/>
      <c r="P323" s="1042"/>
      <c r="Q323" s="1042"/>
      <c r="R323" s="1042"/>
      <c r="S323" s="1042"/>
      <c r="T323" s="1042"/>
    </row>
    <row r="324" spans="1:20" ht="15.75" customHeight="1" x14ac:dyDescent="0.25">
      <c r="A324" s="283"/>
      <c r="B324" s="284"/>
      <c r="C324" s="284"/>
      <c r="D324" s="789"/>
      <c r="E324" s="789"/>
      <c r="F324" s="789"/>
      <c r="G324" s="301"/>
      <c r="H324" s="789"/>
      <c r="I324" s="789"/>
      <c r="J324" s="788"/>
      <c r="K324" s="964" t="str">
        <f>wstęp!K324</f>
        <v>odkryj</v>
      </c>
      <c r="L324" s="799"/>
      <c r="M324" s="961"/>
      <c r="N324" s="961"/>
      <c r="O324" s="1042"/>
      <c r="P324" s="1042"/>
      <c r="Q324" s="1042"/>
      <c r="R324" s="1042"/>
      <c r="S324" s="1042"/>
      <c r="T324" s="1042"/>
    </row>
    <row r="325" spans="1:20" x14ac:dyDescent="0.25">
      <c r="A325" s="283"/>
      <c r="B325" s="284"/>
      <c r="C325" s="284"/>
      <c r="D325" s="1252" t="s">
        <v>7756</v>
      </c>
      <c r="E325" s="1252"/>
      <c r="F325" s="1252"/>
      <c r="G325" s="1252"/>
      <c r="H325" s="1252"/>
      <c r="I325" s="1252"/>
      <c r="J325" s="1252"/>
      <c r="K325" s="964" t="str">
        <f>wstęp!K325</f>
        <v>ukryj</v>
      </c>
      <c r="M325" s="1042"/>
      <c r="N325" s="1042"/>
      <c r="O325" s="1042"/>
      <c r="P325" s="1042"/>
      <c r="Q325" s="1042"/>
      <c r="R325" s="1042"/>
      <c r="S325" s="1042"/>
      <c r="T325" s="1042"/>
    </row>
    <row r="326" spans="1:20" x14ac:dyDescent="0.25">
      <c r="A326" s="283"/>
      <c r="B326" s="284"/>
      <c r="C326" s="284"/>
      <c r="D326" s="1252" t="s">
        <v>7899</v>
      </c>
      <c r="E326" s="1252"/>
      <c r="F326" s="1252"/>
      <c r="G326" s="1252"/>
      <c r="H326" s="1252"/>
      <c r="I326" s="1252"/>
      <c r="J326" s="1252"/>
      <c r="K326" s="964" t="str">
        <f>wstęp!K326</f>
        <v>odkryj</v>
      </c>
      <c r="L326" s="799"/>
      <c r="M326" s="961"/>
      <c r="N326" s="961"/>
      <c r="O326" s="1042"/>
      <c r="P326" s="1042"/>
      <c r="Q326" s="1042"/>
      <c r="R326" s="1042"/>
      <c r="S326" s="1042"/>
      <c r="T326" s="1042"/>
    </row>
    <row r="327" spans="1:20" ht="53.2" customHeight="1" x14ac:dyDescent="0.25">
      <c r="A327" s="283"/>
      <c r="B327" s="284"/>
      <c r="C327" s="284"/>
      <c r="D327" s="1246" t="s">
        <v>7900</v>
      </c>
      <c r="E327" s="1246"/>
      <c r="F327" s="1246"/>
      <c r="G327" s="1246"/>
      <c r="H327" s="1246"/>
      <c r="I327" s="1246"/>
      <c r="J327" s="1246"/>
      <c r="K327" s="964" t="str">
        <f>wstęp!K327</f>
        <v>odkryj</v>
      </c>
      <c r="L327" s="799"/>
      <c r="M327" s="961"/>
      <c r="N327" s="961"/>
      <c r="O327" s="1042"/>
      <c r="P327" s="1042"/>
      <c r="Q327" s="1042"/>
      <c r="R327" s="1042"/>
      <c r="S327" s="1042"/>
      <c r="T327" s="1042"/>
    </row>
    <row r="328" spans="1:20" ht="15.75" customHeight="1" x14ac:dyDescent="0.25">
      <c r="A328" s="283"/>
      <c r="B328" s="284"/>
      <c r="C328" s="284"/>
      <c r="D328" s="292"/>
      <c r="E328" s="292"/>
      <c r="F328" s="292"/>
      <c r="G328" s="293"/>
      <c r="H328" s="292"/>
      <c r="I328" s="292"/>
      <c r="J328" s="294"/>
      <c r="K328" s="964" t="str">
        <f>wstęp!K328</f>
        <v>odkryj</v>
      </c>
      <c r="L328" s="799"/>
      <c r="M328" s="961"/>
      <c r="N328" s="961"/>
      <c r="O328" s="1042"/>
      <c r="P328" s="1042"/>
      <c r="Q328" s="1042"/>
      <c r="R328" s="1042"/>
      <c r="S328" s="1042"/>
      <c r="T328" s="1042"/>
    </row>
    <row r="329" spans="1:20" ht="92.3" customHeight="1" x14ac:dyDescent="0.25">
      <c r="A329" s="283"/>
      <c r="B329" s="284"/>
      <c r="C329" s="284"/>
      <c r="D329" s="1246" t="s">
        <v>7901</v>
      </c>
      <c r="E329" s="1246"/>
      <c r="F329" s="1246"/>
      <c r="G329" s="1246"/>
      <c r="H329" s="1246"/>
      <c r="I329" s="1246"/>
      <c r="J329" s="1246"/>
      <c r="K329" s="964" t="str">
        <f>wstęp!K329</f>
        <v>odkryj</v>
      </c>
      <c r="L329" s="799"/>
      <c r="M329" s="961"/>
      <c r="N329" s="961"/>
      <c r="O329" s="1042"/>
      <c r="P329" s="1042"/>
      <c r="Q329" s="1042"/>
      <c r="R329" s="1042"/>
      <c r="S329" s="1042"/>
      <c r="T329" s="1042"/>
    </row>
    <row r="330" spans="1:20" ht="15.75" customHeight="1" x14ac:dyDescent="0.25">
      <c r="A330" s="283"/>
      <c r="B330" s="284"/>
      <c r="C330" s="284"/>
      <c r="D330" s="292"/>
      <c r="E330" s="292"/>
      <c r="F330" s="292"/>
      <c r="G330" s="293"/>
      <c r="H330" s="292"/>
      <c r="I330" s="292"/>
      <c r="J330" s="294"/>
      <c r="K330" s="964" t="str">
        <f>wstęp!K330</f>
        <v>odkryj</v>
      </c>
      <c r="L330" s="799"/>
      <c r="M330" s="961"/>
      <c r="N330" s="961"/>
      <c r="O330" s="1042"/>
      <c r="P330" s="1042"/>
      <c r="Q330" s="1042"/>
      <c r="R330" s="1042"/>
      <c r="S330" s="1042"/>
      <c r="T330" s="1042"/>
    </row>
    <row r="331" spans="1:20" ht="36" customHeight="1" x14ac:dyDescent="0.25">
      <c r="A331" s="283"/>
      <c r="B331" s="284"/>
      <c r="C331" s="284"/>
      <c r="D331" s="1246" t="s">
        <v>7902</v>
      </c>
      <c r="E331" s="1246"/>
      <c r="F331" s="1246"/>
      <c r="G331" s="1246"/>
      <c r="H331" s="1246"/>
      <c r="I331" s="1246"/>
      <c r="J331" s="1246"/>
      <c r="K331" s="964" t="str">
        <f>wstęp!K331</f>
        <v>odkryj</v>
      </c>
      <c r="L331" s="799"/>
      <c r="M331" s="961"/>
      <c r="N331" s="961"/>
      <c r="O331" s="1042"/>
      <c r="P331" s="1042"/>
      <c r="Q331" s="1042"/>
      <c r="R331" s="1042"/>
      <c r="S331" s="1042"/>
      <c r="T331" s="1042"/>
    </row>
    <row r="332" spans="1:20" ht="15.75" customHeight="1" x14ac:dyDescent="0.25">
      <c r="A332" s="283"/>
      <c r="B332" s="284"/>
      <c r="C332" s="284"/>
      <c r="D332" s="292"/>
      <c r="E332" s="292"/>
      <c r="F332" s="292"/>
      <c r="G332" s="293"/>
      <c r="H332" s="292"/>
      <c r="I332" s="292"/>
      <c r="J332" s="294"/>
      <c r="K332" s="964" t="str">
        <f>wstęp!K332</f>
        <v>odkryj</v>
      </c>
      <c r="L332" s="799"/>
      <c r="M332" s="961"/>
      <c r="N332" s="961"/>
      <c r="O332" s="1042"/>
      <c r="P332" s="1042"/>
      <c r="Q332" s="1042"/>
      <c r="R332" s="1042"/>
      <c r="S332" s="1042"/>
      <c r="T332" s="1042"/>
    </row>
    <row r="333" spans="1:20" ht="51.05" customHeight="1" x14ac:dyDescent="0.25">
      <c r="A333" s="283"/>
      <c r="B333" s="284"/>
      <c r="C333" s="284"/>
      <c r="D333" s="1246" t="s">
        <v>7903</v>
      </c>
      <c r="E333" s="1246"/>
      <c r="F333" s="1246"/>
      <c r="G333" s="1246"/>
      <c r="H333" s="1246"/>
      <c r="I333" s="1246"/>
      <c r="J333" s="1246"/>
      <c r="K333" s="964" t="str">
        <f>wstęp!K333</f>
        <v>odkryj</v>
      </c>
      <c r="L333" s="799"/>
      <c r="M333" s="961"/>
      <c r="N333" s="961"/>
      <c r="O333" s="1042"/>
      <c r="P333" s="1042"/>
      <c r="Q333" s="1042"/>
      <c r="R333" s="1042"/>
      <c r="S333" s="1042"/>
      <c r="T333" s="1042"/>
    </row>
    <row r="334" spans="1:20" ht="15.75" customHeight="1" x14ac:dyDescent="0.25">
      <c r="A334" s="283"/>
      <c r="B334" s="284"/>
      <c r="C334" s="284"/>
      <c r="D334" s="292"/>
      <c r="E334" s="292"/>
      <c r="F334" s="292"/>
      <c r="G334" s="293"/>
      <c r="H334" s="292"/>
      <c r="I334" s="292"/>
      <c r="J334" s="294"/>
      <c r="K334" s="964" t="str">
        <f>wstęp!K334</f>
        <v>odkryj</v>
      </c>
      <c r="L334" s="799"/>
      <c r="M334" s="961"/>
      <c r="N334" s="961"/>
      <c r="O334" s="1042"/>
      <c r="P334" s="1042"/>
      <c r="Q334" s="1042"/>
      <c r="R334" s="1042"/>
      <c r="S334" s="1042"/>
      <c r="T334" s="1042"/>
    </row>
    <row r="335" spans="1:20" ht="50.25" customHeight="1" x14ac:dyDescent="0.25">
      <c r="A335" s="283"/>
      <c r="B335" s="284"/>
      <c r="C335" s="284"/>
      <c r="D335" s="1246" t="s">
        <v>7904</v>
      </c>
      <c r="E335" s="1246"/>
      <c r="F335" s="1246"/>
      <c r="G335" s="1246"/>
      <c r="H335" s="1246"/>
      <c r="I335" s="1246"/>
      <c r="J335" s="1246"/>
      <c r="K335" s="964" t="str">
        <f>wstęp!K335</f>
        <v>odkryj</v>
      </c>
      <c r="L335" s="799"/>
      <c r="M335" s="961"/>
      <c r="N335" s="961"/>
      <c r="O335" s="1042"/>
      <c r="P335" s="1042"/>
      <c r="Q335" s="1042"/>
      <c r="R335" s="1042"/>
      <c r="S335" s="1042"/>
      <c r="T335" s="1042"/>
    </row>
    <row r="336" spans="1:20" ht="15.75" customHeight="1" x14ac:dyDescent="0.25">
      <c r="A336" s="283"/>
      <c r="B336" s="284"/>
      <c r="C336" s="284"/>
      <c r="D336" s="292"/>
      <c r="E336" s="292"/>
      <c r="F336" s="292"/>
      <c r="G336" s="293"/>
      <c r="H336" s="292"/>
      <c r="I336" s="292"/>
      <c r="J336" s="294"/>
      <c r="K336" s="964" t="str">
        <f>wstęp!K336</f>
        <v>odkryj</v>
      </c>
      <c r="L336" s="799"/>
      <c r="M336" s="961"/>
      <c r="N336" s="961"/>
      <c r="O336" s="1042"/>
      <c r="P336" s="1042"/>
      <c r="Q336" s="1042"/>
      <c r="R336" s="1042"/>
      <c r="S336" s="1042"/>
      <c r="T336" s="1042"/>
    </row>
    <row r="337" spans="1:20" ht="13.6" customHeight="1" x14ac:dyDescent="0.25">
      <c r="A337" s="283"/>
      <c r="B337" s="284"/>
      <c r="C337" s="284"/>
      <c r="D337" s="1252" t="s">
        <v>7905</v>
      </c>
      <c r="E337" s="1252"/>
      <c r="F337" s="1252"/>
      <c r="G337" s="1252"/>
      <c r="H337" s="1252"/>
      <c r="I337" s="1252"/>
      <c r="J337" s="1252"/>
      <c r="K337" s="964" t="str">
        <f>wstęp!K337</f>
        <v>odkryj</v>
      </c>
      <c r="L337" s="799"/>
      <c r="M337" s="961"/>
      <c r="N337" s="961"/>
      <c r="O337" s="1042"/>
      <c r="P337" s="1042"/>
      <c r="Q337" s="1042"/>
      <c r="R337" s="1042"/>
      <c r="S337" s="1042"/>
      <c r="T337" s="1042"/>
    </row>
    <row r="338" spans="1:20" ht="15.75" customHeight="1" x14ac:dyDescent="0.25">
      <c r="A338" s="283"/>
      <c r="B338" s="284"/>
      <c r="C338" s="284"/>
      <c r="D338" s="292"/>
      <c r="E338" s="292"/>
      <c r="F338" s="292"/>
      <c r="G338" s="293"/>
      <c r="H338" s="292"/>
      <c r="I338" s="292"/>
      <c r="J338" s="294"/>
      <c r="K338" s="964" t="str">
        <f>wstęp!K338</f>
        <v>odkryj</v>
      </c>
      <c r="L338" s="799"/>
      <c r="M338" s="961"/>
      <c r="N338" s="961"/>
      <c r="O338" s="1042"/>
      <c r="P338" s="1042"/>
      <c r="Q338" s="1042"/>
      <c r="R338" s="1042"/>
      <c r="S338" s="1042"/>
      <c r="T338" s="1042"/>
    </row>
    <row r="339" spans="1:20" ht="35.200000000000003" customHeight="1" x14ac:dyDescent="0.25">
      <c r="A339" s="283"/>
      <c r="B339" s="284"/>
      <c r="C339" s="284"/>
      <c r="D339" s="1246" t="s">
        <v>7906</v>
      </c>
      <c r="E339" s="1246"/>
      <c r="F339" s="1246"/>
      <c r="G339" s="1246"/>
      <c r="H339" s="1246"/>
      <c r="I339" s="1246"/>
      <c r="J339" s="1246"/>
      <c r="K339" s="964" t="str">
        <f>wstęp!K339</f>
        <v>odkryj</v>
      </c>
      <c r="L339" s="799"/>
      <c r="M339" s="961"/>
      <c r="N339" s="961"/>
      <c r="O339" s="1042"/>
      <c r="P339" s="1042"/>
      <c r="Q339" s="1042"/>
      <c r="R339" s="1042"/>
      <c r="S339" s="1042"/>
      <c r="T339" s="1042"/>
    </row>
    <row r="340" spans="1:20" ht="15.75" customHeight="1" x14ac:dyDescent="0.25">
      <c r="A340" s="283"/>
      <c r="B340" s="284"/>
      <c r="C340" s="284"/>
      <c r="D340" s="789"/>
      <c r="E340" s="789"/>
      <c r="F340" s="789"/>
      <c r="G340" s="301"/>
      <c r="H340" s="789"/>
      <c r="I340" s="789"/>
      <c r="J340" s="788"/>
      <c r="K340" s="964" t="str">
        <f>wstęp!K340</f>
        <v>odkryj</v>
      </c>
      <c r="L340" s="799"/>
      <c r="M340" s="961"/>
      <c r="N340" s="961"/>
      <c r="O340" s="1042"/>
      <c r="P340" s="1042"/>
      <c r="Q340" s="1042"/>
      <c r="R340" s="1042"/>
      <c r="S340" s="1042"/>
      <c r="T340" s="1042"/>
    </row>
    <row r="341" spans="1:20" s="103" customFormat="1" x14ac:dyDescent="0.25">
      <c r="A341" s="1198">
        <f>wstęp!A341</f>
        <v>2</v>
      </c>
      <c r="B341" s="1198">
        <f>wstęp!B341</f>
        <v>2</v>
      </c>
      <c r="C341" s="1199">
        <f>wstęp!C341</f>
        <v>16</v>
      </c>
      <c r="D341" s="1250" t="s">
        <v>7907</v>
      </c>
      <c r="E341" s="1250"/>
      <c r="F341" s="1250"/>
      <c r="G341" s="1250"/>
      <c r="H341" s="1250"/>
      <c r="I341" s="1250"/>
      <c r="J341" s="1250"/>
      <c r="K341" s="964" t="str">
        <f>wstęp!K341</f>
        <v>odkryj</v>
      </c>
      <c r="L341" s="193"/>
      <c r="M341" s="1067"/>
      <c r="N341" s="1067"/>
      <c r="O341" s="1068"/>
      <c r="P341" s="1068"/>
      <c r="Q341" s="1068"/>
      <c r="R341" s="1068"/>
      <c r="S341" s="1068"/>
      <c r="T341" s="1068"/>
    </row>
    <row r="342" spans="1:20" ht="15.75" customHeight="1" x14ac:dyDescent="0.25">
      <c r="A342" s="299"/>
      <c r="B342" s="788"/>
      <c r="C342" s="788"/>
      <c r="D342" s="955"/>
      <c r="E342" s="955"/>
      <c r="F342" s="955"/>
      <c r="G342" s="299"/>
      <c r="H342" s="955"/>
      <c r="I342" s="955"/>
      <c r="J342" s="955"/>
      <c r="K342" s="964" t="str">
        <f>wstęp!K342</f>
        <v>odkryj</v>
      </c>
      <c r="L342" s="799"/>
      <c r="M342" s="961"/>
      <c r="N342" s="961"/>
      <c r="O342" s="1042"/>
      <c r="P342" s="1042"/>
      <c r="Q342" s="1042"/>
      <c r="R342" s="1042"/>
      <c r="S342" s="1042"/>
      <c r="T342" s="1042"/>
    </row>
    <row r="343" spans="1:20" ht="32.25" customHeight="1" x14ac:dyDescent="0.25">
      <c r="A343" s="299"/>
      <c r="B343" s="788"/>
      <c r="C343" s="788"/>
      <c r="D343" s="1234" t="s">
        <v>7908</v>
      </c>
      <c r="E343" s="1234"/>
      <c r="F343" s="1234"/>
      <c r="G343" s="1234"/>
      <c r="H343" s="1234"/>
      <c r="I343" s="1234"/>
      <c r="J343" s="1234"/>
      <c r="K343" s="964" t="str">
        <f>wstęp!K343</f>
        <v>odkryj</v>
      </c>
      <c r="L343" s="799"/>
      <c r="M343" s="961"/>
      <c r="N343" s="961"/>
      <c r="O343" s="1042"/>
      <c r="P343" s="1042"/>
      <c r="Q343" s="1042"/>
      <c r="R343" s="1042"/>
      <c r="S343" s="1042"/>
      <c r="T343" s="1042"/>
    </row>
    <row r="344" spans="1:20" ht="12.8" customHeight="1" x14ac:dyDescent="0.25">
      <c r="A344" s="299"/>
      <c r="B344" s="788"/>
      <c r="C344" s="788"/>
      <c r="D344" s="790"/>
      <c r="E344" s="790"/>
      <c r="F344" s="790"/>
      <c r="G344" s="790"/>
      <c r="H344" s="790"/>
      <c r="I344" s="790"/>
      <c r="J344" s="790"/>
      <c r="K344" s="964" t="str">
        <f>wstęp!K344</f>
        <v>odkryj</v>
      </c>
      <c r="L344" s="799"/>
      <c r="M344" s="961"/>
      <c r="N344" s="961"/>
      <c r="O344" s="1042"/>
      <c r="P344" s="1042"/>
      <c r="Q344" s="1042"/>
      <c r="R344" s="1042"/>
      <c r="S344" s="1042"/>
      <c r="T344" s="1042"/>
    </row>
    <row r="345" spans="1:20" ht="15.75" customHeight="1" x14ac:dyDescent="0.25">
      <c r="A345" s="299"/>
      <c r="B345" s="788"/>
      <c r="C345" s="788"/>
      <c r="D345" s="955"/>
      <c r="E345" s="955"/>
      <c r="F345" s="604" t="str">
        <f>IF(wstęp!F345="","",wstęp!F345)</f>
        <v>2020-12-31</v>
      </c>
      <c r="G345" s="604" t="str">
        <f>IF(wstęp!G345="","",wstęp!G345)</f>
        <v>2019-12-31</v>
      </c>
      <c r="H345" s="955"/>
      <c r="I345" s="955"/>
      <c r="J345" s="955"/>
      <c r="K345" s="964" t="str">
        <f>wstęp!K345</f>
        <v>odkryj</v>
      </c>
      <c r="L345" s="799"/>
      <c r="M345" s="961"/>
      <c r="N345" s="961"/>
      <c r="O345" s="1042"/>
      <c r="P345" s="1042"/>
      <c r="Q345" s="1042"/>
      <c r="R345" s="1042"/>
      <c r="S345" s="1042"/>
      <c r="T345" s="1042"/>
    </row>
    <row r="346" spans="1:20" ht="15.75" customHeight="1" x14ac:dyDescent="0.25">
      <c r="A346" s="299"/>
      <c r="B346" s="788"/>
      <c r="C346" s="788"/>
      <c r="D346" s="955"/>
      <c r="E346" s="955"/>
      <c r="F346" s="296"/>
      <c r="G346" s="296"/>
      <c r="H346" s="955"/>
      <c r="I346" s="955"/>
      <c r="J346" s="955"/>
      <c r="K346" s="964" t="str">
        <f>wstęp!K346</f>
        <v>odkryj</v>
      </c>
      <c r="L346" s="799"/>
      <c r="M346" s="961"/>
      <c r="N346" s="961"/>
      <c r="O346" s="1042"/>
      <c r="P346" s="1042"/>
      <c r="Q346" s="1042"/>
      <c r="R346" s="1042"/>
      <c r="S346" s="1042"/>
      <c r="T346" s="1042"/>
    </row>
    <row r="347" spans="1:20" ht="15.05" x14ac:dyDescent="0.3">
      <c r="A347" s="299"/>
      <c r="B347" s="788"/>
      <c r="C347" s="788"/>
      <c r="D347"/>
      <c r="E347" s="955" t="str">
        <f>wstęp!E347</f>
        <v>1 EUR</v>
      </c>
      <c r="F347" s="1171" t="str">
        <f>IF(wstęp!F347="","",wstęp!F347)</f>
        <v/>
      </c>
      <c r="G347" s="1171">
        <f>IF(wstęp!G347="","",wstęp!G347)</f>
        <v>4.3</v>
      </c>
      <c r="H347" s="955"/>
      <c r="I347" s="955"/>
      <c r="J347" s="955"/>
      <c r="K347" s="964" t="str">
        <f>wstęp!K347</f>
        <v>odkryj</v>
      </c>
      <c r="L347" s="799"/>
      <c r="M347" s="961"/>
      <c r="N347" s="961"/>
      <c r="O347" s="1042"/>
      <c r="P347" s="1042"/>
      <c r="Q347" s="1042"/>
      <c r="R347" s="1042"/>
      <c r="S347" s="1042"/>
      <c r="T347" s="1042"/>
    </row>
    <row r="348" spans="1:20" ht="15.05" x14ac:dyDescent="0.3">
      <c r="A348" s="299"/>
      <c r="B348" s="788"/>
      <c r="C348" s="788"/>
      <c r="D348"/>
      <c r="E348" s="955" t="str">
        <f>wstęp!E348</f>
        <v>1 USD</v>
      </c>
      <c r="F348" s="1173" t="str">
        <f>IF(wstęp!F348="","",wstęp!F348)</f>
        <v/>
      </c>
      <c r="G348" s="1171">
        <f>IF(wstęp!G348="","",wstęp!G348)</f>
        <v>3.7597</v>
      </c>
      <c r="H348" s="955"/>
      <c r="I348" s="955"/>
      <c r="J348" s="955"/>
      <c r="K348" s="964" t="str">
        <f>wstęp!K348</f>
        <v>odkryj</v>
      </c>
      <c r="L348" s="799"/>
      <c r="M348" s="961"/>
      <c r="N348" s="961"/>
      <c r="O348" s="1042"/>
      <c r="P348" s="1042"/>
      <c r="Q348" s="1042"/>
      <c r="R348" s="1042"/>
      <c r="S348" s="1042"/>
      <c r="T348" s="1042"/>
    </row>
    <row r="349" spans="1:20" ht="15.05" x14ac:dyDescent="0.3">
      <c r="A349" s="299"/>
      <c r="B349" s="788"/>
      <c r="C349" s="788"/>
      <c r="D349"/>
      <c r="E349" s="955" t="str">
        <f>wstęp!E349</f>
        <v>1 GBP</v>
      </c>
      <c r="F349" s="1173" t="str">
        <f>IF(wstęp!F349="","",wstęp!F349)</f>
        <v/>
      </c>
      <c r="G349" s="1171">
        <f>IF(wstęp!G349="","",wstęp!G349)</f>
        <v>4.7895000000000003</v>
      </c>
      <c r="H349" s="955"/>
      <c r="I349" s="955"/>
      <c r="J349" s="955"/>
      <c r="K349" s="964" t="str">
        <f>wstęp!K349</f>
        <v>odkryj</v>
      </c>
      <c r="L349" s="799"/>
      <c r="M349" s="961"/>
      <c r="N349" s="961"/>
      <c r="O349" s="1042"/>
      <c r="P349" s="1042"/>
      <c r="Q349" s="1042"/>
      <c r="R349" s="1042"/>
      <c r="S349" s="1042"/>
      <c r="T349" s="1042"/>
    </row>
    <row r="350" spans="1:20" ht="15.75" customHeight="1" x14ac:dyDescent="0.25">
      <c r="A350" s="299"/>
      <c r="B350" s="788"/>
      <c r="C350" s="788"/>
      <c r="D350" s="788"/>
      <c r="E350" s="788"/>
      <c r="F350" s="788"/>
      <c r="G350" s="301"/>
      <c r="H350" s="788"/>
      <c r="I350" s="788"/>
      <c r="J350" s="788"/>
      <c r="K350" s="964" t="str">
        <f>wstęp!K350</f>
        <v>odkryj</v>
      </c>
      <c r="L350" s="799"/>
      <c r="M350" s="961"/>
      <c r="N350" s="961"/>
      <c r="O350" s="1042"/>
      <c r="P350" s="1042"/>
      <c r="Q350" s="1042"/>
      <c r="R350" s="1042"/>
      <c r="S350" s="1042"/>
      <c r="T350" s="1042"/>
    </row>
    <row r="351" spans="1:20" ht="33.049999999999997" customHeight="1" x14ac:dyDescent="0.25">
      <c r="A351" s="299"/>
      <c r="B351" s="788"/>
      <c r="C351" s="788"/>
      <c r="D351" s="1251" t="s">
        <v>7909</v>
      </c>
      <c r="E351" s="1251"/>
      <c r="F351" s="1251"/>
      <c r="G351" s="1251"/>
      <c r="H351" s="1251"/>
      <c r="I351" s="1251"/>
      <c r="J351" s="1251"/>
      <c r="K351" s="964" t="str">
        <f>wstęp!K351</f>
        <v>odkryj</v>
      </c>
      <c r="L351" s="799"/>
      <c r="M351" s="961"/>
      <c r="N351" s="961"/>
      <c r="O351" s="1042"/>
      <c r="P351" s="1042"/>
      <c r="Q351" s="1042"/>
      <c r="R351" s="1042"/>
      <c r="S351" s="1042"/>
      <c r="T351" s="1042"/>
    </row>
    <row r="352" spans="1:20" ht="15.75" customHeight="1" x14ac:dyDescent="0.25">
      <c r="A352" s="299"/>
      <c r="B352" s="788"/>
      <c r="C352" s="788"/>
      <c r="D352" s="792"/>
      <c r="E352" s="792"/>
      <c r="F352" s="792"/>
      <c r="G352" s="792"/>
      <c r="H352" s="792"/>
      <c r="I352" s="792"/>
      <c r="J352" s="792"/>
      <c r="K352" s="964" t="str">
        <f>wstęp!K352</f>
        <v>odkryj</v>
      </c>
      <c r="L352" s="799"/>
      <c r="M352" s="961"/>
      <c r="N352" s="961"/>
      <c r="O352" s="1042"/>
      <c r="P352" s="1042"/>
      <c r="Q352" s="1042"/>
      <c r="R352" s="1042"/>
      <c r="S352" s="1042"/>
      <c r="T352" s="1042"/>
    </row>
    <row r="353" spans="1:20" ht="13.6" customHeight="1" x14ac:dyDescent="0.25">
      <c r="A353" s="1183">
        <f>wstęp!A353</f>
        <v>2</v>
      </c>
      <c r="B353" s="1196">
        <f>wstęp!B353</f>
        <v>3</v>
      </c>
      <c r="C353" s="1197"/>
      <c r="D353" s="1235" t="s">
        <v>7910</v>
      </c>
      <c r="E353" s="1235"/>
      <c r="F353" s="1235"/>
      <c r="G353" s="1235"/>
      <c r="H353" s="1235"/>
      <c r="I353" s="1235"/>
      <c r="J353" s="1235"/>
      <c r="K353" s="964" t="str">
        <f>wstęp!K353</f>
        <v>odkryj</v>
      </c>
      <c r="L353" s="799"/>
      <c r="M353" s="961"/>
      <c r="N353" s="961"/>
      <c r="O353" s="1042"/>
      <c r="P353" s="1042"/>
      <c r="Q353" s="1042"/>
      <c r="R353" s="1042"/>
      <c r="S353" s="1042"/>
      <c r="T353" s="1042"/>
    </row>
    <row r="354" spans="1:20" x14ac:dyDescent="0.25">
      <c r="A354" s="301"/>
      <c r="B354" s="788"/>
      <c r="C354" s="788"/>
      <c r="D354" s="788"/>
      <c r="E354" s="788"/>
      <c r="F354" s="788"/>
      <c r="G354" s="301"/>
      <c r="H354" s="788"/>
      <c r="I354" s="788"/>
      <c r="J354" s="788"/>
      <c r="K354" s="964" t="str">
        <f>wstęp!K354</f>
        <v>odkryj</v>
      </c>
      <c r="L354" s="799"/>
      <c r="M354" s="961"/>
      <c r="N354" s="961"/>
      <c r="O354" s="1042"/>
      <c r="P354" s="1042"/>
      <c r="Q354" s="1042"/>
      <c r="R354" s="1042"/>
      <c r="S354" s="1042"/>
      <c r="T354" s="1042"/>
    </row>
    <row r="355" spans="1:20" x14ac:dyDescent="0.25">
      <c r="A355" s="1183">
        <f>wstęp!A355</f>
        <v>2</v>
      </c>
      <c r="B355" s="1183">
        <f>wstęp!B355</f>
        <v>3</v>
      </c>
      <c r="C355" s="1197">
        <f>wstęp!C355</f>
        <v>1</v>
      </c>
      <c r="D355" s="1235" t="s">
        <v>7911</v>
      </c>
      <c r="E355" s="1235"/>
      <c r="F355" s="1235"/>
      <c r="G355" s="1235"/>
      <c r="H355" s="1235"/>
      <c r="I355" s="1235"/>
      <c r="J355" s="1235"/>
      <c r="K355" s="964" t="str">
        <f>wstęp!K355</f>
        <v>odkryj</v>
      </c>
      <c r="L355" s="799"/>
      <c r="M355" s="961"/>
      <c r="N355" s="961"/>
      <c r="O355" s="1042"/>
      <c r="P355" s="1042"/>
      <c r="Q355" s="1042"/>
      <c r="R355" s="1042"/>
      <c r="S355" s="1042"/>
      <c r="T355" s="1042"/>
    </row>
    <row r="356" spans="1:20" x14ac:dyDescent="0.25">
      <c r="A356" s="283"/>
      <c r="B356" s="284"/>
      <c r="C356" s="284"/>
      <c r="D356" s="322"/>
      <c r="E356" s="322"/>
      <c r="F356" s="322"/>
      <c r="G356" s="788"/>
      <c r="H356" s="788"/>
      <c r="I356" s="788"/>
      <c r="J356" s="788"/>
      <c r="K356" s="964" t="str">
        <f>wstęp!K356</f>
        <v>odkryj</v>
      </c>
      <c r="L356" s="799"/>
      <c r="M356" s="961"/>
      <c r="N356" s="961"/>
      <c r="O356" s="1042"/>
      <c r="P356" s="1042"/>
      <c r="Q356" s="1042"/>
      <c r="R356" s="1042"/>
      <c r="S356" s="1042"/>
      <c r="T356" s="1042"/>
    </row>
    <row r="357" spans="1:20" ht="24.05" customHeight="1" x14ac:dyDescent="0.25">
      <c r="A357" s="283"/>
      <c r="B357" s="284"/>
      <c r="C357" s="284"/>
      <c r="D357" s="1242" t="s">
        <v>7912</v>
      </c>
      <c r="E357" s="1242"/>
      <c r="F357" s="1242"/>
      <c r="G357" s="1242"/>
      <c r="H357" s="1242"/>
      <c r="I357" s="1242"/>
      <c r="J357" s="1242"/>
      <c r="K357" s="964" t="str">
        <f>wstęp!K357</f>
        <v>odkryj</v>
      </c>
      <c r="L357" s="799"/>
      <c r="M357" s="961"/>
      <c r="N357" s="961"/>
      <c r="O357" s="1042"/>
      <c r="P357" s="1042"/>
      <c r="Q357" s="1042"/>
      <c r="R357" s="1042"/>
      <c r="S357" s="1042"/>
      <c r="T357" s="1042"/>
    </row>
    <row r="358" spans="1:20" x14ac:dyDescent="0.25">
      <c r="A358" s="283"/>
      <c r="B358" s="284"/>
      <c r="C358" s="284"/>
      <c r="D358" s="322"/>
      <c r="E358" s="322"/>
      <c r="F358" s="322"/>
      <c r="G358" s="788"/>
      <c r="H358" s="788"/>
      <c r="I358" s="788"/>
      <c r="J358" s="788"/>
      <c r="K358" s="964" t="str">
        <f>wstęp!K358</f>
        <v>odkryj</v>
      </c>
      <c r="L358" s="799"/>
      <c r="M358" s="961"/>
      <c r="N358" s="961"/>
      <c r="O358" s="1042"/>
      <c r="P358" s="1042"/>
      <c r="Q358" s="1042"/>
      <c r="R358" s="1042"/>
      <c r="S358" s="1042"/>
      <c r="T358" s="1042"/>
    </row>
    <row r="359" spans="1:20" x14ac:dyDescent="0.25">
      <c r="A359" s="283"/>
      <c r="B359" s="284"/>
      <c r="C359" s="284"/>
      <c r="D359" s="1247" t="s">
        <v>7913</v>
      </c>
      <c r="E359" s="1247"/>
      <c r="F359" s="1247"/>
      <c r="G359" s="1247"/>
      <c r="H359" s="1247"/>
      <c r="I359" s="1247"/>
      <c r="J359" s="1247"/>
      <c r="K359" s="964" t="str">
        <f>wstęp!K359</f>
        <v>odkryj</v>
      </c>
      <c r="L359" s="799"/>
      <c r="M359" s="961"/>
      <c r="N359" s="961"/>
      <c r="O359" s="1042"/>
      <c r="P359" s="1042"/>
      <c r="Q359" s="1042"/>
      <c r="R359" s="1042"/>
      <c r="S359" s="1042"/>
      <c r="T359" s="1042"/>
    </row>
    <row r="360" spans="1:20" x14ac:dyDescent="0.25">
      <c r="A360" s="283"/>
      <c r="B360" s="284"/>
      <c r="C360" s="284"/>
      <c r="D360" s="349"/>
      <c r="E360" s="349"/>
      <c r="F360" s="322"/>
      <c r="G360" s="788"/>
      <c r="H360" s="788"/>
      <c r="I360" s="788"/>
      <c r="J360" s="788"/>
      <c r="K360" s="964" t="str">
        <f>wstęp!K360</f>
        <v>odkryj</v>
      </c>
      <c r="L360" s="799"/>
      <c r="M360" s="961"/>
      <c r="N360" s="961"/>
      <c r="O360" s="1042"/>
      <c r="P360" s="1042"/>
      <c r="Q360" s="1042"/>
      <c r="R360" s="1042"/>
      <c r="S360" s="1042"/>
      <c r="T360" s="1042"/>
    </row>
    <row r="361" spans="1:20" ht="54" customHeight="1" x14ac:dyDescent="0.25">
      <c r="A361" s="283"/>
      <c r="B361" s="284"/>
      <c r="C361" s="284"/>
      <c r="D361" s="1242" t="s">
        <v>7914</v>
      </c>
      <c r="E361" s="1242"/>
      <c r="F361" s="1242"/>
      <c r="G361" s="1242"/>
      <c r="H361" s="1242"/>
      <c r="I361" s="1242"/>
      <c r="J361" s="1242"/>
      <c r="K361" s="964" t="str">
        <f>wstęp!K361</f>
        <v>odkryj</v>
      </c>
      <c r="L361" s="799"/>
      <c r="M361" s="961"/>
      <c r="N361" s="961"/>
      <c r="O361" s="1042"/>
      <c r="P361" s="1042"/>
      <c r="Q361" s="1042"/>
      <c r="R361" s="1042"/>
      <c r="S361" s="1042"/>
      <c r="T361" s="1042"/>
    </row>
    <row r="362" spans="1:20" x14ac:dyDescent="0.25">
      <c r="A362" s="283"/>
      <c r="B362" s="284"/>
      <c r="C362" s="284"/>
      <c r="D362" s="322"/>
      <c r="E362" s="322"/>
      <c r="F362" s="322"/>
      <c r="G362" s="788"/>
      <c r="H362" s="788"/>
      <c r="I362" s="788"/>
      <c r="J362" s="788"/>
      <c r="K362" s="964" t="str">
        <f>wstęp!K362</f>
        <v>odkryj</v>
      </c>
      <c r="L362" s="799"/>
      <c r="M362" s="961"/>
      <c r="N362" s="961"/>
      <c r="O362" s="1042"/>
      <c r="P362" s="1042"/>
      <c r="Q362" s="1042"/>
      <c r="R362" s="1042"/>
      <c r="S362" s="1042"/>
      <c r="T362" s="1042"/>
    </row>
    <row r="363" spans="1:20" x14ac:dyDescent="0.25">
      <c r="A363" s="283"/>
      <c r="B363" s="284"/>
      <c r="C363" s="284"/>
      <c r="D363" s="1247" t="s">
        <v>7915</v>
      </c>
      <c r="E363" s="1247"/>
      <c r="F363" s="1247"/>
      <c r="G363" s="1247"/>
      <c r="H363" s="1247"/>
      <c r="I363" s="1247"/>
      <c r="J363" s="1247"/>
      <c r="K363" s="964" t="str">
        <f>wstęp!K363</f>
        <v>odkryj</v>
      </c>
      <c r="L363" s="799"/>
      <c r="M363" s="961"/>
      <c r="N363" s="961"/>
      <c r="O363" s="1042"/>
      <c r="P363" s="1042"/>
      <c r="Q363" s="1042"/>
      <c r="R363" s="1042"/>
      <c r="S363" s="1042"/>
      <c r="T363" s="1042"/>
    </row>
    <row r="364" spans="1:20" x14ac:dyDescent="0.25">
      <c r="A364" s="283"/>
      <c r="B364" s="284"/>
      <c r="C364" s="284"/>
      <c r="D364" s="349"/>
      <c r="E364" s="349"/>
      <c r="F364" s="322"/>
      <c r="G364" s="788"/>
      <c r="H364" s="788"/>
      <c r="I364" s="788"/>
      <c r="J364" s="788"/>
      <c r="K364" s="964" t="str">
        <f>wstęp!K364</f>
        <v>odkryj</v>
      </c>
      <c r="L364" s="799"/>
      <c r="M364" s="961"/>
      <c r="N364" s="961"/>
      <c r="O364" s="1042"/>
      <c r="P364" s="1042"/>
      <c r="Q364" s="1042"/>
      <c r="R364" s="1042"/>
      <c r="S364" s="1042"/>
      <c r="T364" s="1042"/>
    </row>
    <row r="365" spans="1:20" ht="50.25" customHeight="1" x14ac:dyDescent="0.25">
      <c r="A365" s="283"/>
      <c r="B365" s="284"/>
      <c r="C365" s="284"/>
      <c r="D365" s="1242" t="s">
        <v>7916</v>
      </c>
      <c r="E365" s="1242"/>
      <c r="F365" s="1242"/>
      <c r="G365" s="1242"/>
      <c r="H365" s="1242"/>
      <c r="I365" s="1242"/>
      <c r="J365" s="1242"/>
      <c r="K365" s="964" t="str">
        <f>wstęp!K365</f>
        <v>odkryj</v>
      </c>
      <c r="L365" s="799"/>
      <c r="M365" s="961"/>
      <c r="N365" s="961"/>
      <c r="O365" s="1042"/>
      <c r="P365" s="1042"/>
      <c r="Q365" s="1042"/>
      <c r="R365" s="1042"/>
      <c r="S365" s="1042"/>
      <c r="T365" s="1042"/>
    </row>
    <row r="366" spans="1:20" x14ac:dyDescent="0.25">
      <c r="A366" s="283"/>
      <c r="B366" s="284"/>
      <c r="C366" s="284"/>
      <c r="D366" s="297"/>
      <c r="E366" s="297"/>
      <c r="F366" s="297"/>
      <c r="G366" s="297"/>
      <c r="H366" s="297"/>
      <c r="I366" s="297"/>
      <c r="J366" s="297"/>
      <c r="K366" s="964" t="str">
        <f>wstęp!K366</f>
        <v>odkryj</v>
      </c>
      <c r="L366" s="799"/>
      <c r="M366" s="961"/>
      <c r="N366" s="961"/>
      <c r="O366" s="1042"/>
      <c r="P366" s="1042"/>
      <c r="Q366" s="1042"/>
      <c r="R366" s="1042"/>
      <c r="S366" s="1042"/>
      <c r="T366" s="1042"/>
    </row>
    <row r="367" spans="1:20" x14ac:dyDescent="0.25">
      <c r="A367" s="283"/>
      <c r="B367" s="284"/>
      <c r="C367" s="284"/>
      <c r="D367" s="1247" t="s">
        <v>7917</v>
      </c>
      <c r="E367" s="1247"/>
      <c r="F367" s="1247"/>
      <c r="G367" s="1247"/>
      <c r="H367" s="1247"/>
      <c r="I367" s="1247"/>
      <c r="J367" s="1247"/>
      <c r="K367" s="964" t="str">
        <f>wstęp!K367</f>
        <v>odkryj</v>
      </c>
      <c r="L367" s="799"/>
      <c r="M367" s="961"/>
      <c r="N367" s="961"/>
      <c r="O367" s="1042"/>
      <c r="P367" s="1042"/>
      <c r="Q367" s="1042"/>
      <c r="R367" s="1042"/>
      <c r="S367" s="1042"/>
      <c r="T367" s="1042"/>
    </row>
    <row r="368" spans="1:20" x14ac:dyDescent="0.25">
      <c r="A368" s="283"/>
      <c r="B368" s="284"/>
      <c r="C368" s="284"/>
      <c r="D368" s="297"/>
      <c r="E368" s="297"/>
      <c r="F368" s="297"/>
      <c r="G368" s="297"/>
      <c r="H368" s="297"/>
      <c r="I368" s="297"/>
      <c r="J368" s="297"/>
      <c r="K368" s="964" t="str">
        <f>wstęp!K368</f>
        <v>odkryj</v>
      </c>
      <c r="L368" s="799"/>
      <c r="M368" s="961"/>
      <c r="N368" s="961"/>
      <c r="O368" s="1042"/>
      <c r="P368" s="1042"/>
      <c r="Q368" s="1042"/>
      <c r="R368" s="1042"/>
      <c r="S368" s="1042"/>
      <c r="T368" s="1042"/>
    </row>
    <row r="369" spans="1:20" x14ac:dyDescent="0.25">
      <c r="A369" s="283"/>
      <c r="B369" s="284"/>
      <c r="C369" s="284"/>
      <c r="D369" s="1248" t="s">
        <v>7918</v>
      </c>
      <c r="E369" s="1248"/>
      <c r="F369" s="1248"/>
      <c r="G369" s="1248"/>
      <c r="H369" s="1248"/>
      <c r="I369" s="1248"/>
      <c r="J369" s="1248"/>
      <c r="K369" s="964" t="str">
        <f>wstęp!K369</f>
        <v>odkryj</v>
      </c>
      <c r="L369" s="799"/>
      <c r="M369" s="961"/>
      <c r="N369" s="961"/>
      <c r="O369" s="1042"/>
      <c r="P369" s="1042"/>
      <c r="Q369" s="1042"/>
      <c r="R369" s="1042"/>
      <c r="S369" s="1042"/>
      <c r="T369" s="1042"/>
    </row>
    <row r="370" spans="1:20" ht="29.95" customHeight="1" x14ac:dyDescent="0.25">
      <c r="A370" s="283"/>
      <c r="B370" s="284"/>
      <c r="C370" s="284"/>
      <c r="D370" s="1082" t="s">
        <v>7380</v>
      </c>
      <c r="E370" s="1249" t="s">
        <v>7919</v>
      </c>
      <c r="F370" s="1249"/>
      <c r="G370" s="1249"/>
      <c r="H370" s="1249"/>
      <c r="I370" s="1249"/>
      <c r="J370" s="1249"/>
      <c r="K370" s="964" t="str">
        <f>wstęp!K370</f>
        <v>odkryj</v>
      </c>
      <c r="L370" s="799"/>
      <c r="M370" s="961"/>
      <c r="N370" s="961"/>
      <c r="O370" s="1042"/>
      <c r="P370" s="1042"/>
      <c r="Q370" s="1042"/>
      <c r="R370" s="1042"/>
      <c r="S370" s="1042"/>
      <c r="T370" s="1042"/>
    </row>
    <row r="371" spans="1:20" ht="18.850000000000001" customHeight="1" x14ac:dyDescent="0.25">
      <c r="A371" s="283"/>
      <c r="B371" s="284"/>
      <c r="C371" s="284"/>
      <c r="D371" s="1082" t="s">
        <v>7383</v>
      </c>
      <c r="E371" s="1249" t="s">
        <v>7920</v>
      </c>
      <c r="F371" s="1249"/>
      <c r="G371" s="1249"/>
      <c r="H371" s="1249"/>
      <c r="I371" s="1249"/>
      <c r="J371" s="1249"/>
      <c r="K371" s="964" t="str">
        <f>wstęp!K371</f>
        <v>odkryj</v>
      </c>
      <c r="L371" s="799"/>
      <c r="M371" s="961"/>
      <c r="N371" s="961"/>
      <c r="O371" s="1042"/>
      <c r="P371" s="1042"/>
      <c r="Q371" s="1042"/>
      <c r="R371" s="1042"/>
      <c r="S371" s="1042"/>
      <c r="T371" s="1042"/>
    </row>
    <row r="372" spans="1:20" ht="38.299999999999997" customHeight="1" x14ac:dyDescent="0.25">
      <c r="A372" s="283"/>
      <c r="B372" s="284"/>
      <c r="C372" s="284"/>
      <c r="D372" s="1082" t="s">
        <v>7385</v>
      </c>
      <c r="E372" s="1249" t="s">
        <v>7921</v>
      </c>
      <c r="F372" s="1249"/>
      <c r="G372" s="1249"/>
      <c r="H372" s="1249"/>
      <c r="I372" s="1249"/>
      <c r="J372" s="1249"/>
      <c r="K372" s="964" t="str">
        <f>wstęp!K372</f>
        <v>odkryj</v>
      </c>
      <c r="L372" s="799"/>
      <c r="M372" s="961"/>
      <c r="N372" s="961"/>
      <c r="O372" s="1042"/>
      <c r="P372" s="1042"/>
      <c r="Q372" s="1042"/>
      <c r="R372" s="1042"/>
      <c r="S372" s="1042"/>
      <c r="T372" s="1042"/>
    </row>
    <row r="373" spans="1:20" x14ac:dyDescent="0.25">
      <c r="A373" s="283"/>
      <c r="B373" s="284"/>
      <c r="C373" s="284"/>
      <c r="D373" s="350"/>
      <c r="E373" s="327"/>
      <c r="F373" s="327"/>
      <c r="G373" s="327"/>
      <c r="H373" s="327"/>
      <c r="I373" s="327"/>
      <c r="J373" s="327"/>
      <c r="K373" s="964" t="str">
        <f>wstęp!K373</f>
        <v>odkryj</v>
      </c>
      <c r="L373" s="799"/>
      <c r="M373" s="961"/>
      <c r="N373" s="961"/>
      <c r="O373" s="1042"/>
      <c r="P373" s="1042"/>
      <c r="Q373" s="1042"/>
      <c r="R373" s="1042"/>
      <c r="S373" s="1042"/>
      <c r="T373" s="1042"/>
    </row>
    <row r="374" spans="1:20" x14ac:dyDescent="0.25">
      <c r="A374" s="1183">
        <f>wstęp!A374</f>
        <v>2</v>
      </c>
      <c r="B374" s="1183">
        <f>wstęp!B374</f>
        <v>3</v>
      </c>
      <c r="C374" s="1197">
        <f>wstęp!C374</f>
        <v>2</v>
      </c>
      <c r="D374" s="1235" t="s">
        <v>7870</v>
      </c>
      <c r="E374" s="1235"/>
      <c r="F374" s="1235"/>
      <c r="G374" s="1235"/>
      <c r="H374" s="1235"/>
      <c r="I374" s="1235"/>
      <c r="J374" s="1235"/>
      <c r="K374" s="964" t="str">
        <f>wstęp!K374</f>
        <v>odkryj</v>
      </c>
      <c r="L374" s="799"/>
      <c r="M374" s="961"/>
      <c r="N374" s="961"/>
      <c r="O374" s="1042"/>
      <c r="P374" s="1042"/>
      <c r="Q374" s="1042"/>
      <c r="R374" s="1042"/>
      <c r="S374" s="1042"/>
      <c r="T374" s="1042"/>
    </row>
    <row r="375" spans="1:20" x14ac:dyDescent="0.25">
      <c r="A375" s="283"/>
      <c r="B375" s="284"/>
      <c r="C375" s="284"/>
      <c r="D375" s="350"/>
      <c r="E375" s="327"/>
      <c r="F375" s="327"/>
      <c r="G375" s="327"/>
      <c r="H375" s="327"/>
      <c r="I375" s="327"/>
      <c r="J375" s="327"/>
      <c r="K375" s="964" t="str">
        <f>wstęp!K375</f>
        <v>odkryj</v>
      </c>
      <c r="L375" s="799"/>
      <c r="M375" s="961"/>
      <c r="N375" s="961"/>
      <c r="O375" s="1042"/>
      <c r="P375" s="1042"/>
      <c r="Q375" s="1042"/>
      <c r="R375" s="1042"/>
      <c r="S375" s="1042"/>
      <c r="T375" s="1042"/>
    </row>
    <row r="376" spans="1:20" ht="28.5" customHeight="1" x14ac:dyDescent="0.25">
      <c r="A376" s="283"/>
      <c r="B376" s="284"/>
      <c r="C376" s="284"/>
      <c r="D376" s="1242" t="s">
        <v>7922</v>
      </c>
      <c r="E376" s="1242"/>
      <c r="F376" s="1242"/>
      <c r="G376" s="1242"/>
      <c r="H376" s="1242"/>
      <c r="I376" s="1242"/>
      <c r="J376" s="1242"/>
      <c r="K376" s="964" t="str">
        <f>wstęp!K376</f>
        <v>odkryj</v>
      </c>
      <c r="L376" s="799"/>
      <c r="M376" s="961"/>
      <c r="N376" s="961"/>
      <c r="O376" s="1042"/>
      <c r="P376" s="1042"/>
      <c r="Q376" s="1042"/>
      <c r="R376" s="1042"/>
      <c r="S376" s="1042"/>
      <c r="T376" s="1042"/>
    </row>
    <row r="377" spans="1:20" x14ac:dyDescent="0.25">
      <c r="A377" s="283"/>
      <c r="B377" s="284"/>
      <c r="C377" s="284"/>
      <c r="D377" s="350"/>
      <c r="E377" s="327"/>
      <c r="F377" s="327"/>
      <c r="G377" s="327"/>
      <c r="H377" s="327"/>
      <c r="I377" s="327"/>
      <c r="J377" s="327"/>
      <c r="K377" s="964" t="str">
        <f>wstęp!K377</f>
        <v>odkryj</v>
      </c>
      <c r="L377" s="799"/>
      <c r="M377" s="961"/>
      <c r="N377" s="961"/>
      <c r="O377" s="1042"/>
      <c r="P377" s="1042"/>
      <c r="Q377" s="1042"/>
      <c r="R377" s="1042"/>
      <c r="S377" s="1042"/>
      <c r="T377" s="1042"/>
    </row>
    <row r="378" spans="1:20" x14ac:dyDescent="0.25">
      <c r="A378" s="1183">
        <f>wstęp!A378</f>
        <v>2</v>
      </c>
      <c r="B378" s="1183">
        <f>wstęp!B378</f>
        <v>3</v>
      </c>
      <c r="C378" s="1197">
        <f>wstęp!C378</f>
        <v>3</v>
      </c>
      <c r="D378" s="1235" t="s">
        <v>7923</v>
      </c>
      <c r="E378" s="1235"/>
      <c r="F378" s="1235"/>
      <c r="G378" s="1235"/>
      <c r="H378" s="1235"/>
      <c r="I378" s="1235"/>
      <c r="J378" s="1235"/>
      <c r="K378" s="964" t="str">
        <f>wstęp!K378</f>
        <v>odkryj</v>
      </c>
      <c r="L378" s="799"/>
      <c r="M378" s="961"/>
      <c r="N378" s="961"/>
      <c r="O378" s="1042"/>
      <c r="P378" s="1042"/>
      <c r="Q378" s="1042"/>
      <c r="R378" s="1042"/>
      <c r="S378" s="1042"/>
      <c r="T378" s="1042"/>
    </row>
    <row r="379" spans="1:20" x14ac:dyDescent="0.25">
      <c r="A379" s="283"/>
      <c r="B379" s="284"/>
      <c r="C379" s="284"/>
      <c r="D379" s="350"/>
      <c r="E379" s="327"/>
      <c r="F379" s="327"/>
      <c r="G379" s="327"/>
      <c r="H379" s="327"/>
      <c r="I379" s="327"/>
      <c r="J379" s="327"/>
      <c r="K379" s="964" t="str">
        <f>wstęp!K379</f>
        <v>odkryj</v>
      </c>
      <c r="L379" s="799"/>
      <c r="M379" s="961"/>
      <c r="N379" s="961"/>
      <c r="O379" s="1042"/>
      <c r="P379" s="1042"/>
      <c r="Q379" s="1042"/>
      <c r="R379" s="1042"/>
      <c r="S379" s="1042"/>
      <c r="T379" s="1042"/>
    </row>
    <row r="380" spans="1:20" ht="67.599999999999994" customHeight="1" x14ac:dyDescent="0.25">
      <c r="A380" s="283"/>
      <c r="B380" s="284"/>
      <c r="C380" s="284"/>
      <c r="D380" s="1245" t="s">
        <v>7924</v>
      </c>
      <c r="E380" s="1245"/>
      <c r="F380" s="1245"/>
      <c r="G380" s="1245"/>
      <c r="H380" s="1245"/>
      <c r="I380" s="1245"/>
      <c r="J380" s="1245"/>
      <c r="K380" s="964" t="str">
        <f>wstęp!K380</f>
        <v>odkryj</v>
      </c>
      <c r="L380" s="799"/>
      <c r="M380" s="961"/>
      <c r="N380" s="961"/>
      <c r="O380" s="1042"/>
      <c r="P380" s="1042"/>
      <c r="Q380" s="1042"/>
      <c r="R380" s="1042"/>
      <c r="S380" s="1042"/>
      <c r="T380" s="1042"/>
    </row>
    <row r="381" spans="1:20" x14ac:dyDescent="0.25">
      <c r="A381" s="283"/>
      <c r="B381" s="284"/>
      <c r="C381" s="284"/>
      <c r="D381" s="789"/>
      <c r="E381" s="789"/>
      <c r="F381" s="789"/>
      <c r="G381" s="301"/>
      <c r="H381" s="789"/>
      <c r="I381" s="789"/>
      <c r="J381" s="788"/>
      <c r="K381" s="964" t="str">
        <f>wstęp!K381</f>
        <v>odkryj</v>
      </c>
      <c r="L381" s="799"/>
      <c r="M381" s="961"/>
      <c r="N381" s="961"/>
      <c r="O381" s="1042"/>
      <c r="P381" s="1042"/>
      <c r="Q381" s="1042"/>
      <c r="R381" s="1042"/>
      <c r="S381" s="1042"/>
      <c r="T381" s="1042"/>
    </row>
    <row r="382" spans="1:20" ht="32.25" customHeight="1" x14ac:dyDescent="0.25">
      <c r="A382" s="283"/>
      <c r="B382" s="284"/>
      <c r="C382" s="284"/>
      <c r="D382" s="1246" t="s">
        <v>7925</v>
      </c>
      <c r="E382" s="1246"/>
      <c r="F382" s="1246"/>
      <c r="G382" s="1246"/>
      <c r="H382" s="1246"/>
      <c r="I382" s="1246"/>
      <c r="J382" s="1246"/>
      <c r="K382" s="964" t="str">
        <f>wstęp!K382</f>
        <v>odkryj</v>
      </c>
      <c r="L382" s="799"/>
      <c r="M382" s="961"/>
      <c r="N382" s="961"/>
      <c r="O382" s="1042"/>
      <c r="P382" s="1042"/>
      <c r="Q382" s="1042"/>
      <c r="R382" s="1042"/>
      <c r="S382" s="1042"/>
      <c r="T382" s="1042"/>
    </row>
    <row r="383" spans="1:20" x14ac:dyDescent="0.25">
      <c r="A383" s="283"/>
      <c r="B383" s="284"/>
      <c r="C383" s="284"/>
      <c r="D383" s="294"/>
      <c r="E383" s="294"/>
      <c r="F383" s="294"/>
      <c r="G383" s="294"/>
      <c r="H383" s="294"/>
      <c r="I383" s="294"/>
      <c r="J383" s="294"/>
      <c r="K383" s="964" t="str">
        <f>wstęp!K383</f>
        <v>odkryj</v>
      </c>
      <c r="L383" s="799"/>
      <c r="M383" s="961"/>
      <c r="N383" s="961"/>
      <c r="O383" s="1042"/>
      <c r="P383" s="1042"/>
      <c r="Q383" s="1042"/>
      <c r="R383" s="1042"/>
      <c r="S383" s="1042"/>
      <c r="T383" s="1042"/>
    </row>
    <row r="384" spans="1:20" ht="13.6" customHeight="1" x14ac:dyDescent="0.25">
      <c r="A384" s="283"/>
      <c r="B384" s="284"/>
      <c r="C384" s="284"/>
      <c r="D384" s="298" t="s">
        <v>7525</v>
      </c>
      <c r="E384" s="1246" t="s">
        <v>7926</v>
      </c>
      <c r="F384" s="1246"/>
      <c r="G384" s="1246"/>
      <c r="H384" s="1246"/>
      <c r="I384" s="1246"/>
      <c r="J384" s="1246"/>
      <c r="K384" s="964" t="str">
        <f>wstęp!K384</f>
        <v>odkryj</v>
      </c>
      <c r="L384" s="799"/>
      <c r="M384" s="961"/>
      <c r="N384" s="961"/>
      <c r="O384" s="1042"/>
      <c r="P384" s="1042"/>
      <c r="Q384" s="1042"/>
      <c r="R384" s="1042"/>
      <c r="S384" s="1042"/>
      <c r="T384" s="1042"/>
    </row>
    <row r="385" spans="1:20" x14ac:dyDescent="0.25">
      <c r="A385" s="283"/>
      <c r="B385" s="284"/>
      <c r="C385" s="284"/>
      <c r="D385" s="294"/>
      <c r="E385" s="294"/>
      <c r="F385" s="294"/>
      <c r="G385" s="294"/>
      <c r="H385" s="294"/>
      <c r="I385" s="294"/>
      <c r="J385" s="294"/>
      <c r="K385" s="964" t="str">
        <f>wstęp!K385</f>
        <v>odkryj</v>
      </c>
      <c r="L385" s="799"/>
      <c r="M385" s="961"/>
      <c r="N385" s="961"/>
      <c r="O385" s="1042"/>
      <c r="P385" s="1042"/>
      <c r="Q385" s="1042"/>
      <c r="R385" s="1042"/>
      <c r="S385" s="1042"/>
      <c r="T385" s="1042"/>
    </row>
    <row r="386" spans="1:20" ht="78.05" customHeight="1" x14ac:dyDescent="0.25">
      <c r="A386" s="283"/>
      <c r="B386" s="284"/>
      <c r="C386" s="284"/>
      <c r="D386" s="298" t="s">
        <v>7525</v>
      </c>
      <c r="E386" s="1246" t="s">
        <v>7927</v>
      </c>
      <c r="F386" s="1246"/>
      <c r="G386" s="1246"/>
      <c r="H386" s="1246"/>
      <c r="I386" s="1246"/>
      <c r="J386" s="1246"/>
      <c r="K386" s="964" t="str">
        <f>wstęp!K386</f>
        <v>odkryj</v>
      </c>
      <c r="L386" s="799"/>
      <c r="M386" s="961"/>
      <c r="N386" s="961"/>
      <c r="O386" s="1042"/>
      <c r="P386" s="1042"/>
      <c r="Q386" s="1042"/>
      <c r="R386" s="1042"/>
      <c r="S386" s="1042"/>
      <c r="T386" s="1042"/>
    </row>
    <row r="387" spans="1:20" x14ac:dyDescent="0.25">
      <c r="A387" s="299"/>
      <c r="B387" s="788"/>
      <c r="C387" s="788"/>
      <c r="D387" s="788"/>
      <c r="E387" s="788"/>
      <c r="F387" s="788"/>
      <c r="G387" s="301"/>
      <c r="H387" s="788"/>
      <c r="I387" s="788"/>
      <c r="J387" s="788"/>
      <c r="K387" s="964" t="str">
        <f>wstęp!K387</f>
        <v>odkryj</v>
      </c>
      <c r="L387" s="799"/>
      <c r="M387" s="961"/>
      <c r="N387" s="961"/>
      <c r="O387" s="1042"/>
      <c r="P387" s="1042"/>
      <c r="Q387" s="1042"/>
      <c r="R387" s="1042"/>
      <c r="S387" s="1042"/>
      <c r="T387" s="1042"/>
    </row>
    <row r="388" spans="1:20" ht="13.6" customHeight="1" x14ac:dyDescent="0.25">
      <c r="A388" s="1183">
        <f>wstęp!A388</f>
        <v>2</v>
      </c>
      <c r="B388" s="1196">
        <f>wstęp!B388</f>
        <v>4</v>
      </c>
      <c r="C388" s="1197"/>
      <c r="D388" s="1235" t="s">
        <v>7928</v>
      </c>
      <c r="E388" s="1235"/>
      <c r="F388" s="1235"/>
      <c r="G388" s="1235"/>
      <c r="H388" s="1235"/>
      <c r="I388" s="1235"/>
      <c r="J388" s="1235"/>
      <c r="K388" s="964" t="str">
        <f>wstęp!K388</f>
        <v>odkryj</v>
      </c>
      <c r="L388" s="788"/>
      <c r="M388" s="959"/>
      <c r="N388" s="959"/>
      <c r="O388" s="1049"/>
      <c r="P388" s="1049"/>
      <c r="Q388" s="1049"/>
      <c r="R388" s="1049"/>
      <c r="S388" s="1042"/>
      <c r="T388" s="1042"/>
    </row>
    <row r="389" spans="1:20" x14ac:dyDescent="0.25">
      <c r="A389" s="283"/>
      <c r="B389" s="788"/>
      <c r="C389" s="788"/>
      <c r="D389" s="788"/>
      <c r="E389" s="788"/>
      <c r="F389" s="788"/>
      <c r="G389" s="301"/>
      <c r="H389" s="788"/>
      <c r="I389" s="788"/>
      <c r="J389" s="788"/>
      <c r="K389" s="964" t="str">
        <f>wstęp!K389</f>
        <v>odkryj</v>
      </c>
      <c r="L389" s="788"/>
      <c r="M389" s="959"/>
      <c r="N389" s="959"/>
      <c r="O389" s="1049"/>
      <c r="P389" s="1049"/>
      <c r="Q389" s="1049"/>
      <c r="R389" s="1049"/>
      <c r="S389" s="1042"/>
      <c r="T389" s="1042"/>
    </row>
    <row r="390" spans="1:20" ht="13.6" customHeight="1" x14ac:dyDescent="0.25">
      <c r="A390" s="1183">
        <f>wstęp!A390</f>
        <v>2</v>
      </c>
      <c r="B390" s="1183">
        <f>wstęp!B390</f>
        <v>4</v>
      </c>
      <c r="C390" s="1197">
        <f>wstęp!C390</f>
        <v>1</v>
      </c>
      <c r="D390" s="1235" t="s">
        <v>7929</v>
      </c>
      <c r="E390" s="1235"/>
      <c r="F390" s="1235"/>
      <c r="G390" s="1235"/>
      <c r="H390" s="1235"/>
      <c r="I390" s="1235"/>
      <c r="J390" s="1235"/>
      <c r="K390" s="964" t="str">
        <f>wstęp!K390</f>
        <v>odkryj</v>
      </c>
      <c r="L390" s="788"/>
      <c r="M390" s="959"/>
      <c r="N390" s="959"/>
      <c r="O390" s="1049"/>
      <c r="P390" s="1049"/>
      <c r="Q390" s="1049"/>
      <c r="R390" s="1049"/>
      <c r="S390" s="1042"/>
      <c r="T390" s="1042"/>
    </row>
    <row r="391" spans="1:20" x14ac:dyDescent="0.25">
      <c r="A391" s="299"/>
      <c r="B391" s="788"/>
      <c r="C391" s="788"/>
      <c r="D391" s="788"/>
      <c r="E391" s="788"/>
      <c r="F391" s="788"/>
      <c r="G391" s="301"/>
      <c r="H391" s="788"/>
      <c r="I391" s="788"/>
      <c r="J391" s="788"/>
      <c r="K391" s="964" t="str">
        <f>wstęp!K391</f>
        <v>odkryj</v>
      </c>
      <c r="L391" s="788"/>
      <c r="M391" s="959"/>
      <c r="N391" s="959"/>
      <c r="O391" s="1049"/>
      <c r="P391" s="1049"/>
      <c r="Q391" s="1049"/>
      <c r="R391" s="1049"/>
      <c r="S391" s="1042"/>
      <c r="T391" s="1042"/>
    </row>
    <row r="392" spans="1:20" ht="17.2" customHeight="1" x14ac:dyDescent="0.25">
      <c r="A392" s="299"/>
      <c r="B392" s="788"/>
      <c r="C392" s="788"/>
      <c r="D392" s="1242" t="s">
        <v>7930</v>
      </c>
      <c r="E392" s="1242"/>
      <c r="F392" s="1242"/>
      <c r="G392" s="1242"/>
      <c r="H392" s="1242"/>
      <c r="I392" s="1242"/>
      <c r="J392" s="1242"/>
      <c r="K392" s="964" t="str">
        <f>wstęp!K392</f>
        <v>odkryj</v>
      </c>
      <c r="L392" s="788"/>
      <c r="M392" s="959"/>
      <c r="N392" s="959"/>
      <c r="O392" s="1049"/>
      <c r="P392" s="1049"/>
      <c r="Q392" s="1049"/>
      <c r="R392" s="1049"/>
      <c r="S392" s="1042"/>
      <c r="T392" s="1042"/>
    </row>
    <row r="393" spans="1:20" x14ac:dyDescent="0.25">
      <c r="A393" s="299"/>
      <c r="B393" s="788"/>
      <c r="C393" s="788"/>
      <c r="D393" s="297"/>
      <c r="E393" s="297"/>
      <c r="F393" s="297"/>
      <c r="G393" s="297"/>
      <c r="H393" s="297"/>
      <c r="I393" s="297"/>
      <c r="J393" s="297"/>
      <c r="K393" s="964" t="str">
        <f>wstęp!K393</f>
        <v>odkryj</v>
      </c>
      <c r="L393" s="788"/>
      <c r="M393" s="959"/>
      <c r="N393" s="959"/>
      <c r="O393" s="1049"/>
      <c r="P393" s="1049"/>
      <c r="Q393" s="1049"/>
      <c r="R393" s="1049"/>
      <c r="S393" s="1042"/>
      <c r="T393" s="1042"/>
    </row>
    <row r="394" spans="1:20" ht="13.6" customHeight="1" x14ac:dyDescent="0.25">
      <c r="A394" s="1183">
        <f>wstęp!A394</f>
        <v>2</v>
      </c>
      <c r="B394" s="1183">
        <f>wstęp!B394</f>
        <v>4</v>
      </c>
      <c r="C394" s="1197">
        <f>wstęp!C394</f>
        <v>2</v>
      </c>
      <c r="D394" s="1235" t="s">
        <v>7931</v>
      </c>
      <c r="E394" s="1235"/>
      <c r="F394" s="1235"/>
      <c r="G394" s="1235"/>
      <c r="H394" s="1235"/>
      <c r="I394" s="1235"/>
      <c r="J394" s="1235"/>
      <c r="K394" s="964" t="str">
        <f>wstęp!K394</f>
        <v>odkryj</v>
      </c>
      <c r="L394" s="788"/>
      <c r="M394" s="959"/>
      <c r="N394" s="959"/>
      <c r="O394" s="1049"/>
      <c r="P394" s="1049"/>
      <c r="Q394" s="1049"/>
      <c r="R394" s="1049"/>
      <c r="S394" s="1042"/>
      <c r="T394" s="1042"/>
    </row>
    <row r="395" spans="1:20" x14ac:dyDescent="0.25">
      <c r="A395" s="299"/>
      <c r="B395" s="788"/>
      <c r="C395" s="788"/>
      <c r="D395" s="788"/>
      <c r="E395" s="788"/>
      <c r="F395" s="788"/>
      <c r="G395" s="301"/>
      <c r="H395" s="788"/>
      <c r="I395" s="788"/>
      <c r="J395" s="788"/>
      <c r="K395" s="964" t="str">
        <f>wstęp!K395</f>
        <v>odkryj</v>
      </c>
      <c r="L395" s="788"/>
      <c r="M395" s="959"/>
      <c r="N395" s="959"/>
      <c r="O395" s="1049"/>
      <c r="P395" s="1049"/>
      <c r="Q395" s="1049"/>
      <c r="R395" s="1049"/>
      <c r="S395" s="1042"/>
      <c r="T395" s="1042"/>
    </row>
    <row r="396" spans="1:20" ht="12.8" customHeight="1" x14ac:dyDescent="0.25">
      <c r="A396" s="299"/>
      <c r="B396" s="788"/>
      <c r="C396" s="788"/>
      <c r="D396" s="1242" t="s">
        <v>7932</v>
      </c>
      <c r="E396" s="1242"/>
      <c r="F396" s="1242"/>
      <c r="G396" s="1242"/>
      <c r="H396" s="1242"/>
      <c r="I396" s="1242"/>
      <c r="J396" s="1242"/>
      <c r="K396" s="964" t="str">
        <f>wstęp!K396</f>
        <v>odkryj</v>
      </c>
      <c r="L396" s="788"/>
      <c r="M396" s="959"/>
      <c r="N396" s="959"/>
      <c r="O396" s="1049"/>
      <c r="P396" s="1049"/>
      <c r="Q396" s="1049"/>
      <c r="R396" s="1049"/>
      <c r="S396" s="1042"/>
      <c r="T396" s="1042"/>
    </row>
    <row r="397" spans="1:20" x14ac:dyDescent="0.25">
      <c r="A397" s="299"/>
      <c r="B397" s="788"/>
      <c r="C397" s="788"/>
      <c r="D397" s="351" t="s">
        <v>7933</v>
      </c>
      <c r="E397" s="351"/>
      <c r="F397" s="351"/>
      <c r="G397" s="352"/>
      <c r="H397" s="351"/>
      <c r="I397" s="351"/>
      <c r="J397" s="351"/>
      <c r="K397" s="964" t="str">
        <f>wstęp!K397</f>
        <v>ukryj</v>
      </c>
      <c r="L397" s="99"/>
      <c r="M397" s="1049"/>
      <c r="N397" s="1049"/>
      <c r="O397" s="1049"/>
      <c r="P397" s="1049"/>
      <c r="Q397" s="1049"/>
      <c r="R397" s="1049"/>
      <c r="S397" s="1042"/>
      <c r="T397" s="1042"/>
    </row>
    <row r="398" spans="1:20" ht="12.8" customHeight="1" x14ac:dyDescent="0.25">
      <c r="A398" s="299"/>
      <c r="B398" s="788"/>
      <c r="C398" s="788"/>
      <c r="D398" s="1243" t="s">
        <v>7934</v>
      </c>
      <c r="E398" s="1244"/>
      <c r="F398" s="1244"/>
      <c r="G398" s="1244"/>
      <c r="H398" s="1244"/>
      <c r="I398" s="1244"/>
      <c r="J398" s="1244"/>
      <c r="K398" s="964" t="str">
        <f>wstęp!K398</f>
        <v>odkryj</v>
      </c>
      <c r="L398" s="788"/>
      <c r="M398" s="959"/>
      <c r="N398" s="959"/>
      <c r="O398" s="1049"/>
      <c r="P398" s="1049"/>
      <c r="Q398" s="1049"/>
      <c r="R398" s="1049"/>
      <c r="S398" s="1042"/>
      <c r="T398" s="1042"/>
    </row>
    <row r="399" spans="1:20" x14ac:dyDescent="0.25">
      <c r="A399" s="299"/>
      <c r="B399" s="788"/>
      <c r="C399" s="788"/>
      <c r="D399" s="788"/>
      <c r="E399" s="788"/>
      <c r="F399" s="788"/>
      <c r="G399" s="301"/>
      <c r="H399" s="788"/>
      <c r="I399" s="788"/>
      <c r="J399" s="788"/>
      <c r="K399" s="964" t="str">
        <f>wstęp!K399</f>
        <v>odkryj</v>
      </c>
      <c r="L399" s="788"/>
      <c r="M399" s="959"/>
      <c r="N399" s="959"/>
      <c r="O399" s="1049"/>
      <c r="P399" s="1049"/>
      <c r="Q399" s="1049"/>
      <c r="R399" s="1049"/>
      <c r="S399" s="1042"/>
      <c r="T399" s="1042"/>
    </row>
    <row r="400" spans="1:20" ht="13.6" customHeight="1" x14ac:dyDescent="0.25">
      <c r="A400" s="1183">
        <f>wstęp!A400</f>
        <v>2</v>
      </c>
      <c r="B400" s="1196">
        <f>wstęp!B400</f>
        <v>5</v>
      </c>
      <c r="C400" s="1197"/>
      <c r="D400" s="1235" t="s">
        <v>7935</v>
      </c>
      <c r="E400" s="1235"/>
      <c r="F400" s="1235"/>
      <c r="G400" s="1235"/>
      <c r="H400" s="1235"/>
      <c r="I400" s="1235"/>
      <c r="J400" s="1235"/>
      <c r="K400" s="964" t="str">
        <f>wstęp!K400</f>
        <v>odkryj</v>
      </c>
      <c r="L400" s="788" t="s">
        <v>7727</v>
      </c>
      <c r="M400" s="959"/>
      <c r="N400" s="959"/>
      <c r="O400" s="1049"/>
      <c r="P400" s="1049"/>
      <c r="Q400" s="1049"/>
      <c r="R400" s="1049"/>
      <c r="S400" s="1042"/>
      <c r="T400" s="1042"/>
    </row>
    <row r="401" spans="1:20" x14ac:dyDescent="0.25">
      <c r="A401" s="299"/>
      <c r="B401" s="788"/>
      <c r="C401" s="788"/>
      <c r="D401" s="788"/>
      <c r="E401" s="788"/>
      <c r="F401" s="788"/>
      <c r="G401" s="301"/>
      <c r="H401" s="788"/>
      <c r="I401" s="788"/>
      <c r="J401" s="788"/>
      <c r="K401" s="964" t="str">
        <f>wstęp!K401</f>
        <v>odkryj</v>
      </c>
      <c r="L401" s="788"/>
      <c r="M401" s="959"/>
      <c r="N401" s="959"/>
      <c r="O401" s="1049"/>
      <c r="P401" s="1049"/>
      <c r="Q401" s="1049"/>
      <c r="R401" s="1049"/>
      <c r="S401" s="1042"/>
      <c r="T401" s="1042"/>
    </row>
    <row r="402" spans="1:20" ht="28.5" customHeight="1" x14ac:dyDescent="0.25">
      <c r="A402" s="299"/>
      <c r="B402" s="788"/>
      <c r="C402" s="788"/>
      <c r="D402" s="1238" t="s">
        <v>7936</v>
      </c>
      <c r="E402" s="1238"/>
      <c r="F402" s="1238"/>
      <c r="G402" s="1238"/>
      <c r="H402" s="1238"/>
      <c r="I402" s="1238"/>
      <c r="J402" s="1238"/>
      <c r="K402" s="964" t="str">
        <f>wstęp!K402</f>
        <v>ukryj</v>
      </c>
      <c r="L402" s="99"/>
      <c r="M402" s="1049"/>
      <c r="N402" s="1049"/>
      <c r="O402" s="1049"/>
      <c r="P402" s="1049"/>
      <c r="Q402" s="1049"/>
      <c r="R402" s="1049"/>
      <c r="S402" s="1042"/>
      <c r="T402" s="1042"/>
    </row>
    <row r="403" spans="1:20" x14ac:dyDescent="0.25">
      <c r="A403" s="299"/>
      <c r="B403" s="788"/>
      <c r="C403" s="788"/>
      <c r="D403" s="1239" t="s">
        <v>7937</v>
      </c>
      <c r="E403" s="1239"/>
      <c r="F403" s="300"/>
      <c r="G403" s="301"/>
      <c r="H403" s="788"/>
      <c r="I403" s="788"/>
      <c r="J403" s="788"/>
      <c r="K403" s="964" t="str">
        <f>wstęp!K403</f>
        <v>odkryj</v>
      </c>
      <c r="L403" s="788"/>
      <c r="M403" s="959"/>
      <c r="N403" s="959"/>
      <c r="O403" s="1049"/>
      <c r="P403" s="1049"/>
      <c r="Q403" s="1049"/>
      <c r="R403" s="1049"/>
      <c r="S403" s="1042"/>
      <c r="T403" s="1042"/>
    </row>
    <row r="404" spans="1:20" x14ac:dyDescent="0.25">
      <c r="A404" s="299"/>
      <c r="B404" s="788"/>
      <c r="C404" s="788"/>
      <c r="D404" s="788"/>
      <c r="E404" s="788"/>
      <c r="F404" s="788"/>
      <c r="G404" s="301"/>
      <c r="H404" s="788"/>
      <c r="I404" s="788"/>
      <c r="J404" s="788"/>
      <c r="K404" s="964" t="str">
        <f>wstęp!K404</f>
        <v>odkryj</v>
      </c>
      <c r="L404" s="788"/>
      <c r="M404" s="959"/>
      <c r="N404" s="959"/>
      <c r="O404" s="1049"/>
      <c r="P404" s="1049"/>
      <c r="Q404" s="1049"/>
      <c r="R404" s="1049"/>
      <c r="S404" s="1042"/>
      <c r="T404" s="1042"/>
    </row>
    <row r="405" spans="1:20" x14ac:dyDescent="0.25">
      <c r="A405" s="299"/>
      <c r="B405" s="788"/>
      <c r="C405" s="788"/>
      <c r="D405" s="1239" t="s">
        <v>7938</v>
      </c>
      <c r="E405" s="1239"/>
      <c r="F405" s="788"/>
      <c r="G405" s="301"/>
      <c r="H405" s="788"/>
      <c r="I405" s="788"/>
      <c r="J405" s="788"/>
      <c r="K405" s="964" t="str">
        <f>wstęp!K405</f>
        <v>odkryj</v>
      </c>
      <c r="L405" s="788"/>
      <c r="M405" s="788"/>
      <c r="N405" s="788"/>
      <c r="O405" s="99"/>
      <c r="P405" s="99"/>
      <c r="Q405" s="99"/>
      <c r="R405" s="99"/>
    </row>
    <row r="406" spans="1:20" x14ac:dyDescent="0.25">
      <c r="A406" s="299"/>
      <c r="B406" s="788"/>
      <c r="C406" s="788"/>
      <c r="D406" s="1240"/>
      <c r="E406" s="1240"/>
      <c r="F406" s="1240"/>
      <c r="G406" s="1240"/>
      <c r="H406" s="1240"/>
      <c r="I406" s="1240"/>
      <c r="J406" s="1240"/>
      <c r="K406" s="964" t="str">
        <f>wstęp!K406</f>
        <v>odkryj</v>
      </c>
      <c r="L406" s="1241" t="s">
        <v>7939</v>
      </c>
      <c r="M406" s="1241"/>
      <c r="N406" s="1241"/>
      <c r="O406" s="1291"/>
      <c r="P406" s="1291"/>
      <c r="Q406" s="1291"/>
      <c r="R406" s="1291"/>
    </row>
    <row r="407" spans="1:20" x14ac:dyDescent="0.25">
      <c r="A407" s="273"/>
      <c r="B407" s="799"/>
      <c r="C407" s="274"/>
      <c r="D407" s="799"/>
      <c r="E407" s="791"/>
      <c r="F407" s="799"/>
      <c r="G407" s="799"/>
      <c r="H407" s="275"/>
      <c r="I407" s="276"/>
      <c r="J407" s="799"/>
      <c r="K407" s="275"/>
      <c r="L407" s="799"/>
      <c r="M407" s="799"/>
      <c r="N407" s="799"/>
    </row>
    <row r="408" spans="1:20" x14ac:dyDescent="0.25">
      <c r="A408" s="273"/>
      <c r="B408" s="799"/>
      <c r="C408" s="274"/>
      <c r="D408" s="799"/>
      <c r="E408" s="791"/>
      <c r="F408" s="799"/>
      <c r="G408" s="799"/>
      <c r="H408" s="275"/>
      <c r="I408" s="276"/>
      <c r="J408" s="799"/>
      <c r="K408" s="275"/>
      <c r="L408" s="799"/>
      <c r="M408" s="799"/>
      <c r="N408" s="799"/>
    </row>
    <row r="409" spans="1:20" x14ac:dyDescent="0.25">
      <c r="A409" s="273"/>
      <c r="B409" s="799"/>
      <c r="C409" s="274"/>
      <c r="D409" s="799"/>
      <c r="E409" s="791"/>
      <c r="F409" s="799"/>
      <c r="G409" s="799"/>
      <c r="H409" s="275"/>
      <c r="I409" s="276"/>
      <c r="J409" s="799"/>
      <c r="K409" s="275"/>
      <c r="L409" s="799"/>
      <c r="M409" s="799"/>
      <c r="N409" s="799"/>
    </row>
    <row r="410" spans="1:20" x14ac:dyDescent="0.25">
      <c r="A410" s="273"/>
      <c r="B410" s="799"/>
      <c r="C410" s="274"/>
      <c r="D410" s="799"/>
      <c r="E410" s="791"/>
      <c r="F410" s="799"/>
      <c r="G410" s="799"/>
      <c r="H410" s="275"/>
      <c r="I410" s="276"/>
      <c r="J410" s="799"/>
      <c r="K410" s="275"/>
      <c r="L410" s="799"/>
      <c r="M410" s="799"/>
      <c r="N410" s="799"/>
    </row>
    <row r="411" spans="1:20" x14ac:dyDescent="0.25">
      <c r="A411" s="273"/>
      <c r="B411" s="799"/>
      <c r="C411" s="274"/>
      <c r="D411" s="799"/>
      <c r="E411" s="791"/>
      <c r="F411" s="799"/>
      <c r="G411" s="799"/>
      <c r="H411" s="275"/>
      <c r="I411" s="276"/>
      <c r="J411" s="799"/>
      <c r="K411" s="275"/>
      <c r="L411" s="799"/>
      <c r="M411" s="799"/>
      <c r="N411" s="799"/>
    </row>
    <row r="412" spans="1:20" x14ac:dyDescent="0.25">
      <c r="A412" s="273"/>
      <c r="B412" s="799"/>
      <c r="C412" s="274"/>
      <c r="D412" s="799"/>
      <c r="E412" s="791"/>
      <c r="F412" s="799"/>
      <c r="G412" s="799"/>
      <c r="H412" s="275"/>
      <c r="I412" s="276"/>
      <c r="J412" s="799"/>
      <c r="K412" s="275"/>
      <c r="L412" s="799"/>
      <c r="M412" s="799"/>
      <c r="N412" s="799"/>
    </row>
    <row r="413" spans="1:20" x14ac:dyDescent="0.25">
      <c r="A413" s="273"/>
      <c r="B413" s="799"/>
      <c r="C413" s="274"/>
      <c r="D413" s="799"/>
      <c r="E413" s="791"/>
      <c r="F413" s="799"/>
      <c r="G413" s="799"/>
      <c r="H413" s="275"/>
      <c r="I413" s="276"/>
      <c r="J413" s="799"/>
      <c r="K413" s="275"/>
      <c r="L413" s="799"/>
      <c r="M413" s="799"/>
      <c r="N413" s="799"/>
    </row>
    <row r="414" spans="1:20" x14ac:dyDescent="0.25">
      <c r="A414" s="273"/>
      <c r="B414" s="799"/>
      <c r="C414" s="274"/>
      <c r="D414" s="799"/>
      <c r="E414" s="791"/>
      <c r="F414" s="799"/>
      <c r="G414" s="799"/>
      <c r="H414" s="275"/>
      <c r="I414" s="276"/>
      <c r="J414" s="799"/>
      <c r="K414" s="275"/>
      <c r="L414" s="799"/>
      <c r="M414" s="799"/>
      <c r="N414" s="799"/>
    </row>
    <row r="415" spans="1:20" x14ac:dyDescent="0.25">
      <c r="A415" s="273"/>
      <c r="B415" s="799"/>
      <c r="C415" s="274"/>
      <c r="D415" s="799"/>
      <c r="E415" s="791"/>
      <c r="F415" s="799"/>
      <c r="G415" s="799"/>
      <c r="H415" s="275"/>
      <c r="I415" s="276"/>
      <c r="J415" s="799"/>
      <c r="K415" s="275"/>
      <c r="L415" s="799"/>
      <c r="M415" s="799"/>
      <c r="N415" s="799"/>
    </row>
    <row r="416" spans="1:20" x14ac:dyDescent="0.25">
      <c r="A416" s="273"/>
      <c r="B416" s="799"/>
      <c r="C416" s="274"/>
      <c r="D416" s="799"/>
      <c r="E416" s="791"/>
      <c r="F416" s="799"/>
      <c r="G416" s="799"/>
      <c r="H416" s="275"/>
      <c r="I416" s="276"/>
      <c r="J416" s="799"/>
      <c r="K416" s="275"/>
      <c r="L416" s="799"/>
      <c r="M416" s="799"/>
      <c r="N416" s="799"/>
    </row>
    <row r="417" spans="1:14" x14ac:dyDescent="0.25">
      <c r="A417" s="273"/>
      <c r="B417" s="799"/>
      <c r="C417" s="274"/>
      <c r="D417" s="799"/>
      <c r="E417" s="791"/>
      <c r="F417" s="799"/>
      <c r="G417" s="799"/>
      <c r="H417" s="275"/>
      <c r="I417" s="276"/>
      <c r="J417" s="799"/>
      <c r="K417" s="275"/>
      <c r="L417" s="799"/>
      <c r="M417" s="799"/>
      <c r="N417" s="799"/>
    </row>
    <row r="418" spans="1:14" x14ac:dyDescent="0.25">
      <c r="A418" s="273"/>
      <c r="B418" s="799"/>
      <c r="C418" s="274"/>
      <c r="D418" s="799"/>
      <c r="E418" s="791"/>
      <c r="F418" s="799"/>
      <c r="G418" s="799"/>
      <c r="H418" s="275"/>
      <c r="I418" s="276"/>
      <c r="J418" s="799"/>
      <c r="K418" s="275"/>
      <c r="L418" s="799"/>
      <c r="M418" s="799"/>
      <c r="N418" s="799"/>
    </row>
    <row r="419" spans="1:14" x14ac:dyDescent="0.25">
      <c r="A419" s="273"/>
      <c r="B419" s="799"/>
      <c r="C419" s="274"/>
      <c r="D419" s="799"/>
      <c r="E419" s="791"/>
      <c r="F419" s="799"/>
      <c r="G419" s="799"/>
      <c r="H419" s="275"/>
      <c r="I419" s="276"/>
      <c r="J419" s="799"/>
      <c r="K419" s="275"/>
      <c r="L419" s="799"/>
      <c r="M419" s="799"/>
      <c r="N419" s="799"/>
    </row>
    <row r="420" spans="1:14" x14ac:dyDescent="0.25">
      <c r="A420" s="273"/>
      <c r="B420" s="799"/>
      <c r="C420" s="274"/>
      <c r="D420" s="799"/>
      <c r="E420" s="791"/>
      <c r="F420" s="799"/>
      <c r="G420" s="799"/>
      <c r="H420" s="275"/>
      <c r="I420" s="276"/>
      <c r="J420" s="799"/>
      <c r="K420" s="275"/>
      <c r="L420" s="799"/>
      <c r="M420" s="799"/>
      <c r="N420" s="799"/>
    </row>
    <row r="421" spans="1:14" x14ac:dyDescent="0.25"/>
    <row r="422" spans="1:14" x14ac:dyDescent="0.25"/>
    <row r="423" spans="1:14" x14ac:dyDescent="0.25"/>
    <row r="424" spans="1:14" x14ac:dyDescent="0.25"/>
    <row r="425" spans="1:14" x14ac:dyDescent="0.25"/>
    <row r="426" spans="1:14" x14ac:dyDescent="0.25"/>
    <row r="427" spans="1:14" x14ac:dyDescent="0.25"/>
    <row r="428" spans="1:14" x14ac:dyDescent="0.25"/>
    <row r="429" spans="1:14" x14ac:dyDescent="0.25"/>
    <row r="430" spans="1:14" x14ac:dyDescent="0.25"/>
    <row r="431" spans="1:14" x14ac:dyDescent="0.25"/>
    <row r="432" spans="1:14"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sheetData>
  <sheetProtection formatCells="0" formatColumns="0" formatRows="0" sort="0" autoFilter="0"/>
  <autoFilter ref="K2:K406" xr:uid="{00000000-0009-0000-0000-00000C000000}"/>
  <mergeCells count="235">
    <mergeCell ref="D204:J204"/>
    <mergeCell ref="D206:J206"/>
    <mergeCell ref="D221:J221"/>
    <mergeCell ref="D231:J231"/>
    <mergeCell ref="D235:J235"/>
    <mergeCell ref="D239:J239"/>
    <mergeCell ref="D250:J250"/>
    <mergeCell ref="D256:J256"/>
    <mergeCell ref="D261:J261"/>
    <mergeCell ref="D245:J245"/>
    <mergeCell ref="D246:J246"/>
    <mergeCell ref="D248:J248"/>
    <mergeCell ref="D252:J252"/>
    <mergeCell ref="E253:J253"/>
    <mergeCell ref="E254:J254"/>
    <mergeCell ref="D229:J229"/>
    <mergeCell ref="D233:J233"/>
    <mergeCell ref="D237:J237"/>
    <mergeCell ref="D241:J241"/>
    <mergeCell ref="E242:J242"/>
    <mergeCell ref="E243:J243"/>
    <mergeCell ref="E216:J216"/>
    <mergeCell ref="E217:J217"/>
    <mergeCell ref="D219:J219"/>
    <mergeCell ref="D67:J67"/>
    <mergeCell ref="E73:J73"/>
    <mergeCell ref="D105:G105"/>
    <mergeCell ref="D106:G106"/>
    <mergeCell ref="D107:G107"/>
    <mergeCell ref="D108:G108"/>
    <mergeCell ref="D117:J117"/>
    <mergeCell ref="E123:J123"/>
    <mergeCell ref="D130:G130"/>
    <mergeCell ref="D128:J128"/>
    <mergeCell ref="D5:J5"/>
    <mergeCell ref="D7:J7"/>
    <mergeCell ref="D9:J9"/>
    <mergeCell ref="D11:J11"/>
    <mergeCell ref="D26:J26"/>
    <mergeCell ref="D31:J31"/>
    <mergeCell ref="D33:J33"/>
    <mergeCell ref="A2:J2"/>
    <mergeCell ref="A3:J3"/>
    <mergeCell ref="D402:J402"/>
    <mergeCell ref="D403:E403"/>
    <mergeCell ref="D405:E405"/>
    <mergeCell ref="D406:J406"/>
    <mergeCell ref="L406:R406"/>
    <mergeCell ref="D390:J390"/>
    <mergeCell ref="D392:J392"/>
    <mergeCell ref="D394:J394"/>
    <mergeCell ref="D396:J396"/>
    <mergeCell ref="D398:J398"/>
    <mergeCell ref="D400:J400"/>
    <mergeCell ref="D376:J376"/>
    <mergeCell ref="D380:J380"/>
    <mergeCell ref="D382:J382"/>
    <mergeCell ref="E384:J384"/>
    <mergeCell ref="E386:J386"/>
    <mergeCell ref="D388:J388"/>
    <mergeCell ref="D361:J361"/>
    <mergeCell ref="D365:J365"/>
    <mergeCell ref="E370:J370"/>
    <mergeCell ref="E371:J371"/>
    <mergeCell ref="E372:J372"/>
    <mergeCell ref="D367:J367"/>
    <mergeCell ref="D369:J369"/>
    <mergeCell ref="D374:J374"/>
    <mergeCell ref="D378:J378"/>
    <mergeCell ref="D337:J337"/>
    <mergeCell ref="D339:J339"/>
    <mergeCell ref="D343:J343"/>
    <mergeCell ref="D351:J351"/>
    <mergeCell ref="D353:J353"/>
    <mergeCell ref="D357:J357"/>
    <mergeCell ref="D323:J323"/>
    <mergeCell ref="D327:J327"/>
    <mergeCell ref="D329:J329"/>
    <mergeCell ref="D331:J331"/>
    <mergeCell ref="D333:J333"/>
    <mergeCell ref="D335:J335"/>
    <mergeCell ref="D325:J325"/>
    <mergeCell ref="D341:J341"/>
    <mergeCell ref="D355:J355"/>
    <mergeCell ref="D304:J304"/>
    <mergeCell ref="D306:J306"/>
    <mergeCell ref="D308:J308"/>
    <mergeCell ref="D312:J312"/>
    <mergeCell ref="D316:J316"/>
    <mergeCell ref="D319:J319"/>
    <mergeCell ref="D289:J289"/>
    <mergeCell ref="D291:J291"/>
    <mergeCell ref="D296:J296"/>
    <mergeCell ref="D298:J298"/>
    <mergeCell ref="D300:J300"/>
    <mergeCell ref="D302:J302"/>
    <mergeCell ref="D299:J299"/>
    <mergeCell ref="D313:J313"/>
    <mergeCell ref="D310:J310"/>
    <mergeCell ref="D290:J290"/>
    <mergeCell ref="D294:J294"/>
    <mergeCell ref="D301:J301"/>
    <mergeCell ref="D303:J303"/>
    <mergeCell ref="D307:J307"/>
    <mergeCell ref="D315:J315"/>
    <mergeCell ref="D318:J318"/>
    <mergeCell ref="D276:J276"/>
    <mergeCell ref="D278:J278"/>
    <mergeCell ref="D280:J280"/>
    <mergeCell ref="D282:J282"/>
    <mergeCell ref="D284:J284"/>
    <mergeCell ref="D288:J288"/>
    <mergeCell ref="D258:J258"/>
    <mergeCell ref="D260:J260"/>
    <mergeCell ref="D262:J262"/>
    <mergeCell ref="D268:J268"/>
    <mergeCell ref="D272:J272"/>
    <mergeCell ref="D274:J274"/>
    <mergeCell ref="D264:J264"/>
    <mergeCell ref="D266:J266"/>
    <mergeCell ref="D270:J270"/>
    <mergeCell ref="D286:J286"/>
    <mergeCell ref="D223:J223"/>
    <mergeCell ref="D225:J225"/>
    <mergeCell ref="D227:J227"/>
    <mergeCell ref="D208:J208"/>
    <mergeCell ref="D210:J210"/>
    <mergeCell ref="D212:J212"/>
    <mergeCell ref="E213:J213"/>
    <mergeCell ref="E214:J214"/>
    <mergeCell ref="E215:J215"/>
    <mergeCell ref="D192:J192"/>
    <mergeCell ref="D194:J194"/>
    <mergeCell ref="D196:J196"/>
    <mergeCell ref="D200:J200"/>
    <mergeCell ref="D202:J202"/>
    <mergeCell ref="D172:J172"/>
    <mergeCell ref="D175:J175"/>
    <mergeCell ref="D177:J177"/>
    <mergeCell ref="D180:J180"/>
    <mergeCell ref="D181:J181"/>
    <mergeCell ref="D184:J184"/>
    <mergeCell ref="D190:J190"/>
    <mergeCell ref="D198:J198"/>
    <mergeCell ref="D174:J174"/>
    <mergeCell ref="D186:J186"/>
    <mergeCell ref="E166:J166"/>
    <mergeCell ref="D168:J168"/>
    <mergeCell ref="D170:J170"/>
    <mergeCell ref="D152:J152"/>
    <mergeCell ref="D153:J153"/>
    <mergeCell ref="D155:J155"/>
    <mergeCell ref="D157:J157"/>
    <mergeCell ref="E165:J165"/>
    <mergeCell ref="D188:J188"/>
    <mergeCell ref="D134:G134"/>
    <mergeCell ref="D135:G135"/>
    <mergeCell ref="D136:G136"/>
    <mergeCell ref="D142:J142"/>
    <mergeCell ref="D148:J148"/>
    <mergeCell ref="D159:J159"/>
    <mergeCell ref="D161:J161"/>
    <mergeCell ref="D163:J163"/>
    <mergeCell ref="D132:G132"/>
    <mergeCell ref="D133:G133"/>
    <mergeCell ref="P10:T10"/>
    <mergeCell ref="P11:T11"/>
    <mergeCell ref="P12:T12"/>
    <mergeCell ref="P25:T25"/>
    <mergeCell ref="P26:T26"/>
    <mergeCell ref="P27:T27"/>
    <mergeCell ref="D50:J50"/>
    <mergeCell ref="D55:J55"/>
    <mergeCell ref="D28:J28"/>
    <mergeCell ref="E35:J35"/>
    <mergeCell ref="E36:J36"/>
    <mergeCell ref="E37:J37"/>
    <mergeCell ref="E38:J38"/>
    <mergeCell ref="E39:J39"/>
    <mergeCell ref="E40:J40"/>
    <mergeCell ref="E41:J41"/>
    <mergeCell ref="E42:J42"/>
    <mergeCell ref="E43:J43"/>
    <mergeCell ref="P28:T28"/>
    <mergeCell ref="P30:T30"/>
    <mergeCell ref="P31:T31"/>
    <mergeCell ref="P33:T33"/>
    <mergeCell ref="D57:J57"/>
    <mergeCell ref="E44:J44"/>
    <mergeCell ref="D46:J46"/>
    <mergeCell ref="D48:J48"/>
    <mergeCell ref="D52:J52"/>
    <mergeCell ref="D54:E54"/>
    <mergeCell ref="D102:J102"/>
    <mergeCell ref="D78:I78"/>
    <mergeCell ref="D63:J63"/>
    <mergeCell ref="D59:E59"/>
    <mergeCell ref="D65:E65"/>
    <mergeCell ref="D69:J69"/>
    <mergeCell ref="D70:J70"/>
    <mergeCell ref="D76:J76"/>
    <mergeCell ref="H79:J79"/>
    <mergeCell ref="D84:J84"/>
    <mergeCell ref="D90:J90"/>
    <mergeCell ref="D100:J100"/>
    <mergeCell ref="E74:J74"/>
    <mergeCell ref="D96:J96"/>
    <mergeCell ref="D98:J98"/>
    <mergeCell ref="D61:J61"/>
    <mergeCell ref="D68:J68"/>
    <mergeCell ref="D72:J72"/>
    <mergeCell ref="D321:J321"/>
    <mergeCell ref="D326:J326"/>
    <mergeCell ref="D359:J359"/>
    <mergeCell ref="D363:J363"/>
    <mergeCell ref="D86:J86"/>
    <mergeCell ref="D103:J103"/>
    <mergeCell ref="D110:J110"/>
    <mergeCell ref="D112:J112"/>
    <mergeCell ref="E113:J113"/>
    <mergeCell ref="E114:J114"/>
    <mergeCell ref="E115:J115"/>
    <mergeCell ref="D88:J88"/>
    <mergeCell ref="D92:J92"/>
    <mergeCell ref="D94:J94"/>
    <mergeCell ref="D140:J140"/>
    <mergeCell ref="D144:J144"/>
    <mergeCell ref="D145:J145"/>
    <mergeCell ref="D146:J146"/>
    <mergeCell ref="D150:J150"/>
    <mergeCell ref="D119:J119"/>
    <mergeCell ref="D120:J120"/>
    <mergeCell ref="D121:J121"/>
    <mergeCell ref="E124:J124"/>
    <mergeCell ref="D126:J126"/>
  </mergeCells>
  <conditionalFormatting sqref="B1:C1048576">
    <cfRule type="expression" dxfId="27" priority="1">
      <formula>$K1="ukryj"</formula>
    </cfRule>
  </conditionalFormatting>
  <pageMargins left="0.70866141732283472" right="0.70866141732283472" top="0.74803149606299213" bottom="0.74803149606299213" header="0.31496062992125984" footer="0.31496062992125984"/>
  <pageSetup paperSize="9" scale="90" firstPageNumber="2" fitToWidth="15" fitToHeight="15" orientation="portrait" blackAndWhite="1" r:id="rId1"/>
  <headerFooter alignWithMargins="0">
    <oddFooter>&amp;C&amp;"Times New Roman.Normalny"&amp;10&amp;P</oddFooter>
  </headerFooter>
  <rowBreaks count="1" manualBreakCount="1">
    <brk id="97"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Odkryj wszystkie wiersze">
              <controlPr defaultSize="0" print="0" autoFill="0" autoPict="0" macro="[0]!filtr_Odkryj">
                <anchor>
                  <from>
                    <xdr:col>11</xdr:col>
                    <xdr:colOff>307571</xdr:colOff>
                    <xdr:row>0</xdr:row>
                    <xdr:rowOff>41564</xdr:rowOff>
                  </from>
                  <to>
                    <xdr:col>12</xdr:col>
                    <xdr:colOff>872836</xdr:colOff>
                    <xdr:row>0</xdr:row>
                    <xdr:rowOff>507076</xdr:rowOff>
                  </to>
                </anchor>
              </controlPr>
            </control>
          </mc:Choice>
        </mc:AlternateContent>
        <mc:AlternateContent xmlns:mc="http://schemas.openxmlformats.org/markup-compatibility/2006">
          <mc:Choice Requires="x14">
            <control shapeId="147458" r:id="rId5" name="Ukryj wszystkie wiersze">
              <controlPr defaultSize="0" print="0" autoFill="0" autoPict="0" macro="[0]!Formuly.filtr_Ukryj_Arkusz">
                <anchor>
                  <from>
                    <xdr:col>10</xdr:col>
                    <xdr:colOff>0</xdr:colOff>
                    <xdr:row>0</xdr:row>
                    <xdr:rowOff>41564</xdr:rowOff>
                  </from>
                  <to>
                    <xdr:col>11</xdr:col>
                    <xdr:colOff>282633</xdr:colOff>
                    <xdr:row>0</xdr:row>
                    <xdr:rowOff>507076</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AA133"/>
  <sheetViews>
    <sheetView view="pageBreakPreview" zoomScaleNormal="100" zoomScaleSheetLayoutView="100" workbookViewId="0">
      <pane ySplit="1" topLeftCell="A23" activePane="bottomLeft" state="frozen"/>
      <selection pane="bottomLeft"/>
    </sheetView>
  </sheetViews>
  <sheetFormatPr defaultColWidth="11.44140625" defaultRowHeight="15.05" zeroHeight="1" x14ac:dyDescent="0.3"/>
  <cols>
    <col min="1" max="2" width="49.6640625" style="842" customWidth="1"/>
    <col min="3" max="4" width="5" style="1086" customWidth="1"/>
    <col min="5" max="5" width="2.5546875" style="259" customWidth="1"/>
    <col min="6" max="6" width="17.6640625" style="60" customWidth="1"/>
    <col min="7" max="7" width="2.109375" style="60" customWidth="1"/>
    <col min="8" max="8" width="17.6640625" style="60" customWidth="1"/>
    <col min="9" max="9" width="1.5546875" style="260" customWidth="1"/>
    <col min="10" max="10" width="17.5546875" style="60" customWidth="1"/>
    <col min="11" max="11" width="11.44140625" style="264" customWidth="1"/>
    <col min="12" max="13" width="11.44140625" style="264" hidden="1" customWidth="1"/>
    <col min="14" max="14" width="111.44140625" style="264" hidden="1" customWidth="1"/>
    <col min="15" max="23" width="11.44140625" style="264" hidden="1" customWidth="1"/>
    <col min="24" max="26" width="0" style="264" hidden="1" customWidth="1"/>
    <col min="27" max="16384" width="11.44140625" style="264"/>
  </cols>
  <sheetData>
    <row r="1" spans="1:27" ht="42.05" customHeight="1" x14ac:dyDescent="0.3"/>
    <row r="2" spans="1:27" ht="15.75" customHeight="1" x14ac:dyDescent="0.3">
      <c r="A2" s="843" t="str">
        <f>UPPER(Input!C2)</f>
        <v>TESTOWA 185 SP. Z O.O.</v>
      </c>
      <c r="B2" s="843" t="str">
        <f>UPPER(Input!C2)</f>
        <v>TESTOWA 185 SP. Z O.O.</v>
      </c>
      <c r="I2" s="60"/>
      <c r="K2" s="984" t="s">
        <v>5070</v>
      </c>
      <c r="L2" s="985"/>
      <c r="M2" s="985"/>
      <c r="N2" s="985"/>
    </row>
    <row r="3" spans="1:27" ht="15.75" customHeight="1" x14ac:dyDescent="0.3">
      <c r="A3" s="275" t="s">
        <v>3469</v>
      </c>
      <c r="B3" s="275" t="s">
        <v>7940</v>
      </c>
      <c r="F3" s="844"/>
      <c r="I3" s="60"/>
      <c r="K3" s="984" t="s">
        <v>5070</v>
      </c>
      <c r="L3" s="985"/>
      <c r="M3" s="985"/>
      <c r="N3" s="985"/>
    </row>
    <row r="4" spans="1:27" ht="15.75" customHeight="1" x14ac:dyDescent="0.3">
      <c r="A4" s="291" t="str">
        <f>"(wszystkie dane liczbowe przedstawiono w "&amp;IF(Zlote=1,"","tysiącach ")&amp;"złotych polskich)"</f>
        <v>(wszystkie dane liczbowe przedstawiono w złotych polskich)</v>
      </c>
      <c r="B4" s="791" t="str">
        <f>"(All amounts are stated in "&amp;IF(Zlote=1,"","thousand ")&amp;"PLN)"</f>
        <v>(All amounts are stated in PLN)</v>
      </c>
      <c r="I4" s="60"/>
      <c r="K4" s="984" t="s">
        <v>5070</v>
      </c>
      <c r="L4" s="985"/>
      <c r="M4" s="985"/>
      <c r="N4" s="985"/>
    </row>
    <row r="5" spans="1:27" ht="15.75" customHeight="1" x14ac:dyDescent="0.3">
      <c r="I5" s="60"/>
      <c r="K5" s="984" t="s">
        <v>5070</v>
      </c>
      <c r="L5" s="985"/>
      <c r="M5" s="985"/>
      <c r="N5" s="985"/>
    </row>
    <row r="6" spans="1:27" ht="17.2" customHeight="1" x14ac:dyDescent="0.3">
      <c r="A6" s="275" t="s">
        <v>7941</v>
      </c>
      <c r="B6" s="275" t="s">
        <v>7942</v>
      </c>
      <c r="C6" s="1084" t="s">
        <v>7943</v>
      </c>
      <c r="D6" s="1084" t="s">
        <v>7944</v>
      </c>
      <c r="E6" s="261"/>
      <c r="F6" s="845" t="str">
        <f>Input!P7</f>
        <v>31.12.2020</v>
      </c>
      <c r="G6" s="61"/>
      <c r="H6" s="845" t="str">
        <f>Input!P11</f>
        <v>31.12.2019</v>
      </c>
      <c r="I6" s="61"/>
      <c r="J6" s="845" t="str">
        <f>Input!P11&amp;" 
Dane przekształcone"</f>
        <v>31.12.2019 
Dane przekształcone</v>
      </c>
      <c r="K6" s="984" t="s">
        <v>5070</v>
      </c>
      <c r="L6" s="985"/>
      <c r="M6" s="985"/>
      <c r="N6" s="985"/>
    </row>
    <row r="7" spans="1:27" ht="15.75" customHeight="1" x14ac:dyDescent="0.3">
      <c r="A7" s="275"/>
      <c r="B7" s="275"/>
      <c r="C7" s="1085"/>
      <c r="D7" s="1085"/>
      <c r="E7" s="261"/>
      <c r="F7" s="846"/>
      <c r="G7" s="61"/>
      <c r="H7" s="846"/>
      <c r="I7" s="61"/>
      <c r="J7" s="846"/>
      <c r="K7" s="984" t="s">
        <v>5070</v>
      </c>
      <c r="L7" s="985"/>
      <c r="M7" s="985"/>
      <c r="N7" s="985"/>
    </row>
    <row r="8" spans="1:27" s="267" customFormat="1" ht="15.75" customHeight="1" x14ac:dyDescent="0.3">
      <c r="A8" s="273" t="s">
        <v>7945</v>
      </c>
      <c r="B8" s="273" t="s">
        <v>7946</v>
      </c>
      <c r="C8" s="1070"/>
      <c r="D8" s="1069"/>
      <c r="E8" s="262"/>
      <c r="F8" s="763">
        <f>ROUND(_aktywa!F9,2)+ROUND(_aktywa!F14,2)+ROUND(_aktywa!F23,2)+ROUND(_aktywa!F27,2)+ROUND(_aktywa!F47,2)</f>
        <v>0</v>
      </c>
      <c r="G8" s="62"/>
      <c r="H8" s="763">
        <f>ROUND(_aktywa!H9,2)+ROUND(_aktywa!H14,2)+ROUND(_aktywa!H23,2)+ROUND(_aktywa!H27,2)+ROUND(_aktywa!H47,2)</f>
        <v>0</v>
      </c>
      <c r="I8" s="61"/>
      <c r="J8" s="763">
        <f>ROUND(_aktywa!J9,2)+ROUND(_aktywa!J14,2)+ROUND(_aktywa!J23,2)+ROUND(_aktywa!J27,2)+ROUND(_aktywa!J47,2)</f>
        <v>0</v>
      </c>
      <c r="K8" s="984" t="str">
        <f>IF(AND(_aktywa!F8=0,AND(_aktywa!H8=0,_aktywa!J8=0)),"ukryj","odkryj")</f>
        <v>ukryj</v>
      </c>
      <c r="L8" s="1027"/>
      <c r="M8" s="1027"/>
      <c r="N8" s="1027"/>
      <c r="U8" s="267" t="s">
        <v>7947</v>
      </c>
      <c r="W8" s="267" t="s">
        <v>7948</v>
      </c>
    </row>
    <row r="9" spans="1:27" ht="22.6" customHeight="1" x14ac:dyDescent="0.3">
      <c r="A9" s="847" t="s">
        <v>7551</v>
      </c>
      <c r="B9" s="847" t="s">
        <v>7949</v>
      </c>
      <c r="C9" s="1071" t="str">
        <f>IF(Noty!K6="n/a","",Noty!L6)</f>
        <v/>
      </c>
      <c r="D9" s="1072" t="str">
        <f>IF(C9="","",C9)</f>
        <v/>
      </c>
      <c r="E9" s="263"/>
      <c r="F9" s="4">
        <f>ROUND(_aktywa!F10,2)+ROUND(_aktywa!F11,2)+ROUND(_aktywa!F12,2)+ROUND(_aktywa!F13,2)</f>
        <v>0</v>
      </c>
      <c r="G9" s="63"/>
      <c r="H9" s="4">
        <f>ROUND(_aktywa!H10,2)+ROUND(_aktywa!H11,2)+ROUND(_aktywa!H12,2)+ROUND(_aktywa!H13,2)</f>
        <v>0</v>
      </c>
      <c r="I9" s="61"/>
      <c r="J9" s="4">
        <f>ROUND(_aktywa!J10,2)+ROUND(_aktywa!J11,2)+ROUND(_aktywa!J12,2)+ROUND(_aktywa!J13,2)</f>
        <v>0</v>
      </c>
      <c r="K9" s="984" t="str">
        <f>IF(AND(_aktywa!F9=0,AND(_aktywa!H9=0,_aktywa!J9=0)),"ukryj","odkryj")</f>
        <v>ukryj</v>
      </c>
      <c r="L9" s="985"/>
      <c r="M9" s="985"/>
      <c r="N9" s="985"/>
      <c r="U9" s="264" t="s">
        <v>7950</v>
      </c>
      <c r="W9" s="264" t="s">
        <v>7951</v>
      </c>
      <c r="AA9"/>
    </row>
    <row r="10" spans="1:27" ht="15.75" customHeight="1" x14ac:dyDescent="0.3">
      <c r="A10" s="848" t="s">
        <v>7554</v>
      </c>
      <c r="B10" s="849" t="s">
        <v>7774</v>
      </c>
      <c r="C10" s="1073"/>
      <c r="D10" s="1074" t="str">
        <f t="shared" ref="D10:D73" si="0">IF(C10="","",C10)</f>
        <v/>
      </c>
      <c r="E10" s="263"/>
      <c r="F10" s="2">
        <f>Noty!D57</f>
        <v>0</v>
      </c>
      <c r="G10" s="63"/>
      <c r="H10" s="2">
        <f>Noty!D56</f>
        <v>0</v>
      </c>
      <c r="I10" s="61"/>
      <c r="J10" s="5"/>
      <c r="K10" s="984" t="str">
        <f>IF(AND(_aktywa!F10=0,AND(_aktywa!H10=0,_aktywa!J10=0)),"ukryj","odkryj")</f>
        <v>ukryj</v>
      </c>
      <c r="L10" s="985"/>
      <c r="M10" s="985"/>
      <c r="N10" s="985"/>
      <c r="U10" s="264" t="s">
        <v>7952</v>
      </c>
      <c r="W10" s="264" t="s">
        <v>7953</v>
      </c>
      <c r="AA10" s="1160" t="s">
        <v>7954</v>
      </c>
    </row>
    <row r="11" spans="1:27" ht="15.75" customHeight="1" x14ac:dyDescent="0.3">
      <c r="A11" s="848" t="s">
        <v>7955</v>
      </c>
      <c r="B11" s="849" t="s">
        <v>7776</v>
      </c>
      <c r="C11" s="1073"/>
      <c r="D11" s="1074" t="str">
        <f t="shared" si="0"/>
        <v/>
      </c>
      <c r="E11" s="263"/>
      <c r="F11" s="2">
        <f>Noty!F57</f>
        <v>0</v>
      </c>
      <c r="G11" s="63"/>
      <c r="H11" s="2">
        <f>Noty!F56</f>
        <v>0</v>
      </c>
      <c r="I11" s="61"/>
      <c r="J11" s="5"/>
      <c r="K11" s="984" t="str">
        <f>IF(AND(_aktywa!F11=0,AND(_aktywa!H11=0,_aktywa!J11=0)),"ukryj","odkryj")</f>
        <v>ukryj</v>
      </c>
      <c r="L11" s="985"/>
      <c r="M11" s="985"/>
      <c r="N11" s="985"/>
      <c r="U11" s="264" t="s">
        <v>7956</v>
      </c>
      <c r="W11" s="264" t="s">
        <v>7957</v>
      </c>
      <c r="AA11" s="1160" t="s">
        <v>7958</v>
      </c>
    </row>
    <row r="12" spans="1:27" ht="15.75" customHeight="1" x14ac:dyDescent="0.3">
      <c r="A12" s="848" t="s">
        <v>7959</v>
      </c>
      <c r="B12" s="849" t="s">
        <v>7960</v>
      </c>
      <c r="C12" s="1073"/>
      <c r="D12" s="1074" t="str">
        <f t="shared" si="0"/>
        <v/>
      </c>
      <c r="E12" s="263"/>
      <c r="F12" s="2">
        <f>Noty!G57</f>
        <v>0</v>
      </c>
      <c r="G12" s="63"/>
      <c r="H12" s="2">
        <f>Noty!G56</f>
        <v>0</v>
      </c>
      <c r="I12" s="61"/>
      <c r="J12" s="5"/>
      <c r="K12" s="984" t="str">
        <f>IF(AND(_aktywa!F12=0,AND(_aktywa!H12=0,_aktywa!J12=0)),"ukryj","odkryj")</f>
        <v>ukryj</v>
      </c>
      <c r="L12" s="985"/>
      <c r="M12" s="985"/>
      <c r="N12" s="985"/>
      <c r="U12" s="264" t="s">
        <v>7961</v>
      </c>
      <c r="W12" s="264" t="s">
        <v>7962</v>
      </c>
      <c r="AA12" s="1160" t="s">
        <v>7963</v>
      </c>
    </row>
    <row r="13" spans="1:27" x14ac:dyDescent="0.3">
      <c r="A13" s="848" t="s">
        <v>7964</v>
      </c>
      <c r="B13" s="849" t="s">
        <v>7965</v>
      </c>
      <c r="C13" s="1073"/>
      <c r="D13" s="1074" t="str">
        <f t="shared" si="0"/>
        <v/>
      </c>
      <c r="E13" s="263"/>
      <c r="F13" s="3">
        <f>Noty!H57</f>
        <v>0</v>
      </c>
      <c r="G13" s="63"/>
      <c r="H13" s="3">
        <f>Noty!H56</f>
        <v>0</v>
      </c>
      <c r="I13" s="61"/>
      <c r="J13" s="81"/>
      <c r="K13" s="984" t="str">
        <f>IF(AND(_aktywa!F13=0,AND(_aktywa!H13=0,_aktywa!J13=0)),"ukryj","odkryj")</f>
        <v>ukryj</v>
      </c>
      <c r="L13" s="985"/>
      <c r="M13" s="985"/>
      <c r="N13" s="985"/>
      <c r="U13" s="264" t="s">
        <v>7966</v>
      </c>
      <c r="W13" s="264" t="s">
        <v>7967</v>
      </c>
      <c r="AA13" s="1160" t="s">
        <v>7968</v>
      </c>
    </row>
    <row r="14" spans="1:27" ht="27.85" customHeight="1" x14ac:dyDescent="0.3">
      <c r="A14" s="847" t="s">
        <v>7969</v>
      </c>
      <c r="B14" s="847" t="s">
        <v>7970</v>
      </c>
      <c r="C14" s="1073"/>
      <c r="D14" s="1074" t="str">
        <f t="shared" si="0"/>
        <v/>
      </c>
      <c r="E14" s="263"/>
      <c r="F14" s="4">
        <f>ROUND(_aktywa!F15,2)+ROUND(_aktywa!F21,2)+ROUND(_aktywa!F22,2)</f>
        <v>0</v>
      </c>
      <c r="G14" s="63"/>
      <c r="H14" s="4">
        <f>ROUND(_aktywa!H15,2)+ROUND(_aktywa!H21,2)+ROUND(_aktywa!H22,2)</f>
        <v>0</v>
      </c>
      <c r="I14" s="61"/>
      <c r="J14" s="4">
        <f>ROUND(_aktywa!J15,2)+ROUND(_aktywa!J21,2)+ROUND(_aktywa!J22,2)</f>
        <v>0</v>
      </c>
      <c r="K14" s="984" t="str">
        <f>IF(AND(_aktywa!F14=0,AND(_aktywa!H14=0,_aktywa!J14=0)),"ukryj","odkryj")</f>
        <v>ukryj</v>
      </c>
      <c r="L14" s="985"/>
      <c r="M14" s="985"/>
      <c r="N14" s="985"/>
      <c r="U14" s="264" t="s">
        <v>7971</v>
      </c>
      <c r="W14" s="264" t="s">
        <v>7972</v>
      </c>
      <c r="AA14" s="1160"/>
    </row>
    <row r="15" spans="1:27" ht="15.75" customHeight="1" x14ac:dyDescent="0.3">
      <c r="A15" s="848" t="s">
        <v>7564</v>
      </c>
      <c r="B15" s="848" t="s">
        <v>7973</v>
      </c>
      <c r="C15" s="1071" t="str">
        <f>IF(Noty!K77="n/a","",Noty!L77)</f>
        <v/>
      </c>
      <c r="D15" s="1072" t="str">
        <f t="shared" si="0"/>
        <v/>
      </c>
      <c r="E15" s="263"/>
      <c r="F15" s="2">
        <f>ROUND(_aktywa!F16,2)+ROUND(_aktywa!F17,2)+ROUND(_aktywa!F18,2)+ROUND(_aktywa!F19,2)+ROUND(_aktywa!F20,2)</f>
        <v>0</v>
      </c>
      <c r="G15" s="63"/>
      <c r="H15" s="2">
        <f>ROUND(_aktywa!H16,2)+ROUND(_aktywa!H17,2)+ROUND(_aktywa!H18,2)+ROUND(_aktywa!H19,2)+ROUND(_aktywa!H20,2)</f>
        <v>0</v>
      </c>
      <c r="I15" s="61"/>
      <c r="J15" s="2">
        <f>ROUND(_aktywa!J16,2)+ROUND(_aktywa!J17,2)+ROUND(_aktywa!J18,2)+ROUND(_aktywa!J19,2)+ROUND(_aktywa!J20,2)</f>
        <v>0</v>
      </c>
      <c r="K15" s="984" t="str">
        <f>IF(AND(_aktywa!F15=0,AND(_aktywa!H15=0,_aktywa!J15=0)),"ukryj","odkryj")</f>
        <v>ukryj</v>
      </c>
      <c r="L15" s="985"/>
      <c r="M15" s="985"/>
      <c r="N15" s="985"/>
      <c r="U15" s="264" t="s">
        <v>7974</v>
      </c>
      <c r="W15" s="264" t="s">
        <v>7975</v>
      </c>
      <c r="AA15" s="1160"/>
    </row>
    <row r="16" spans="1:27" x14ac:dyDescent="0.3">
      <c r="A16" s="850" t="s">
        <v>7976</v>
      </c>
      <c r="B16" s="850" t="s">
        <v>7977</v>
      </c>
      <c r="C16" s="1073"/>
      <c r="D16" s="1074" t="str">
        <f t="shared" si="0"/>
        <v/>
      </c>
      <c r="E16" s="263"/>
      <c r="F16" s="2">
        <f>Noty!D129</f>
        <v>0</v>
      </c>
      <c r="G16" s="63"/>
      <c r="H16" s="2">
        <f>Noty!D128</f>
        <v>0</v>
      </c>
      <c r="I16" s="61"/>
      <c r="J16" s="5"/>
      <c r="K16" s="984" t="str">
        <f>IF(AND(_aktywa!F16=0,AND(_aktywa!H16=0,_aktywa!J16=0)),"ukryj","odkryj")</f>
        <v>ukryj</v>
      </c>
      <c r="L16" s="985"/>
      <c r="M16" s="985"/>
      <c r="N16" s="985"/>
      <c r="U16" s="264" t="s">
        <v>7978</v>
      </c>
      <c r="W16" s="264" t="s">
        <v>7979</v>
      </c>
      <c r="AA16" s="1160" t="s">
        <v>7980</v>
      </c>
    </row>
    <row r="17" spans="1:27" ht="26.2" x14ac:dyDescent="0.3">
      <c r="A17" s="850" t="s">
        <v>7981</v>
      </c>
      <c r="B17" s="850" t="s">
        <v>7982</v>
      </c>
      <c r="C17" s="1073"/>
      <c r="D17" s="1074" t="str">
        <f t="shared" si="0"/>
        <v/>
      </c>
      <c r="E17" s="263"/>
      <c r="F17" s="2">
        <f>Noty!E129</f>
        <v>0</v>
      </c>
      <c r="G17" s="63"/>
      <c r="H17" s="2">
        <f>Noty!E128</f>
        <v>0</v>
      </c>
      <c r="I17" s="61"/>
      <c r="J17" s="5"/>
      <c r="K17" s="984" t="str">
        <f>IF(AND(_aktywa!F17=0,AND(_aktywa!H17=0,_aktywa!J17=0)),"ukryj","odkryj")</f>
        <v>ukryj</v>
      </c>
      <c r="L17" s="985"/>
      <c r="M17" s="985"/>
      <c r="N17" s="985"/>
      <c r="U17" s="264" t="s">
        <v>7983</v>
      </c>
      <c r="W17" s="264" t="s">
        <v>7984</v>
      </c>
      <c r="AA17" s="1160" t="s">
        <v>7985</v>
      </c>
    </row>
    <row r="18" spans="1:27" ht="15.75" customHeight="1" x14ac:dyDescent="0.3">
      <c r="A18" s="851" t="s">
        <v>7986</v>
      </c>
      <c r="B18" s="851" t="s">
        <v>7987</v>
      </c>
      <c r="C18" s="1073"/>
      <c r="D18" s="1074" t="str">
        <f t="shared" si="0"/>
        <v/>
      </c>
      <c r="E18" s="263"/>
      <c r="F18" s="2">
        <f>Noty!F129</f>
        <v>0</v>
      </c>
      <c r="G18" s="63"/>
      <c r="H18" s="2">
        <f>Noty!F128</f>
        <v>0</v>
      </c>
      <c r="I18" s="61"/>
      <c r="J18" s="5"/>
      <c r="K18" s="984" t="str">
        <f>IF(AND(_aktywa!F18=0,AND(_aktywa!H18=0,_aktywa!J18=0)),"ukryj","odkryj")</f>
        <v>ukryj</v>
      </c>
      <c r="L18" s="985"/>
      <c r="M18" s="985"/>
      <c r="N18" s="985"/>
      <c r="U18" s="264" t="s">
        <v>7988</v>
      </c>
      <c r="W18" s="264" t="s">
        <v>7989</v>
      </c>
      <c r="AA18" s="1160" t="s">
        <v>7990</v>
      </c>
    </row>
    <row r="19" spans="1:27" ht="15.75" customHeight="1" x14ac:dyDescent="0.3">
      <c r="A19" s="851" t="s">
        <v>7991</v>
      </c>
      <c r="B19" s="851" t="s">
        <v>7992</v>
      </c>
      <c r="C19" s="1073"/>
      <c r="D19" s="1074" t="str">
        <f t="shared" si="0"/>
        <v/>
      </c>
      <c r="E19" s="263"/>
      <c r="F19" s="2">
        <f>Noty!G129</f>
        <v>0</v>
      </c>
      <c r="G19" s="63"/>
      <c r="H19" s="2">
        <f>Noty!G128</f>
        <v>0</v>
      </c>
      <c r="I19" s="61"/>
      <c r="J19" s="5"/>
      <c r="K19" s="984" t="str">
        <f>IF(AND(_aktywa!F19=0,AND(_aktywa!H19=0,_aktywa!J19=0)),"ukryj","odkryj")</f>
        <v>ukryj</v>
      </c>
      <c r="L19" s="985"/>
      <c r="M19" s="985"/>
      <c r="N19" s="985"/>
      <c r="U19" s="264" t="s">
        <v>7993</v>
      </c>
      <c r="W19" s="264" t="s">
        <v>7994</v>
      </c>
      <c r="AA19" s="1160" t="s">
        <v>7995</v>
      </c>
    </row>
    <row r="20" spans="1:27" ht="15.75" customHeight="1" x14ac:dyDescent="0.3">
      <c r="A20" s="851" t="s">
        <v>7996</v>
      </c>
      <c r="B20" s="851" t="s">
        <v>7997</v>
      </c>
      <c r="C20" s="1073"/>
      <c r="D20" s="1074" t="str">
        <f t="shared" si="0"/>
        <v/>
      </c>
      <c r="E20" s="263"/>
      <c r="F20" s="2">
        <f>Noty!H129</f>
        <v>0</v>
      </c>
      <c r="G20" s="63"/>
      <c r="H20" s="2">
        <f>Noty!H128</f>
        <v>0</v>
      </c>
      <c r="I20" s="61"/>
      <c r="J20" s="5"/>
      <c r="K20" s="984" t="str">
        <f>IF(AND(_aktywa!F20=0,AND(_aktywa!H20=0,_aktywa!J20=0)),"ukryj","odkryj")</f>
        <v>ukryj</v>
      </c>
      <c r="L20" s="985"/>
      <c r="M20" s="985"/>
      <c r="N20" s="985"/>
      <c r="U20" s="264" t="s">
        <v>7998</v>
      </c>
      <c r="W20" s="264" t="s">
        <v>7999</v>
      </c>
      <c r="AA20" s="1160" t="s">
        <v>8000</v>
      </c>
    </row>
    <row r="21" spans="1:27" ht="15.75" customHeight="1" x14ac:dyDescent="0.3">
      <c r="A21" s="848" t="s">
        <v>7584</v>
      </c>
      <c r="B21" s="848" t="s">
        <v>8001</v>
      </c>
      <c r="C21" s="1071" t="str">
        <f>IF(Noty!K166="n/a","",Noty!L166)</f>
        <v/>
      </c>
      <c r="D21" s="1072" t="str">
        <f t="shared" si="0"/>
        <v/>
      </c>
      <c r="E21" s="263"/>
      <c r="F21" s="2">
        <f>Noty!I193</f>
        <v>0</v>
      </c>
      <c r="G21" s="63"/>
      <c r="H21" s="2">
        <f>Noty!I192</f>
        <v>0</v>
      </c>
      <c r="I21" s="61"/>
      <c r="J21" s="5"/>
      <c r="K21" s="984" t="str">
        <f>IF(AND(_aktywa!F21=0,AND(_aktywa!H21=0,_aktywa!J21=0)),"ukryj","odkryj")</f>
        <v>ukryj</v>
      </c>
      <c r="L21" s="985"/>
      <c r="M21" s="985"/>
      <c r="N21" s="985"/>
      <c r="U21" s="264" t="s">
        <v>8002</v>
      </c>
      <c r="W21" s="264" t="s">
        <v>8003</v>
      </c>
      <c r="AA21" s="1160" t="s">
        <v>8004</v>
      </c>
    </row>
    <row r="22" spans="1:27" ht="15.75" customHeight="1" x14ac:dyDescent="0.3">
      <c r="A22" s="852" t="s">
        <v>8005</v>
      </c>
      <c r="B22" s="852" t="s">
        <v>8006</v>
      </c>
      <c r="C22" s="1073"/>
      <c r="D22" s="1074" t="str">
        <f t="shared" si="0"/>
        <v/>
      </c>
      <c r="E22" s="263"/>
      <c r="F22" s="5"/>
      <c r="G22" s="63"/>
      <c r="H22" s="5"/>
      <c r="I22" s="61"/>
      <c r="J22" s="5"/>
      <c r="K22" s="984" t="str">
        <f>IF(AND(_aktywa!F22=0,AND(_aktywa!H22=0,_aktywa!J22=0)),"ukryj","odkryj")</f>
        <v>ukryj</v>
      </c>
      <c r="L22" s="985"/>
      <c r="M22" s="985"/>
      <c r="N22" s="985"/>
      <c r="U22" s="264" t="s">
        <v>8007</v>
      </c>
      <c r="W22" s="264" t="s">
        <v>8008</v>
      </c>
      <c r="AA22" s="1160" t="s">
        <v>8009</v>
      </c>
    </row>
    <row r="23" spans="1:27" ht="24.75" customHeight="1" x14ac:dyDescent="0.3">
      <c r="A23" s="847" t="s">
        <v>8010</v>
      </c>
      <c r="B23" s="847" t="s">
        <v>8011</v>
      </c>
      <c r="C23" s="1071" t="str">
        <f>IF(Noty!K195="n/a","",Noty!L195)</f>
        <v/>
      </c>
      <c r="D23" s="1072" t="str">
        <f t="shared" si="0"/>
        <v/>
      </c>
      <c r="E23" s="263"/>
      <c r="F23" s="4">
        <f>ROUND(_aktywa!F24,2)+ROUND(_aktywa!F25,2)+ROUND(_aktywa!F26,2)</f>
        <v>0</v>
      </c>
      <c r="G23" s="63"/>
      <c r="H23" s="4">
        <f>ROUND(_aktywa!H24,2)+ROUND(_aktywa!H25,2)+ROUND(_aktywa!H26,2)</f>
        <v>0</v>
      </c>
      <c r="I23" s="61"/>
      <c r="J23" s="4">
        <f>ROUND(_aktywa!J24,2)+ROUND(_aktywa!J25,2)+ROUND(_aktywa!J26,2)</f>
        <v>0</v>
      </c>
      <c r="K23" s="984" t="str">
        <f>IF(AND(_aktywa!F23=0,AND(_aktywa!H23=0,_aktywa!J23=0)),"ukryj","odkryj")</f>
        <v>ukryj</v>
      </c>
      <c r="L23" s="985"/>
      <c r="M23" s="985"/>
      <c r="N23" s="985"/>
      <c r="U23" s="264" t="s">
        <v>8012</v>
      </c>
      <c r="W23" s="264" t="s">
        <v>8013</v>
      </c>
      <c r="AA23" s="1160"/>
    </row>
    <row r="24" spans="1:27" ht="15.75" customHeight="1" x14ac:dyDescent="0.3">
      <c r="A24" s="848" t="s">
        <v>8014</v>
      </c>
      <c r="B24" s="848" t="s">
        <v>8015</v>
      </c>
      <c r="C24" s="1073"/>
      <c r="D24" s="1074" t="str">
        <f t="shared" si="0"/>
        <v/>
      </c>
      <c r="E24" s="263"/>
      <c r="F24" s="2">
        <f>Noty!I200</f>
        <v>0</v>
      </c>
      <c r="G24" s="64"/>
      <c r="H24" s="5"/>
      <c r="I24" s="61"/>
      <c r="J24" s="5"/>
      <c r="K24" s="984" t="str">
        <f>IF(AND(_aktywa!F24=0,AND(_aktywa!H24=0,_aktywa!J24=0)),"ukryj","odkryj")</f>
        <v>ukryj</v>
      </c>
      <c r="L24" s="985"/>
      <c r="M24" s="985"/>
      <c r="N24" s="985"/>
      <c r="U24" s="264" t="s">
        <v>8016</v>
      </c>
      <c r="W24" s="264" t="s">
        <v>8017</v>
      </c>
      <c r="AA24" s="1160" t="s">
        <v>8018</v>
      </c>
    </row>
    <row r="25" spans="1:27" ht="26.2" x14ac:dyDescent="0.3">
      <c r="A25" s="853" t="s">
        <v>8019</v>
      </c>
      <c r="B25" s="853" t="s">
        <v>8020</v>
      </c>
      <c r="C25" s="1073"/>
      <c r="D25" s="1074" t="str">
        <f t="shared" si="0"/>
        <v/>
      </c>
      <c r="E25" s="263"/>
      <c r="F25" s="2">
        <f>Noty!I201</f>
        <v>0</v>
      </c>
      <c r="G25" s="64"/>
      <c r="H25" s="5"/>
      <c r="I25" s="61"/>
      <c r="J25" s="5"/>
      <c r="K25" s="984" t="str">
        <f>IF(AND(_aktywa!F25=0,AND(_aktywa!H25=0,_aktywa!J25=0)),"ukryj","odkryj")</f>
        <v>ukryj</v>
      </c>
      <c r="L25" s="985"/>
      <c r="M25" s="985"/>
      <c r="N25" s="985"/>
      <c r="U25" s="264" t="s">
        <v>8021</v>
      </c>
      <c r="W25" s="264" t="s">
        <v>8022</v>
      </c>
      <c r="AA25" s="1161"/>
    </row>
    <row r="26" spans="1:27" ht="15.75" customHeight="1" x14ac:dyDescent="0.3">
      <c r="A26" s="848" t="s">
        <v>8023</v>
      </c>
      <c r="B26" s="848" t="s">
        <v>8024</v>
      </c>
      <c r="C26" s="1073"/>
      <c r="D26" s="1074" t="str">
        <f t="shared" si="0"/>
        <v/>
      </c>
      <c r="E26" s="263"/>
      <c r="F26" s="2">
        <f>Noty!I202</f>
        <v>0</v>
      </c>
      <c r="G26" s="64"/>
      <c r="H26" s="5"/>
      <c r="I26" s="61"/>
      <c r="J26" s="5"/>
      <c r="K26" s="984" t="str">
        <f>IF(AND(_aktywa!F26=0,AND(_aktywa!H26=0,_aktywa!J26=0)),"ukryj","odkryj")</f>
        <v>ukryj</v>
      </c>
      <c r="L26" s="985"/>
      <c r="M26" s="985"/>
      <c r="N26" s="985"/>
      <c r="U26" s="264" t="s">
        <v>8025</v>
      </c>
      <c r="W26" s="264" t="s">
        <v>8026</v>
      </c>
      <c r="AA26" s="1160" t="s">
        <v>8027</v>
      </c>
    </row>
    <row r="27" spans="1:27" ht="15.75" customHeight="1" x14ac:dyDescent="0.3">
      <c r="A27" s="847" t="s">
        <v>7588</v>
      </c>
      <c r="B27" s="847" t="s">
        <v>7803</v>
      </c>
      <c r="C27" s="1071" t="str">
        <f>IF(Noty!K232="n/a","",Noty!L232)</f>
        <v/>
      </c>
      <c r="D27" s="1072" t="str">
        <f t="shared" si="0"/>
        <v/>
      </c>
      <c r="E27" s="263"/>
      <c r="F27" s="4">
        <f>ROUND(_aktywa!F28,2)+ROUND(_aktywa!F29,2)+ROUND(_aktywa!F30,2)+ROUND(_aktywa!F46,2)</f>
        <v>0</v>
      </c>
      <c r="G27" s="63"/>
      <c r="H27" s="4">
        <f>ROUND(_aktywa!H28,2)+ROUND(_aktywa!H29,2)+ROUND(_aktywa!H30,2)+ROUND(_aktywa!H46,2)</f>
        <v>0</v>
      </c>
      <c r="I27" s="61"/>
      <c r="J27" s="4">
        <f>ROUND(_aktywa!J28,2)+ROUND(_aktywa!J29,2)+ROUND(_aktywa!J30,2)+ROUND(_aktywa!J46,2)</f>
        <v>0</v>
      </c>
      <c r="K27" s="984" t="str">
        <f>IF(AND(_aktywa!F27=0,AND(_aktywa!H27=0,_aktywa!J27=0)),"ukryj","odkryj")</f>
        <v>ukryj</v>
      </c>
      <c r="L27" s="985"/>
      <c r="M27" s="985"/>
      <c r="N27" s="985"/>
      <c r="U27" s="264" t="s">
        <v>8028</v>
      </c>
      <c r="W27" s="264" t="s">
        <v>8029</v>
      </c>
      <c r="AA27" s="1160"/>
    </row>
    <row r="28" spans="1:27" ht="15.75" customHeight="1" x14ac:dyDescent="0.3">
      <c r="A28" s="848" t="s">
        <v>7590</v>
      </c>
      <c r="B28" s="848" t="s">
        <v>7805</v>
      </c>
      <c r="C28" s="1073"/>
      <c r="D28" s="1074" t="str">
        <f t="shared" si="0"/>
        <v/>
      </c>
      <c r="E28" s="263"/>
      <c r="F28" s="2">
        <f>IF(Noty!K236&lt;&gt;"n/a",Noty!E252,Noty!E294)</f>
        <v>0</v>
      </c>
      <c r="G28" s="64"/>
      <c r="H28" s="2">
        <f>IF(Noty!K236&lt;&gt;"n/a",Noty!E239,Noty!E293)</f>
        <v>0</v>
      </c>
      <c r="I28" s="61"/>
      <c r="J28" s="5"/>
      <c r="K28" s="984" t="str">
        <f>IF(AND(_aktywa!F28=0,AND(_aktywa!H28=0,_aktywa!J28=0)),"ukryj","odkryj")</f>
        <v>ukryj</v>
      </c>
      <c r="L28" s="985"/>
      <c r="M28" s="985"/>
      <c r="N28" s="985"/>
      <c r="U28" s="264" t="s">
        <v>8030</v>
      </c>
      <c r="W28" s="264" t="s">
        <v>8031</v>
      </c>
      <c r="AA28" s="1160" t="s">
        <v>8032</v>
      </c>
    </row>
    <row r="29" spans="1:27" ht="15.75" customHeight="1" x14ac:dyDescent="0.3">
      <c r="A29" s="848" t="s">
        <v>7551</v>
      </c>
      <c r="B29" s="848" t="s">
        <v>7949</v>
      </c>
      <c r="C29" s="1073"/>
      <c r="D29" s="1074" t="str">
        <f t="shared" si="0"/>
        <v/>
      </c>
      <c r="E29" s="263"/>
      <c r="F29" s="2">
        <f>IF(Noty!K236&lt;&gt;"n/a",Noty!F252,Noty!F294)</f>
        <v>0</v>
      </c>
      <c r="G29" s="64"/>
      <c r="H29" s="2">
        <f>IF(Noty!K236&lt;&gt;"n/a",Noty!F239,Noty!F293)</f>
        <v>0</v>
      </c>
      <c r="I29" s="61"/>
      <c r="J29" s="5"/>
      <c r="K29" s="984" t="str">
        <f>IF(AND(_aktywa!F29=0,AND(_aktywa!H29=0,_aktywa!J29=0)),"ukryj","odkryj")</f>
        <v>ukryj</v>
      </c>
      <c r="L29" s="985"/>
      <c r="M29" s="985"/>
      <c r="N29" s="985"/>
      <c r="U29" s="264" t="s">
        <v>8033</v>
      </c>
      <c r="W29" s="264" t="s">
        <v>8034</v>
      </c>
      <c r="AA29" s="1160" t="s">
        <v>8035</v>
      </c>
    </row>
    <row r="30" spans="1:27" ht="15.75" customHeight="1" x14ac:dyDescent="0.3">
      <c r="A30" s="848" t="s">
        <v>8036</v>
      </c>
      <c r="B30" s="848" t="s">
        <v>8037</v>
      </c>
      <c r="C30" s="1073"/>
      <c r="D30" s="1074" t="str">
        <f t="shared" si="0"/>
        <v/>
      </c>
      <c r="E30" s="264"/>
      <c r="F30" s="2">
        <f>ROUND(_aktywa!F31,2)+ROUND(_aktywa!F36,2)+ROUND(_aktywa!F41,2)</f>
        <v>0</v>
      </c>
      <c r="G30" s="63"/>
      <c r="H30" s="2">
        <f>ROUND(_aktywa!H31,2)+ROUND(_aktywa!H36,2)+ROUND(_aktywa!H41,2)</f>
        <v>0</v>
      </c>
      <c r="I30" s="61"/>
      <c r="J30" s="2">
        <f>ROUND(_aktywa!J31,2)+ROUND(_aktywa!J36,2)+ROUND(_aktywa!J41,2)</f>
        <v>0</v>
      </c>
      <c r="K30" s="984" t="str">
        <f>IF(AND(_aktywa!F30=0,AND(_aktywa!H30=0,_aktywa!J30=0)),"ukryj","odkryj")</f>
        <v>ukryj</v>
      </c>
      <c r="L30" s="985"/>
      <c r="M30" s="985"/>
      <c r="N30" s="985"/>
      <c r="U30" s="264" t="s">
        <v>8038</v>
      </c>
      <c r="W30" s="264" t="s">
        <v>8039</v>
      </c>
      <c r="AA30" s="1160"/>
    </row>
    <row r="31" spans="1:27" ht="15.75" customHeight="1" x14ac:dyDescent="0.3">
      <c r="A31" s="851" t="s">
        <v>8040</v>
      </c>
      <c r="B31" s="851" t="s">
        <v>8041</v>
      </c>
      <c r="C31" s="1073"/>
      <c r="D31" s="1074" t="str">
        <f t="shared" si="0"/>
        <v/>
      </c>
      <c r="E31" s="264"/>
      <c r="F31" s="2">
        <f>ROUND(_aktywa!F32,2)+ROUND(_aktywa!F33,2)+ROUND(_aktywa!F34,2)+ROUND(_aktywa!F35,2)</f>
        <v>0</v>
      </c>
      <c r="G31" s="64"/>
      <c r="H31" s="2">
        <f>ROUND(_aktywa!H32,2)+ROUND(_aktywa!H33,2)+ROUND(_aktywa!H34,2)+ROUND(_aktywa!H35,2)</f>
        <v>0</v>
      </c>
      <c r="I31" s="61"/>
      <c r="J31" s="2">
        <f>ROUND(_aktywa!J32,2)+ROUND(_aktywa!J33,2)+ROUND(_aktywa!J34,2)+ROUND(_aktywa!J35,2)</f>
        <v>0</v>
      </c>
      <c r="K31" s="984" t="str">
        <f>IF(AND(_aktywa!F31=0,AND(_aktywa!H31=0,_aktywa!J31=0)),"ukryj","odkryj")</f>
        <v>ukryj</v>
      </c>
      <c r="L31" s="985"/>
      <c r="M31" s="985"/>
      <c r="N31" s="985"/>
      <c r="U31" s="264" t="s">
        <v>8042</v>
      </c>
      <c r="W31" s="264" t="s">
        <v>8043</v>
      </c>
      <c r="AA31" s="1160"/>
    </row>
    <row r="32" spans="1:27" ht="15.75" customHeight="1" x14ac:dyDescent="0.3">
      <c r="A32" s="854" t="s">
        <v>8044</v>
      </c>
      <c r="B32" s="855" t="s">
        <v>8045</v>
      </c>
      <c r="C32" s="1073"/>
      <c r="D32" s="1074" t="str">
        <f t="shared" si="0"/>
        <v/>
      </c>
      <c r="E32" s="265"/>
      <c r="F32" s="5"/>
      <c r="G32" s="64"/>
      <c r="H32" s="5"/>
      <c r="I32" s="61"/>
      <c r="J32" s="5"/>
      <c r="K32" s="984" t="str">
        <f>IF(AND(_aktywa!F32=0,AND(_aktywa!H32=0,_aktywa!J32=0)),"ukryj","odkryj")</f>
        <v>ukryj</v>
      </c>
      <c r="L32" s="985"/>
      <c r="M32" s="985"/>
      <c r="N32" s="985"/>
      <c r="U32" s="264" t="s">
        <v>8046</v>
      </c>
      <c r="W32" s="264" t="s">
        <v>8047</v>
      </c>
      <c r="AA32" s="1160" t="s">
        <v>8048</v>
      </c>
    </row>
    <row r="33" spans="1:27" ht="15.75" customHeight="1" x14ac:dyDescent="0.3">
      <c r="A33" s="854" t="s">
        <v>8049</v>
      </c>
      <c r="B33" s="855" t="s">
        <v>8050</v>
      </c>
      <c r="C33" s="1073"/>
      <c r="D33" s="1074" t="str">
        <f t="shared" si="0"/>
        <v/>
      </c>
      <c r="E33" s="265"/>
      <c r="F33" s="5"/>
      <c r="G33" s="64"/>
      <c r="H33" s="5"/>
      <c r="I33" s="61"/>
      <c r="J33" s="5"/>
      <c r="K33" s="984" t="str">
        <f>IF(AND(_aktywa!F33=0,AND(_aktywa!H33=0,_aktywa!J33=0)),"ukryj","odkryj")</f>
        <v>ukryj</v>
      </c>
      <c r="L33" s="985"/>
      <c r="M33" s="985"/>
      <c r="N33" s="985"/>
      <c r="U33" s="264" t="s">
        <v>8051</v>
      </c>
      <c r="W33" s="264" t="s">
        <v>8052</v>
      </c>
      <c r="AA33" s="1160" t="s">
        <v>8053</v>
      </c>
    </row>
    <row r="34" spans="1:27" ht="15.75" customHeight="1" x14ac:dyDescent="0.3">
      <c r="A34" s="854" t="s">
        <v>8054</v>
      </c>
      <c r="B34" s="855" t="s">
        <v>8055</v>
      </c>
      <c r="C34" s="1073"/>
      <c r="D34" s="1074" t="str">
        <f t="shared" si="0"/>
        <v/>
      </c>
      <c r="E34" s="265"/>
      <c r="F34" s="5"/>
      <c r="G34" s="64"/>
      <c r="H34" s="5"/>
      <c r="I34" s="61"/>
      <c r="J34" s="5"/>
      <c r="K34" s="984" t="str">
        <f>IF(AND(_aktywa!F34=0,AND(_aktywa!H34=0,_aktywa!J34=0)),"ukryj","odkryj")</f>
        <v>ukryj</v>
      </c>
      <c r="L34" s="985"/>
      <c r="M34" s="985"/>
      <c r="N34" s="985"/>
      <c r="U34" s="264" t="s">
        <v>8056</v>
      </c>
      <c r="W34" s="264" t="s">
        <v>8057</v>
      </c>
      <c r="AA34" s="1160" t="s">
        <v>8058</v>
      </c>
    </row>
    <row r="35" spans="1:27" ht="15.75" customHeight="1" x14ac:dyDescent="0.3">
      <c r="A35" s="854" t="s">
        <v>8059</v>
      </c>
      <c r="B35" s="855" t="s">
        <v>8060</v>
      </c>
      <c r="C35" s="1073"/>
      <c r="D35" s="1074" t="str">
        <f t="shared" si="0"/>
        <v/>
      </c>
      <c r="E35" s="266"/>
      <c r="F35" s="5"/>
      <c r="G35" s="64"/>
      <c r="H35" s="5"/>
      <c r="I35" s="61"/>
      <c r="J35" s="5"/>
      <c r="K35" s="984" t="str">
        <f>IF(AND(_aktywa!F35=0,AND(_aktywa!H35=0,_aktywa!J35=0)),"ukryj","odkryj")</f>
        <v>ukryj</v>
      </c>
      <c r="L35" s="985"/>
      <c r="M35" s="985"/>
      <c r="N35" s="985"/>
      <c r="U35" s="264" t="s">
        <v>8061</v>
      </c>
      <c r="W35" s="264" t="s">
        <v>8062</v>
      </c>
      <c r="AA35" s="1160" t="s">
        <v>8063</v>
      </c>
    </row>
    <row r="36" spans="1:27" ht="26.2" x14ac:dyDescent="0.3">
      <c r="A36" s="850" t="s">
        <v>8064</v>
      </c>
      <c r="B36" s="850" t="s">
        <v>8065</v>
      </c>
      <c r="C36" s="1073"/>
      <c r="D36" s="1074" t="str">
        <f t="shared" si="0"/>
        <v/>
      </c>
      <c r="E36" s="264"/>
      <c r="F36" s="2">
        <f>ROUND(_aktywa!F37,2)+ROUND(_aktywa!F38,2)+ROUND(_aktywa!F39,2)+ROUND(_aktywa!F40,2)</f>
        <v>0</v>
      </c>
      <c r="G36" s="64"/>
      <c r="H36" s="2">
        <f>ROUND(_aktywa!H37,2)+ROUND(_aktywa!H38,2)+ROUND(_aktywa!H39,2)+ROUND(_aktywa!H40,2)</f>
        <v>0</v>
      </c>
      <c r="I36" s="61"/>
      <c r="J36" s="2">
        <f>ROUND(_aktywa!J37,2)+ROUND(_aktywa!J38,2)+ROUND(_aktywa!J39,2)+ROUND(_aktywa!J40,2)</f>
        <v>0</v>
      </c>
      <c r="K36" s="984" t="str">
        <f>IF(AND(_aktywa!F36=0,AND(_aktywa!H36=0,_aktywa!J36=0)),"ukryj","odkryj")</f>
        <v>ukryj</v>
      </c>
      <c r="L36" s="985"/>
      <c r="M36" s="985"/>
      <c r="N36" s="985"/>
      <c r="U36" s="264" t="s">
        <v>8066</v>
      </c>
      <c r="W36" s="264" t="s">
        <v>8067</v>
      </c>
      <c r="AA36" s="1160"/>
    </row>
    <row r="37" spans="1:27" ht="15.05" customHeight="1" x14ac:dyDescent="0.3">
      <c r="A37" s="854" t="s">
        <v>8044</v>
      </c>
      <c r="B37" s="855" t="s">
        <v>8045</v>
      </c>
      <c r="C37" s="1073"/>
      <c r="D37" s="1074" t="str">
        <f t="shared" si="0"/>
        <v/>
      </c>
      <c r="E37" s="264"/>
      <c r="F37" s="5"/>
      <c r="G37" s="64"/>
      <c r="H37" s="5"/>
      <c r="I37" s="61"/>
      <c r="J37" s="5"/>
      <c r="K37" s="984" t="str">
        <f>IF(AND(_aktywa!F37=0,AND(_aktywa!H37=0,_aktywa!J37=0)),"ukryj","odkryj")</f>
        <v>ukryj</v>
      </c>
      <c r="L37" s="985"/>
      <c r="M37" s="985"/>
      <c r="N37" s="985"/>
      <c r="U37" s="264" t="s">
        <v>8068</v>
      </c>
      <c r="W37" s="264" t="s">
        <v>8069</v>
      </c>
      <c r="AA37" s="1161"/>
    </row>
    <row r="38" spans="1:27" x14ac:dyDescent="0.3">
      <c r="A38" s="854" t="s">
        <v>8049</v>
      </c>
      <c r="B38" s="855" t="s">
        <v>8050</v>
      </c>
      <c r="C38" s="1073"/>
      <c r="D38" s="1074" t="str">
        <f t="shared" si="0"/>
        <v/>
      </c>
      <c r="E38" s="264"/>
      <c r="F38" s="5"/>
      <c r="G38" s="64"/>
      <c r="H38" s="5"/>
      <c r="I38" s="61"/>
      <c r="J38" s="5"/>
      <c r="K38" s="984" t="str">
        <f>IF(AND(_aktywa!F38=0,AND(_aktywa!H38=0,_aktywa!J38=0)),"ukryj","odkryj")</f>
        <v>ukryj</v>
      </c>
      <c r="L38" s="985"/>
      <c r="M38" s="985"/>
      <c r="N38" s="985"/>
      <c r="U38" s="264" t="s">
        <v>8070</v>
      </c>
      <c r="W38" s="264" t="s">
        <v>8071</v>
      </c>
      <c r="AA38" s="1161"/>
    </row>
    <row r="39" spans="1:27" x14ac:dyDescent="0.3">
      <c r="A39" s="854" t="s">
        <v>8054</v>
      </c>
      <c r="B39" s="855" t="s">
        <v>8055</v>
      </c>
      <c r="C39" s="1073"/>
      <c r="D39" s="1074" t="str">
        <f t="shared" si="0"/>
        <v/>
      </c>
      <c r="E39" s="264"/>
      <c r="F39" s="5"/>
      <c r="G39" s="64"/>
      <c r="H39" s="5"/>
      <c r="I39" s="61"/>
      <c r="J39" s="5"/>
      <c r="K39" s="984" t="str">
        <f>IF(AND(_aktywa!F39=0,AND(_aktywa!H39=0,_aktywa!J39=0)),"ukryj","odkryj")</f>
        <v>ukryj</v>
      </c>
      <c r="L39" s="985"/>
      <c r="M39" s="985"/>
      <c r="N39" s="985"/>
      <c r="U39" s="264" t="s">
        <v>8072</v>
      </c>
      <c r="W39" s="264" t="s">
        <v>8073</v>
      </c>
      <c r="AA39" s="1161"/>
    </row>
    <row r="40" spans="1:27" x14ac:dyDescent="0.3">
      <c r="A40" s="854" t="s">
        <v>8059</v>
      </c>
      <c r="B40" s="855" t="s">
        <v>8060</v>
      </c>
      <c r="C40" s="1073"/>
      <c r="D40" s="1074" t="str">
        <f t="shared" si="0"/>
        <v/>
      </c>
      <c r="E40" s="264"/>
      <c r="F40" s="5"/>
      <c r="G40" s="64"/>
      <c r="H40" s="5"/>
      <c r="I40" s="61"/>
      <c r="J40" s="5"/>
      <c r="K40" s="984" t="str">
        <f>IF(AND(_aktywa!F40=0,AND(_aktywa!H40=0,_aktywa!J40=0)),"ukryj","odkryj")</f>
        <v>ukryj</v>
      </c>
      <c r="L40" s="985"/>
      <c r="M40" s="985"/>
      <c r="N40" s="985"/>
      <c r="U40" s="264" t="s">
        <v>8074</v>
      </c>
      <c r="W40" s="264" t="s">
        <v>8075</v>
      </c>
      <c r="AA40" s="1161"/>
    </row>
    <row r="41" spans="1:27" ht="15.75" customHeight="1" x14ac:dyDescent="0.3">
      <c r="A41" s="851" t="s">
        <v>8076</v>
      </c>
      <c r="B41" s="851" t="s">
        <v>8077</v>
      </c>
      <c r="C41" s="1073"/>
      <c r="D41" s="1074" t="str">
        <f t="shared" si="0"/>
        <v/>
      </c>
      <c r="E41" s="264"/>
      <c r="F41" s="2">
        <f>ROUND(_aktywa!F42,2)+ROUND(_aktywa!F43,2)+ROUND(_aktywa!F44,2)+ROUND(_aktywa!F45,2)</f>
        <v>0</v>
      </c>
      <c r="G41" s="64"/>
      <c r="H41" s="2">
        <f>ROUND(_aktywa!H42,2)+ROUND(_aktywa!H43,2)+ROUND(_aktywa!H44,2)+ROUND(_aktywa!H45,2)</f>
        <v>0</v>
      </c>
      <c r="I41" s="61"/>
      <c r="J41" s="2">
        <f>ROUND(_aktywa!J42,2)+ROUND(_aktywa!J43,2)+ROUND(_aktywa!J44,2)+ROUND(_aktywa!J45,2)</f>
        <v>0</v>
      </c>
      <c r="K41" s="984" t="str">
        <f>IF(AND(_aktywa!F41=0,AND(_aktywa!H41=0,_aktywa!J41=0)),"ukryj","odkryj")</f>
        <v>ukryj</v>
      </c>
      <c r="L41" s="985"/>
      <c r="M41" s="985"/>
      <c r="N41" s="985"/>
      <c r="U41" s="264" t="s">
        <v>8078</v>
      </c>
      <c r="W41" s="264" t="s">
        <v>8079</v>
      </c>
      <c r="AA41" s="1160"/>
    </row>
    <row r="42" spans="1:27" ht="15.75" customHeight="1" x14ac:dyDescent="0.3">
      <c r="A42" s="854" t="s">
        <v>8044</v>
      </c>
      <c r="B42" s="855" t="s">
        <v>8045</v>
      </c>
      <c r="C42" s="1073"/>
      <c r="D42" s="1074" t="str">
        <f t="shared" si="0"/>
        <v/>
      </c>
      <c r="E42" s="264"/>
      <c r="F42" s="5"/>
      <c r="G42" s="64"/>
      <c r="H42" s="5"/>
      <c r="I42" s="61"/>
      <c r="J42" s="5"/>
      <c r="K42" s="984" t="str">
        <f>IF(AND(_aktywa!F42=0,AND(_aktywa!H42=0,_aktywa!J42=0)),"ukryj","odkryj")</f>
        <v>ukryj</v>
      </c>
      <c r="L42" s="985"/>
      <c r="M42" s="985"/>
      <c r="N42" s="985"/>
      <c r="U42" s="264" t="s">
        <v>8080</v>
      </c>
      <c r="W42" s="264" t="s">
        <v>8081</v>
      </c>
      <c r="AA42" s="1160" t="s">
        <v>8082</v>
      </c>
    </row>
    <row r="43" spans="1:27" ht="15.75" customHeight="1" x14ac:dyDescent="0.3">
      <c r="A43" s="854" t="s">
        <v>8049</v>
      </c>
      <c r="B43" s="855" t="s">
        <v>8050</v>
      </c>
      <c r="C43" s="1073"/>
      <c r="D43" s="1074" t="str">
        <f t="shared" si="0"/>
        <v/>
      </c>
      <c r="E43" s="264"/>
      <c r="F43" s="5"/>
      <c r="G43" s="64"/>
      <c r="H43" s="5"/>
      <c r="I43" s="61"/>
      <c r="J43" s="5"/>
      <c r="K43" s="984" t="str">
        <f>IF(AND(_aktywa!F43=0,AND(_aktywa!H43=0,_aktywa!J43=0)),"ukryj","odkryj")</f>
        <v>ukryj</v>
      </c>
      <c r="L43" s="985"/>
      <c r="M43" s="985"/>
      <c r="N43" s="985"/>
      <c r="U43" s="264" t="s">
        <v>8083</v>
      </c>
      <c r="W43" s="264" t="s">
        <v>8084</v>
      </c>
      <c r="AA43" s="1160" t="s">
        <v>8085</v>
      </c>
    </row>
    <row r="44" spans="1:27" ht="15.75" customHeight="1" x14ac:dyDescent="0.3">
      <c r="A44" s="854" t="s">
        <v>8054</v>
      </c>
      <c r="B44" s="855" t="s">
        <v>8055</v>
      </c>
      <c r="C44" s="1073"/>
      <c r="D44" s="1074" t="str">
        <f t="shared" si="0"/>
        <v/>
      </c>
      <c r="E44" s="264"/>
      <c r="F44" s="5"/>
      <c r="G44" s="64"/>
      <c r="H44" s="5"/>
      <c r="I44" s="61"/>
      <c r="J44" s="5"/>
      <c r="K44" s="984" t="str">
        <f>IF(AND(_aktywa!F44=0,AND(_aktywa!H44=0,_aktywa!J44=0)),"ukryj","odkryj")</f>
        <v>ukryj</v>
      </c>
      <c r="L44" s="985"/>
      <c r="M44" s="985"/>
      <c r="N44" s="985"/>
      <c r="U44" s="264" t="s">
        <v>8086</v>
      </c>
      <c r="W44" s="264" t="s">
        <v>8087</v>
      </c>
      <c r="AA44" s="1160" t="s">
        <v>8088</v>
      </c>
    </row>
    <row r="45" spans="1:27" ht="15.75" customHeight="1" x14ac:dyDescent="0.3">
      <c r="A45" s="854" t="s">
        <v>8059</v>
      </c>
      <c r="B45" s="855" t="s">
        <v>8060</v>
      </c>
      <c r="C45" s="1073"/>
      <c r="D45" s="1074" t="str">
        <f t="shared" si="0"/>
        <v/>
      </c>
      <c r="E45" s="264"/>
      <c r="F45" s="5"/>
      <c r="G45" s="64"/>
      <c r="H45" s="5"/>
      <c r="I45" s="61"/>
      <c r="J45" s="5"/>
      <c r="K45" s="984" t="str">
        <f>IF(AND(_aktywa!F45=0,AND(_aktywa!H45=0,_aktywa!J45=0)),"ukryj","odkryj")</f>
        <v>ukryj</v>
      </c>
      <c r="L45" s="985"/>
      <c r="M45" s="985"/>
      <c r="N45" s="985"/>
      <c r="U45" s="264" t="s">
        <v>8089</v>
      </c>
      <c r="W45" s="264" t="s">
        <v>8090</v>
      </c>
      <c r="AA45" s="1160" t="s">
        <v>8091</v>
      </c>
    </row>
    <row r="46" spans="1:27" ht="15.75" customHeight="1" x14ac:dyDescent="0.3">
      <c r="A46" s="848" t="s">
        <v>8092</v>
      </c>
      <c r="B46" s="848" t="s">
        <v>8093</v>
      </c>
      <c r="C46" s="1073"/>
      <c r="D46" s="1074" t="str">
        <f t="shared" si="0"/>
        <v/>
      </c>
      <c r="E46" s="264"/>
      <c r="F46" s="2">
        <f>IF(Noty!K236&lt;&gt;"n/a",Noty!H252,Noty!H294)</f>
        <v>0</v>
      </c>
      <c r="G46" s="64"/>
      <c r="H46" s="2">
        <f>IF(Noty!K236&lt;&gt;"n/a",Noty!H239,Noty!H293)</f>
        <v>0</v>
      </c>
      <c r="I46" s="61"/>
      <c r="J46" s="5"/>
      <c r="K46" s="984" t="str">
        <f>IF(AND(_aktywa!F46=0,AND(_aktywa!H46=0,_aktywa!J46=0)),"ukryj","odkryj")</f>
        <v>ukryj</v>
      </c>
      <c r="L46" s="985"/>
      <c r="M46" s="985"/>
      <c r="N46" s="985"/>
      <c r="U46" s="264" t="s">
        <v>8094</v>
      </c>
      <c r="W46" s="264" t="s">
        <v>8095</v>
      </c>
      <c r="AA46" s="1160"/>
    </row>
    <row r="47" spans="1:27" ht="23.25" customHeight="1" x14ac:dyDescent="0.3">
      <c r="A47" s="847" t="s">
        <v>8096</v>
      </c>
      <c r="B47" s="847" t="s">
        <v>8097</v>
      </c>
      <c r="C47" s="1073"/>
      <c r="D47" s="1074" t="str">
        <f t="shared" si="0"/>
        <v/>
      </c>
      <c r="E47" s="264"/>
      <c r="F47" s="4">
        <f>ROUND(_aktywa!F48,2)+ROUND(_aktywa!F49,2)</f>
        <v>0</v>
      </c>
      <c r="G47" s="63"/>
      <c r="H47" s="4">
        <f>ROUND(_aktywa!H48,2)+ROUND(_aktywa!H49,2)</f>
        <v>0</v>
      </c>
      <c r="I47" s="61"/>
      <c r="J47" s="4">
        <f>ROUND(_aktywa!J48,2)+ROUND(_aktywa!J49,2)</f>
        <v>0</v>
      </c>
      <c r="K47" s="984" t="str">
        <f>IF(AND(_aktywa!F47=0,AND(_aktywa!H47=0,_aktywa!J47=0)),"ukryj","odkryj")</f>
        <v>ukryj</v>
      </c>
      <c r="L47" s="985"/>
      <c r="M47" s="985"/>
      <c r="N47" s="985"/>
      <c r="U47" s="264" t="s">
        <v>8098</v>
      </c>
      <c r="W47" s="264" t="s">
        <v>8099</v>
      </c>
      <c r="AA47" s="1160"/>
    </row>
    <row r="48" spans="1:27" ht="15.75" customHeight="1" x14ac:dyDescent="0.3">
      <c r="A48" s="848" t="s">
        <v>8100</v>
      </c>
      <c r="B48" s="848" t="s">
        <v>8101</v>
      </c>
      <c r="C48" s="1071" t="str">
        <f>IF(Noty!K1183="n/a","",Noty!L1183)</f>
        <v/>
      </c>
      <c r="D48" s="1072" t="str">
        <f t="shared" si="0"/>
        <v/>
      </c>
      <c r="E48" s="264"/>
      <c r="F48" s="2">
        <f>Noty!H1233</f>
        <v>0</v>
      </c>
      <c r="G48" s="64"/>
      <c r="H48" s="2">
        <f>Noty!I1233</f>
        <v>0</v>
      </c>
      <c r="I48" s="61"/>
      <c r="J48" s="5"/>
      <c r="K48" s="984" t="str">
        <f>IF(AND(_aktywa!F48=0,AND(_aktywa!H48=0,_aktywa!J48=0)),"ukryj","odkryj")</f>
        <v>ukryj</v>
      </c>
      <c r="L48" s="985"/>
      <c r="M48" s="985"/>
      <c r="N48" s="985"/>
      <c r="U48" s="264" t="s">
        <v>8102</v>
      </c>
      <c r="W48" s="264" t="s">
        <v>8103</v>
      </c>
      <c r="AA48" s="1160" t="s">
        <v>8104</v>
      </c>
    </row>
    <row r="49" spans="1:27" ht="15.75" customHeight="1" x14ac:dyDescent="0.3">
      <c r="A49" s="848" t="s">
        <v>8105</v>
      </c>
      <c r="B49" s="848" t="s">
        <v>8106</v>
      </c>
      <c r="C49" s="1071" t="str">
        <f>IF(Noty!K390="n/a","",Noty!L390)</f>
        <v/>
      </c>
      <c r="D49" s="1072" t="str">
        <f t="shared" si="0"/>
        <v/>
      </c>
      <c r="E49" s="264"/>
      <c r="F49" s="3">
        <f>Noty!H405</f>
        <v>0</v>
      </c>
      <c r="G49" s="64"/>
      <c r="H49" s="3">
        <f>Noty!I405</f>
        <v>0</v>
      </c>
      <c r="I49" s="61"/>
      <c r="J49" s="81"/>
      <c r="K49" s="984" t="str">
        <f>IF(AND(_aktywa!F49=0,AND(_aktywa!H49=0,_aktywa!J49=0)),"ukryj","odkryj")</f>
        <v>ukryj</v>
      </c>
      <c r="L49" s="985"/>
      <c r="M49" s="985"/>
      <c r="N49" s="985"/>
      <c r="U49" s="264" t="s">
        <v>8107</v>
      </c>
      <c r="W49" s="264" t="s">
        <v>8108</v>
      </c>
      <c r="AA49" s="1160" t="s">
        <v>8109</v>
      </c>
    </row>
    <row r="50" spans="1:27" s="267" customFormat="1" ht="27" customHeight="1" x14ac:dyDescent="0.3">
      <c r="A50" s="273" t="s">
        <v>8110</v>
      </c>
      <c r="B50" s="273" t="s">
        <v>8111</v>
      </c>
      <c r="C50" s="1073"/>
      <c r="D50" s="1074" t="str">
        <f t="shared" si="0"/>
        <v/>
      </c>
      <c r="F50" s="1">
        <f>ROUND(_aktywa!F51,2)+ROUND(_aktywa!F57,2)+ROUND(_aktywa!F75,2)+ROUND(_aktywa!F92,2)</f>
        <v>0</v>
      </c>
      <c r="G50" s="268"/>
      <c r="H50" s="1">
        <f>ROUND(_aktywa!H51,2)+ROUND(_aktywa!H57,2)+ROUND(_aktywa!H75,2)+ROUND(_aktywa!H92,2)</f>
        <v>0</v>
      </c>
      <c r="I50" s="61"/>
      <c r="J50" s="1">
        <f>ROUND(_aktywa!J51,2)+ROUND(_aktywa!J57,2)+ROUND(_aktywa!J75,2)+ROUND(_aktywa!J92,2)</f>
        <v>0</v>
      </c>
      <c r="K50" s="984" t="str">
        <f>IF(AND(_aktywa!F50=0,AND(_aktywa!H50=0,_aktywa!J50=0)),"ukryj","odkryj")</f>
        <v>ukryj</v>
      </c>
      <c r="L50" s="1027"/>
      <c r="M50" s="1027"/>
      <c r="N50" s="1027"/>
      <c r="U50" s="267" t="s">
        <v>8112</v>
      </c>
      <c r="W50" s="267" t="s">
        <v>8113</v>
      </c>
      <c r="AA50" s="1162"/>
    </row>
    <row r="51" spans="1:27" ht="28.5" customHeight="1" x14ac:dyDescent="0.3">
      <c r="A51" s="847" t="s">
        <v>7608</v>
      </c>
      <c r="B51" s="847" t="s">
        <v>7822</v>
      </c>
      <c r="C51" s="1071" t="str">
        <f>IF(Noty!K422="n/a","",Noty!L422)</f>
        <v/>
      </c>
      <c r="D51" s="1072" t="str">
        <f t="shared" si="0"/>
        <v/>
      </c>
      <c r="E51" s="264"/>
      <c r="F51" s="4">
        <f>ROUND(_aktywa!F52,2)+ROUND(_aktywa!F53,2)+ROUND(_aktywa!F54,2)+ROUND(_aktywa!F55,2)+ROUND(_aktywa!F56,2)</f>
        <v>0</v>
      </c>
      <c r="G51" s="63"/>
      <c r="H51" s="4">
        <f>ROUND(_aktywa!H52,2)+ROUND(_aktywa!H53,2)+ROUND(_aktywa!H54,2)+ROUND(_aktywa!H55,2)+ROUND(_aktywa!H56,2)</f>
        <v>0</v>
      </c>
      <c r="I51" s="61"/>
      <c r="J51" s="4">
        <f>ROUND(_aktywa!J52,2)+ROUND(_aktywa!J53,2)+ROUND(_aktywa!J54,2)+ROUND(_aktywa!J55,2)+ROUND(_aktywa!J56,2)</f>
        <v>0</v>
      </c>
      <c r="K51" s="984" t="str">
        <f>IF(AND(_aktywa!F51=0,AND(_aktywa!H51=0,_aktywa!J51=0)),"ukryj","odkryj")</f>
        <v>ukryj</v>
      </c>
      <c r="L51" s="985"/>
      <c r="M51" s="985"/>
      <c r="N51" s="985"/>
      <c r="U51" s="264" t="s">
        <v>8114</v>
      </c>
      <c r="W51" s="264" t="s">
        <v>8115</v>
      </c>
      <c r="AA51" s="1160"/>
    </row>
    <row r="52" spans="1:27" ht="15.75" customHeight="1" x14ac:dyDescent="0.3">
      <c r="A52" s="848" t="s">
        <v>8116</v>
      </c>
      <c r="B52" s="848" t="s">
        <v>8117</v>
      </c>
      <c r="C52" s="1073"/>
      <c r="D52" s="1074" t="str">
        <f t="shared" si="0"/>
        <v/>
      </c>
      <c r="E52" s="263"/>
      <c r="F52" s="2">
        <f>Noty!E432</f>
        <v>0</v>
      </c>
      <c r="G52" s="64"/>
      <c r="H52" s="5"/>
      <c r="I52" s="61"/>
      <c r="J52" s="5"/>
      <c r="K52" s="984" t="str">
        <f>IF(AND(_aktywa!F52=0,AND(_aktywa!H52=0,_aktywa!J52=0)),"ukryj","odkryj")</f>
        <v>ukryj</v>
      </c>
      <c r="L52" s="985"/>
      <c r="M52" s="985"/>
      <c r="N52" s="985"/>
      <c r="U52" s="264" t="s">
        <v>8118</v>
      </c>
      <c r="W52" s="264" t="s">
        <v>8119</v>
      </c>
      <c r="AA52" s="1160" t="s">
        <v>8120</v>
      </c>
    </row>
    <row r="53" spans="1:27" ht="15.75" customHeight="1" x14ac:dyDescent="0.3">
      <c r="A53" s="848" t="s">
        <v>8121</v>
      </c>
      <c r="B53" s="848" t="s">
        <v>8122</v>
      </c>
      <c r="C53" s="1073"/>
      <c r="D53" s="1074" t="str">
        <f t="shared" si="0"/>
        <v/>
      </c>
      <c r="E53" s="263"/>
      <c r="F53" s="2">
        <f>Noty!H432</f>
        <v>0</v>
      </c>
      <c r="G53" s="64"/>
      <c r="H53" s="5"/>
      <c r="I53" s="61"/>
      <c r="J53" s="5"/>
      <c r="K53" s="984" t="str">
        <f>IF(AND(_aktywa!F53=0,AND(_aktywa!H53=0,_aktywa!J53=0)),"ukryj","odkryj")</f>
        <v>ukryj</v>
      </c>
      <c r="L53" s="985"/>
      <c r="M53" s="985"/>
      <c r="N53" s="985"/>
      <c r="U53" s="264" t="s">
        <v>8123</v>
      </c>
      <c r="W53" s="264" t="s">
        <v>8124</v>
      </c>
      <c r="AA53" s="1160" t="s">
        <v>8125</v>
      </c>
    </row>
    <row r="54" spans="1:27" ht="15.75" customHeight="1" x14ac:dyDescent="0.3">
      <c r="A54" s="848" t="s">
        <v>8126</v>
      </c>
      <c r="B54" s="848" t="s">
        <v>8127</v>
      </c>
      <c r="C54" s="1073"/>
      <c r="D54" s="1074" t="str">
        <f t="shared" si="0"/>
        <v/>
      </c>
      <c r="E54" s="263"/>
      <c r="F54" s="2">
        <f>Noty!F432</f>
        <v>0</v>
      </c>
      <c r="G54" s="64"/>
      <c r="H54" s="5"/>
      <c r="I54" s="61"/>
      <c r="J54" s="5"/>
      <c r="K54" s="984" t="str">
        <f>IF(AND(_aktywa!F54=0,AND(_aktywa!H54=0,_aktywa!J54=0)),"ukryj","odkryj")</f>
        <v>ukryj</v>
      </c>
      <c r="L54" s="985"/>
      <c r="M54" s="985"/>
      <c r="N54" s="985"/>
      <c r="U54" s="264" t="s">
        <v>8128</v>
      </c>
      <c r="W54" s="264" t="s">
        <v>8129</v>
      </c>
      <c r="AA54" s="1160" t="s">
        <v>8130</v>
      </c>
    </row>
    <row r="55" spans="1:27" x14ac:dyDescent="0.3">
      <c r="A55" s="848" t="s">
        <v>8131</v>
      </c>
      <c r="B55" s="848" t="s">
        <v>8132</v>
      </c>
      <c r="C55" s="1073"/>
      <c r="D55" s="1074" t="str">
        <f t="shared" si="0"/>
        <v/>
      </c>
      <c r="E55" s="263"/>
      <c r="F55" s="2">
        <f>Noty!G432</f>
        <v>0</v>
      </c>
      <c r="G55" s="64"/>
      <c r="H55" s="5"/>
      <c r="I55" s="61"/>
      <c r="J55" s="5"/>
      <c r="K55" s="984" t="str">
        <f>IF(AND(_aktywa!F55=0,AND(_aktywa!H55=0,_aktywa!J55=0)),"ukryj","odkryj")</f>
        <v>ukryj</v>
      </c>
      <c r="L55" s="985"/>
      <c r="M55" s="985"/>
      <c r="N55" s="985"/>
      <c r="U55" s="264" t="s">
        <v>8133</v>
      </c>
      <c r="W55" s="264" t="s">
        <v>8134</v>
      </c>
      <c r="AA55" s="1160" t="s">
        <v>8135</v>
      </c>
    </row>
    <row r="56" spans="1:27" ht="15.75" customHeight="1" x14ac:dyDescent="0.3">
      <c r="A56" s="848" t="s">
        <v>8136</v>
      </c>
      <c r="B56" s="848" t="s">
        <v>8137</v>
      </c>
      <c r="C56" s="1073"/>
      <c r="D56" s="1074" t="str">
        <f t="shared" si="0"/>
        <v/>
      </c>
      <c r="E56" s="263"/>
      <c r="F56" s="5"/>
      <c r="G56" s="64"/>
      <c r="H56" s="5"/>
      <c r="I56" s="61"/>
      <c r="J56" s="5"/>
      <c r="K56" s="984" t="str">
        <f>IF(AND(_aktywa!F56=0,AND(_aktywa!H56=0,_aktywa!J56=0)),"ukryj","odkryj")</f>
        <v>ukryj</v>
      </c>
      <c r="L56" s="985"/>
      <c r="M56" s="985"/>
      <c r="N56" s="985"/>
      <c r="U56" s="264" t="s">
        <v>8138</v>
      </c>
      <c r="W56" s="264" t="s">
        <v>8139</v>
      </c>
      <c r="AA56" s="1160" t="s">
        <v>8140</v>
      </c>
    </row>
    <row r="57" spans="1:27" ht="25.55" customHeight="1" x14ac:dyDescent="0.3">
      <c r="A57" s="847" t="s">
        <v>7618</v>
      </c>
      <c r="B57" s="847" t="s">
        <v>7832</v>
      </c>
      <c r="C57" s="1071" t="str">
        <f>IF(Noty!K463="n/a","",Noty!L463)</f>
        <v/>
      </c>
      <c r="D57" s="1072" t="str">
        <f t="shared" si="0"/>
        <v/>
      </c>
      <c r="E57" s="263"/>
      <c r="F57" s="4">
        <f>ROUND(_aktywa!F58,2)+ROUND(_aktywa!F63,2)+ROUND(_aktywa!F68,2)</f>
        <v>0</v>
      </c>
      <c r="G57" s="64"/>
      <c r="H57" s="4">
        <f>ROUND(_aktywa!H58,2)+ROUND(_aktywa!H63,2)+ROUND(_aktywa!H68,2)</f>
        <v>0</v>
      </c>
      <c r="I57" s="61"/>
      <c r="J57" s="4">
        <f>ROUND(_aktywa!J58,2)+ROUND(_aktywa!J63,2)+ROUND(_aktywa!J68,2)</f>
        <v>0</v>
      </c>
      <c r="K57" s="984" t="str">
        <f>IF(AND(_aktywa!F57=0,AND(_aktywa!H57=0,_aktywa!J57=0)),"ukryj","odkryj")</f>
        <v>ukryj</v>
      </c>
      <c r="L57" s="985"/>
      <c r="M57" s="985"/>
      <c r="N57" s="985"/>
      <c r="U57" s="264" t="s">
        <v>8141</v>
      </c>
      <c r="W57" s="264" t="s">
        <v>8142</v>
      </c>
      <c r="AA57" s="1160"/>
    </row>
    <row r="58" spans="1:27" ht="15.75" customHeight="1" x14ac:dyDescent="0.3">
      <c r="A58" s="848" t="s">
        <v>8143</v>
      </c>
      <c r="B58" s="848" t="s">
        <v>8144</v>
      </c>
      <c r="C58" s="1073"/>
      <c r="D58" s="1074" t="str">
        <f t="shared" si="0"/>
        <v/>
      </c>
      <c r="E58" s="263"/>
      <c r="F58" s="2">
        <f>ROUND(_aktywa!F59,2)+ROUND(_aktywa!F62,2)</f>
        <v>0</v>
      </c>
      <c r="G58" s="63"/>
      <c r="H58" s="2">
        <f>ROUND(_aktywa!H59,2)+ROUND(_aktywa!H62,2)</f>
        <v>0</v>
      </c>
      <c r="I58" s="61"/>
      <c r="J58" s="2">
        <f>ROUND(_aktywa!J59,2)+ROUND(_aktywa!J62,2)</f>
        <v>0</v>
      </c>
      <c r="K58" s="984" t="str">
        <f>IF(AND(_aktywa!F58=0,AND(_aktywa!H58=0,_aktywa!J58=0)),"ukryj","odkryj")</f>
        <v>ukryj</v>
      </c>
      <c r="L58" s="985"/>
      <c r="M58" s="985"/>
      <c r="N58" s="985"/>
      <c r="U58" s="264" t="s">
        <v>8145</v>
      </c>
      <c r="W58" s="264" t="s">
        <v>8146</v>
      </c>
      <c r="AA58" s="1160"/>
    </row>
    <row r="59" spans="1:27" ht="15.75" customHeight="1" x14ac:dyDescent="0.3">
      <c r="A59" s="851" t="s">
        <v>8147</v>
      </c>
      <c r="B59" s="851" t="s">
        <v>8148</v>
      </c>
      <c r="C59" s="1071" t="str">
        <f>IF(Noty!K465="n/a","",Noty!L465)</f>
        <v/>
      </c>
      <c r="D59" s="1072" t="str">
        <f t="shared" si="0"/>
        <v/>
      </c>
      <c r="E59" s="263"/>
      <c r="F59" s="2">
        <f>ROUND(_aktywa!F60,2)+ROUND(_aktywa!F61,2)</f>
        <v>0</v>
      </c>
      <c r="G59" s="64"/>
      <c r="H59" s="2">
        <f>ROUND(_aktywa!H60,2)+ROUND(_aktywa!H61,2)</f>
        <v>0</v>
      </c>
      <c r="I59" s="61"/>
      <c r="J59" s="2">
        <f>ROUND(_aktywa!J60,2)+ROUND(_aktywa!J61,2)</f>
        <v>0</v>
      </c>
      <c r="K59" s="984" t="str">
        <f>IF(AND(_aktywa!F59=0,AND(_aktywa!H59=0,_aktywa!J59=0)),"ukryj","odkryj")</f>
        <v>ukryj</v>
      </c>
      <c r="L59" s="985"/>
      <c r="M59" s="985"/>
      <c r="N59" s="985"/>
      <c r="U59" s="264" t="s">
        <v>8149</v>
      </c>
      <c r="W59" s="264" t="s">
        <v>8150</v>
      </c>
      <c r="AA59" s="1160"/>
    </row>
    <row r="60" spans="1:27" ht="15.75" customHeight="1" x14ac:dyDescent="0.3">
      <c r="A60" s="856" t="s">
        <v>8151</v>
      </c>
      <c r="B60" s="857" t="s">
        <v>8152</v>
      </c>
      <c r="C60" s="1073"/>
      <c r="D60" s="1074" t="str">
        <f t="shared" si="0"/>
        <v/>
      </c>
      <c r="E60" s="263"/>
      <c r="F60" s="2">
        <f>Noty!I471</f>
        <v>0</v>
      </c>
      <c r="G60" s="64"/>
      <c r="H60" s="2">
        <f>Noty!I492</f>
        <v>0</v>
      </c>
      <c r="I60" s="61"/>
      <c r="J60" s="5"/>
      <c r="K60" s="984" t="str">
        <f>IF(AND(_aktywa!F60=0,AND(_aktywa!H60=0,_aktywa!J60=0)),"ukryj","odkryj")</f>
        <v>ukryj</v>
      </c>
      <c r="L60" s="985"/>
      <c r="M60" s="985"/>
      <c r="N60" s="985"/>
      <c r="U60" s="264" t="s">
        <v>8153</v>
      </c>
      <c r="W60" s="264" t="s">
        <v>8154</v>
      </c>
      <c r="AA60" s="1160" t="s">
        <v>8155</v>
      </c>
    </row>
    <row r="61" spans="1:27" x14ac:dyDescent="0.3">
      <c r="A61" s="856" t="s">
        <v>8156</v>
      </c>
      <c r="B61" s="857" t="s">
        <v>8157</v>
      </c>
      <c r="C61" s="1073"/>
      <c r="D61" s="1074" t="str">
        <f t="shared" si="0"/>
        <v/>
      </c>
      <c r="E61" s="263"/>
      <c r="F61" s="2">
        <f>Noty!I472</f>
        <v>0</v>
      </c>
      <c r="G61" s="64"/>
      <c r="H61" s="2">
        <f>Noty!I493</f>
        <v>0</v>
      </c>
      <c r="I61" s="61"/>
      <c r="J61" s="5"/>
      <c r="K61" s="984" t="str">
        <f>IF(AND(_aktywa!F61=0,AND(_aktywa!H61=0,_aktywa!J61=0)),"ukryj","odkryj")</f>
        <v>ukryj</v>
      </c>
      <c r="L61" s="985"/>
      <c r="M61" s="985"/>
      <c r="N61" s="985"/>
      <c r="U61" s="264" t="s">
        <v>8158</v>
      </c>
      <c r="W61" s="264" t="s">
        <v>8159</v>
      </c>
      <c r="AA61" s="1160" t="s">
        <v>8160</v>
      </c>
    </row>
    <row r="62" spans="1:27" ht="15.75" customHeight="1" x14ac:dyDescent="0.3">
      <c r="A62" s="851" t="s">
        <v>8161</v>
      </c>
      <c r="B62" s="851" t="s">
        <v>8162</v>
      </c>
      <c r="C62" s="1073"/>
      <c r="D62" s="1074" t="str">
        <f t="shared" si="0"/>
        <v/>
      </c>
      <c r="E62" s="263"/>
      <c r="F62" s="2">
        <f>Noty!I473</f>
        <v>0</v>
      </c>
      <c r="G62" s="64"/>
      <c r="H62" s="2">
        <f>Noty!I494</f>
        <v>0</v>
      </c>
      <c r="I62" s="61"/>
      <c r="J62" s="5"/>
      <c r="K62" s="984" t="str">
        <f>IF(AND(_aktywa!F62=0,AND(_aktywa!H62=0,_aktywa!J62=0)),"ukryj","odkryj")</f>
        <v>ukryj</v>
      </c>
      <c r="L62" s="985"/>
      <c r="M62" s="985"/>
      <c r="N62" s="985"/>
      <c r="U62" s="264" t="s">
        <v>8163</v>
      </c>
      <c r="W62" s="264" t="s">
        <v>8164</v>
      </c>
      <c r="AA62" s="1160" t="s">
        <v>8165</v>
      </c>
    </row>
    <row r="63" spans="1:27" ht="27.85" customHeight="1" x14ac:dyDescent="0.3">
      <c r="A63" s="853" t="s">
        <v>8166</v>
      </c>
      <c r="B63" s="853" t="s">
        <v>8167</v>
      </c>
      <c r="C63" s="1071" t="str">
        <f>IF(Noty!K465="n/a","",Noty!L465)</f>
        <v/>
      </c>
      <c r="D63" s="1072" t="str">
        <f t="shared" si="0"/>
        <v/>
      </c>
      <c r="E63" s="263"/>
      <c r="F63" s="2">
        <f>ROUND(_aktywa!F64,2)+ROUND(_aktywa!F67,2)</f>
        <v>0</v>
      </c>
      <c r="G63" s="64"/>
      <c r="H63" s="2">
        <f>ROUND(_aktywa!H64,2)+ROUND(_aktywa!H67,2)</f>
        <v>0</v>
      </c>
      <c r="I63" s="61"/>
      <c r="J63" s="2">
        <f>ROUND(_aktywa!J64,2)+ROUND(_aktywa!J67,2)</f>
        <v>0</v>
      </c>
      <c r="K63" s="984" t="str">
        <f>IF(AND(_aktywa!F63=0,AND(_aktywa!H63=0,_aktywa!J63=0)),"ukryj","odkryj")</f>
        <v>ukryj</v>
      </c>
      <c r="L63" s="985"/>
      <c r="M63" s="985"/>
      <c r="N63" s="985"/>
      <c r="U63" s="264" t="s">
        <v>8168</v>
      </c>
      <c r="W63" s="264" t="s">
        <v>8169</v>
      </c>
      <c r="AA63" s="1160"/>
    </row>
    <row r="64" spans="1:27" x14ac:dyDescent="0.3">
      <c r="A64" s="851" t="s">
        <v>8147</v>
      </c>
      <c r="B64" s="851" t="s">
        <v>8148</v>
      </c>
      <c r="C64" s="1073"/>
      <c r="D64" s="1074" t="str">
        <f t="shared" si="0"/>
        <v/>
      </c>
      <c r="E64" s="263"/>
      <c r="F64" s="2">
        <f>ROUND(_aktywa!F65,2)+ROUND(_aktywa!F66,2)</f>
        <v>0</v>
      </c>
      <c r="G64" s="64"/>
      <c r="H64" s="2">
        <f>ROUND(_aktywa!H65,2)+ROUND(_aktywa!H66,2)</f>
        <v>0</v>
      </c>
      <c r="I64" s="61"/>
      <c r="J64" s="2">
        <f>ROUND(_aktywa!J65,2)+ROUND(_aktywa!J66,2)</f>
        <v>0</v>
      </c>
      <c r="K64" s="984" t="str">
        <f>IF(AND(_aktywa!F64=0,AND(_aktywa!H64=0,_aktywa!J64=0)),"ukryj","odkryj")</f>
        <v>ukryj</v>
      </c>
      <c r="L64" s="985"/>
      <c r="M64" s="985"/>
      <c r="N64" s="985"/>
      <c r="U64" s="264" t="s">
        <v>8170</v>
      </c>
      <c r="W64" s="264" t="s">
        <v>8171</v>
      </c>
      <c r="AA64" s="1160"/>
    </row>
    <row r="65" spans="1:27" ht="15.75" customHeight="1" x14ac:dyDescent="0.3">
      <c r="A65" s="856" t="s">
        <v>8151</v>
      </c>
      <c r="B65" s="857" t="s">
        <v>8152</v>
      </c>
      <c r="C65" s="1073"/>
      <c r="D65" s="1074" t="str">
        <f t="shared" si="0"/>
        <v/>
      </c>
      <c r="E65" s="263"/>
      <c r="F65" s="2">
        <f>Noty!I476</f>
        <v>0</v>
      </c>
      <c r="G65" s="64"/>
      <c r="H65" s="2">
        <f>Noty!I497</f>
        <v>0</v>
      </c>
      <c r="I65" s="61"/>
      <c r="J65" s="5"/>
      <c r="K65" s="984" t="str">
        <f>IF(AND(_aktywa!F65=0,AND(_aktywa!H65=0,_aktywa!J65=0)),"ukryj","odkryj")</f>
        <v>ukryj</v>
      </c>
      <c r="L65" s="985"/>
      <c r="M65" s="985"/>
      <c r="N65" s="985"/>
      <c r="U65" s="264" t="s">
        <v>8172</v>
      </c>
      <c r="W65" s="264" t="s">
        <v>8173</v>
      </c>
      <c r="AA65" s="1160" t="s">
        <v>8155</v>
      </c>
    </row>
    <row r="66" spans="1:27" ht="15.75" customHeight="1" x14ac:dyDescent="0.3">
      <c r="A66" s="856" t="s">
        <v>8156</v>
      </c>
      <c r="B66" s="857" t="s">
        <v>8157</v>
      </c>
      <c r="C66" s="1073"/>
      <c r="D66" s="1074" t="str">
        <f t="shared" si="0"/>
        <v/>
      </c>
      <c r="E66" s="263"/>
      <c r="F66" s="2">
        <f>Noty!I477</f>
        <v>0</v>
      </c>
      <c r="G66" s="64"/>
      <c r="H66" s="2">
        <f>Noty!I498</f>
        <v>0</v>
      </c>
      <c r="I66" s="61"/>
      <c r="J66" s="5"/>
      <c r="K66" s="984" t="str">
        <f>IF(AND(_aktywa!F66=0,AND(_aktywa!H66=0,_aktywa!J66=0)),"ukryj","odkryj")</f>
        <v>ukryj</v>
      </c>
      <c r="L66" s="985"/>
      <c r="M66" s="985"/>
      <c r="N66" s="985"/>
      <c r="U66" s="264" t="s">
        <v>8174</v>
      </c>
      <c r="W66" s="264" t="s">
        <v>8175</v>
      </c>
      <c r="AA66" s="1160" t="s">
        <v>8160</v>
      </c>
    </row>
    <row r="67" spans="1:27" ht="15.75" customHeight="1" x14ac:dyDescent="0.3">
      <c r="A67" s="851" t="s">
        <v>8161</v>
      </c>
      <c r="B67" s="851" t="s">
        <v>8162</v>
      </c>
      <c r="C67" s="1073"/>
      <c r="D67" s="1074" t="str">
        <f t="shared" si="0"/>
        <v/>
      </c>
      <c r="E67" s="263"/>
      <c r="F67" s="2">
        <f>Noty!I478</f>
        <v>0</v>
      </c>
      <c r="G67" s="64"/>
      <c r="H67" s="2">
        <f>Noty!I499</f>
        <v>0</v>
      </c>
      <c r="I67" s="61"/>
      <c r="J67" s="5"/>
      <c r="K67" s="984" t="str">
        <f>IF(AND(_aktywa!F67=0,AND(_aktywa!H67=0,_aktywa!J67=0)),"ukryj","odkryj")</f>
        <v>ukryj</v>
      </c>
      <c r="L67" s="985"/>
      <c r="M67" s="985"/>
      <c r="N67" s="985"/>
      <c r="U67" s="264" t="s">
        <v>8176</v>
      </c>
      <c r="W67" s="264" t="s">
        <v>8177</v>
      </c>
      <c r="AA67" s="1160" t="s">
        <v>8165</v>
      </c>
    </row>
    <row r="68" spans="1:27" ht="15.75" customHeight="1" x14ac:dyDescent="0.3">
      <c r="A68" s="848" t="s">
        <v>8178</v>
      </c>
      <c r="B68" s="848" t="s">
        <v>8179</v>
      </c>
      <c r="C68" s="1071" t="str">
        <f>IF(Noty!K465="n/a","",Noty!L465)</f>
        <v/>
      </c>
      <c r="D68" s="1072" t="str">
        <f t="shared" si="0"/>
        <v/>
      </c>
      <c r="E68" s="263"/>
      <c r="F68" s="2">
        <f>ROUND(_aktywa!F69,2)+ROUND(_aktywa!F72,2)+ROUND(_aktywa!F73,2)+ROUND(_aktywa!F74,2)</f>
        <v>0</v>
      </c>
      <c r="G68" s="65"/>
      <c r="H68" s="2">
        <f>ROUND(_aktywa!H69,2)+ROUND(_aktywa!H72,2)+ROUND(_aktywa!H73,2)+ROUND(_aktywa!H74,2)</f>
        <v>0</v>
      </c>
      <c r="I68" s="61"/>
      <c r="J68" s="2">
        <f>ROUND(_aktywa!J69,2)+ROUND(_aktywa!J72,2)+ROUND(_aktywa!J73,2)+ROUND(_aktywa!J74,2)</f>
        <v>0</v>
      </c>
      <c r="K68" s="984" t="str">
        <f>IF(AND(_aktywa!F68=0,AND(_aktywa!H68=0,_aktywa!J68=0)),"ukryj","odkryj")</f>
        <v>ukryj</v>
      </c>
      <c r="L68" s="985"/>
      <c r="M68" s="985"/>
      <c r="N68" s="985"/>
      <c r="U68" s="264" t="s">
        <v>8180</v>
      </c>
      <c r="W68" s="264" t="s">
        <v>8181</v>
      </c>
      <c r="AA68" s="1160"/>
    </row>
    <row r="69" spans="1:27" ht="15.75" customHeight="1" x14ac:dyDescent="0.3">
      <c r="A69" s="851" t="s">
        <v>8147</v>
      </c>
      <c r="B69" s="851" t="s">
        <v>8148</v>
      </c>
      <c r="C69" s="1073"/>
      <c r="D69" s="1074" t="str">
        <f t="shared" si="0"/>
        <v/>
      </c>
      <c r="E69" s="263"/>
      <c r="F69" s="2">
        <f>ROUND(_aktywa!F70,2)+ROUND(_aktywa!F71,2)</f>
        <v>0</v>
      </c>
      <c r="G69" s="64"/>
      <c r="H69" s="2">
        <f>ROUND(_aktywa!H70,2)+ROUND(_aktywa!H71,2)</f>
        <v>0</v>
      </c>
      <c r="I69" s="61"/>
      <c r="J69" s="2">
        <f>ROUND(_aktywa!J70,2)+ROUND(_aktywa!J71,2)</f>
        <v>0</v>
      </c>
      <c r="K69" s="984" t="str">
        <f>IF(AND(_aktywa!F69=0,AND(_aktywa!H69=0,_aktywa!J69=0)),"ukryj","odkryj")</f>
        <v>ukryj</v>
      </c>
      <c r="L69" s="985"/>
      <c r="M69" s="985"/>
      <c r="N69" s="985"/>
      <c r="U69" s="264" t="s">
        <v>8182</v>
      </c>
      <c r="W69" s="264" t="s">
        <v>8183</v>
      </c>
      <c r="AA69" s="1160"/>
    </row>
    <row r="70" spans="1:27" ht="15.75" customHeight="1" x14ac:dyDescent="0.3">
      <c r="A70" s="856" t="s">
        <v>8151</v>
      </c>
      <c r="B70" s="857" t="s">
        <v>8152</v>
      </c>
      <c r="C70" s="1073"/>
      <c r="D70" s="1074" t="str">
        <f t="shared" si="0"/>
        <v/>
      </c>
      <c r="E70" s="263"/>
      <c r="F70" s="2">
        <f>Noty!I481</f>
        <v>0</v>
      </c>
      <c r="G70" s="64"/>
      <c r="H70" s="2">
        <f>Noty!I502</f>
        <v>0</v>
      </c>
      <c r="I70" s="61"/>
      <c r="J70" s="5"/>
      <c r="K70" s="984" t="str">
        <f>IF(AND(_aktywa!F70=0,AND(_aktywa!H70=0,_aktywa!J70=0)),"ukryj","odkryj")</f>
        <v>ukryj</v>
      </c>
      <c r="L70" s="985"/>
      <c r="M70" s="985"/>
      <c r="N70" s="985"/>
      <c r="U70" s="264" t="s">
        <v>8184</v>
      </c>
      <c r="W70" s="264" t="s">
        <v>8185</v>
      </c>
      <c r="AA70" s="1160" t="s">
        <v>8186</v>
      </c>
    </row>
    <row r="71" spans="1:27" x14ac:dyDescent="0.3">
      <c r="A71" s="856" t="s">
        <v>8156</v>
      </c>
      <c r="B71" s="857" t="s">
        <v>8157</v>
      </c>
      <c r="C71" s="1073"/>
      <c r="D71" s="1074" t="str">
        <f t="shared" si="0"/>
        <v/>
      </c>
      <c r="E71" s="263"/>
      <c r="F71" s="2">
        <f>Noty!I482</f>
        <v>0</v>
      </c>
      <c r="G71" s="64"/>
      <c r="H71" s="2">
        <f>Noty!I503</f>
        <v>0</v>
      </c>
      <c r="I71" s="61"/>
      <c r="J71" s="5"/>
      <c r="K71" s="984" t="str">
        <f>IF(AND(_aktywa!F71=0,AND(_aktywa!H71=0,_aktywa!J71=0)),"ukryj","odkryj")</f>
        <v>ukryj</v>
      </c>
      <c r="L71" s="985"/>
      <c r="M71" s="985"/>
      <c r="N71" s="985"/>
      <c r="U71" s="264" t="s">
        <v>8187</v>
      </c>
      <c r="W71" s="264" t="s">
        <v>8188</v>
      </c>
      <c r="AA71" s="1160" t="s">
        <v>8189</v>
      </c>
    </row>
    <row r="72" spans="1:27" ht="26.2" x14ac:dyDescent="0.3">
      <c r="A72" s="850" t="s">
        <v>8190</v>
      </c>
      <c r="B72" s="850" t="s">
        <v>8191</v>
      </c>
      <c r="C72" s="1073"/>
      <c r="D72" s="1074" t="str">
        <f t="shared" si="0"/>
        <v/>
      </c>
      <c r="E72" s="263"/>
      <c r="F72" s="2">
        <f>Noty!I483</f>
        <v>0</v>
      </c>
      <c r="G72" s="63"/>
      <c r="H72" s="2">
        <f>Noty!I504</f>
        <v>0</v>
      </c>
      <c r="I72" s="61"/>
      <c r="J72" s="5"/>
      <c r="K72" s="984" t="str">
        <f>IF(AND(_aktywa!F72=0,AND(_aktywa!H72=0,_aktywa!J72=0)),"ukryj","odkryj")</f>
        <v>ukryj</v>
      </c>
      <c r="L72" s="985"/>
      <c r="M72" s="985"/>
      <c r="N72" s="985"/>
      <c r="U72" s="264" t="s">
        <v>8192</v>
      </c>
      <c r="W72" s="264" t="s">
        <v>8193</v>
      </c>
      <c r="AA72" s="1160" t="s">
        <v>8194</v>
      </c>
    </row>
    <row r="73" spans="1:27" ht="15.75" customHeight="1" x14ac:dyDescent="0.3">
      <c r="A73" s="851" t="s">
        <v>8161</v>
      </c>
      <c r="B73" s="851" t="s">
        <v>8162</v>
      </c>
      <c r="C73" s="1073"/>
      <c r="D73" s="1074" t="str">
        <f t="shared" si="0"/>
        <v/>
      </c>
      <c r="E73" s="263"/>
      <c r="F73" s="2">
        <f>Noty!I484</f>
        <v>0</v>
      </c>
      <c r="G73" s="63"/>
      <c r="H73" s="2">
        <f>Noty!I505</f>
        <v>0</v>
      </c>
      <c r="I73" s="61"/>
      <c r="J73" s="5"/>
      <c r="K73" s="984" t="str">
        <f>IF(AND(_aktywa!F73=0,AND(_aktywa!H73=0,_aktywa!J73=0)),"ukryj","odkryj")</f>
        <v>ukryj</v>
      </c>
      <c r="L73" s="985"/>
      <c r="M73" s="985"/>
      <c r="N73" s="985"/>
      <c r="U73" s="264" t="s">
        <v>8195</v>
      </c>
      <c r="W73" s="264" t="s">
        <v>8196</v>
      </c>
      <c r="AA73" s="1160" t="s">
        <v>8197</v>
      </c>
    </row>
    <row r="74" spans="1:27" x14ac:dyDescent="0.3">
      <c r="A74" s="851" t="s">
        <v>8198</v>
      </c>
      <c r="B74" s="851" t="s">
        <v>8199</v>
      </c>
      <c r="C74" s="1073"/>
      <c r="D74" s="1074" t="str">
        <f t="shared" ref="D74:D95" si="1">IF(C74="","",C74)</f>
        <v/>
      </c>
      <c r="E74" s="263"/>
      <c r="F74" s="2">
        <f>Noty!I485</f>
        <v>0</v>
      </c>
      <c r="G74" s="63"/>
      <c r="H74" s="2">
        <f>Noty!I506</f>
        <v>0</v>
      </c>
      <c r="I74" s="61"/>
      <c r="J74" s="5"/>
      <c r="K74" s="984" t="str">
        <f>IF(AND(_aktywa!F74=0,AND(_aktywa!H74=0,_aktywa!J74=0)),"ukryj","odkryj")</f>
        <v>ukryj</v>
      </c>
      <c r="L74" s="985"/>
      <c r="M74" s="985"/>
      <c r="N74" s="985"/>
      <c r="U74" s="264" t="s">
        <v>8200</v>
      </c>
      <c r="W74" s="264" t="s">
        <v>8201</v>
      </c>
      <c r="AA74" s="1160" t="s">
        <v>8202</v>
      </c>
    </row>
    <row r="75" spans="1:27" ht="32.25" customHeight="1" x14ac:dyDescent="0.3">
      <c r="A75" s="847" t="s">
        <v>7648</v>
      </c>
      <c r="B75" s="847" t="s">
        <v>7863</v>
      </c>
      <c r="C75" s="1073" t="str">
        <f>IF(Noty!K551="n/a","",Noty!L551)</f>
        <v/>
      </c>
      <c r="D75" s="1074" t="str">
        <f t="shared" si="1"/>
        <v/>
      </c>
      <c r="E75" s="269"/>
      <c r="F75" s="4">
        <f>ROUND(_aktywa!F76,2)+ROUND(_aktywa!F91,2)</f>
        <v>0</v>
      </c>
      <c r="G75" s="63"/>
      <c r="H75" s="4">
        <f>ROUND(_aktywa!H76,2)+ROUND(_aktywa!H91,2)</f>
        <v>0</v>
      </c>
      <c r="I75" s="61"/>
      <c r="J75" s="4">
        <f>ROUND(_aktywa!J76,2)+ROUND(_aktywa!J91,2)</f>
        <v>0</v>
      </c>
      <c r="K75" s="984" t="str">
        <f>IF(AND(_aktywa!F75=0,AND(_aktywa!H75=0,_aktywa!J75=0)),"ukryj","odkryj")</f>
        <v>ukryj</v>
      </c>
      <c r="L75" s="985"/>
      <c r="M75" s="985"/>
      <c r="N75" s="985"/>
      <c r="U75" s="264" t="s">
        <v>8203</v>
      </c>
      <c r="W75" s="264" t="s">
        <v>8204</v>
      </c>
      <c r="AA75" s="1160"/>
    </row>
    <row r="76" spans="1:27" ht="15.75" customHeight="1" x14ac:dyDescent="0.3">
      <c r="A76" s="848" t="s">
        <v>8205</v>
      </c>
      <c r="B76" s="848" t="s">
        <v>8206</v>
      </c>
      <c r="C76" s="1073"/>
      <c r="D76" s="1074" t="str">
        <f t="shared" si="1"/>
        <v/>
      </c>
      <c r="E76" s="263"/>
      <c r="F76" s="2">
        <f>ROUND(_aktywa!F77,2)+ROUND(_aktywa!F82,2)+ROUND(_aktywa!F87,2)</f>
        <v>0</v>
      </c>
      <c r="G76" s="63"/>
      <c r="H76" s="2">
        <f>ROUND(_aktywa!H77,2)+ROUND(_aktywa!H82,2)+ROUND(_aktywa!H87,2)</f>
        <v>0</v>
      </c>
      <c r="I76" s="61"/>
      <c r="J76" s="2">
        <f>ROUND(_aktywa!J77,2)+ROUND(_aktywa!J82,2)+ROUND(_aktywa!J87,2)</f>
        <v>0</v>
      </c>
      <c r="K76" s="984" t="str">
        <f>IF(AND(_aktywa!F76=0,AND(_aktywa!H76=0,_aktywa!J76=0)),"ukryj","odkryj")</f>
        <v>ukryj</v>
      </c>
      <c r="L76" s="985"/>
      <c r="M76" s="985"/>
      <c r="N76" s="985"/>
      <c r="U76" s="264" t="s">
        <v>8207</v>
      </c>
      <c r="W76" s="264" t="s">
        <v>8208</v>
      </c>
      <c r="AA76" s="1160"/>
    </row>
    <row r="77" spans="1:27" ht="15.75" customHeight="1" x14ac:dyDescent="0.3">
      <c r="A77" s="851" t="s">
        <v>8040</v>
      </c>
      <c r="B77" s="851" t="s">
        <v>8041</v>
      </c>
      <c r="C77" s="1073"/>
      <c r="D77" s="1074" t="str">
        <f t="shared" si="1"/>
        <v/>
      </c>
      <c r="E77" s="263"/>
      <c r="F77" s="2">
        <f>ROUND(_aktywa!F78,2)+ROUND(_aktywa!F79,2)+ROUND(_aktywa!F80,2)+ROUND(_aktywa!F81,2)</f>
        <v>0</v>
      </c>
      <c r="G77" s="64"/>
      <c r="H77" s="2">
        <f>ROUND(_aktywa!H78,2)+ROUND(_aktywa!H79,2)+ROUND(_aktywa!H80,2)+ROUND(_aktywa!H81,2)</f>
        <v>0</v>
      </c>
      <c r="I77" s="61"/>
      <c r="J77" s="2">
        <f>ROUND(_aktywa!J78,2)+ROUND(_aktywa!J79,2)+ROUND(_aktywa!J80,2)+ROUND(_aktywa!J81,2)</f>
        <v>0</v>
      </c>
      <c r="K77" s="984" t="str">
        <f>IF(AND(_aktywa!F77=0,AND(_aktywa!H77=0,_aktywa!J77=0)),"ukryj","odkryj")</f>
        <v>ukryj</v>
      </c>
      <c r="L77" s="985"/>
      <c r="M77" s="985"/>
      <c r="N77" s="985"/>
      <c r="U77" s="264" t="s">
        <v>8209</v>
      </c>
      <c r="W77" s="264" t="s">
        <v>8210</v>
      </c>
      <c r="AA77" s="1160"/>
    </row>
    <row r="78" spans="1:27" ht="15.75" customHeight="1" x14ac:dyDescent="0.3">
      <c r="A78" s="854" t="s">
        <v>8044</v>
      </c>
      <c r="B78" s="855" t="s">
        <v>8045</v>
      </c>
      <c r="C78" s="1073"/>
      <c r="D78" s="1074" t="str">
        <f t="shared" si="1"/>
        <v/>
      </c>
      <c r="E78" s="263"/>
      <c r="F78" s="5"/>
      <c r="G78" s="64"/>
      <c r="H78" s="5"/>
      <c r="I78" s="61"/>
      <c r="J78" s="5"/>
      <c r="K78" s="984" t="str">
        <f>IF(AND(_aktywa!F78=0,AND(_aktywa!H78=0,_aktywa!J78=0)),"ukryj","odkryj")</f>
        <v>ukryj</v>
      </c>
      <c r="L78" s="985"/>
      <c r="M78" s="985"/>
      <c r="N78" s="985"/>
      <c r="U78" s="264" t="s">
        <v>8211</v>
      </c>
      <c r="W78" s="264" t="s">
        <v>8212</v>
      </c>
      <c r="AA78" s="1160" t="s">
        <v>8213</v>
      </c>
    </row>
    <row r="79" spans="1:27" ht="15.75" customHeight="1" x14ac:dyDescent="0.3">
      <c r="A79" s="854" t="s">
        <v>8049</v>
      </c>
      <c r="B79" s="855" t="s">
        <v>8050</v>
      </c>
      <c r="C79" s="1073"/>
      <c r="D79" s="1074" t="str">
        <f t="shared" si="1"/>
        <v/>
      </c>
      <c r="E79" s="263"/>
      <c r="F79" s="5"/>
      <c r="G79" s="64"/>
      <c r="H79" s="5"/>
      <c r="I79" s="61"/>
      <c r="J79" s="5"/>
      <c r="K79" s="984" t="str">
        <f>IF(AND(_aktywa!F79=0,AND(_aktywa!H79=0,_aktywa!J79=0)),"ukryj","odkryj")</f>
        <v>ukryj</v>
      </c>
      <c r="L79" s="985"/>
      <c r="M79" s="985"/>
      <c r="N79" s="985"/>
      <c r="U79" s="264" t="s">
        <v>8214</v>
      </c>
      <c r="W79" s="264" t="s">
        <v>8215</v>
      </c>
      <c r="AA79" s="1160" t="s">
        <v>8216</v>
      </c>
    </row>
    <row r="80" spans="1:27" ht="15.75" customHeight="1" x14ac:dyDescent="0.3">
      <c r="A80" s="854" t="s">
        <v>8054</v>
      </c>
      <c r="B80" s="855" t="s">
        <v>8055</v>
      </c>
      <c r="C80" s="1073"/>
      <c r="D80" s="1074" t="str">
        <f t="shared" si="1"/>
        <v/>
      </c>
      <c r="E80" s="263"/>
      <c r="F80" s="5"/>
      <c r="G80" s="64"/>
      <c r="H80" s="5"/>
      <c r="I80" s="61"/>
      <c r="J80" s="5"/>
      <c r="K80" s="984" t="str">
        <f>IF(AND(_aktywa!F80=0,AND(_aktywa!H80=0,_aktywa!J80=0)),"ukryj","odkryj")</f>
        <v>ukryj</v>
      </c>
      <c r="L80" s="985"/>
      <c r="M80" s="985"/>
      <c r="N80" s="985"/>
      <c r="U80" s="264" t="s">
        <v>8217</v>
      </c>
      <c r="W80" s="264" t="s">
        <v>8218</v>
      </c>
      <c r="AA80" s="1160" t="s">
        <v>8219</v>
      </c>
    </row>
    <row r="81" spans="1:27" ht="15.75" customHeight="1" x14ac:dyDescent="0.3">
      <c r="A81" s="854" t="s">
        <v>8220</v>
      </c>
      <c r="B81" s="855" t="s">
        <v>8060</v>
      </c>
      <c r="C81" s="1073"/>
      <c r="D81" s="1074" t="str">
        <f t="shared" si="1"/>
        <v/>
      </c>
      <c r="E81" s="263"/>
      <c r="F81" s="5"/>
      <c r="G81" s="64"/>
      <c r="H81" s="5"/>
      <c r="I81" s="61"/>
      <c r="J81" s="5"/>
      <c r="K81" s="984" t="str">
        <f>IF(AND(_aktywa!F81=0,AND(_aktywa!H81=0,_aktywa!J81=0)),"ukryj","odkryj")</f>
        <v>ukryj</v>
      </c>
      <c r="L81" s="985"/>
      <c r="M81" s="985"/>
      <c r="N81" s="985"/>
      <c r="U81" s="264" t="s">
        <v>8221</v>
      </c>
      <c r="W81" s="264" t="s">
        <v>8222</v>
      </c>
      <c r="AA81" s="1160" t="s">
        <v>8223</v>
      </c>
    </row>
    <row r="82" spans="1:27" ht="15.75" customHeight="1" x14ac:dyDescent="0.3">
      <c r="A82" s="851" t="s">
        <v>8076</v>
      </c>
      <c r="B82" s="851" t="s">
        <v>8077</v>
      </c>
      <c r="C82" s="1073"/>
      <c r="D82" s="1074" t="str">
        <f t="shared" si="1"/>
        <v/>
      </c>
      <c r="E82" s="263"/>
      <c r="F82" s="2">
        <f>ROUND(_aktywa!F83,2)+ROUND(_aktywa!F84,2)+ROUND(_aktywa!F85,2)+ROUND(_aktywa!F86,2)</f>
        <v>0</v>
      </c>
      <c r="G82" s="64"/>
      <c r="H82" s="2">
        <f>ROUND(_aktywa!H83,2)+ROUND(_aktywa!H84,2)+ROUND(_aktywa!H85,2)+ROUND(_aktywa!H86,2)</f>
        <v>0</v>
      </c>
      <c r="I82" s="61"/>
      <c r="J82" s="2">
        <f>ROUND(_aktywa!J83,2)+ROUND(_aktywa!J84,2)+ROUND(_aktywa!J85,2)+ROUND(_aktywa!J86,2)</f>
        <v>0</v>
      </c>
      <c r="K82" s="984" t="str">
        <f>IF(AND(_aktywa!F82=0,AND(_aktywa!H82=0,_aktywa!J82=0)),"ukryj","odkryj")</f>
        <v>ukryj</v>
      </c>
      <c r="L82" s="985"/>
      <c r="M82" s="985"/>
      <c r="N82" s="985"/>
      <c r="U82" s="264" t="s">
        <v>8224</v>
      </c>
      <c r="W82" s="264" t="s">
        <v>8225</v>
      </c>
      <c r="AA82" s="1160"/>
    </row>
    <row r="83" spans="1:27" ht="15.75" customHeight="1" x14ac:dyDescent="0.3">
      <c r="A83" s="854" t="s">
        <v>8044</v>
      </c>
      <c r="B83" s="855" t="s">
        <v>8045</v>
      </c>
      <c r="C83" s="1073"/>
      <c r="D83" s="1074" t="str">
        <f t="shared" si="1"/>
        <v/>
      </c>
      <c r="E83" s="263"/>
      <c r="F83" s="5"/>
      <c r="G83" s="64"/>
      <c r="H83" s="5"/>
      <c r="I83" s="61"/>
      <c r="J83" s="5"/>
      <c r="K83" s="984" t="str">
        <f>IF(AND(_aktywa!F83=0,AND(_aktywa!H83=0,_aktywa!J83=0)),"ukryj","odkryj")</f>
        <v>ukryj</v>
      </c>
      <c r="L83" s="985"/>
      <c r="M83" s="985"/>
      <c r="N83" s="985"/>
      <c r="U83" s="264" t="s">
        <v>8226</v>
      </c>
      <c r="W83" s="264" t="s">
        <v>8227</v>
      </c>
      <c r="AA83" s="1160" t="s">
        <v>8228</v>
      </c>
    </row>
    <row r="84" spans="1:27" ht="15.75" customHeight="1" x14ac:dyDescent="0.3">
      <c r="A84" s="854" t="s">
        <v>8049</v>
      </c>
      <c r="B84" s="855" t="s">
        <v>8050</v>
      </c>
      <c r="C84" s="1073"/>
      <c r="D84" s="1074" t="str">
        <f t="shared" si="1"/>
        <v/>
      </c>
      <c r="E84" s="263"/>
      <c r="F84" s="5"/>
      <c r="G84" s="64"/>
      <c r="H84" s="5"/>
      <c r="I84" s="61"/>
      <c r="J84" s="5"/>
      <c r="K84" s="984" t="str">
        <f>IF(AND(_aktywa!F84=0,AND(_aktywa!H84=0,_aktywa!J84=0)),"ukryj","odkryj")</f>
        <v>ukryj</v>
      </c>
      <c r="L84" s="985"/>
      <c r="M84" s="985"/>
      <c r="N84" s="985"/>
      <c r="U84" s="264" t="s">
        <v>8229</v>
      </c>
      <c r="W84" s="264" t="s">
        <v>8230</v>
      </c>
      <c r="AA84" s="1160" t="s">
        <v>8231</v>
      </c>
    </row>
    <row r="85" spans="1:27" ht="15.75" customHeight="1" x14ac:dyDescent="0.3">
      <c r="A85" s="854" t="s">
        <v>8054</v>
      </c>
      <c r="B85" s="855" t="s">
        <v>8055</v>
      </c>
      <c r="C85" s="1073"/>
      <c r="D85" s="1074" t="str">
        <f t="shared" si="1"/>
        <v/>
      </c>
      <c r="E85" s="263"/>
      <c r="F85" s="5"/>
      <c r="G85" s="64"/>
      <c r="H85" s="5"/>
      <c r="I85" s="61"/>
      <c r="J85" s="5"/>
      <c r="K85" s="984" t="str">
        <f>IF(AND(_aktywa!F85=0,AND(_aktywa!H85=0,_aktywa!J85=0)),"ukryj","odkryj")</f>
        <v>ukryj</v>
      </c>
      <c r="L85" s="985"/>
      <c r="M85" s="985"/>
      <c r="N85" s="985"/>
      <c r="U85" s="264" t="s">
        <v>8232</v>
      </c>
      <c r="W85" s="264" t="s">
        <v>8233</v>
      </c>
      <c r="AA85" s="1160" t="s">
        <v>8234</v>
      </c>
    </row>
    <row r="86" spans="1:27" ht="15.75" customHeight="1" x14ac:dyDescent="0.3">
      <c r="A86" s="854" t="s">
        <v>8220</v>
      </c>
      <c r="B86" s="855" t="s">
        <v>8060</v>
      </c>
      <c r="C86" s="1073"/>
      <c r="D86" s="1074" t="str">
        <f t="shared" si="1"/>
        <v/>
      </c>
      <c r="E86" s="263"/>
      <c r="F86" s="5"/>
      <c r="G86" s="64"/>
      <c r="H86" s="5"/>
      <c r="I86" s="61"/>
      <c r="J86" s="5"/>
      <c r="K86" s="984" t="str">
        <f>IF(AND(_aktywa!F86=0,AND(_aktywa!H86=0,_aktywa!J86=0)),"ukryj","odkryj")</f>
        <v>ukryj</v>
      </c>
      <c r="L86" s="985"/>
      <c r="M86" s="985"/>
      <c r="N86" s="985"/>
      <c r="U86" s="264" t="s">
        <v>8235</v>
      </c>
      <c r="W86" s="264" t="s">
        <v>8236</v>
      </c>
      <c r="AA86" s="1160" t="s">
        <v>8237</v>
      </c>
    </row>
    <row r="87" spans="1:27" ht="15.75" customHeight="1" x14ac:dyDescent="0.3">
      <c r="A87" s="851" t="s">
        <v>8238</v>
      </c>
      <c r="B87" s="851" t="s">
        <v>8239</v>
      </c>
      <c r="C87" s="1073"/>
      <c r="D87" s="1074" t="str">
        <f t="shared" si="1"/>
        <v/>
      </c>
      <c r="E87" s="263"/>
      <c r="F87" s="2">
        <f>ROUND(_aktywa!F88,2)+ROUND(_aktywa!F89,2)+ROUND(_aktywa!F90,2)</f>
        <v>0</v>
      </c>
      <c r="G87" s="64"/>
      <c r="H87" s="2">
        <f>ROUND(_aktywa!H88,2)+ROUND(_aktywa!H89,2)+ROUND(_aktywa!H90,2)</f>
        <v>0</v>
      </c>
      <c r="I87" s="61"/>
      <c r="J87" s="2">
        <f>ROUND(_aktywa!J88,2)+ROUND(_aktywa!J89,2)+ROUND(_aktywa!J90,2)</f>
        <v>0</v>
      </c>
      <c r="K87" s="984" t="str">
        <f>IF(AND(_aktywa!F87=0,AND(_aktywa!H87=0,_aktywa!J87=0)),"ukryj","odkryj")</f>
        <v>ukryj</v>
      </c>
      <c r="L87" s="985"/>
      <c r="M87" s="985"/>
      <c r="N87" s="985"/>
      <c r="U87" s="264" t="s">
        <v>8240</v>
      </c>
      <c r="W87" s="264" t="s">
        <v>8241</v>
      </c>
      <c r="AA87" s="1160"/>
    </row>
    <row r="88" spans="1:27" x14ac:dyDescent="0.3">
      <c r="A88" s="854" t="s">
        <v>8242</v>
      </c>
      <c r="B88" s="855" t="s">
        <v>8243</v>
      </c>
      <c r="C88" s="1071" t="str">
        <f>IF(Noty!K553="n/a","",Noty!L553)</f>
        <v/>
      </c>
      <c r="D88" s="1072" t="str">
        <f t="shared" si="1"/>
        <v/>
      </c>
      <c r="E88" s="263"/>
      <c r="F88" s="2">
        <f>Noty!H560</f>
        <v>0</v>
      </c>
      <c r="G88" s="64"/>
      <c r="H88" s="2">
        <f>Noty!I560</f>
        <v>0</v>
      </c>
      <c r="I88" s="61"/>
      <c r="J88" s="5"/>
      <c r="K88" s="984" t="str">
        <f>IF(AND(_aktywa!F88=0,AND(_aktywa!H88=0,_aktywa!J88=0)),"ukryj","odkryj")</f>
        <v>ukryj</v>
      </c>
      <c r="L88" s="985"/>
      <c r="M88" s="985"/>
      <c r="N88" s="985"/>
      <c r="U88" s="264" t="s">
        <v>8244</v>
      </c>
      <c r="W88" s="264" t="s">
        <v>8245</v>
      </c>
      <c r="AA88" s="1160" t="s">
        <v>8246</v>
      </c>
    </row>
    <row r="89" spans="1:27" ht="15.75" customHeight="1" x14ac:dyDescent="0.3">
      <c r="A89" s="854" t="s">
        <v>8247</v>
      </c>
      <c r="B89" s="855" t="s">
        <v>8248</v>
      </c>
      <c r="C89" s="1073"/>
      <c r="D89" s="1074" t="str">
        <f t="shared" si="1"/>
        <v/>
      </c>
      <c r="E89" s="263"/>
      <c r="F89" s="5"/>
      <c r="G89" s="64"/>
      <c r="H89" s="5"/>
      <c r="I89" s="61"/>
      <c r="J89" s="5"/>
      <c r="K89" s="984" t="str">
        <f>IF(AND(_aktywa!F89=0,AND(_aktywa!H89=0,_aktywa!J89=0)),"ukryj","odkryj")</f>
        <v>ukryj</v>
      </c>
      <c r="L89" s="985"/>
      <c r="M89" s="985"/>
      <c r="N89" s="985"/>
      <c r="U89" s="264" t="s">
        <v>8249</v>
      </c>
      <c r="W89" s="264" t="s">
        <v>8250</v>
      </c>
      <c r="AA89" s="1160" t="s">
        <v>8251</v>
      </c>
    </row>
    <row r="90" spans="1:27" ht="15.75" customHeight="1" x14ac:dyDescent="0.3">
      <c r="A90" s="854" t="s">
        <v>8252</v>
      </c>
      <c r="B90" s="855" t="s">
        <v>8253</v>
      </c>
      <c r="C90" s="1073"/>
      <c r="D90" s="1074" t="str">
        <f t="shared" si="1"/>
        <v/>
      </c>
      <c r="E90" s="263"/>
      <c r="F90" s="5"/>
      <c r="G90" s="64"/>
      <c r="H90" s="5"/>
      <c r="I90" s="61"/>
      <c r="J90" s="5"/>
      <c r="K90" s="984" t="str">
        <f>IF(AND(_aktywa!F90=0,AND(_aktywa!H90=0,_aktywa!J90=0)),"ukryj","odkryj")</f>
        <v>ukryj</v>
      </c>
      <c r="L90" s="985"/>
      <c r="M90" s="985"/>
      <c r="N90" s="985"/>
      <c r="U90" s="264" t="s">
        <v>8254</v>
      </c>
      <c r="W90" s="264" t="s">
        <v>8255</v>
      </c>
      <c r="AA90" s="1160" t="s">
        <v>8256</v>
      </c>
    </row>
    <row r="91" spans="1:27" x14ac:dyDescent="0.3">
      <c r="A91" s="848" t="s">
        <v>8257</v>
      </c>
      <c r="B91" s="848" t="s">
        <v>8258</v>
      </c>
      <c r="C91" s="1073"/>
      <c r="D91" s="1074" t="str">
        <f t="shared" si="1"/>
        <v/>
      </c>
      <c r="E91" s="263"/>
      <c r="F91" s="5"/>
      <c r="G91" s="64"/>
      <c r="H91" s="5"/>
      <c r="I91" s="61"/>
      <c r="J91" s="5"/>
      <c r="K91" s="984" t="str">
        <f>IF(AND(_aktywa!F91=0,AND(_aktywa!H91=0,_aktywa!J91=0)),"ukryj","odkryj")</f>
        <v>ukryj</v>
      </c>
      <c r="L91" s="985"/>
      <c r="M91" s="985"/>
      <c r="N91" s="985"/>
      <c r="U91" s="264" t="s">
        <v>8259</v>
      </c>
      <c r="W91" s="264" t="s">
        <v>8260</v>
      </c>
      <c r="AA91" s="1160" t="s">
        <v>8261</v>
      </c>
    </row>
    <row r="92" spans="1:27" ht="15.75" customHeight="1" x14ac:dyDescent="0.3">
      <c r="A92" s="847" t="s">
        <v>8262</v>
      </c>
      <c r="B92" s="847" t="s">
        <v>8263</v>
      </c>
      <c r="C92" s="1073" t="str">
        <f>IF(Noty!K390="n/a","",Noty!L390)</f>
        <v/>
      </c>
      <c r="D92" s="1074" t="str">
        <f t="shared" si="1"/>
        <v/>
      </c>
      <c r="E92" s="263"/>
      <c r="F92" s="2">
        <f>Noty!H418</f>
        <v>0</v>
      </c>
      <c r="G92" s="64"/>
      <c r="H92" s="2">
        <f>Noty!I418</f>
        <v>0</v>
      </c>
      <c r="I92" s="61"/>
      <c r="J92" s="5"/>
      <c r="K92" s="984" t="str">
        <f>IF(AND(_aktywa!F92=0,AND(_aktywa!H92=0,_aktywa!J92=0)),"ukryj","odkryj")</f>
        <v>ukryj</v>
      </c>
      <c r="L92" s="985"/>
      <c r="M92" s="985"/>
      <c r="N92" s="985"/>
      <c r="U92" s="264" t="s">
        <v>8264</v>
      </c>
      <c r="W92" s="264" t="s">
        <v>8265</v>
      </c>
      <c r="AA92" s="1160" t="s">
        <v>8266</v>
      </c>
    </row>
    <row r="93" spans="1:27" ht="15.75" customHeight="1" x14ac:dyDescent="0.3">
      <c r="A93" s="275" t="s">
        <v>8267</v>
      </c>
      <c r="B93" s="275" t="s">
        <v>8268</v>
      </c>
      <c r="C93" s="1071" t="str">
        <f>IF(Noty!K609="n/a","",Noty!L609)</f>
        <v/>
      </c>
      <c r="D93" s="1072" t="str">
        <f t="shared" si="1"/>
        <v/>
      </c>
      <c r="E93" s="263"/>
      <c r="F93" s="764"/>
      <c r="G93" s="64"/>
      <c r="H93" s="764"/>
      <c r="I93" s="61"/>
      <c r="J93" s="764"/>
      <c r="K93" s="984" t="str">
        <f>IF(AND(_aktywa!F93=0,AND(_aktywa!H93=0,_aktywa!J93=0)),"ukryj","odkryj")</f>
        <v>ukryj</v>
      </c>
      <c r="L93" s="985"/>
      <c r="M93" s="985"/>
      <c r="N93" s="985"/>
      <c r="U93" s="264" t="s">
        <v>8269</v>
      </c>
      <c r="W93" s="264" t="s">
        <v>8270</v>
      </c>
    </row>
    <row r="94" spans="1:27" ht="15.75" customHeight="1" x14ac:dyDescent="0.3">
      <c r="A94" s="275" t="s">
        <v>8271</v>
      </c>
      <c r="B94" s="275" t="s">
        <v>8272</v>
      </c>
      <c r="C94" s="1071" t="str">
        <f>IF(Noty!K613="n/a","",Noty!L613)</f>
        <v/>
      </c>
      <c r="D94" s="1072" t="str">
        <f t="shared" si="1"/>
        <v/>
      </c>
      <c r="E94" s="263"/>
      <c r="F94" s="765"/>
      <c r="G94" s="64"/>
      <c r="H94" s="765"/>
      <c r="I94" s="61"/>
      <c r="J94" s="765"/>
      <c r="K94" s="984" t="str">
        <f>IF(AND(_aktywa!F94=0,AND(_aktywa!H94=0,_aktywa!J94=0)),"ukryj","odkryj")</f>
        <v>ukryj</v>
      </c>
      <c r="L94" s="985"/>
      <c r="M94" s="985"/>
      <c r="N94" s="985"/>
      <c r="U94" s="264" t="s">
        <v>8273</v>
      </c>
      <c r="W94" s="264" t="s">
        <v>8274</v>
      </c>
    </row>
    <row r="95" spans="1:27" s="267" customFormat="1" ht="15.75" customHeight="1" thickBot="1" x14ac:dyDescent="0.35">
      <c r="A95" s="858" t="s">
        <v>8275</v>
      </c>
      <c r="B95" s="858" t="s">
        <v>8276</v>
      </c>
      <c r="C95" s="1073"/>
      <c r="D95" s="1074" t="str">
        <f t="shared" si="1"/>
        <v/>
      </c>
      <c r="E95" s="270"/>
      <c r="F95" s="6">
        <f>ROUND(_aktywa!F8,2)+ROUND(_aktywa!F50,2)+ROUND(_aktywa!F93,2)+ROUND(_aktywa!F94,2)</f>
        <v>0</v>
      </c>
      <c r="G95" s="66"/>
      <c r="H95" s="6">
        <f>ROUND(_aktywa!H8,2)+ROUND(_aktywa!H50,2)+ROUND(_aktywa!H93,2)+ROUND(_aktywa!H94,2)</f>
        <v>0</v>
      </c>
      <c r="I95" s="61"/>
      <c r="J95" s="6">
        <f>ROUND(_aktywa!J8,2)+ROUND(_aktywa!J50,2)+ROUND(_aktywa!J93,2)+ROUND(_aktywa!J94,2)</f>
        <v>0</v>
      </c>
      <c r="K95" s="984" t="s">
        <v>5070</v>
      </c>
      <c r="L95" s="1027"/>
      <c r="M95" s="1027"/>
      <c r="N95" s="1027"/>
      <c r="U95" s="267" t="s">
        <v>8277</v>
      </c>
      <c r="W95" s="267" t="s">
        <v>8278</v>
      </c>
    </row>
    <row r="96" spans="1:27" ht="15.75" thickTop="1" x14ac:dyDescent="0.3">
      <c r="A96" s="275"/>
      <c r="B96" s="275"/>
      <c r="E96" s="263"/>
      <c r="F96" s="264"/>
      <c r="G96" s="264"/>
      <c r="H96" s="264"/>
      <c r="J96" s="264"/>
      <c r="K96" s="985"/>
      <c r="M96" s="985"/>
      <c r="N96" s="985"/>
    </row>
    <row r="97" spans="1:10" x14ac:dyDescent="0.3">
      <c r="A97" s="275"/>
      <c r="B97" s="275"/>
      <c r="E97" s="263"/>
      <c r="F97" s="264"/>
      <c r="G97" s="264"/>
      <c r="H97" s="264"/>
      <c r="J97" s="264"/>
    </row>
    <row r="98" spans="1:10" x14ac:dyDescent="0.3">
      <c r="A98" s="859"/>
      <c r="B98" s="859"/>
      <c r="E98" s="263"/>
      <c r="F98" s="264"/>
      <c r="G98" s="264"/>
      <c r="H98" s="264"/>
      <c r="J98" s="264"/>
    </row>
    <row r="99" spans="1:10" x14ac:dyDescent="0.3">
      <c r="A99" s="799"/>
      <c r="B99" s="799"/>
      <c r="E99" s="263"/>
      <c r="F99" s="264"/>
      <c r="G99" s="264"/>
      <c r="H99" s="264"/>
      <c r="J99" s="264"/>
    </row>
    <row r="100" spans="1:10" x14ac:dyDescent="0.3">
      <c r="A100" s="275"/>
      <c r="B100" s="275"/>
      <c r="E100" s="263"/>
      <c r="F100" s="264"/>
      <c r="G100" s="264"/>
      <c r="H100" s="264"/>
      <c r="J100" s="264"/>
    </row>
    <row r="101" spans="1:10" x14ac:dyDescent="0.3">
      <c r="A101" s="275"/>
      <c r="B101" s="275"/>
      <c r="E101" s="269"/>
      <c r="F101" s="264"/>
      <c r="G101" s="264"/>
      <c r="H101" s="264"/>
      <c r="J101" s="264"/>
    </row>
    <row r="102" spans="1:10" x14ac:dyDescent="0.3">
      <c r="A102" s="860" t="s">
        <v>8279</v>
      </c>
      <c r="B102" s="860"/>
      <c r="C102" s="1087"/>
      <c r="D102" s="1087"/>
      <c r="E102" s="271"/>
      <c r="F102" s="67">
        <f>F95-_pasywa!F67</f>
        <v>0</v>
      </c>
      <c r="G102" s="67"/>
      <c r="H102" s="67">
        <f>H95-_pasywa!H67</f>
        <v>0</v>
      </c>
      <c r="J102" s="67"/>
    </row>
    <row r="103" spans="1:10" hidden="1" x14ac:dyDescent="0.3">
      <c r="A103" s="275"/>
      <c r="B103" s="275"/>
      <c r="E103" s="269"/>
      <c r="F103" s="264"/>
      <c r="G103" s="264"/>
      <c r="H103" s="264"/>
      <c r="J103" s="264"/>
    </row>
    <row r="104" spans="1:10" hidden="1" x14ac:dyDescent="0.3">
      <c r="A104" s="275"/>
      <c r="B104" s="275"/>
      <c r="E104" s="269"/>
      <c r="F104" s="264"/>
      <c r="G104" s="264"/>
      <c r="H104" s="264"/>
      <c r="J104" s="264"/>
    </row>
    <row r="105" spans="1:10" hidden="1" x14ac:dyDescent="0.3">
      <c r="A105" s="264"/>
      <c r="B105" s="264"/>
      <c r="E105" s="272"/>
      <c r="F105" s="264"/>
      <c r="G105" s="264"/>
      <c r="H105" s="264"/>
      <c r="J105" s="264"/>
    </row>
    <row r="106" spans="1:10" hidden="1" x14ac:dyDescent="0.3">
      <c r="A106" s="275"/>
      <c r="B106" s="275"/>
      <c r="E106" s="269"/>
      <c r="F106" s="264"/>
      <c r="G106" s="264"/>
      <c r="H106" s="264"/>
      <c r="J106" s="264"/>
    </row>
    <row r="107" spans="1:10" ht="35.200000000000003" hidden="1" customHeight="1" x14ac:dyDescent="0.3">
      <c r="A107" s="275"/>
      <c r="B107" s="275"/>
      <c r="E107" s="269"/>
      <c r="F107" s="264"/>
      <c r="G107" s="264"/>
      <c r="H107" s="264"/>
      <c r="J107" s="264"/>
    </row>
    <row r="108" spans="1:10" hidden="1" x14ac:dyDescent="0.3">
      <c r="A108" s="275"/>
      <c r="B108" s="275"/>
      <c r="E108" s="269"/>
      <c r="F108" s="264"/>
      <c r="G108" s="264"/>
      <c r="H108" s="264"/>
      <c r="J108" s="264"/>
    </row>
    <row r="109" spans="1:10" hidden="1" x14ac:dyDescent="0.3">
      <c r="A109" s="264"/>
      <c r="B109" s="264"/>
      <c r="C109" s="1088"/>
      <c r="D109" s="1088"/>
      <c r="E109" s="264"/>
      <c r="F109" s="264"/>
      <c r="G109" s="264"/>
      <c r="H109" s="264"/>
      <c r="J109" s="264"/>
    </row>
    <row r="110" spans="1:10" hidden="1" x14ac:dyDescent="0.3">
      <c r="A110" s="275"/>
      <c r="B110" s="275"/>
      <c r="E110" s="269"/>
      <c r="F110" s="861" t="str">
        <f>IF(F102&lt;&gt;0,"ERR","")</f>
        <v/>
      </c>
      <c r="G110" s="68"/>
      <c r="H110" s="861" t="str">
        <f>IF(H102&lt;&gt;0,"ERR","")</f>
        <v/>
      </c>
      <c r="J110" s="861"/>
    </row>
    <row r="111" spans="1:10" x14ac:dyDescent="0.3"/>
    <row r="112" spans="1:10" x14ac:dyDescent="0.3"/>
    <row r="113" x14ac:dyDescent="0.3"/>
    <row r="114" x14ac:dyDescent="0.3"/>
    <row r="115" x14ac:dyDescent="0.3"/>
    <row r="116" x14ac:dyDescent="0.3"/>
    <row r="117" x14ac:dyDescent="0.3"/>
    <row r="118" x14ac:dyDescent="0.3"/>
    <row r="119" x14ac:dyDescent="0.3"/>
    <row r="120" x14ac:dyDescent="0.3"/>
    <row r="121" x14ac:dyDescent="0.3"/>
    <row r="122" x14ac:dyDescent="0.3"/>
    <row r="123" x14ac:dyDescent="0.3"/>
    <row r="124" x14ac:dyDescent="0.3"/>
    <row r="125" x14ac:dyDescent="0.3"/>
    <row r="126" x14ac:dyDescent="0.3"/>
    <row r="127" x14ac:dyDescent="0.3"/>
    <row r="128" x14ac:dyDescent="0.3"/>
    <row r="129" x14ac:dyDescent="0.3"/>
    <row r="130" x14ac:dyDescent="0.3"/>
    <row r="131" x14ac:dyDescent="0.3"/>
    <row r="132" x14ac:dyDescent="0.3"/>
    <row r="133" x14ac:dyDescent="0.3"/>
  </sheetData>
  <sheetProtection formatCells="0" formatColumns="0" formatRows="0" sort="0" autoFilter="0"/>
  <protectedRanges>
    <protectedRange sqref="C2:H7 C8:E8 G8:H8 G27:H27 G50:H51 F31:H36 G63:H64 G68:H69 C96:H1048576 G95:H95 G30:H30 G75:H76 E36 E14 E28:H29 E60:H62 E63:E64 E68:E69 E95 E30:E31 E65:H67 E75:E76 E27 E37:H49 E50:E51 C64:C71 C20:D27 E15:H15 C14:D15 E20:H26 G14:H14 C28:C31 E57:E59 G57:H59 E52:H56 C36:C62 D28:D71 C16:H19 E70:H74 E77:H94 C72:D95 C13:H13 J13:J95 J8:J12 C9:H12" name="Range1"/>
    <protectedRange sqref="F8" name="Range1_1"/>
    <protectedRange sqref="F14" name="Range1_2"/>
    <protectedRange sqref="F27" name="Range1_3"/>
    <protectedRange sqref="F50" name="Range1_4"/>
    <protectedRange sqref="F51" name="Range1_5"/>
    <protectedRange sqref="F59" name="Range1_6"/>
    <protectedRange sqref="F64" name="Range1_7"/>
    <protectedRange sqref="F69" name="Range1_8"/>
    <protectedRange sqref="F58" name="Range1_9"/>
    <protectedRange sqref="F63" name="Range1_10"/>
    <protectedRange sqref="F68" name="Range1_11"/>
    <protectedRange sqref="F75" name="Range1_12"/>
    <protectedRange sqref="F95" name="Range1_13"/>
    <protectedRange sqref="F30" name="Range1_14"/>
    <protectedRange sqref="F57" name="Range1_15"/>
    <protectedRange sqref="F76" name="Range1_16"/>
  </protectedRanges>
  <autoFilter ref="K2:K95" xr:uid="{00000000-0009-0000-0000-00000D000000}"/>
  <conditionalFormatting sqref="D7:D160">
    <cfRule type="cellIs" dxfId="26" priority="3" stopIfTrue="1" operator="notEqual">
      <formula>""</formula>
    </cfRule>
  </conditionalFormatting>
  <conditionalFormatting sqref="C7:C160">
    <cfRule type="cellIs" dxfId="25" priority="2" stopIfTrue="1" operator="notEqual">
      <formula>""</formula>
    </cfRule>
  </conditionalFormatting>
  <conditionalFormatting sqref="A1:B1048576">
    <cfRule type="expression" dxfId="24" priority="1" stopIfTrue="1">
      <formula>$K1="ukryj"</formula>
    </cfRule>
  </conditionalFormatting>
  <hyperlinks>
    <hyperlink ref="C9" location="Noty!$L$6" display="Noty!$L$6" xr:uid="{00000000-0004-0000-0D00-000000000000}"/>
    <hyperlink ref="C15" location="Noty!$L$77" display="Noty!$L$77" xr:uid="{00000000-0004-0000-0D00-000001000000}"/>
    <hyperlink ref="C21" location="Noty!$L$166" display="Noty!$L$166" xr:uid="{00000000-0004-0000-0D00-000002000000}"/>
    <hyperlink ref="C23" location="Noty!$L$195" display="Noty!$L$195" xr:uid="{00000000-0004-0000-0D00-000003000000}"/>
    <hyperlink ref="C27" location="Noty!$L$232" display="Noty!$L$232" xr:uid="{00000000-0004-0000-0D00-000004000000}"/>
    <hyperlink ref="C48" location="Noty!$L$1149" display="Noty!$L$1149" xr:uid="{00000000-0004-0000-0D00-000005000000}"/>
    <hyperlink ref="C49" location="Noty!$L$390" display="Noty!$L$390" xr:uid="{00000000-0004-0000-0D00-000006000000}"/>
    <hyperlink ref="C51" location="Noty!$L$422" display="Noty!$L$422" xr:uid="{00000000-0004-0000-0D00-000007000000}"/>
    <hyperlink ref="C57" location="Noty!$L$463" display="Noty!$L$463" xr:uid="{00000000-0004-0000-0D00-000008000000}"/>
    <hyperlink ref="C59" location="Noty!$L$465" display="Noty!$L$465" xr:uid="{00000000-0004-0000-0D00-000009000000}"/>
    <hyperlink ref="C63" location="Noty!$L$465" display="Noty!$L$465" xr:uid="{00000000-0004-0000-0D00-00000A000000}"/>
    <hyperlink ref="C68" location="Noty!$L$465" display="Noty!$L$465" xr:uid="{00000000-0004-0000-0D00-00000B000000}"/>
    <hyperlink ref="C93" location="Noty!$L$603" display="Noty!$L$603" xr:uid="{00000000-0004-0000-0D00-00000C000000}"/>
    <hyperlink ref="C94" location="Noty!$L$607" display="Noty!$L$607" xr:uid="{00000000-0004-0000-0D00-00000D000000}"/>
    <hyperlink ref="D9" location="Notes!$L$6" display="Notes!$L$6" xr:uid="{00000000-0004-0000-0D00-00000E000000}"/>
    <hyperlink ref="D15" location="Notes!$L$77" display="Notes!$L$77" xr:uid="{00000000-0004-0000-0D00-00000F000000}"/>
    <hyperlink ref="D21" location="Notes!$L$166" display="Notes!$L$166" xr:uid="{00000000-0004-0000-0D00-000010000000}"/>
    <hyperlink ref="D23" location="Notes!$L$195" display="Notes!$L$195" xr:uid="{00000000-0004-0000-0D00-000011000000}"/>
    <hyperlink ref="D27" location="Notes!$L$232" display="Notes!$L$232" xr:uid="{00000000-0004-0000-0D00-000012000000}"/>
    <hyperlink ref="D48" location="Notes!$L$1149" display="Notes!$L$1149" xr:uid="{00000000-0004-0000-0D00-000013000000}"/>
    <hyperlink ref="D49" location="Notes!$L$390" display="Notes!$L$390" xr:uid="{00000000-0004-0000-0D00-000014000000}"/>
    <hyperlink ref="D51" location="Notes!$L$422" display="Notes!$L$422" xr:uid="{00000000-0004-0000-0D00-000015000000}"/>
    <hyperlink ref="D57" location="Notes!$L$463" display="Notes!$L$463" xr:uid="{00000000-0004-0000-0D00-000016000000}"/>
    <hyperlink ref="D59" location="Notes!$L$465" display="Notes!$L$465" xr:uid="{00000000-0004-0000-0D00-000017000000}"/>
    <hyperlink ref="D63" location="Notes!$L$465" display="Notes!$L$465" xr:uid="{00000000-0004-0000-0D00-000018000000}"/>
    <hyperlink ref="D68" location="Notes!$L$465" display="Notes!$L$465" xr:uid="{00000000-0004-0000-0D00-000019000000}"/>
    <hyperlink ref="D93" location="Notes!$L$603" display="Notes!$L$603" xr:uid="{00000000-0004-0000-0D00-00001A000000}"/>
    <hyperlink ref="D94" location="Notes!$L$607" display="Notes!$L$607" xr:uid="{00000000-0004-0000-0D00-00001B000000}"/>
    <hyperlink ref="C88" location="Noty!$L$553" display="Noty!$L$553" xr:uid="{00000000-0004-0000-0D00-00001C000000}"/>
    <hyperlink ref="D88" location="Notes!$L$553" display="Notes!$L$553" xr:uid="{00000000-0004-0000-0D00-00001D000000}"/>
  </hyperlinks>
  <printOptions horizontalCentered="1"/>
  <pageMargins left="0.70866141732283472" right="0.70866141732283472" top="0.74803149606299213" bottom="0.74803149606299213" header="0.31496062992125984" footer="0.31496062992125984"/>
  <pageSetup paperSize="9" scale="90" firstPageNumber="2" orientation="portrait"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Dodaj pozycję użytkownika">
              <controlPr defaultSize="0" print="0" autoFill="0" autoPict="0" macro="[0]!Wezwij_Dodaj_PU">
                <anchor>
                  <from>
                    <xdr:col>0</xdr:col>
                    <xdr:colOff>41564</xdr:colOff>
                    <xdr:row>0</xdr:row>
                    <xdr:rowOff>41564</xdr:rowOff>
                  </from>
                  <to>
                    <xdr:col>0</xdr:col>
                    <xdr:colOff>1064029</xdr:colOff>
                    <xdr:row>0</xdr:row>
                    <xdr:rowOff>507076</xdr:rowOff>
                  </to>
                </anchor>
              </controlPr>
            </control>
          </mc:Choice>
        </mc:AlternateContent>
        <mc:AlternateContent xmlns:mc="http://schemas.openxmlformats.org/markup-compatibility/2006">
          <mc:Choice Requires="x14">
            <control shapeId="115716" r:id="rId5" name="Usuń pozycję użytkownika">
              <controlPr defaultSize="0" print="0" autoFill="0" autoPict="0" macro="[0]!Wezwij_Usun_PU">
                <anchor>
                  <from>
                    <xdr:col>0</xdr:col>
                    <xdr:colOff>1080655</xdr:colOff>
                    <xdr:row>0</xdr:row>
                    <xdr:rowOff>41564</xdr:rowOff>
                  </from>
                  <to>
                    <xdr:col>0</xdr:col>
                    <xdr:colOff>2094807</xdr:colOff>
                    <xdr:row>0</xdr:row>
                    <xdr:rowOff>507076</xdr:rowOff>
                  </to>
                </anchor>
              </controlPr>
            </control>
          </mc:Choice>
        </mc:AlternateContent>
        <mc:AlternateContent xmlns:mc="http://schemas.openxmlformats.org/markup-compatibility/2006">
          <mc:Choice Requires="x14">
            <control shapeId="115717" r:id="rId6" name="Odkryj wszystkie wiersze">
              <controlPr defaultSize="0" print="0" autoFill="0" autoPict="0" macro="[0]!filtr_Odkryj">
                <anchor moveWithCells="1">
                  <from>
                    <xdr:col>11</xdr:col>
                    <xdr:colOff>282633</xdr:colOff>
                    <xdr:row>0</xdr:row>
                    <xdr:rowOff>41564</xdr:rowOff>
                  </from>
                  <to>
                    <xdr:col>27</xdr:col>
                    <xdr:colOff>257695</xdr:colOff>
                    <xdr:row>0</xdr:row>
                    <xdr:rowOff>507076</xdr:rowOff>
                  </to>
                </anchor>
              </controlPr>
            </control>
          </mc:Choice>
        </mc:AlternateContent>
        <mc:AlternateContent xmlns:mc="http://schemas.openxmlformats.org/markup-compatibility/2006">
          <mc:Choice Requires="x14">
            <control shapeId="115718" r:id="rId7" name="Ukryj wszystkie wiersze">
              <controlPr defaultSize="0" print="0" autoFill="0" autoPict="0" macro="[0]!Formuly.filtr_Ukryj_Arkusz">
                <anchor moveWithCells="1">
                  <from>
                    <xdr:col>9</xdr:col>
                    <xdr:colOff>0</xdr:colOff>
                    <xdr:row>0</xdr:row>
                    <xdr:rowOff>41564</xdr:rowOff>
                  </from>
                  <to>
                    <xdr:col>9</xdr:col>
                    <xdr:colOff>1064029</xdr:colOff>
                    <xdr:row>0</xdr:row>
                    <xdr:rowOff>507076</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A115"/>
  <sheetViews>
    <sheetView view="pageBreakPreview" zoomScale="70" zoomScaleNormal="100" zoomScaleSheetLayoutView="70" workbookViewId="0">
      <pane ySplit="1" topLeftCell="A8" activePane="bottomLeft" state="frozen"/>
      <selection pane="bottomLeft"/>
    </sheetView>
  </sheetViews>
  <sheetFormatPr defaultColWidth="11.44140625" defaultRowHeight="15.75" zeroHeight="1" x14ac:dyDescent="0.3"/>
  <cols>
    <col min="1" max="2" width="49.6640625" style="125" customWidth="1"/>
    <col min="3" max="4" width="5" style="1089" customWidth="1"/>
    <col min="5" max="5" width="2.5546875" style="53" customWidth="1"/>
    <col min="6" max="6" width="17.6640625" style="110" customWidth="1"/>
    <col min="7" max="7" width="2.109375" style="110" customWidth="1"/>
    <col min="8" max="8" width="17.6640625" style="110" customWidth="1"/>
    <col min="9" max="9" width="2.109375" customWidth="1"/>
    <col min="10" max="10" width="18.5546875" style="110" customWidth="1"/>
    <col min="11" max="11" width="11.44140625" style="117" customWidth="1"/>
    <col min="12" max="12" width="17.88671875" style="118" hidden="1" customWidth="1"/>
    <col min="13" max="13" width="11.44140625" style="55" hidden="1" customWidth="1"/>
    <col min="14" max="14" width="111.44140625" style="55" hidden="1" customWidth="1"/>
    <col min="15" max="23" width="11.44140625" style="55" hidden="1" customWidth="1"/>
    <col min="24" max="26" width="0" style="55" hidden="1" customWidth="1"/>
    <col min="27" max="16384" width="11.44140625" style="55"/>
  </cols>
  <sheetData>
    <row r="1" spans="1:27" ht="43.55" customHeight="1" x14ac:dyDescent="0.3"/>
    <row r="2" spans="1:27" x14ac:dyDescent="0.3">
      <c r="A2" s="843" t="str">
        <f>UPPER(Input!C2)</f>
        <v>TESTOWA 185 SP. Z O.O.</v>
      </c>
      <c r="B2" s="843" t="str">
        <f>UPPER(Input!C2)</f>
        <v>TESTOWA 185 SP. Z O.O.</v>
      </c>
      <c r="C2" s="1086"/>
      <c r="D2" s="1086"/>
      <c r="E2" s="269"/>
      <c r="F2" s="111"/>
      <c r="G2" s="111"/>
      <c r="H2" s="111"/>
      <c r="K2" s="986" t="s">
        <v>5070</v>
      </c>
      <c r="L2" s="1028"/>
      <c r="M2" s="1029"/>
      <c r="N2" s="1029"/>
    </row>
    <row r="3" spans="1:27" x14ac:dyDescent="0.3">
      <c r="A3" s="843" t="s">
        <v>3469</v>
      </c>
      <c r="B3" s="843" t="s">
        <v>7940</v>
      </c>
      <c r="C3" s="1086"/>
      <c r="D3" s="1086"/>
      <c r="E3" s="269"/>
      <c r="F3" s="111"/>
      <c r="G3" s="111"/>
      <c r="H3" s="111"/>
      <c r="K3" s="986" t="s">
        <v>5070</v>
      </c>
      <c r="L3" s="1028"/>
      <c r="M3" s="1029"/>
      <c r="N3" s="1029"/>
    </row>
    <row r="4" spans="1:27" x14ac:dyDescent="0.3">
      <c r="A4" s="799" t="str">
        <f>_aktywa!A4</f>
        <v>(wszystkie dane liczbowe przedstawiono w złotych polskich)</v>
      </c>
      <c r="B4" s="799" t="str">
        <f>_aktywa!B4</f>
        <v>(All amounts are stated in PLN)</v>
      </c>
      <c r="C4" s="1086"/>
      <c r="D4" s="1086"/>
      <c r="E4" s="269"/>
      <c r="F4" s="111"/>
      <c r="G4" s="111"/>
      <c r="H4" s="111"/>
      <c r="K4" s="986" t="s">
        <v>5070</v>
      </c>
      <c r="L4" s="1028"/>
      <c r="M4" s="1029"/>
      <c r="N4" s="1029"/>
    </row>
    <row r="5" spans="1:27" ht="15.75" customHeight="1" x14ac:dyDescent="0.3">
      <c r="A5" s="843"/>
      <c r="B5" s="843"/>
      <c r="C5" s="1086"/>
      <c r="D5" s="1086"/>
      <c r="E5" s="269"/>
      <c r="F5" s="111"/>
      <c r="G5" s="111"/>
      <c r="H5" s="111"/>
      <c r="K5" s="986" t="s">
        <v>5070</v>
      </c>
      <c r="L5" s="1028"/>
      <c r="M5" s="1029"/>
      <c r="N5" s="1029"/>
    </row>
    <row r="6" spans="1:27" s="125" customFormat="1" ht="15.05" customHeight="1" x14ac:dyDescent="0.3">
      <c r="A6" s="843" t="s">
        <v>8280</v>
      </c>
      <c r="B6" s="843" t="s">
        <v>8281</v>
      </c>
      <c r="C6" s="1084" t="s">
        <v>7943</v>
      </c>
      <c r="D6" s="1084" t="s">
        <v>7944</v>
      </c>
      <c r="E6" s="843"/>
      <c r="F6" s="845" t="str">
        <f>+Input!P7</f>
        <v>31.12.2020</v>
      </c>
      <c r="G6" s="61"/>
      <c r="H6" s="845" t="str">
        <f>+Input!P11</f>
        <v>31.12.2019</v>
      </c>
      <c r="I6"/>
      <c r="J6" s="845" t="str">
        <f>Input!P11&amp;" 
Dane przekształcone"</f>
        <v>31.12.2019 
Dane przekształcone</v>
      </c>
      <c r="K6" s="986" t="s">
        <v>5070</v>
      </c>
      <c r="L6" s="1030"/>
      <c r="M6" s="1031"/>
      <c r="N6" s="1031"/>
    </row>
    <row r="7" spans="1:27" ht="15.75" customHeight="1" x14ac:dyDescent="0.3">
      <c r="A7" s="94"/>
      <c r="B7" s="94"/>
      <c r="D7" s="1081"/>
      <c r="E7" s="58"/>
      <c r="F7" s="111"/>
      <c r="G7" s="111"/>
      <c r="H7" s="111"/>
      <c r="J7" s="111"/>
      <c r="K7" s="986" t="s">
        <v>5070</v>
      </c>
      <c r="L7" s="1030"/>
      <c r="M7" s="1029"/>
      <c r="N7" s="1029"/>
    </row>
    <row r="8" spans="1:27" s="125" customFormat="1" ht="15.75" customHeight="1" x14ac:dyDescent="0.3">
      <c r="A8" s="862" t="s">
        <v>8282</v>
      </c>
      <c r="B8" s="862" t="s">
        <v>8283</v>
      </c>
      <c r="C8" s="1076"/>
      <c r="D8" s="1075"/>
      <c r="E8" s="863"/>
      <c r="F8" s="763">
        <f>ROUND(_pasywa!F9,2)+ROUND(_pasywa!F10,2)+ROUND(_pasywa!F12,2)+ROUND(_pasywa!F14,2)+ROUND(_pasywa!F17,2)+ROUND(_pasywa!F18,2)+ROUND(_pasywa!F19,2)</f>
        <v>0</v>
      </c>
      <c r="G8" s="112"/>
      <c r="H8" s="763">
        <f>ROUND(_pasywa!H9,2)+ROUND(_pasywa!H10,2)+ROUND(_pasywa!H12,2)+ROUND(_pasywa!H14,2)+ROUND(_pasywa!H17,2)+ROUND(_pasywa!H18,2)+ROUND(_pasywa!H19,2)</f>
        <v>0</v>
      </c>
      <c r="I8"/>
      <c r="J8" s="763">
        <f>ROUND(_pasywa!J9,2)+ROUND(_pasywa!J10,2)+ROUND(_pasywa!J12,2)+ROUND(_pasywa!J14,2)+ROUND(_pasywa!J17,2)+ROUND(_pasywa!J18,2)+ROUND(_pasywa!J19,2)</f>
        <v>0</v>
      </c>
      <c r="K8" s="986" t="str">
        <f>IF(AND(_pasywa!F8=0,AND(_pasywa!H8=0,_pasywa!J8=0)),"ukryj","odkryj")</f>
        <v>ukryj</v>
      </c>
      <c r="L8" s="1032"/>
      <c r="M8" s="1031"/>
      <c r="N8" s="1031"/>
      <c r="U8" s="125" t="s">
        <v>8284</v>
      </c>
      <c r="W8" s="125" t="s">
        <v>8285</v>
      </c>
    </row>
    <row r="9" spans="1:27" ht="15.75" customHeight="1" x14ac:dyDescent="0.3">
      <c r="A9" s="864" t="s">
        <v>8286</v>
      </c>
      <c r="B9" s="864" t="s">
        <v>8287</v>
      </c>
      <c r="C9" s="1077" t="str">
        <f>IF(Noty!K564="n/a","",Noty!L564)</f>
        <v/>
      </c>
      <c r="D9" s="1078" t="str">
        <f>IF(C9="","",C9)</f>
        <v/>
      </c>
      <c r="E9" s="58"/>
      <c r="F9" s="7">
        <f>Noty!G578</f>
        <v>0</v>
      </c>
      <c r="G9" s="64"/>
      <c r="H9" s="5"/>
      <c r="J9" s="5"/>
      <c r="K9" s="986" t="str">
        <f>IF(AND(_pasywa!F9=0,AND(_pasywa!H9=0,_pasywa!J9=0)),"ukryj","odkryj")</f>
        <v>ukryj</v>
      </c>
      <c r="L9" s="1030"/>
      <c r="M9" s="1029"/>
      <c r="N9" s="1029"/>
      <c r="U9" s="55" t="s">
        <v>8288</v>
      </c>
      <c r="W9" s="55" t="s">
        <v>8289</v>
      </c>
      <c r="AA9" s="1163" t="s">
        <v>8290</v>
      </c>
    </row>
    <row r="10" spans="1:27" ht="15.75" customHeight="1" x14ac:dyDescent="0.3">
      <c r="A10" s="865" t="s">
        <v>8291</v>
      </c>
      <c r="B10" s="865" t="s">
        <v>8292</v>
      </c>
      <c r="C10" s="1079"/>
      <c r="D10" s="1080" t="str">
        <f t="shared" ref="D10:D67" si="0">IF(C10="","",C10)</f>
        <v/>
      </c>
      <c r="E10" s="58"/>
      <c r="F10" s="2">
        <f>ROUND(_pasywa!F11,2)</f>
        <v>0</v>
      </c>
      <c r="G10" s="64"/>
      <c r="H10" s="2">
        <f>ROUND(_pasywa!H11,2)</f>
        <v>0</v>
      </c>
      <c r="J10" s="2">
        <f>ROUND(_pasywa!J11,2)</f>
        <v>0</v>
      </c>
      <c r="K10" s="986" t="str">
        <f>IF(AND(_pasywa!F10=0,AND(_pasywa!H10=0,_pasywa!J10=0)),"ukryj","odkryj")</f>
        <v>ukryj</v>
      </c>
      <c r="L10" s="1030"/>
      <c r="M10" s="1029"/>
      <c r="N10" s="1029"/>
      <c r="U10" s="55" t="s">
        <v>8293</v>
      </c>
      <c r="W10" s="55" t="s">
        <v>8294</v>
      </c>
      <c r="AA10" s="1163"/>
    </row>
    <row r="11" spans="1:27" ht="27.85" customHeight="1" x14ac:dyDescent="0.3">
      <c r="A11" s="866" t="s">
        <v>8295</v>
      </c>
      <c r="B11" s="867" t="s">
        <v>8296</v>
      </c>
      <c r="C11" s="1079"/>
      <c r="D11" s="1080" t="str">
        <f t="shared" si="0"/>
        <v/>
      </c>
      <c r="E11" s="58"/>
      <c r="F11" s="5"/>
      <c r="G11" s="64"/>
      <c r="H11" s="5"/>
      <c r="J11" s="5"/>
      <c r="K11" s="986" t="str">
        <f>IF(AND(_pasywa!F11=0,AND(_pasywa!H11=0,_pasywa!J11=0)),"ukryj","odkryj")</f>
        <v>ukryj</v>
      </c>
      <c r="L11" s="1030"/>
      <c r="M11" s="1029"/>
      <c r="N11" s="1029"/>
      <c r="U11" s="55" t="s">
        <v>8297</v>
      </c>
      <c r="W11" s="55" t="s">
        <v>8298</v>
      </c>
      <c r="AA11" s="1163" t="s">
        <v>8299</v>
      </c>
    </row>
    <row r="12" spans="1:27" x14ac:dyDescent="0.3">
      <c r="A12" s="865" t="s">
        <v>8300</v>
      </c>
      <c r="B12" s="865" t="s">
        <v>8301</v>
      </c>
      <c r="C12" s="1079"/>
      <c r="D12" s="1080" t="str">
        <f t="shared" si="0"/>
        <v/>
      </c>
      <c r="E12" s="58"/>
      <c r="F12" s="2">
        <f>ROUND(_pasywa!F13,2)</f>
        <v>0</v>
      </c>
      <c r="G12" s="64"/>
      <c r="H12" s="2">
        <f>ROUND(_pasywa!H13,2)</f>
        <v>0</v>
      </c>
      <c r="J12" s="2">
        <f>ROUND(_pasywa!J13,2)</f>
        <v>0</v>
      </c>
      <c r="K12" s="986" t="str">
        <f>IF(AND(_pasywa!F12=0,AND(_pasywa!H12=0,_pasywa!J12=0)),"ukryj","odkryj")</f>
        <v>ukryj</v>
      </c>
      <c r="L12" s="1030"/>
      <c r="M12" s="1029"/>
      <c r="N12" s="1029"/>
      <c r="U12" s="55" t="s">
        <v>8302</v>
      </c>
      <c r="W12" s="55" t="s">
        <v>8303</v>
      </c>
      <c r="AA12" s="1163"/>
    </row>
    <row r="13" spans="1:27" ht="15.75" customHeight="1" x14ac:dyDescent="0.3">
      <c r="A13" s="868" t="s">
        <v>8304</v>
      </c>
      <c r="B13" s="869" t="s">
        <v>8305</v>
      </c>
      <c r="C13" s="1079"/>
      <c r="D13" s="1080" t="str">
        <f t="shared" si="0"/>
        <v/>
      </c>
      <c r="E13" s="58"/>
      <c r="F13" s="5"/>
      <c r="G13" s="64"/>
      <c r="H13" s="5"/>
      <c r="J13" s="5"/>
      <c r="K13" s="986" t="str">
        <f>IF(AND(_pasywa!F13=0,AND(_pasywa!H13=0,_pasywa!J13=0)),"ukryj","odkryj")</f>
        <v>ukryj</v>
      </c>
      <c r="L13" s="1030"/>
      <c r="M13" s="1029"/>
      <c r="N13" s="1029"/>
      <c r="U13" s="55" t="s">
        <v>8306</v>
      </c>
      <c r="W13" s="55" t="s">
        <v>8307</v>
      </c>
      <c r="AA13" s="1163" t="s">
        <v>8308</v>
      </c>
    </row>
    <row r="14" spans="1:27" ht="15.75" customHeight="1" x14ac:dyDescent="0.3">
      <c r="A14" s="865" t="s">
        <v>8309</v>
      </c>
      <c r="B14" s="865" t="s">
        <v>8310</v>
      </c>
      <c r="C14" s="1079"/>
      <c r="D14" s="1080" t="str">
        <f t="shared" si="0"/>
        <v/>
      </c>
      <c r="E14" s="58"/>
      <c r="F14" s="2">
        <f>ROUND(_pasywa!F15,2)+ROUND(_pasywa!F16,2)</f>
        <v>0</v>
      </c>
      <c r="G14" s="64"/>
      <c r="H14" s="2">
        <f>ROUND(_pasywa!H15,2)+ROUND(_pasywa!H16,2)</f>
        <v>0</v>
      </c>
      <c r="J14" s="2">
        <f>ROUND(_pasywa!J15,2)+ROUND(_pasywa!J16,2)</f>
        <v>0</v>
      </c>
      <c r="K14" s="986" t="str">
        <f>IF(AND(_pasywa!F14=0,AND(_pasywa!H14=0,_pasywa!J14=0)),"ukryj","odkryj")</f>
        <v>ukryj</v>
      </c>
      <c r="L14" s="1030"/>
      <c r="M14" s="1029"/>
      <c r="N14" s="1029"/>
      <c r="U14" s="55" t="s">
        <v>8311</v>
      </c>
      <c r="W14" s="55" t="s">
        <v>8312</v>
      </c>
      <c r="AA14" s="1163"/>
    </row>
    <row r="15" spans="1:27" ht="15.75" customHeight="1" x14ac:dyDescent="0.3">
      <c r="A15" s="868" t="s">
        <v>8313</v>
      </c>
      <c r="B15" s="869" t="s">
        <v>8314</v>
      </c>
      <c r="C15" s="1079"/>
      <c r="D15" s="1080" t="str">
        <f t="shared" si="0"/>
        <v/>
      </c>
      <c r="E15" s="58"/>
      <c r="F15" s="5"/>
      <c r="G15" s="64"/>
      <c r="H15" s="5"/>
      <c r="J15" s="5"/>
      <c r="K15" s="986" t="str">
        <f>IF(AND(_pasywa!F15=0,AND(_pasywa!H15=0,_pasywa!J15=0)),"ukryj","odkryj")</f>
        <v>ukryj</v>
      </c>
      <c r="L15" s="1030"/>
      <c r="M15" s="1029"/>
      <c r="N15" s="1029"/>
      <c r="U15" s="55" t="s">
        <v>8315</v>
      </c>
      <c r="W15" s="55" t="s">
        <v>8316</v>
      </c>
      <c r="AA15" s="1163" t="s">
        <v>8317</v>
      </c>
    </row>
    <row r="16" spans="1:27" ht="15.75" customHeight="1" x14ac:dyDescent="0.3">
      <c r="A16" s="868" t="s">
        <v>8318</v>
      </c>
      <c r="B16" s="869" t="s">
        <v>8319</v>
      </c>
      <c r="C16" s="1079"/>
      <c r="D16" s="1080" t="str">
        <f t="shared" si="0"/>
        <v/>
      </c>
      <c r="E16" s="58"/>
      <c r="F16" s="5"/>
      <c r="G16" s="64"/>
      <c r="H16" s="5"/>
      <c r="J16" s="5"/>
      <c r="K16" s="986" t="str">
        <f>IF(AND(_pasywa!F16=0,AND(_pasywa!H16=0,_pasywa!J16=0)),"ukryj","odkryj")</f>
        <v>ukryj</v>
      </c>
      <c r="L16" s="1030"/>
      <c r="M16" s="1029"/>
      <c r="N16" s="1029"/>
      <c r="U16" s="55" t="s">
        <v>8320</v>
      </c>
      <c r="W16" s="55" t="s">
        <v>8321</v>
      </c>
      <c r="AA16" s="1163"/>
    </row>
    <row r="17" spans="1:27" ht="15.75" customHeight="1" x14ac:dyDescent="0.3">
      <c r="A17" s="864" t="s">
        <v>8322</v>
      </c>
      <c r="B17" s="864" t="s">
        <v>8323</v>
      </c>
      <c r="C17" s="1079"/>
      <c r="D17" s="1080" t="str">
        <f t="shared" si="0"/>
        <v/>
      </c>
      <c r="E17" s="58"/>
      <c r="F17" s="5"/>
      <c r="G17" s="64"/>
      <c r="H17" s="5"/>
      <c r="J17" s="5"/>
      <c r="K17" s="986" t="str">
        <f>IF(AND(_pasywa!F17=0,AND(_pasywa!H17=0,_pasywa!J17=0)),"ukryj","odkryj")</f>
        <v>ukryj</v>
      </c>
      <c r="L17" s="1030"/>
      <c r="M17" s="1029"/>
      <c r="N17" s="1029"/>
      <c r="U17" s="55" t="s">
        <v>8324</v>
      </c>
      <c r="W17" s="55" t="s">
        <v>8325</v>
      </c>
      <c r="AA17" s="1163" t="s">
        <v>8326</v>
      </c>
    </row>
    <row r="18" spans="1:27" ht="15.75" customHeight="1" x14ac:dyDescent="0.3">
      <c r="A18" s="864" t="s">
        <v>8327</v>
      </c>
      <c r="B18" s="864" t="s">
        <v>8328</v>
      </c>
      <c r="C18" s="1079"/>
      <c r="D18" s="1080" t="str">
        <f t="shared" si="0"/>
        <v/>
      </c>
      <c r="E18" s="58"/>
      <c r="F18" s="781"/>
      <c r="G18" s="64"/>
      <c r="H18" s="781"/>
      <c r="J18" s="781"/>
      <c r="K18" s="986" t="str">
        <f>IF(AND(_pasywa!F18=0,AND(_pasywa!H18=0,_pasywa!J18=0)),"ukryj","odkryj")</f>
        <v>ukryj</v>
      </c>
      <c r="L18" s="1030"/>
      <c r="M18" s="1029"/>
      <c r="N18" s="1029"/>
      <c r="U18" s="55" t="s">
        <v>8329</v>
      </c>
      <c r="W18" s="55" t="s">
        <v>8330</v>
      </c>
      <c r="AA18" s="1163" t="s">
        <v>8331</v>
      </c>
    </row>
    <row r="19" spans="1:27" ht="26.2" x14ac:dyDescent="0.3">
      <c r="A19" s="870" t="s">
        <v>8332</v>
      </c>
      <c r="B19" s="870" t="s">
        <v>8333</v>
      </c>
      <c r="C19" s="1079"/>
      <c r="D19" s="1080" t="str">
        <f t="shared" si="0"/>
        <v/>
      </c>
      <c r="E19" s="58"/>
      <c r="F19" s="5"/>
      <c r="G19" s="64"/>
      <c r="H19" s="5"/>
      <c r="J19" s="5"/>
      <c r="K19" s="986" t="str">
        <f>IF(AND(_pasywa!F19=0,AND(_pasywa!H19=0,_pasywa!J19=0)),"ukryj","odkryj")</f>
        <v>ukryj</v>
      </c>
      <c r="L19" s="1030"/>
      <c r="M19" s="1029"/>
      <c r="N19" s="1029"/>
      <c r="U19" s="55" t="s">
        <v>8334</v>
      </c>
      <c r="W19" s="55" t="s">
        <v>8335</v>
      </c>
      <c r="AA19" s="1163"/>
    </row>
    <row r="20" spans="1:27" s="125" customFormat="1" ht="25.55" customHeight="1" x14ac:dyDescent="0.3">
      <c r="A20" s="862" t="s">
        <v>8336</v>
      </c>
      <c r="B20" s="862" t="s">
        <v>8337</v>
      </c>
      <c r="C20" s="1079"/>
      <c r="D20" s="1080" t="str">
        <f t="shared" si="0"/>
        <v/>
      </c>
      <c r="E20" s="863"/>
      <c r="F20" s="766">
        <f>ROUND(_pasywa!F21,2)+ROUND(_pasywa!F29,2)+ROUND(_pasywa!F38,2)+ROUND(_pasywa!F62,2)</f>
        <v>0</v>
      </c>
      <c r="G20" s="112"/>
      <c r="H20" s="766">
        <f>ROUND(_pasywa!H21,2)+ROUND(_pasywa!H29,2)+ROUND(_pasywa!H38,2)+ROUND(_pasywa!H62,2)</f>
        <v>0</v>
      </c>
      <c r="I20"/>
      <c r="J20" s="766">
        <f>ROUND(_pasywa!J21,2)+ROUND(_pasywa!J29,2)+ROUND(_pasywa!J38,2)+ROUND(_pasywa!J62,2)</f>
        <v>0</v>
      </c>
      <c r="K20" s="986" t="str">
        <f>IF(AND(_pasywa!F20=0,AND(_pasywa!H20=0,_pasywa!J20=0)),"ukryj","odkryj")</f>
        <v>ukryj</v>
      </c>
      <c r="L20" s="1032"/>
      <c r="M20" s="1031"/>
      <c r="N20" s="1031"/>
      <c r="U20" s="125" t="s">
        <v>8338</v>
      </c>
      <c r="W20" s="125" t="s">
        <v>8339</v>
      </c>
      <c r="AA20" s="1164"/>
    </row>
    <row r="21" spans="1:27" ht="15.75" customHeight="1" x14ac:dyDescent="0.3">
      <c r="A21" s="871" t="s">
        <v>7633</v>
      </c>
      <c r="B21" s="871" t="s">
        <v>8340</v>
      </c>
      <c r="C21" s="1079"/>
      <c r="D21" s="1080" t="str">
        <f t="shared" si="0"/>
        <v/>
      </c>
      <c r="E21" s="58"/>
      <c r="F21" s="4">
        <f>ROUND(_pasywa!F22,2)+ROUND(_pasywa!F23,2)+ROUND(_pasywa!F26,2)</f>
        <v>0</v>
      </c>
      <c r="G21" s="63"/>
      <c r="H21" s="4">
        <f>ROUND(_pasywa!H22,2)+ROUND(_pasywa!H23,2)+ROUND(_pasywa!H26,2)</f>
        <v>0</v>
      </c>
      <c r="J21" s="4">
        <f>ROUND(_pasywa!J22,2)+ROUND(_pasywa!J23,2)+ROUND(_pasywa!J26,2)</f>
        <v>0</v>
      </c>
      <c r="K21" s="986" t="str">
        <f>IF(AND(_pasywa!F21=0,AND(_pasywa!H21=0,_pasywa!J21=0)),"ukryj","odkryj")</f>
        <v>ukryj</v>
      </c>
      <c r="L21" s="1030"/>
      <c r="M21" s="1029"/>
      <c r="N21" s="1029"/>
      <c r="U21" s="55" t="s">
        <v>8341</v>
      </c>
      <c r="W21" s="55" t="s">
        <v>8342</v>
      </c>
      <c r="AA21" s="1163"/>
    </row>
    <row r="22" spans="1:27" ht="15.75" customHeight="1" x14ac:dyDescent="0.3">
      <c r="A22" s="852" t="s">
        <v>8343</v>
      </c>
      <c r="B22" s="852" t="s">
        <v>8344</v>
      </c>
      <c r="C22" s="1077" t="str">
        <f>IF(Noty!K1183="n/a","",Noty!L1183)</f>
        <v/>
      </c>
      <c r="D22" s="1078" t="str">
        <f t="shared" si="0"/>
        <v/>
      </c>
      <c r="E22" s="58"/>
      <c r="F22" s="2">
        <f>Noty!H1250</f>
        <v>0</v>
      </c>
      <c r="G22" s="64"/>
      <c r="H22" s="2">
        <f>Noty!I1250</f>
        <v>0</v>
      </c>
      <c r="J22" s="5"/>
      <c r="K22" s="986" t="str">
        <f>IF(AND(_pasywa!F22=0,AND(_pasywa!H22=0,_pasywa!J22=0)),"ukryj","odkryj")</f>
        <v>ukryj</v>
      </c>
      <c r="L22" s="1030"/>
      <c r="M22" s="1029"/>
      <c r="N22" s="1029"/>
      <c r="U22" s="55" t="s">
        <v>8345</v>
      </c>
      <c r="W22" s="55" t="s">
        <v>8346</v>
      </c>
      <c r="AA22" s="1163" t="s">
        <v>8347</v>
      </c>
    </row>
    <row r="23" spans="1:27" ht="15.75" customHeight="1" x14ac:dyDescent="0.3">
      <c r="A23" s="852" t="s">
        <v>8348</v>
      </c>
      <c r="B23" s="852" t="s">
        <v>8349</v>
      </c>
      <c r="C23" s="1077" t="str">
        <f>IF(Noty!K619="n/a","",Noty!L619)</f>
        <v/>
      </c>
      <c r="D23" s="1078" t="str">
        <f t="shared" si="0"/>
        <v/>
      </c>
      <c r="E23" s="58"/>
      <c r="F23" s="2">
        <f>ROUND(_pasywa!F24,2)+ROUND(_pasywa!F25,2)</f>
        <v>0</v>
      </c>
      <c r="G23" s="65"/>
      <c r="H23" s="2">
        <f>ROUND(_pasywa!H24,2)+ROUND(_pasywa!H25,2)</f>
        <v>0</v>
      </c>
      <c r="J23" s="2">
        <f>ROUND(_pasywa!J24,2)+ROUND(_pasywa!J25,2)</f>
        <v>0</v>
      </c>
      <c r="K23" s="986" t="str">
        <f>IF(AND(_pasywa!F23=0,AND(_pasywa!H23=0,_pasywa!J23=0)),"ukryj","odkryj")</f>
        <v>ukryj</v>
      </c>
      <c r="L23" s="1030"/>
      <c r="M23" s="1029"/>
      <c r="N23" s="1029"/>
      <c r="U23" s="55" t="s">
        <v>8350</v>
      </c>
      <c r="W23" s="55" t="s">
        <v>8351</v>
      </c>
      <c r="AA23" s="1163"/>
    </row>
    <row r="24" spans="1:27" ht="15.75" customHeight="1" x14ac:dyDescent="0.3">
      <c r="A24" s="872" t="s">
        <v>8352</v>
      </c>
      <c r="B24" s="850" t="s">
        <v>8353</v>
      </c>
      <c r="C24" s="1079"/>
      <c r="D24" s="1080" t="str">
        <f t="shared" si="0"/>
        <v/>
      </c>
      <c r="E24" s="58"/>
      <c r="F24" s="2">
        <f>Noty!G627</f>
        <v>0</v>
      </c>
      <c r="G24" s="64"/>
      <c r="H24" s="2">
        <f>Noty!G623</f>
        <v>0</v>
      </c>
      <c r="J24" s="5"/>
      <c r="K24" s="986" t="str">
        <f>IF(AND(_pasywa!F24=0,AND(_pasywa!H24=0,_pasywa!J24=0)),"ukryj","odkryj")</f>
        <v>ukryj</v>
      </c>
      <c r="L24" s="1030"/>
      <c r="M24" s="1029"/>
      <c r="N24" s="1029"/>
      <c r="U24" s="55" t="s">
        <v>8354</v>
      </c>
      <c r="W24" s="55" t="s">
        <v>8355</v>
      </c>
      <c r="AA24" s="1163"/>
    </row>
    <row r="25" spans="1:27" ht="15.75" customHeight="1" x14ac:dyDescent="0.3">
      <c r="A25" s="873" t="s">
        <v>8356</v>
      </c>
      <c r="B25" s="874" t="s">
        <v>8357</v>
      </c>
      <c r="C25" s="1079"/>
      <c r="D25" s="1080" t="str">
        <f t="shared" si="0"/>
        <v/>
      </c>
      <c r="E25" s="58"/>
      <c r="F25" s="2">
        <f>Noty!H627</f>
        <v>0</v>
      </c>
      <c r="G25" s="64"/>
      <c r="H25" s="2">
        <f>Noty!H623</f>
        <v>0</v>
      </c>
      <c r="J25" s="5"/>
      <c r="K25" s="986" t="str">
        <f>IF(AND(_pasywa!F25=0,AND(_pasywa!H25=0,_pasywa!J25=0)),"ukryj","odkryj")</f>
        <v>ukryj</v>
      </c>
      <c r="L25" s="1030"/>
      <c r="M25" s="1029"/>
      <c r="N25" s="1029"/>
      <c r="U25" s="55" t="s">
        <v>8358</v>
      </c>
      <c r="W25" s="55" t="s">
        <v>8359</v>
      </c>
      <c r="AA25" s="1163"/>
    </row>
    <row r="26" spans="1:27" ht="15.75" customHeight="1" x14ac:dyDescent="0.3">
      <c r="A26" s="852" t="s">
        <v>8360</v>
      </c>
      <c r="B26" s="852" t="s">
        <v>8361</v>
      </c>
      <c r="C26" s="1079"/>
      <c r="D26" s="1080" t="str">
        <f t="shared" si="0"/>
        <v/>
      </c>
      <c r="E26" s="58"/>
      <c r="F26" s="2">
        <f>ROUND(_pasywa!F27,2)+ROUND(_pasywa!F28,2)</f>
        <v>0</v>
      </c>
      <c r="G26" s="63"/>
      <c r="H26" s="2">
        <f>ROUND(_pasywa!H27,2)+ROUND(_pasywa!H28,2)</f>
        <v>0</v>
      </c>
      <c r="J26" s="2">
        <f>ROUND(_pasywa!J27,2)+ROUND(_pasywa!J28,2)</f>
        <v>0</v>
      </c>
      <c r="K26" s="986" t="str">
        <f>IF(AND(_pasywa!F26=0,AND(_pasywa!H26=0,_pasywa!J26=0)),"ukryj","odkryj")</f>
        <v>ukryj</v>
      </c>
      <c r="L26" s="1030"/>
      <c r="M26" s="1029"/>
      <c r="N26" s="1029"/>
      <c r="U26" s="55" t="s">
        <v>8362</v>
      </c>
      <c r="W26" s="55" t="s">
        <v>8363</v>
      </c>
      <c r="AA26" s="1163"/>
    </row>
    <row r="27" spans="1:27" ht="15.75" customHeight="1" x14ac:dyDescent="0.3">
      <c r="A27" s="872" t="s">
        <v>8364</v>
      </c>
      <c r="B27" s="850" t="str">
        <f>B24</f>
        <v>- long-term</v>
      </c>
      <c r="C27" s="1077" t="str">
        <f>IF(Noty!K629="n/a","",Noty!L629)</f>
        <v/>
      </c>
      <c r="D27" s="1078" t="str">
        <f t="shared" si="0"/>
        <v/>
      </c>
      <c r="E27" s="58"/>
      <c r="F27" s="2">
        <f>Noty!I637</f>
        <v>0</v>
      </c>
      <c r="G27" s="64"/>
      <c r="H27" s="2">
        <f>Noty!I633</f>
        <v>0</v>
      </c>
      <c r="J27" s="5"/>
      <c r="K27" s="986" t="str">
        <f>IF(AND(_pasywa!F27=0,AND(_pasywa!H27=0,_pasywa!J27=0)),"ukryj","odkryj")</f>
        <v>ukryj</v>
      </c>
      <c r="L27" s="1030"/>
      <c r="M27" s="1029"/>
      <c r="N27" s="1029"/>
      <c r="U27" s="55" t="s">
        <v>8365</v>
      </c>
      <c r="W27" s="55" t="s">
        <v>8366</v>
      </c>
      <c r="AA27" s="1163" t="s">
        <v>8367</v>
      </c>
    </row>
    <row r="28" spans="1:27" ht="15.75" customHeight="1" x14ac:dyDescent="0.3">
      <c r="A28" s="873" t="s">
        <v>8368</v>
      </c>
      <c r="B28" s="874" t="str">
        <f>B25</f>
        <v>- short-term</v>
      </c>
      <c r="C28" s="1077" t="str">
        <f>IF(Noty!K639="n/a","",Noty!L639)</f>
        <v/>
      </c>
      <c r="D28" s="1078" t="str">
        <f t="shared" si="0"/>
        <v/>
      </c>
      <c r="E28" s="58"/>
      <c r="F28" s="2">
        <f>Noty!I647</f>
        <v>0</v>
      </c>
      <c r="G28" s="63"/>
      <c r="H28" s="2">
        <f>Noty!I643</f>
        <v>0</v>
      </c>
      <c r="J28" s="5"/>
      <c r="K28" s="986" t="str">
        <f>IF(AND(_pasywa!F28=0,AND(_pasywa!H28=0,_pasywa!J28=0)),"ukryj","odkryj")</f>
        <v>ukryj</v>
      </c>
      <c r="L28" s="1030"/>
      <c r="M28" s="1029"/>
      <c r="N28" s="1029"/>
      <c r="U28" s="55" t="s">
        <v>8369</v>
      </c>
      <c r="W28" s="55" t="s">
        <v>8370</v>
      </c>
      <c r="AA28" s="1163" t="s">
        <v>8371</v>
      </c>
    </row>
    <row r="29" spans="1:27" ht="15.75" customHeight="1" x14ac:dyDescent="0.3">
      <c r="A29" s="871" t="s">
        <v>8372</v>
      </c>
      <c r="B29" s="871" t="s">
        <v>8373</v>
      </c>
      <c r="C29" s="1077" t="str">
        <f>IF(Noty!K655="n/a","",Noty!L655)</f>
        <v/>
      </c>
      <c r="D29" s="1078" t="str">
        <f t="shared" si="0"/>
        <v/>
      </c>
      <c r="E29" s="58"/>
      <c r="F29" s="4">
        <f>ROUND(_pasywa!F30,2)+ROUND(_pasywa!F31,2)+ROUND(_pasywa!F32,2)</f>
        <v>0</v>
      </c>
      <c r="G29" s="63"/>
      <c r="H29" s="4">
        <f>ROUND(_pasywa!H30,2)+ROUND(_pasywa!H31,2)+ROUND(_pasywa!H32,2)</f>
        <v>0</v>
      </c>
      <c r="J29" s="4">
        <f>ROUND(_pasywa!J30,2)+ROUND(_pasywa!J31,2)+ROUND(_pasywa!J32,2)</f>
        <v>0</v>
      </c>
      <c r="K29" s="986" t="str">
        <f>IF(AND(_pasywa!F29=0,AND(_pasywa!H29=0,_pasywa!J29=0)),"ukryj","odkryj")</f>
        <v>ukryj</v>
      </c>
      <c r="L29" s="1030"/>
      <c r="M29" s="1029"/>
      <c r="N29" s="1029"/>
      <c r="U29" s="55" t="s">
        <v>8374</v>
      </c>
      <c r="W29" s="55" t="s">
        <v>8375</v>
      </c>
      <c r="AA29" s="1163"/>
    </row>
    <row r="30" spans="1:27" ht="15.75" customHeight="1" x14ac:dyDescent="0.3">
      <c r="A30" s="852" t="s">
        <v>8376</v>
      </c>
      <c r="B30" s="852" t="s">
        <v>8377</v>
      </c>
      <c r="C30" s="1077" t="str">
        <f>IF(Noty!K668="n/a","",Noty!L668)</f>
        <v/>
      </c>
      <c r="D30" s="1078" t="str">
        <f t="shared" si="0"/>
        <v/>
      </c>
      <c r="E30" s="58"/>
      <c r="F30" s="2">
        <f>Noty!D662</f>
        <v>0</v>
      </c>
      <c r="G30" s="64"/>
      <c r="H30" s="5"/>
      <c r="J30" s="5"/>
      <c r="K30" s="986" t="str">
        <f>IF(AND(_pasywa!F30=0,AND(_pasywa!H30=0,_pasywa!J30=0)),"ukryj","odkryj")</f>
        <v>ukryj</v>
      </c>
      <c r="L30" s="1030"/>
      <c r="M30" s="1029"/>
      <c r="N30" s="1029"/>
      <c r="U30" s="55" t="s">
        <v>8378</v>
      </c>
      <c r="W30" s="55" t="s">
        <v>8379</v>
      </c>
      <c r="AA30" s="1163" t="s">
        <v>8380</v>
      </c>
    </row>
    <row r="31" spans="1:27" ht="32.25" customHeight="1" x14ac:dyDescent="0.3">
      <c r="A31" s="867" t="s">
        <v>8381</v>
      </c>
      <c r="B31" s="867" t="s">
        <v>8382</v>
      </c>
      <c r="C31" s="1077" t="str">
        <f>IF(Noty!K681="n/a","",Noty!L681)</f>
        <v/>
      </c>
      <c r="D31" s="1078" t="str">
        <f t="shared" si="0"/>
        <v/>
      </c>
      <c r="E31" s="58"/>
      <c r="F31" s="2">
        <f>Noty!F662</f>
        <v>0</v>
      </c>
      <c r="G31" s="64"/>
      <c r="H31" s="5"/>
      <c r="J31" s="5"/>
      <c r="K31" s="986" t="str">
        <f>IF(AND(_pasywa!F31=0,AND(_pasywa!H31=0,_pasywa!J31=0)),"ukryj","odkryj")</f>
        <v>ukryj</v>
      </c>
      <c r="L31" s="1030"/>
      <c r="M31" s="1029"/>
      <c r="N31" s="1029"/>
      <c r="U31" s="55" t="s">
        <v>8383</v>
      </c>
      <c r="W31" s="55" t="s">
        <v>8384</v>
      </c>
      <c r="AA31" s="1163" t="s">
        <v>8385</v>
      </c>
    </row>
    <row r="32" spans="1:27" ht="15.75" customHeight="1" x14ac:dyDescent="0.3">
      <c r="A32" s="852" t="s">
        <v>8386</v>
      </c>
      <c r="B32" s="852" t="s">
        <v>8387</v>
      </c>
      <c r="C32" s="1077" t="str">
        <f>IF(Noty!K694="n/a","",Noty!L694)</f>
        <v/>
      </c>
      <c r="D32" s="1078" t="str">
        <f t="shared" si="0"/>
        <v/>
      </c>
      <c r="E32" s="58"/>
      <c r="F32" s="2">
        <f>ROUND(_pasywa!F33,2)+ROUND(_pasywa!F34,2)+ROUND(_pasywa!F35,2)+ROUND(_pasywa!F36,2)+ROUND(_pasywa!F37,2)</f>
        <v>0</v>
      </c>
      <c r="G32" s="64"/>
      <c r="H32" s="2">
        <f>ROUND(_pasywa!H33,2)+ROUND(_pasywa!H34,2)+ROUND(_pasywa!H35,2)+ROUND(_pasywa!H36,2)+ROUND(_pasywa!H37,2)</f>
        <v>0</v>
      </c>
      <c r="J32" s="2">
        <f>ROUND(_pasywa!J33,2)+ROUND(_pasywa!J34,2)+ROUND(_pasywa!J35,2)+ROUND(_pasywa!J36,2)+ROUND(_pasywa!J37,2)</f>
        <v>0</v>
      </c>
      <c r="K32" s="986" t="str">
        <f>IF(AND(_pasywa!F32=0,AND(_pasywa!H32=0,_pasywa!J32=0)),"ukryj","odkryj")</f>
        <v>ukryj</v>
      </c>
      <c r="L32" s="1030"/>
      <c r="M32" s="1029"/>
      <c r="N32" s="1029"/>
      <c r="U32" s="55" t="s">
        <v>8388</v>
      </c>
      <c r="W32" s="55" t="s">
        <v>8389</v>
      </c>
      <c r="AA32" s="1163"/>
    </row>
    <row r="33" spans="1:27" ht="15.75" customHeight="1" x14ac:dyDescent="0.3">
      <c r="A33" s="874" t="s">
        <v>8390</v>
      </c>
      <c r="B33" s="874" t="s">
        <v>8391</v>
      </c>
      <c r="C33" s="1079"/>
      <c r="D33" s="1080" t="str">
        <f t="shared" si="0"/>
        <v/>
      </c>
      <c r="E33" s="58"/>
      <c r="F33" s="2">
        <f>Noty!E701</f>
        <v>0</v>
      </c>
      <c r="G33" s="64"/>
      <c r="H33" s="5"/>
      <c r="J33" s="5"/>
      <c r="K33" s="986" t="str">
        <f>IF(AND(_pasywa!F33=0,AND(_pasywa!H33=0,_pasywa!J33=0)),"ukryj","odkryj")</f>
        <v>ukryj</v>
      </c>
      <c r="L33" s="1030"/>
      <c r="M33" s="1029"/>
      <c r="N33" s="1029"/>
      <c r="U33" s="55" t="s">
        <v>8392</v>
      </c>
      <c r="W33" s="55" t="s">
        <v>8393</v>
      </c>
      <c r="AA33" s="1163" t="s">
        <v>8394</v>
      </c>
    </row>
    <row r="34" spans="1:27" ht="15.75" customHeight="1" x14ac:dyDescent="0.3">
      <c r="A34" s="874" t="s">
        <v>8395</v>
      </c>
      <c r="B34" s="874" t="s">
        <v>8396</v>
      </c>
      <c r="C34" s="1079"/>
      <c r="D34" s="1080" t="str">
        <f t="shared" si="0"/>
        <v/>
      </c>
      <c r="E34" s="58"/>
      <c r="F34" s="2">
        <f>Noty!F701</f>
        <v>0</v>
      </c>
      <c r="G34" s="64"/>
      <c r="H34" s="5"/>
      <c r="J34" s="5"/>
      <c r="K34" s="986" t="str">
        <f>IF(AND(_pasywa!F34=0,AND(_pasywa!H34=0,_pasywa!J34=0)),"ukryj","odkryj")</f>
        <v>ukryj</v>
      </c>
      <c r="L34" s="1030"/>
      <c r="M34" s="1029"/>
      <c r="N34" s="1029"/>
      <c r="U34" s="55" t="s">
        <v>8397</v>
      </c>
      <c r="W34" s="55" t="s">
        <v>8398</v>
      </c>
      <c r="AA34" s="1163" t="s">
        <v>8399</v>
      </c>
    </row>
    <row r="35" spans="1:27" ht="15.75" customHeight="1" x14ac:dyDescent="0.3">
      <c r="A35" s="874" t="s">
        <v>8400</v>
      </c>
      <c r="B35" s="874" t="s">
        <v>8401</v>
      </c>
      <c r="C35" s="1079"/>
      <c r="D35" s="1080" t="str">
        <f t="shared" si="0"/>
        <v/>
      </c>
      <c r="E35" s="58"/>
      <c r="F35" s="2">
        <f>Noty!G701</f>
        <v>0</v>
      </c>
      <c r="G35" s="64"/>
      <c r="H35" s="5"/>
      <c r="J35" s="5"/>
      <c r="K35" s="986" t="str">
        <f>IF(AND(_pasywa!F35=0,AND(_pasywa!H35=0,_pasywa!J35=0)),"ukryj","odkryj")</f>
        <v>ukryj</v>
      </c>
      <c r="L35" s="1030"/>
      <c r="M35" s="1029"/>
      <c r="N35" s="1029"/>
      <c r="U35" s="55" t="s">
        <v>8402</v>
      </c>
      <c r="W35" s="55" t="s">
        <v>8403</v>
      </c>
      <c r="AA35" s="1163" t="s">
        <v>8404</v>
      </c>
    </row>
    <row r="36" spans="1:27" ht="15.75" customHeight="1" x14ac:dyDescent="0.3">
      <c r="A36" s="875" t="s">
        <v>8405</v>
      </c>
      <c r="B36" s="875" t="s">
        <v>8406</v>
      </c>
      <c r="C36" s="1079"/>
      <c r="D36" s="1080" t="str">
        <f t="shared" si="0"/>
        <v/>
      </c>
      <c r="E36" s="58"/>
      <c r="F36" s="2">
        <f>Noty!H701</f>
        <v>0</v>
      </c>
      <c r="G36" s="64"/>
      <c r="H36" s="5"/>
      <c r="J36" s="5"/>
      <c r="K36" s="986" t="str">
        <f>IF(AND(_pasywa!F36=0,AND(_pasywa!H36=0,_pasywa!J36=0)),"ukryj","odkryj")</f>
        <v>ukryj</v>
      </c>
      <c r="L36" s="1030"/>
      <c r="M36" s="1029"/>
      <c r="N36" s="1029"/>
      <c r="U36" s="55" t="s">
        <v>8407</v>
      </c>
      <c r="W36" s="55" t="s">
        <v>8408</v>
      </c>
      <c r="AA36" s="1165"/>
    </row>
    <row r="37" spans="1:27" ht="15.75" customHeight="1" x14ac:dyDescent="0.3">
      <c r="A37" s="874" t="s">
        <v>8161</v>
      </c>
      <c r="B37" s="874" t="s">
        <v>8409</v>
      </c>
      <c r="C37" s="1079"/>
      <c r="D37" s="1080" t="str">
        <f t="shared" si="0"/>
        <v/>
      </c>
      <c r="E37" s="58"/>
      <c r="F37" s="2">
        <f>Noty!I701</f>
        <v>0</v>
      </c>
      <c r="G37" s="64"/>
      <c r="H37" s="5"/>
      <c r="J37" s="5"/>
      <c r="K37" s="986" t="str">
        <f>IF(AND(_pasywa!F37=0,AND(_pasywa!H37=0,_pasywa!J37=0)),"ukryj","odkryj")</f>
        <v>ukryj</v>
      </c>
      <c r="L37" s="1030"/>
      <c r="M37" s="1029"/>
      <c r="N37" s="1029"/>
      <c r="U37" s="55" t="s">
        <v>8410</v>
      </c>
      <c r="W37" s="55" t="s">
        <v>8411</v>
      </c>
      <c r="AA37" s="1163" t="s">
        <v>8412</v>
      </c>
    </row>
    <row r="38" spans="1:27" ht="15.75" customHeight="1" x14ac:dyDescent="0.3">
      <c r="A38" s="871" t="s">
        <v>7628</v>
      </c>
      <c r="B38" s="871" t="s">
        <v>8413</v>
      </c>
      <c r="C38" s="1079"/>
      <c r="D38" s="1080" t="str">
        <f t="shared" si="0"/>
        <v/>
      </c>
      <c r="E38" s="58"/>
      <c r="F38" s="4">
        <f>ROUND(_pasywa!F39,2)+ROUND(_pasywa!F44,2)+ROUND(_pasywa!F49,2)+ROUND(_pasywa!F61,2)</f>
        <v>0</v>
      </c>
      <c r="G38" s="63"/>
      <c r="H38" s="4">
        <f>ROUND(_pasywa!H39,2)+ROUND(_pasywa!H44,2)+ROUND(_pasywa!H49,2)+ROUND(_pasywa!H61,2)</f>
        <v>0</v>
      </c>
      <c r="J38" s="4">
        <f>ROUND(_pasywa!J39,2)+ROUND(_pasywa!J44,2)+ROUND(_pasywa!J49,2)+ROUND(_pasywa!J61,2)</f>
        <v>0</v>
      </c>
      <c r="K38" s="986" t="str">
        <f>IF(AND(_pasywa!F38=0,AND(_pasywa!H38=0,_pasywa!J38=0)),"ukryj","odkryj")</f>
        <v>ukryj</v>
      </c>
      <c r="L38" s="1030"/>
      <c r="M38" s="1029"/>
      <c r="N38" s="1029"/>
      <c r="U38" s="55" t="s">
        <v>8414</v>
      </c>
      <c r="W38" s="55" t="s">
        <v>8415</v>
      </c>
      <c r="AA38" s="1163"/>
    </row>
    <row r="39" spans="1:27" ht="15.75" customHeight="1" x14ac:dyDescent="0.3">
      <c r="A39" s="852" t="s">
        <v>8416</v>
      </c>
      <c r="B39" s="852" t="s">
        <v>8377</v>
      </c>
      <c r="C39" s="1079"/>
      <c r="D39" s="1080" t="str">
        <f t="shared" si="0"/>
        <v/>
      </c>
      <c r="E39" s="58"/>
      <c r="F39" s="2">
        <f>ROUND(_pasywa!F40,2)+ROUND(_pasywa!F43,2)</f>
        <v>0</v>
      </c>
      <c r="G39" s="63"/>
      <c r="H39" s="2">
        <f>ROUND(_pasywa!H40,2)+ROUND(_pasywa!H43,2)</f>
        <v>0</v>
      </c>
      <c r="J39" s="2">
        <f>ROUND(_pasywa!J40,2)+ROUND(_pasywa!J43,2)</f>
        <v>0</v>
      </c>
      <c r="K39" s="986" t="str">
        <f>IF(AND(_pasywa!F39=0,AND(_pasywa!H39=0,_pasywa!J39=0)),"ukryj","odkryj")</f>
        <v>ukryj</v>
      </c>
      <c r="L39" s="1030"/>
      <c r="M39" s="1029"/>
      <c r="N39" s="1029"/>
      <c r="U39" s="55" t="s">
        <v>8417</v>
      </c>
      <c r="W39" s="55" t="s">
        <v>8418</v>
      </c>
      <c r="AA39" s="1163"/>
    </row>
    <row r="40" spans="1:27" ht="15.75" customHeight="1" x14ac:dyDescent="0.3">
      <c r="A40" s="874" t="s">
        <v>8419</v>
      </c>
      <c r="B40" s="874" t="s">
        <v>8420</v>
      </c>
      <c r="C40" s="1077"/>
      <c r="D40" s="1078" t="str">
        <f t="shared" si="0"/>
        <v/>
      </c>
      <c r="E40" s="58"/>
      <c r="F40" s="2">
        <f>ROUND(_pasywa!F41,2)+ROUND(_pasywa!F42,2)</f>
        <v>0</v>
      </c>
      <c r="G40" s="63"/>
      <c r="H40" s="2">
        <f>ROUND(_pasywa!H41,2)+ROUND(_pasywa!H42,2)</f>
        <v>0</v>
      </c>
      <c r="J40" s="2">
        <f>ROUND(_pasywa!J41,2)+ROUND(_pasywa!J42,2)</f>
        <v>0</v>
      </c>
      <c r="K40" s="986" t="str">
        <f>IF(AND(_pasywa!F40=0,AND(_pasywa!H40=0,_pasywa!J40=0)),"ukryj","odkryj")</f>
        <v>ukryj</v>
      </c>
      <c r="L40" s="1030"/>
      <c r="M40" s="1029"/>
      <c r="N40" s="1029"/>
      <c r="U40" s="55" t="s">
        <v>8421</v>
      </c>
      <c r="W40" s="55" t="s">
        <v>8422</v>
      </c>
      <c r="AA40" s="1163"/>
    </row>
    <row r="41" spans="1:27" ht="15.75" customHeight="1" x14ac:dyDescent="0.3">
      <c r="A41" s="876" t="s">
        <v>8151</v>
      </c>
      <c r="B41" s="877" t="s">
        <v>8423</v>
      </c>
      <c r="C41" s="1079"/>
      <c r="D41" s="1080" t="str">
        <f t="shared" si="0"/>
        <v/>
      </c>
      <c r="E41" s="58"/>
      <c r="F41" s="5"/>
      <c r="G41" s="64"/>
      <c r="H41" s="5"/>
      <c r="J41" s="5"/>
      <c r="K41" s="986" t="str">
        <f>IF(AND(_pasywa!F41=0,AND(_pasywa!H41=0,_pasywa!J41=0)),"ukryj","odkryj")</f>
        <v>ukryj</v>
      </c>
      <c r="L41" s="1030"/>
      <c r="M41" s="1029"/>
      <c r="N41" s="1029"/>
      <c r="U41" s="55" t="s">
        <v>8424</v>
      </c>
      <c r="W41" s="55" t="s">
        <v>8425</v>
      </c>
      <c r="AA41" s="1163" t="s">
        <v>8426</v>
      </c>
    </row>
    <row r="42" spans="1:27" ht="15.75" customHeight="1" x14ac:dyDescent="0.3">
      <c r="A42" s="876" t="s">
        <v>8156</v>
      </c>
      <c r="B42" s="877" t="s">
        <v>8427</v>
      </c>
      <c r="C42" s="1079"/>
      <c r="D42" s="1080" t="str">
        <f t="shared" si="0"/>
        <v/>
      </c>
      <c r="E42" s="58"/>
      <c r="F42" s="5"/>
      <c r="G42" s="64"/>
      <c r="H42" s="5"/>
      <c r="J42" s="5"/>
      <c r="K42" s="986" t="str">
        <f>IF(AND(_pasywa!F42=0,AND(_pasywa!H42=0,_pasywa!J42=0)),"ukryj","odkryj")</f>
        <v>ukryj</v>
      </c>
      <c r="L42" s="1030"/>
      <c r="M42" s="1029"/>
      <c r="N42" s="1029"/>
      <c r="U42" s="55" t="s">
        <v>8428</v>
      </c>
      <c r="W42" s="55" t="s">
        <v>8429</v>
      </c>
      <c r="AA42" s="1163" t="s">
        <v>8430</v>
      </c>
    </row>
    <row r="43" spans="1:27" ht="15.75" customHeight="1" x14ac:dyDescent="0.3">
      <c r="A43" s="874" t="s">
        <v>8161</v>
      </c>
      <c r="B43" s="874" t="s">
        <v>8162</v>
      </c>
      <c r="C43" s="1079"/>
      <c r="D43" s="1080" t="str">
        <f t="shared" si="0"/>
        <v/>
      </c>
      <c r="E43" s="58"/>
      <c r="F43" s="2">
        <f>Noty!E677+Noty!F677+Noty!G677+Noty!H677+Noty!I677</f>
        <v>0</v>
      </c>
      <c r="G43" s="64"/>
      <c r="H43" s="5"/>
      <c r="J43" s="5"/>
      <c r="K43" s="986" t="str">
        <f>IF(AND(_pasywa!F43=0,AND(_pasywa!H43=0,_pasywa!J43=0)),"ukryj","odkryj")</f>
        <v>ukryj</v>
      </c>
      <c r="L43" s="1030"/>
      <c r="M43" s="1029"/>
      <c r="N43" s="1029"/>
      <c r="U43" s="55" t="s">
        <v>8431</v>
      </c>
      <c r="W43" s="55" t="s">
        <v>8432</v>
      </c>
      <c r="AA43" s="1163" t="s">
        <v>8433</v>
      </c>
    </row>
    <row r="44" spans="1:27" ht="30.8" customHeight="1" x14ac:dyDescent="0.3">
      <c r="A44" s="867" t="s">
        <v>8434</v>
      </c>
      <c r="B44" s="867" t="s">
        <v>8382</v>
      </c>
      <c r="C44" s="1079"/>
      <c r="D44" s="1080" t="str">
        <f t="shared" si="0"/>
        <v/>
      </c>
      <c r="E44" s="58"/>
      <c r="F44" s="2">
        <f>ROUND(_pasywa!F45,2)+ROUND(_pasywa!F48,2)</f>
        <v>0</v>
      </c>
      <c r="G44" s="64"/>
      <c r="H44" s="2">
        <f>ROUND(_pasywa!H45,2)+ROUND(_pasywa!H48,2)</f>
        <v>0</v>
      </c>
      <c r="J44" s="2">
        <f>ROUND(_pasywa!J45,2)+ROUND(_pasywa!J48,2)</f>
        <v>0</v>
      </c>
      <c r="K44" s="986" t="str">
        <f>IF(AND(_pasywa!F44=0,AND(_pasywa!H44=0,_pasywa!J44=0)),"ukryj","odkryj")</f>
        <v>ukryj</v>
      </c>
      <c r="L44" s="1030"/>
      <c r="M44" s="1029"/>
      <c r="N44" s="1029"/>
      <c r="U44" s="55" t="s">
        <v>8435</v>
      </c>
      <c r="W44" s="55" t="s">
        <v>8436</v>
      </c>
      <c r="AA44" s="1163"/>
    </row>
    <row r="45" spans="1:27" ht="15.75" customHeight="1" x14ac:dyDescent="0.3">
      <c r="A45" s="875" t="s">
        <v>8419</v>
      </c>
      <c r="B45" s="875" t="s">
        <v>8420</v>
      </c>
      <c r="C45" s="1077"/>
      <c r="D45" s="1078" t="str">
        <f t="shared" si="0"/>
        <v/>
      </c>
      <c r="E45" s="58"/>
      <c r="F45" s="2">
        <f>ROUND(_pasywa!F46,2)+ROUND(_pasywa!F47,2)</f>
        <v>0</v>
      </c>
      <c r="G45" s="64"/>
      <c r="H45" s="2">
        <f>ROUND(_pasywa!H46,2)+ROUND(_pasywa!H47,2)</f>
        <v>0</v>
      </c>
      <c r="J45" s="2">
        <f>ROUND(_pasywa!J46,2)+ROUND(_pasywa!J47,2)</f>
        <v>0</v>
      </c>
      <c r="K45" s="986" t="str">
        <f>IF(AND(_pasywa!F45=0,AND(_pasywa!H45=0,_pasywa!J45=0)),"ukryj","odkryj")</f>
        <v>ukryj</v>
      </c>
      <c r="L45" s="1030"/>
      <c r="M45" s="1029"/>
      <c r="N45" s="1029"/>
      <c r="U45" s="55" t="s">
        <v>8437</v>
      </c>
      <c r="W45" s="55" t="s">
        <v>8438</v>
      </c>
      <c r="AA45" s="1163"/>
    </row>
    <row r="46" spans="1:27" ht="15.75" customHeight="1" x14ac:dyDescent="0.3">
      <c r="A46" s="876" t="s">
        <v>8151</v>
      </c>
      <c r="B46" s="877" t="s">
        <v>8423</v>
      </c>
      <c r="C46" s="1079"/>
      <c r="D46" s="1080" t="str">
        <f t="shared" si="0"/>
        <v/>
      </c>
      <c r="E46" s="58"/>
      <c r="F46" s="5"/>
      <c r="G46" s="64"/>
      <c r="H46" s="5"/>
      <c r="J46" s="5"/>
      <c r="K46" s="986" t="str">
        <f>IF(AND(_pasywa!F46=0,AND(_pasywa!H46=0,_pasywa!J46=0)),"ukryj","odkryj")</f>
        <v>ukryj</v>
      </c>
      <c r="L46" s="1030"/>
      <c r="M46" s="1029"/>
      <c r="N46" s="1029"/>
      <c r="U46" s="55" t="s">
        <v>8439</v>
      </c>
      <c r="W46" s="55" t="s">
        <v>8440</v>
      </c>
      <c r="AA46" s="1165"/>
    </row>
    <row r="47" spans="1:27" ht="15.75" customHeight="1" x14ac:dyDescent="0.3">
      <c r="A47" s="876" t="s">
        <v>8156</v>
      </c>
      <c r="B47" s="877" t="s">
        <v>8427</v>
      </c>
      <c r="C47" s="1079"/>
      <c r="D47" s="1080" t="str">
        <f t="shared" si="0"/>
        <v/>
      </c>
      <c r="E47" s="58"/>
      <c r="F47" s="5"/>
      <c r="G47" s="64"/>
      <c r="H47" s="5"/>
      <c r="J47" s="5"/>
      <c r="K47" s="986" t="str">
        <f>IF(AND(_pasywa!F47=0,AND(_pasywa!H47=0,_pasywa!J47=0)),"ukryj","odkryj")</f>
        <v>ukryj</v>
      </c>
      <c r="L47" s="1030"/>
      <c r="M47" s="1029"/>
      <c r="N47" s="1029"/>
      <c r="U47" s="55" t="s">
        <v>8441</v>
      </c>
      <c r="W47" s="55" t="s">
        <v>8442</v>
      </c>
      <c r="AA47" s="1165"/>
    </row>
    <row r="48" spans="1:27" x14ac:dyDescent="0.3">
      <c r="A48" s="875" t="s">
        <v>8161</v>
      </c>
      <c r="B48" s="875" t="s">
        <v>8162</v>
      </c>
      <c r="C48" s="1079"/>
      <c r="D48" s="1080" t="str">
        <f t="shared" si="0"/>
        <v/>
      </c>
      <c r="E48" s="58"/>
      <c r="F48" s="2">
        <f>Noty!E690+Noty!F690+Noty!G690+Noty!H690+Noty!I690</f>
        <v>0</v>
      </c>
      <c r="G48" s="64"/>
      <c r="H48" s="5"/>
      <c r="J48" s="5"/>
      <c r="K48" s="986" t="str">
        <f>IF(AND(_pasywa!F48=0,AND(_pasywa!H48=0,_pasywa!J48=0)),"ukryj","odkryj")</f>
        <v>ukryj</v>
      </c>
      <c r="L48" s="1030"/>
      <c r="M48" s="1029"/>
      <c r="N48" s="1029"/>
      <c r="U48" s="55" t="s">
        <v>8443</v>
      </c>
      <c r="W48" s="55" t="s">
        <v>8444</v>
      </c>
      <c r="AA48" s="1165"/>
    </row>
    <row r="49" spans="1:27" ht="15.75" customHeight="1" x14ac:dyDescent="0.3">
      <c r="A49" s="852" t="s">
        <v>8445</v>
      </c>
      <c r="B49" s="852" t="s">
        <v>8387</v>
      </c>
      <c r="C49" s="1079"/>
      <c r="D49" s="1080" t="str">
        <f t="shared" si="0"/>
        <v/>
      </c>
      <c r="E49" s="58"/>
      <c r="F49" s="2">
        <f>ROUND(_pasywa!F50,2)+ROUND(_pasywa!F51,2)+ROUND(_pasywa!F52,2)+ROUND(_pasywa!F53,2)+ROUND(_pasywa!F56,2)+ROUND(_pasywa!F57,2)+ROUND(_pasywa!F58,2)+ROUND(_pasywa!F59,2)+ROUND(_pasywa!F60,2)</f>
        <v>0</v>
      </c>
      <c r="G49" s="65"/>
      <c r="H49" s="2">
        <f>ROUND(_pasywa!H50,2)+ROUND(_pasywa!H51,2)+ROUND(_pasywa!H52,2)+ROUND(_pasywa!H53,2)+ROUND(_pasywa!H56,2)+ROUND(_pasywa!H57,2)+ROUND(_pasywa!H58,2)+ROUND(_pasywa!H59,2)+ROUND(_pasywa!H60,2)</f>
        <v>0</v>
      </c>
      <c r="J49" s="2">
        <f>ROUND(_pasywa!J50,2)+ROUND(_pasywa!J51,2)+ROUND(_pasywa!J52,2)+ROUND(_pasywa!J53,2)+ROUND(_pasywa!J56,2)+ROUND(_pasywa!J57,2)+ROUND(_pasywa!J58,2)+ROUND(_pasywa!J59,2)+ROUND(_pasywa!J60,2)</f>
        <v>0</v>
      </c>
      <c r="K49" s="986" t="str">
        <f>IF(AND(_pasywa!F49=0,AND(_pasywa!H49=0,_pasywa!J49=0)),"ukryj","odkryj")</f>
        <v>ukryj</v>
      </c>
      <c r="L49" s="1033"/>
      <c r="M49" s="1029"/>
      <c r="N49" s="1029"/>
      <c r="U49" s="55" t="s">
        <v>8446</v>
      </c>
      <c r="W49" s="55" t="s">
        <v>8447</v>
      </c>
      <c r="AA49" s="1166"/>
    </row>
    <row r="50" spans="1:27" ht="15.75" customHeight="1" x14ac:dyDescent="0.3">
      <c r="A50" s="874" t="s">
        <v>8390</v>
      </c>
      <c r="B50" s="874" t="s">
        <v>8391</v>
      </c>
      <c r="C50" s="1079"/>
      <c r="D50" s="1080" t="str">
        <f t="shared" si="0"/>
        <v/>
      </c>
      <c r="E50" s="58"/>
      <c r="F50" s="2">
        <f>Noty!E703</f>
        <v>0</v>
      </c>
      <c r="G50" s="64"/>
      <c r="H50" s="5"/>
      <c r="J50" s="5"/>
      <c r="K50" s="986" t="str">
        <f>IF(AND(_pasywa!F50=0,AND(_pasywa!H50=0,_pasywa!J50=0)),"ukryj","odkryj")</f>
        <v>ukryj</v>
      </c>
      <c r="L50" s="1033"/>
      <c r="M50" s="1029"/>
      <c r="N50" s="1029"/>
      <c r="U50" s="55" t="s">
        <v>8448</v>
      </c>
      <c r="W50" s="55" t="s">
        <v>8449</v>
      </c>
      <c r="AA50" s="1166" t="s">
        <v>8450</v>
      </c>
    </row>
    <row r="51" spans="1:27" ht="15.75" customHeight="1" x14ac:dyDescent="0.3">
      <c r="A51" s="874" t="s">
        <v>8395</v>
      </c>
      <c r="B51" s="874" t="s">
        <v>8396</v>
      </c>
      <c r="C51" s="1079"/>
      <c r="D51" s="1080" t="str">
        <f t="shared" si="0"/>
        <v/>
      </c>
      <c r="E51" s="58"/>
      <c r="F51" s="2">
        <f>Noty!F703</f>
        <v>0</v>
      </c>
      <c r="G51" s="63"/>
      <c r="H51" s="5"/>
      <c r="J51" s="5"/>
      <c r="K51" s="986" t="str">
        <f>IF(AND(_pasywa!F51=0,AND(_pasywa!H51=0,_pasywa!J51=0)),"ukryj","odkryj")</f>
        <v>ukryj</v>
      </c>
      <c r="L51" s="1030"/>
      <c r="M51" s="1029"/>
      <c r="N51" s="1029"/>
      <c r="U51" s="55" t="s">
        <v>8451</v>
      </c>
      <c r="W51" s="55" t="s">
        <v>8452</v>
      </c>
      <c r="AA51" s="1163" t="s">
        <v>8453</v>
      </c>
    </row>
    <row r="52" spans="1:27" ht="15.75" customHeight="1" x14ac:dyDescent="0.3">
      <c r="A52" s="874" t="s">
        <v>8400</v>
      </c>
      <c r="B52" s="874" t="s">
        <v>8401</v>
      </c>
      <c r="C52" s="1079"/>
      <c r="D52" s="1080" t="str">
        <f t="shared" si="0"/>
        <v/>
      </c>
      <c r="E52" s="58"/>
      <c r="F52" s="2">
        <f>Noty!G703</f>
        <v>0</v>
      </c>
      <c r="G52" s="64"/>
      <c r="H52" s="5"/>
      <c r="J52" s="5"/>
      <c r="K52" s="986" t="str">
        <f>IF(AND(_pasywa!F52=0,AND(_pasywa!H52=0,_pasywa!J52=0)),"ukryj","odkryj")</f>
        <v>ukryj</v>
      </c>
      <c r="L52" s="1030"/>
      <c r="M52" s="1029"/>
      <c r="N52" s="1029"/>
      <c r="U52" s="55" t="s">
        <v>8454</v>
      </c>
      <c r="W52" s="55" t="s">
        <v>8455</v>
      </c>
      <c r="AA52" s="1163" t="s">
        <v>8456</v>
      </c>
    </row>
    <row r="53" spans="1:27" ht="15.75" customHeight="1" x14ac:dyDescent="0.3">
      <c r="A53" s="874" t="s">
        <v>8419</v>
      </c>
      <c r="B53" s="874" t="s">
        <v>8420</v>
      </c>
      <c r="C53" s="1077"/>
      <c r="D53" s="1078" t="str">
        <f t="shared" si="0"/>
        <v/>
      </c>
      <c r="E53" s="58"/>
      <c r="F53" s="2">
        <f>ROUND(_pasywa!F54,2)+ROUND(_pasywa!F55,2)</f>
        <v>0</v>
      </c>
      <c r="G53" s="63"/>
      <c r="H53" s="2">
        <f>ROUND(_pasywa!H54,2)+ROUND(_pasywa!H55,2)</f>
        <v>0</v>
      </c>
      <c r="J53" s="2">
        <f>ROUND(_pasywa!J54,2)+ROUND(_pasywa!J55,2)</f>
        <v>0</v>
      </c>
      <c r="K53" s="986" t="str">
        <f>IF(AND(_pasywa!F53=0,AND(_pasywa!H53=0,_pasywa!J53=0)),"ukryj","odkryj")</f>
        <v>ukryj</v>
      </c>
      <c r="L53" s="1030"/>
      <c r="M53" s="1029"/>
      <c r="N53" s="1029"/>
      <c r="U53" s="55" t="s">
        <v>8457</v>
      </c>
      <c r="W53" s="55" t="s">
        <v>8458</v>
      </c>
      <c r="AA53" s="1163"/>
    </row>
    <row r="54" spans="1:27" ht="15.75" customHeight="1" x14ac:dyDescent="0.3">
      <c r="A54" s="876" t="s">
        <v>8151</v>
      </c>
      <c r="B54" s="877" t="s">
        <v>8423</v>
      </c>
      <c r="C54" s="1079"/>
      <c r="D54" s="1080" t="str">
        <f t="shared" si="0"/>
        <v/>
      </c>
      <c r="E54" s="58"/>
      <c r="F54" s="5"/>
      <c r="G54" s="64"/>
      <c r="H54" s="5"/>
      <c r="J54" s="5"/>
      <c r="K54" s="986" t="str">
        <f>IF(AND(_pasywa!F54=0,AND(_pasywa!H54=0,_pasywa!J54=0)),"ukryj","odkryj")</f>
        <v>ukryj</v>
      </c>
      <c r="L54" s="1030"/>
      <c r="M54" s="1029"/>
      <c r="N54" s="1029"/>
      <c r="U54" s="55" t="s">
        <v>8459</v>
      </c>
      <c r="W54" s="55" t="s">
        <v>8460</v>
      </c>
      <c r="AA54" s="1163" t="s">
        <v>8461</v>
      </c>
    </row>
    <row r="55" spans="1:27" ht="15.75" customHeight="1" x14ac:dyDescent="0.3">
      <c r="A55" s="876" t="s">
        <v>8156</v>
      </c>
      <c r="B55" s="877" t="s">
        <v>8427</v>
      </c>
      <c r="C55" s="1079"/>
      <c r="D55" s="1080" t="str">
        <f t="shared" si="0"/>
        <v/>
      </c>
      <c r="E55" s="58"/>
      <c r="F55" s="5"/>
      <c r="G55" s="64"/>
      <c r="H55" s="5"/>
      <c r="J55" s="5"/>
      <c r="K55" s="986" t="str">
        <f>IF(AND(_pasywa!F55=0,AND(_pasywa!H55=0,_pasywa!J55=0)),"ukryj","odkryj")</f>
        <v>ukryj</v>
      </c>
      <c r="L55" s="1030"/>
      <c r="M55" s="1029"/>
      <c r="N55" s="1029"/>
      <c r="U55" s="55" t="s">
        <v>8462</v>
      </c>
      <c r="W55" s="55" t="s">
        <v>8463</v>
      </c>
      <c r="AA55" s="1163" t="s">
        <v>8464</v>
      </c>
    </row>
    <row r="56" spans="1:27" x14ac:dyDescent="0.3">
      <c r="A56" s="875" t="s">
        <v>8465</v>
      </c>
      <c r="B56" s="875" t="s">
        <v>8466</v>
      </c>
      <c r="C56" s="1079"/>
      <c r="D56" s="1080" t="str">
        <f t="shared" si="0"/>
        <v/>
      </c>
      <c r="E56" s="58"/>
      <c r="F56" s="5"/>
      <c r="G56" s="64"/>
      <c r="H56" s="5"/>
      <c r="J56" s="5"/>
      <c r="K56" s="986" t="str">
        <f>IF(AND(_pasywa!F56=0,AND(_pasywa!H56=0,_pasywa!J56=0)),"ukryj","odkryj")</f>
        <v>ukryj</v>
      </c>
      <c r="L56" s="1030"/>
      <c r="M56" s="1029"/>
      <c r="N56" s="1029"/>
      <c r="U56" s="55" t="s">
        <v>8467</v>
      </c>
      <c r="W56" s="55" t="s">
        <v>8468</v>
      </c>
      <c r="AA56" s="1163" t="s">
        <v>8469</v>
      </c>
    </row>
    <row r="57" spans="1:27" ht="15.75" customHeight="1" x14ac:dyDescent="0.3">
      <c r="A57" s="874" t="s">
        <v>8405</v>
      </c>
      <c r="B57" s="874" t="s">
        <v>8470</v>
      </c>
      <c r="C57" s="1079"/>
      <c r="D57" s="1080" t="str">
        <f t="shared" si="0"/>
        <v/>
      </c>
      <c r="E57" s="58"/>
      <c r="F57" s="2">
        <f>Noty!H703</f>
        <v>0</v>
      </c>
      <c r="G57" s="64"/>
      <c r="H57" s="5"/>
      <c r="J57" s="5"/>
      <c r="K57" s="986" t="str">
        <f>IF(AND(_pasywa!F57=0,AND(_pasywa!H57=0,_pasywa!J57=0)),"ukryj","odkryj")</f>
        <v>ukryj</v>
      </c>
      <c r="L57" s="1030"/>
      <c r="M57" s="1029"/>
      <c r="N57" s="1029"/>
      <c r="U57" s="55" t="s">
        <v>8471</v>
      </c>
      <c r="W57" s="55" t="s">
        <v>8472</v>
      </c>
      <c r="AA57" s="1163" t="s">
        <v>8473</v>
      </c>
    </row>
    <row r="58" spans="1:27" ht="26.2" x14ac:dyDescent="0.3">
      <c r="A58" s="1099" t="s">
        <v>8474</v>
      </c>
      <c r="B58" s="1099" t="s">
        <v>8475</v>
      </c>
      <c r="C58" s="1079"/>
      <c r="D58" s="1080" t="str">
        <f t="shared" si="0"/>
        <v/>
      </c>
      <c r="E58" s="58"/>
      <c r="F58" s="5"/>
      <c r="G58" s="64"/>
      <c r="H58" s="5"/>
      <c r="J58" s="5"/>
      <c r="K58" s="986" t="str">
        <f>IF(AND(_pasywa!F58=0,AND(_pasywa!H58=0,_pasywa!J58=0)),"ukryj","odkryj")</f>
        <v>ukryj</v>
      </c>
      <c r="L58" s="1030"/>
      <c r="M58" s="1029"/>
      <c r="N58" s="1029"/>
      <c r="U58" s="55" t="s">
        <v>8476</v>
      </c>
      <c r="W58" s="55" t="s">
        <v>8477</v>
      </c>
      <c r="AA58" s="1163" t="s">
        <v>8478</v>
      </c>
    </row>
    <row r="59" spans="1:27" ht="15.75" customHeight="1" x14ac:dyDescent="0.3">
      <c r="A59" s="874" t="s">
        <v>8479</v>
      </c>
      <c r="B59" s="874" t="s">
        <v>8480</v>
      </c>
      <c r="C59" s="1079"/>
      <c r="D59" s="1080" t="str">
        <f t="shared" si="0"/>
        <v/>
      </c>
      <c r="E59" s="58"/>
      <c r="F59" s="5"/>
      <c r="G59" s="64"/>
      <c r="H59" s="5"/>
      <c r="J59" s="5"/>
      <c r="K59" s="986" t="str">
        <f>IF(AND(_pasywa!F59=0,AND(_pasywa!H59=0,_pasywa!J59=0)),"ukryj","odkryj")</f>
        <v>ukryj</v>
      </c>
      <c r="L59" s="1030"/>
      <c r="M59" s="1029"/>
      <c r="N59" s="1029"/>
      <c r="U59" s="55" t="s">
        <v>8481</v>
      </c>
      <c r="W59" s="55" t="s">
        <v>8482</v>
      </c>
      <c r="AA59" s="1163" t="s">
        <v>8483</v>
      </c>
    </row>
    <row r="60" spans="1:27" ht="15.75" customHeight="1" x14ac:dyDescent="0.3">
      <c r="A60" s="874" t="s">
        <v>8161</v>
      </c>
      <c r="B60" s="874" t="s">
        <v>8162</v>
      </c>
      <c r="C60" s="1079"/>
      <c r="D60" s="1080" t="str">
        <f t="shared" si="0"/>
        <v/>
      </c>
      <c r="E60" s="58"/>
      <c r="F60" s="2">
        <f>Noty!I703</f>
        <v>0</v>
      </c>
      <c r="G60" s="64"/>
      <c r="H60" s="5"/>
      <c r="J60" s="5"/>
      <c r="K60" s="986" t="str">
        <f>IF(AND(_pasywa!F60=0,AND(_pasywa!H60=0,_pasywa!J60=0)),"ukryj","odkryj")</f>
        <v>ukryj</v>
      </c>
      <c r="L60" s="1030"/>
      <c r="M60" s="1029"/>
      <c r="N60" s="1029"/>
      <c r="U60" s="55" t="s">
        <v>8484</v>
      </c>
      <c r="W60" s="55" t="s">
        <v>8485</v>
      </c>
      <c r="AA60" s="1163" t="s">
        <v>8486</v>
      </c>
    </row>
    <row r="61" spans="1:27" ht="15.75" customHeight="1" x14ac:dyDescent="0.3">
      <c r="A61" s="852" t="s">
        <v>8487</v>
      </c>
      <c r="B61" s="852" t="s">
        <v>8488</v>
      </c>
      <c r="C61" s="1079"/>
      <c r="D61" s="1080" t="str">
        <f t="shared" si="0"/>
        <v/>
      </c>
      <c r="E61" s="58"/>
      <c r="F61" s="5"/>
      <c r="G61" s="64"/>
      <c r="H61" s="5"/>
      <c r="J61" s="5"/>
      <c r="K61" s="986" t="str">
        <f>IF(AND(_pasywa!F61=0,AND(_pasywa!H61=0,_pasywa!J61=0)),"ukryj","odkryj")</f>
        <v>ukryj</v>
      </c>
      <c r="L61" s="1030"/>
      <c r="M61" s="1029"/>
      <c r="N61" s="1029"/>
      <c r="U61" s="55" t="s">
        <v>8489</v>
      </c>
      <c r="W61" s="55" t="s">
        <v>8490</v>
      </c>
      <c r="AA61" s="1163" t="s">
        <v>8491</v>
      </c>
    </row>
    <row r="62" spans="1:27" ht="27" customHeight="1" x14ac:dyDescent="0.3">
      <c r="A62" s="871" t="s">
        <v>8492</v>
      </c>
      <c r="B62" s="871" t="s">
        <v>8493</v>
      </c>
      <c r="C62" s="1079"/>
      <c r="D62" s="1080" t="str">
        <f t="shared" si="0"/>
        <v/>
      </c>
      <c r="E62" s="58"/>
      <c r="F62" s="4">
        <f>ROUND(_pasywa!F63,2)+ROUND(_pasywa!F64,2)</f>
        <v>0</v>
      </c>
      <c r="G62" s="63"/>
      <c r="H62" s="4">
        <f>ROUND(_pasywa!H63,2)+ROUND(_pasywa!H64,2)</f>
        <v>0</v>
      </c>
      <c r="J62" s="4">
        <f>ROUND(_pasywa!J63,2)+ROUND(_pasywa!J64,2)</f>
        <v>0</v>
      </c>
      <c r="K62" s="986" t="str">
        <f>IF(AND(_pasywa!F62=0,AND(_pasywa!H62=0,_pasywa!J62=0)),"ukryj","odkryj")</f>
        <v>ukryj</v>
      </c>
      <c r="L62" s="1030"/>
      <c r="M62" s="1029"/>
      <c r="N62" s="1029"/>
      <c r="U62" s="55" t="s">
        <v>8494</v>
      </c>
      <c r="W62" s="55" t="s">
        <v>8495</v>
      </c>
      <c r="AA62" s="1163"/>
    </row>
    <row r="63" spans="1:27" ht="15.75" customHeight="1" x14ac:dyDescent="0.3">
      <c r="A63" s="852" t="s">
        <v>8496</v>
      </c>
      <c r="B63" s="852" t="s">
        <v>8497</v>
      </c>
      <c r="C63" s="1079"/>
      <c r="D63" s="1080" t="str">
        <f t="shared" si="0"/>
        <v/>
      </c>
      <c r="E63" s="58"/>
      <c r="F63" s="5"/>
      <c r="G63" s="64"/>
      <c r="H63" s="5"/>
      <c r="J63" s="5"/>
      <c r="K63" s="986" t="str">
        <f>IF(AND(_pasywa!F63=0,AND(_pasywa!H63=0,_pasywa!J63=0)),"ukryj","odkryj")</f>
        <v>ukryj</v>
      </c>
      <c r="L63" s="1030"/>
      <c r="M63" s="1029"/>
      <c r="N63" s="1029"/>
      <c r="U63" s="55" t="s">
        <v>8498</v>
      </c>
      <c r="W63" s="55" t="s">
        <v>8499</v>
      </c>
      <c r="AA63" s="1163" t="s">
        <v>8500</v>
      </c>
    </row>
    <row r="64" spans="1:27" x14ac:dyDescent="0.3">
      <c r="A64" s="852" t="s">
        <v>8105</v>
      </c>
      <c r="B64" s="852" t="s">
        <v>8501</v>
      </c>
      <c r="C64" s="1077" t="str">
        <f>IF(Noty!K768="n/a","",Noty!L768)</f>
        <v/>
      </c>
      <c r="D64" s="1078" t="str">
        <f t="shared" si="0"/>
        <v/>
      </c>
      <c r="E64" s="58"/>
      <c r="F64" s="2">
        <f>ROUND(_pasywa!F65,2)+ROUND(_pasywa!F66,2)</f>
        <v>0</v>
      </c>
      <c r="G64" s="64"/>
      <c r="H64" s="2">
        <f>ROUND(_pasywa!H65,2)+ROUND(_pasywa!H66,2)</f>
        <v>0</v>
      </c>
      <c r="J64" s="2">
        <f>ROUND(_pasywa!J65,2)+ROUND(_pasywa!J66,2)</f>
        <v>0</v>
      </c>
      <c r="K64" s="986" t="str">
        <f>IF(AND(_pasywa!F64=0,AND(_pasywa!H64=0,_pasywa!J64=0)),"ukryj","odkryj")</f>
        <v>ukryj</v>
      </c>
      <c r="L64" s="1030"/>
      <c r="M64" s="1029"/>
      <c r="N64" s="1029"/>
      <c r="U64" s="55" t="s">
        <v>8502</v>
      </c>
      <c r="W64" s="55" t="s">
        <v>8503</v>
      </c>
      <c r="AA64" s="1163"/>
    </row>
    <row r="65" spans="1:27" ht="15.75" customHeight="1" x14ac:dyDescent="0.3">
      <c r="A65" s="872" t="s">
        <v>8364</v>
      </c>
      <c r="B65" s="850" t="s">
        <v>8353</v>
      </c>
      <c r="C65" s="1077" t="str">
        <f>IF(Noty!K770="n/a","",Noty!L770)</f>
        <v/>
      </c>
      <c r="D65" s="1078" t="str">
        <f t="shared" si="0"/>
        <v/>
      </c>
      <c r="E65" s="58"/>
      <c r="F65" s="2">
        <f>Noty!H778</f>
        <v>0</v>
      </c>
      <c r="G65" s="64"/>
      <c r="H65" s="2">
        <f>Noty!I778</f>
        <v>0</v>
      </c>
      <c r="J65" s="5"/>
      <c r="K65" s="986" t="str">
        <f>IF(AND(_pasywa!F65=0,AND(_pasywa!H65=0,_pasywa!J65=0)),"ukryj","odkryj")</f>
        <v>ukryj</v>
      </c>
      <c r="L65" s="1030"/>
      <c r="M65" s="1029"/>
      <c r="N65" s="1029"/>
      <c r="U65" s="55" t="s">
        <v>8504</v>
      </c>
      <c r="W65" s="55" t="s">
        <v>8505</v>
      </c>
      <c r="AA65" s="1163" t="s">
        <v>8506</v>
      </c>
    </row>
    <row r="66" spans="1:27" ht="15.75" customHeight="1" x14ac:dyDescent="0.3">
      <c r="A66" s="873" t="s">
        <v>8368</v>
      </c>
      <c r="B66" s="874" t="s">
        <v>8357</v>
      </c>
      <c r="C66" s="1077" t="str">
        <f>IF(Noty!K780="n/a","",Noty!L780)</f>
        <v/>
      </c>
      <c r="D66" s="1078" t="str">
        <f t="shared" si="0"/>
        <v/>
      </c>
      <c r="E66" s="58"/>
      <c r="F66" s="3">
        <f>Noty!H788</f>
        <v>0</v>
      </c>
      <c r="G66" s="64"/>
      <c r="H66" s="3">
        <f>Noty!I788</f>
        <v>0</v>
      </c>
      <c r="J66" s="81"/>
      <c r="K66" s="986" t="str">
        <f>IF(AND(_pasywa!F66=0,AND(_pasywa!H66=0,_pasywa!J66=0)),"ukryj","odkryj")</f>
        <v>ukryj</v>
      </c>
      <c r="L66" s="1030"/>
      <c r="M66" s="1029"/>
      <c r="N66" s="1029"/>
      <c r="U66" s="55" t="s">
        <v>8507</v>
      </c>
      <c r="W66" s="55" t="s">
        <v>8508</v>
      </c>
      <c r="AA66" s="1163" t="s">
        <v>8509</v>
      </c>
    </row>
    <row r="67" spans="1:27" ht="15.75" customHeight="1" thickBot="1" x14ac:dyDescent="0.35">
      <c r="A67" s="862" t="s">
        <v>8510</v>
      </c>
      <c r="B67" s="862" t="s">
        <v>8511</v>
      </c>
      <c r="C67" s="1079"/>
      <c r="D67" s="1080" t="str">
        <f t="shared" si="0"/>
        <v/>
      </c>
      <c r="E67" s="55"/>
      <c r="F67" s="6">
        <f>ROUND(_pasywa!F8,2)+ROUND(_pasywa!F20,2)</f>
        <v>0</v>
      </c>
      <c r="G67" s="64"/>
      <c r="H67" s="6">
        <f>ROUND(_pasywa!H8,2)+ROUND(_pasywa!H20,2)</f>
        <v>0</v>
      </c>
      <c r="J67" s="6">
        <f>ROUND(_pasywa!J8,2)+ROUND(_pasywa!J20,2)</f>
        <v>0</v>
      </c>
      <c r="K67" s="986" t="s">
        <v>5070</v>
      </c>
      <c r="L67" s="1030"/>
      <c r="M67" s="1029"/>
      <c r="N67" s="1029"/>
      <c r="U67" s="55" t="s">
        <v>8512</v>
      </c>
      <c r="W67" s="55" t="s">
        <v>8513</v>
      </c>
    </row>
    <row r="68" spans="1:27" ht="15.75" customHeight="1" thickTop="1" x14ac:dyDescent="0.3">
      <c r="A68" s="55"/>
      <c r="B68" s="55"/>
      <c r="C68" s="840"/>
      <c r="D68" s="489"/>
      <c r="E68" s="55"/>
      <c r="F68" s="55"/>
      <c r="G68" s="113"/>
      <c r="H68" s="113"/>
      <c r="J68" s="113"/>
      <c r="K68" s="986"/>
      <c r="L68" s="1030"/>
      <c r="M68" s="1029"/>
      <c r="N68" s="1029"/>
    </row>
    <row r="69" spans="1:27" ht="15.75" customHeight="1" x14ac:dyDescent="0.3">
      <c r="A69" s="55"/>
      <c r="B69" s="55"/>
      <c r="C69" s="840"/>
      <c r="D69" s="489"/>
      <c r="E69" s="55"/>
      <c r="F69" s="55"/>
      <c r="G69" s="113"/>
      <c r="H69" s="113"/>
      <c r="J69" s="113"/>
      <c r="K69" s="986"/>
      <c r="L69" s="1030"/>
      <c r="M69" s="1029"/>
      <c r="N69" s="1029"/>
    </row>
    <row r="70" spans="1:27" ht="15.75" customHeight="1" x14ac:dyDescent="0.3">
      <c r="A70" s="93"/>
      <c r="B70" s="93"/>
      <c r="D70" s="489"/>
      <c r="E70" s="114"/>
      <c r="F70" s="114"/>
      <c r="G70" s="114"/>
      <c r="H70" s="114"/>
      <c r="J70" s="114"/>
      <c r="K70" s="986"/>
    </row>
    <row r="71" spans="1:27" ht="15.75" customHeight="1" x14ac:dyDescent="0.3">
      <c r="A71" s="93"/>
      <c r="B71" s="93"/>
      <c r="D71" s="489"/>
      <c r="E71" s="114"/>
      <c r="F71" s="114"/>
      <c r="G71" s="114"/>
      <c r="H71" s="114"/>
      <c r="J71" s="114"/>
    </row>
    <row r="72" spans="1:27" ht="15.75" customHeight="1" x14ac:dyDescent="0.3">
      <c r="A72" s="93"/>
      <c r="B72" s="93"/>
      <c r="D72" s="489"/>
      <c r="E72" s="114"/>
      <c r="F72" s="114"/>
      <c r="G72" s="114"/>
      <c r="H72" s="114"/>
      <c r="J72" s="114"/>
    </row>
    <row r="73" spans="1:27" ht="15.75" customHeight="1" x14ac:dyDescent="0.3">
      <c r="A73" s="93"/>
      <c r="B73" s="93"/>
      <c r="D73" s="489"/>
      <c r="E73" s="114"/>
      <c r="F73" s="114"/>
      <c r="G73" s="114"/>
      <c r="H73" s="114"/>
      <c r="J73" s="114"/>
    </row>
    <row r="74" spans="1:27" ht="15.75" customHeight="1" x14ac:dyDescent="0.3">
      <c r="A74" s="93"/>
      <c r="B74" s="93"/>
      <c r="D74" s="489"/>
      <c r="E74" s="114"/>
      <c r="F74" s="114"/>
      <c r="G74" s="114"/>
      <c r="H74" s="114"/>
      <c r="J74" s="114"/>
    </row>
    <row r="75" spans="1:27" x14ac:dyDescent="0.3">
      <c r="A75" s="119"/>
      <c r="B75" s="119"/>
      <c r="C75" s="257"/>
      <c r="D75" s="489"/>
      <c r="E75" s="56"/>
      <c r="F75" s="56"/>
      <c r="G75" s="115"/>
      <c r="H75" s="115"/>
      <c r="J75" s="115"/>
    </row>
    <row r="76" spans="1:27" ht="67.599999999999994" customHeight="1" x14ac:dyDescent="0.3">
      <c r="A76" s="120"/>
      <c r="B76" s="120"/>
      <c r="D76" s="489"/>
      <c r="E76" s="121"/>
      <c r="F76" s="122"/>
    </row>
    <row r="77" spans="1:27" x14ac:dyDescent="0.3">
      <c r="A77" s="123"/>
      <c r="B77" s="123"/>
      <c r="C77" s="1090"/>
      <c r="D77" s="489"/>
      <c r="E77" s="124"/>
      <c r="F77" s="116">
        <f>Pasywa_KwotaA-Aktywa_KwotaA</f>
        <v>0</v>
      </c>
      <c r="G77" s="116"/>
      <c r="H77" s="116">
        <f>H67-_aktywa!H95</f>
        <v>0</v>
      </c>
      <c r="J77" s="116"/>
    </row>
    <row r="78" spans="1:27" hidden="1" x14ac:dyDescent="0.3">
      <c r="D78" s="489"/>
    </row>
    <row r="79" spans="1:27" hidden="1" x14ac:dyDescent="0.3">
      <c r="D79" s="489"/>
    </row>
    <row r="80" spans="1:27" hidden="1" x14ac:dyDescent="0.3">
      <c r="D80" s="489"/>
    </row>
    <row r="81" spans="4:4" hidden="1" x14ac:dyDescent="0.3">
      <c r="D81" s="489"/>
    </row>
    <row r="82" spans="4:4" hidden="1" x14ac:dyDescent="0.3">
      <c r="D82" s="489"/>
    </row>
    <row r="83" spans="4:4" hidden="1" x14ac:dyDescent="0.3">
      <c r="D83" s="489"/>
    </row>
    <row r="84" spans="4:4" hidden="1" x14ac:dyDescent="0.3">
      <c r="D84" s="489"/>
    </row>
    <row r="85" spans="4:4" hidden="1" x14ac:dyDescent="0.3">
      <c r="D85" s="489"/>
    </row>
    <row r="86" spans="4:4" hidden="1" x14ac:dyDescent="0.3">
      <c r="D86" s="489"/>
    </row>
    <row r="87" spans="4:4" hidden="1" x14ac:dyDescent="0.3">
      <c r="D87" s="489"/>
    </row>
    <row r="88" spans="4:4" hidden="1" x14ac:dyDescent="0.3">
      <c r="D88" s="489"/>
    </row>
    <row r="89" spans="4:4" hidden="1" x14ac:dyDescent="0.3">
      <c r="D89" s="489"/>
    </row>
    <row r="90" spans="4:4" hidden="1" x14ac:dyDescent="0.3">
      <c r="D90" s="489"/>
    </row>
    <row r="91" spans="4:4" hidden="1" x14ac:dyDescent="0.3">
      <c r="D91" s="489"/>
    </row>
    <row r="92" spans="4:4" hidden="1" x14ac:dyDescent="0.3">
      <c r="D92" s="489"/>
    </row>
    <row r="93" spans="4:4" hidden="1" x14ac:dyDescent="0.3">
      <c r="D93" s="489"/>
    </row>
    <row r="94" spans="4:4" hidden="1" x14ac:dyDescent="0.3">
      <c r="D94" s="489"/>
    </row>
    <row r="95" spans="4:4" hidden="1" x14ac:dyDescent="0.3">
      <c r="D95" s="489"/>
    </row>
    <row r="102" spans="4:4" hidden="1" x14ac:dyDescent="0.3">
      <c r="D102" s="1091"/>
    </row>
    <row r="109" spans="4:4" hidden="1" x14ac:dyDescent="0.3">
      <c r="D109" s="840"/>
    </row>
    <row r="111" spans="4:4" x14ac:dyDescent="0.3"/>
    <row r="112" spans="4:4" x14ac:dyDescent="0.3"/>
    <row r="113" x14ac:dyDescent="0.3"/>
    <row r="114" x14ac:dyDescent="0.3"/>
    <row r="115" x14ac:dyDescent="0.3"/>
  </sheetData>
  <sheetProtection formatCells="0" formatColumns="0" formatRows="0" sort="0" autoFilter="0"/>
  <protectedRanges>
    <protectedRange sqref="A69:C74 E69:XFD74" name="Range2"/>
    <protectedRange sqref="G8:J8 G20:J21 G29:J29 G38:J40 G44:J45 G49:J49 G53:J53 G62:J62 G64:J64 G67:J67 G23:J23 C2:C8 G26:J26 E2:J7 E8 E22:J22 E20:E21 E29 E41:J43 E38:E40 E46:J48 E44:E45 E50:J52 E49 E54:J61 E53 E63:J63 E62 E65:J66 E64 E68:J1048576 E67 E24:J25 E23 E27:J28 E26 C24:C26 C10:C21 E9:J19 E30:J37 C33:C1048576" name="Range1"/>
    <protectedRange sqref="F8" name="Range1_2"/>
    <protectedRange sqref="F20" name="Range1_3"/>
    <protectedRange sqref="F21" name="Range1_4"/>
    <protectedRange sqref="F29" name="Range1_5"/>
    <protectedRange sqref="F38" name="Range1_6"/>
    <protectedRange sqref="F39" name="Range1_7"/>
    <protectedRange sqref="F40" name="Range1_8"/>
    <protectedRange sqref="F44:F45" name="Range1_9"/>
    <protectedRange sqref="F49" name="Range1_10"/>
    <protectedRange sqref="F53" name="Range1_11"/>
    <protectedRange sqref="F62" name="Range1_12"/>
    <protectedRange sqref="F64" name="Range1_13"/>
    <protectedRange sqref="F67" name="Range1_14"/>
    <protectedRange sqref="F23" name="Range1_1"/>
    <protectedRange sqref="F26" name="Range1_15"/>
    <protectedRange sqref="D2:D1048576" name="Range1_16"/>
    <protectedRange sqref="C9 C22:C23 C27:C32" name="Range1_17"/>
  </protectedRanges>
  <autoFilter ref="K2:K67" xr:uid="{00000000-0009-0000-0000-00000E000000}"/>
  <dataConsolidate/>
  <conditionalFormatting sqref="D7:D160">
    <cfRule type="cellIs" dxfId="23" priority="3" stopIfTrue="1" operator="notEqual">
      <formula>""</formula>
    </cfRule>
  </conditionalFormatting>
  <conditionalFormatting sqref="C7:C160">
    <cfRule type="cellIs" dxfId="22" priority="2" stopIfTrue="1" operator="notEqual">
      <formula>""</formula>
    </cfRule>
  </conditionalFormatting>
  <conditionalFormatting sqref="A1:B1048576">
    <cfRule type="expression" dxfId="21" priority="1" stopIfTrue="1">
      <formula>$K1="ukryj"</formula>
    </cfRule>
  </conditionalFormatting>
  <hyperlinks>
    <hyperlink ref="C9" location="Noty!$L$564" display="Noty!$L$564" xr:uid="{00000000-0004-0000-0E00-000000000000}"/>
    <hyperlink ref="C22" location="Noty!$L$1149" display="Noty!$L$1149" xr:uid="{00000000-0004-0000-0E00-000001000000}"/>
    <hyperlink ref="C23" location="Noty!$L$613" display="Noty!$L$613" xr:uid="{00000000-0004-0000-0E00-000002000000}"/>
    <hyperlink ref="C27" location="Noty!$L$623" display="Noty!$L$623" xr:uid="{00000000-0004-0000-0E00-000003000000}"/>
    <hyperlink ref="C28" location="Noty!$L$633" display="Noty!$L$633" xr:uid="{00000000-0004-0000-0E00-000004000000}"/>
    <hyperlink ref="C29" location="Noty!$L$649" display="Noty!$L$649" xr:uid="{00000000-0004-0000-0E00-000005000000}"/>
    <hyperlink ref="C30" location="Noty!$L$662" display="Noty!$L$662" xr:uid="{00000000-0004-0000-0E00-000006000000}"/>
    <hyperlink ref="C31" location="Noty!$L$675" display="Noty!$L$675" xr:uid="{00000000-0004-0000-0E00-000007000000}"/>
    <hyperlink ref="C32" location="Noty!$L$688" display="Noty!$L$688" xr:uid="{00000000-0004-0000-0E00-000008000000}"/>
    <hyperlink ref="C64" location="Noty!$L$758" display="Noty!$L$758" xr:uid="{00000000-0004-0000-0E00-000009000000}"/>
    <hyperlink ref="C65" location="Noty!$L$760" display="Noty!$L$760" xr:uid="{00000000-0004-0000-0E00-00000A000000}"/>
    <hyperlink ref="C66" location="Noty!$L$770" display="Noty!$L$770" xr:uid="{00000000-0004-0000-0E00-00000B000000}"/>
    <hyperlink ref="D9" location="Notes!$L$564" display="Notes!$L$564" xr:uid="{00000000-0004-0000-0E00-00000C000000}"/>
    <hyperlink ref="D22" location="Notes!$L$1149" display="Notes!$L$1149" xr:uid="{00000000-0004-0000-0E00-00000D000000}"/>
    <hyperlink ref="D23" location="Notes!$L$613" display="Notes!$L$613" xr:uid="{00000000-0004-0000-0E00-00000E000000}"/>
    <hyperlink ref="D27" location="Notes!$L$623" display="Notes!$L$623" xr:uid="{00000000-0004-0000-0E00-00000F000000}"/>
    <hyperlink ref="D28" location="Notes!$L$633" display="Notes!$L$633" xr:uid="{00000000-0004-0000-0E00-000010000000}"/>
    <hyperlink ref="D29" location="Notes!$L$649" display="Notes!$L$649" xr:uid="{00000000-0004-0000-0E00-000011000000}"/>
    <hyperlink ref="D30" location="Notes!$L$662" display="Notes!$L$662" xr:uid="{00000000-0004-0000-0E00-000012000000}"/>
    <hyperlink ref="D31" location="Notes!$L$675" display="Notes!$L$675" xr:uid="{00000000-0004-0000-0E00-000013000000}"/>
    <hyperlink ref="D32" location="Notes!$L$688" display="Notes!$L$688" xr:uid="{00000000-0004-0000-0E00-000014000000}"/>
    <hyperlink ref="D40" location="Notes!$L$737" display="Notes!$L$737" xr:uid="{00000000-0004-0000-0E00-000015000000}"/>
    <hyperlink ref="D45" location="Notes!$L$737" display="Notes!$L$737" xr:uid="{00000000-0004-0000-0E00-000016000000}"/>
    <hyperlink ref="D53" location="Notes!$L$737" display="Notes!$L$737" xr:uid="{00000000-0004-0000-0E00-000017000000}"/>
    <hyperlink ref="D64" location="Notes!$L$758" display="Notes!$L$758" xr:uid="{00000000-0004-0000-0E00-000018000000}"/>
    <hyperlink ref="D65" location="Notes!$L$760" display="Notes!$L$760" xr:uid="{00000000-0004-0000-0E00-000019000000}"/>
    <hyperlink ref="D66" location="Notes!$L$770" display="Notes!$L$770" xr:uid="{00000000-0004-0000-0E00-00001A000000}"/>
  </hyperlinks>
  <printOptions horizontalCentered="1"/>
  <pageMargins left="0.70866141732283472" right="0.70866141732283472" top="0.74803149606299213" bottom="0.74803149606299213" header="0.31496062992125984" footer="0.31496062992125984"/>
  <pageSetup paperSize="9" scale="90" orientation="portrait"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Dodaj pozycję użytkownika">
              <controlPr defaultSize="0" print="0" autoFill="0" autoPict="0" macro="[0]!Wezwij_Dodaj_PU">
                <anchor>
                  <from>
                    <xdr:col>0</xdr:col>
                    <xdr:colOff>41564</xdr:colOff>
                    <xdr:row>0</xdr:row>
                    <xdr:rowOff>41564</xdr:rowOff>
                  </from>
                  <to>
                    <xdr:col>0</xdr:col>
                    <xdr:colOff>1064029</xdr:colOff>
                    <xdr:row>0</xdr:row>
                    <xdr:rowOff>507076</xdr:rowOff>
                  </to>
                </anchor>
              </controlPr>
            </control>
          </mc:Choice>
        </mc:AlternateContent>
        <mc:AlternateContent xmlns:mc="http://schemas.openxmlformats.org/markup-compatibility/2006">
          <mc:Choice Requires="x14">
            <control shapeId="116740" r:id="rId5" name="Usuń pozycję użytkownika">
              <controlPr defaultSize="0" print="0" autoFill="0" autoPict="0" macro="[0]!Wezwij_Usun_PU">
                <anchor>
                  <from>
                    <xdr:col>0</xdr:col>
                    <xdr:colOff>1080655</xdr:colOff>
                    <xdr:row>0</xdr:row>
                    <xdr:rowOff>41564</xdr:rowOff>
                  </from>
                  <to>
                    <xdr:col>0</xdr:col>
                    <xdr:colOff>2094807</xdr:colOff>
                    <xdr:row>0</xdr:row>
                    <xdr:rowOff>507076</xdr:rowOff>
                  </to>
                </anchor>
              </controlPr>
            </control>
          </mc:Choice>
        </mc:AlternateContent>
        <mc:AlternateContent xmlns:mc="http://schemas.openxmlformats.org/markup-compatibility/2006">
          <mc:Choice Requires="x14">
            <control shapeId="116741" r:id="rId6" name="Odkryj wszystkie wiersze">
              <controlPr defaultSize="0" print="0" autoFill="0" autoPict="0" macro="[0]!filtr_Odkryj">
                <anchor moveWithCells="1">
                  <from>
                    <xdr:col>11</xdr:col>
                    <xdr:colOff>282633</xdr:colOff>
                    <xdr:row>0</xdr:row>
                    <xdr:rowOff>41564</xdr:rowOff>
                  </from>
                  <to>
                    <xdr:col>27</xdr:col>
                    <xdr:colOff>257695</xdr:colOff>
                    <xdr:row>0</xdr:row>
                    <xdr:rowOff>507076</xdr:rowOff>
                  </to>
                </anchor>
              </controlPr>
            </control>
          </mc:Choice>
        </mc:AlternateContent>
        <mc:AlternateContent xmlns:mc="http://schemas.openxmlformats.org/markup-compatibility/2006">
          <mc:Choice Requires="x14">
            <control shapeId="116742" r:id="rId7" name="Ukryj wszystkie wiersze">
              <controlPr defaultSize="0" print="0" autoFill="0" autoPict="0" macro="[0]!Formuly.filtr_Ukryj_Arkusz">
                <anchor moveWithCells="1">
                  <from>
                    <xdr:col>9</xdr:col>
                    <xdr:colOff>0</xdr:colOff>
                    <xdr:row>0</xdr:row>
                    <xdr:rowOff>41564</xdr:rowOff>
                  </from>
                  <to>
                    <xdr:col>9</xdr:col>
                    <xdr:colOff>1064029</xdr:colOff>
                    <xdr:row>0</xdr:row>
                    <xdr:rowOff>507076</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AA661"/>
  <sheetViews>
    <sheetView view="pageBreakPreview" zoomScale="70" zoomScaleNormal="100" zoomScaleSheetLayoutView="70" workbookViewId="0">
      <pane ySplit="1" topLeftCell="A86" activePane="bottomLeft" state="frozen"/>
      <selection pane="bottomLeft"/>
    </sheetView>
  </sheetViews>
  <sheetFormatPr defaultColWidth="11.44140625" defaultRowHeight="15.75" zeroHeight="1" x14ac:dyDescent="0.3"/>
  <cols>
    <col min="1" max="2" width="49.6640625" style="55" customWidth="1"/>
    <col min="3" max="3" width="5" style="840" customWidth="1"/>
    <col min="4" max="4" width="5" style="1089" customWidth="1"/>
    <col min="5" max="5" width="2.5546875" style="126" customWidth="1"/>
    <col min="6" max="6" width="17.6640625" style="127" customWidth="1"/>
    <col min="7" max="7" width="2.109375" style="127" customWidth="1"/>
    <col min="8" max="8" width="17.6640625" style="127" customWidth="1"/>
    <col min="9" max="9" width="2.109375" customWidth="1"/>
    <col min="10" max="10" width="20.109375" style="127" customWidth="1"/>
    <col min="11" max="11" width="12" style="131" customWidth="1"/>
    <col min="12" max="13" width="11.44140625" style="55" hidden="1" customWidth="1"/>
    <col min="14" max="14" width="111.44140625" style="55" hidden="1" customWidth="1"/>
    <col min="15" max="23" width="11.44140625" style="55" hidden="1" customWidth="1"/>
    <col min="24" max="26" width="0" style="55" hidden="1" customWidth="1"/>
    <col min="27" max="16384" width="11.44140625" style="55"/>
  </cols>
  <sheetData>
    <row r="1" spans="1:27" ht="44.2" customHeight="1" x14ac:dyDescent="0.3">
      <c r="A1" s="55" t="s">
        <v>3259</v>
      </c>
    </row>
    <row r="2" spans="1:27" ht="15.75" customHeight="1" x14ac:dyDescent="0.3">
      <c r="A2" s="880" t="str">
        <f>UPPER(Input!C2)</f>
        <v>TESTOWA 185 SP. Z O.O.</v>
      </c>
      <c r="B2" s="880" t="str">
        <f>UPPER(Input!C2)</f>
        <v>TESTOWA 185 SP. Z O.O.</v>
      </c>
      <c r="C2" s="1088"/>
      <c r="D2" s="1086"/>
      <c r="E2" s="296"/>
      <c r="F2" s="353"/>
      <c r="G2" s="353"/>
      <c r="H2" s="353"/>
      <c r="L2" s="1029"/>
      <c r="M2" s="1029"/>
      <c r="N2" s="1029"/>
    </row>
    <row r="3" spans="1:27" ht="15.75" customHeight="1" x14ac:dyDescent="0.3">
      <c r="A3" s="880" t="s">
        <v>8514</v>
      </c>
      <c r="B3" s="880" t="s">
        <v>8515</v>
      </c>
      <c r="C3" s="1088"/>
      <c r="D3" s="1086"/>
      <c r="E3" s="296"/>
      <c r="F3" s="353"/>
      <c r="G3" s="353"/>
      <c r="H3" s="353"/>
      <c r="L3" s="1029"/>
      <c r="M3" s="1029"/>
      <c r="N3" s="1029"/>
    </row>
    <row r="4" spans="1:27" ht="15.75" customHeight="1" x14ac:dyDescent="0.3">
      <c r="A4" s="295" t="str">
        <f>_aktywa!A4</f>
        <v>(wszystkie dane liczbowe przedstawiono w złotych polskich)</v>
      </c>
      <c r="B4" s="295" t="str">
        <f>_aktywa!B4</f>
        <v>(All amounts are stated in PLN)</v>
      </c>
      <c r="C4" s="1088"/>
      <c r="D4" s="1086"/>
      <c r="E4" s="296"/>
      <c r="F4" s="353"/>
      <c r="G4" s="353"/>
      <c r="H4" s="353"/>
      <c r="L4" s="1029"/>
      <c r="M4" s="1029"/>
      <c r="N4" s="1029"/>
    </row>
    <row r="5" spans="1:27" ht="15.75" customHeight="1" x14ac:dyDescent="0.3">
      <c r="A5" s="880"/>
      <c r="B5" s="880"/>
      <c r="C5" s="1088"/>
      <c r="D5" s="1086"/>
      <c r="E5" s="296"/>
      <c r="F5" s="353"/>
      <c r="G5" s="353"/>
      <c r="H5" s="353"/>
      <c r="L5" s="1029"/>
      <c r="M5" s="1029"/>
      <c r="N5" s="1029"/>
    </row>
    <row r="6" spans="1:27" s="132" customFormat="1" ht="27" customHeight="1" x14ac:dyDescent="0.3">
      <c r="A6" s="880"/>
      <c r="B6" s="880"/>
      <c r="C6" s="1084" t="s">
        <v>7943</v>
      </c>
      <c r="D6" s="1084" t="s">
        <v>7944</v>
      </c>
      <c r="E6" s="881"/>
      <c r="F6" s="882" t="str">
        <f>CONCATENATE(Input!P6," -",Input!P7)</f>
        <v>01.01.2020 -31.12.2020</v>
      </c>
      <c r="G6" s="772"/>
      <c r="H6" s="882" t="str">
        <f>CONCATENATE(Input!P10," -",Input!P11)</f>
        <v>01.01.2019 -31.12.2019</v>
      </c>
      <c r="I6" s="883"/>
      <c r="J6" s="884" t="str">
        <f>Input!P11&amp;" 
Dane przekształcone"</f>
        <v>31.12.2019 
Dane przekształcone</v>
      </c>
      <c r="K6" s="987" t="s">
        <v>5070</v>
      </c>
      <c r="L6" s="1034"/>
      <c r="M6" s="1034"/>
      <c r="N6" s="1034"/>
    </row>
    <row r="7" spans="1:27" ht="15.75" customHeight="1" x14ac:dyDescent="0.3">
      <c r="A7" s="93"/>
      <c r="B7" s="93"/>
      <c r="D7" s="1075"/>
      <c r="E7" s="133"/>
      <c r="F7" s="128"/>
      <c r="G7" s="128"/>
      <c r="H7" s="128"/>
      <c r="J7" s="128"/>
      <c r="K7" s="987" t="s">
        <v>5070</v>
      </c>
      <c r="L7" s="1029"/>
      <c r="M7" s="1029"/>
      <c r="N7" s="1029"/>
    </row>
    <row r="8" spans="1:27" ht="15.75" customHeight="1" x14ac:dyDescent="0.3">
      <c r="A8" s="862" t="s">
        <v>8516</v>
      </c>
      <c r="B8" s="862" t="s">
        <v>8517</v>
      </c>
      <c r="C8" s="1077" t="str">
        <f>IF(Noty!K915="n/a","",Noty!L915)</f>
        <v/>
      </c>
      <c r="D8" s="1078" t="str">
        <f>IF(C8="","",C8)</f>
        <v/>
      </c>
      <c r="E8" s="133"/>
      <c r="F8" s="763">
        <f>rzis!F10+rzis!F11+rzis!F12+rzis!F13</f>
        <v>0</v>
      </c>
      <c r="G8" s="129"/>
      <c r="H8" s="763">
        <f>rzis!H10+rzis!H11+rzis!H12+rzis!H13</f>
        <v>0</v>
      </c>
      <c r="J8" s="763">
        <f>rzis!J10+rzis!J11+rzis!J12+rzis!J13</f>
        <v>0</v>
      </c>
      <c r="K8" s="987" t="str">
        <f>IF(WariantRZiS=2,"ukryj",IF(AND(rzis!F8=0,AND(rzis!H8=0,rzis!J8=0)),"ukryj","odkryj"))</f>
        <v>ukryj</v>
      </c>
      <c r="L8" s="1029"/>
      <c r="M8" s="1029"/>
      <c r="N8" s="1029"/>
      <c r="U8" s="55" t="s">
        <v>8518</v>
      </c>
      <c r="W8" s="55" t="s">
        <v>8519</v>
      </c>
    </row>
    <row r="9" spans="1:27" ht="15.75" customHeight="1" x14ac:dyDescent="0.3">
      <c r="A9" s="878" t="s">
        <v>8520</v>
      </c>
      <c r="B9" s="878" t="s">
        <v>8521</v>
      </c>
      <c r="C9" s="1079"/>
      <c r="D9" s="1080" t="str">
        <f t="shared" ref="D9:D58" si="0">IF(C9="","",C9)</f>
        <v/>
      </c>
      <c r="E9" s="133"/>
      <c r="F9" s="5"/>
      <c r="G9" s="63"/>
      <c r="H9" s="5"/>
      <c r="J9" s="5"/>
      <c r="K9" s="987" t="str">
        <f>IF(WariantRZiS=2,"ukryj",IF(AND(rzis!F9=0,AND(rzis!H9=0,rzis!J9=0)),"ukryj","odkryj"))</f>
        <v>ukryj</v>
      </c>
      <c r="L9" s="1029"/>
      <c r="M9" s="1029"/>
      <c r="N9" s="1029"/>
      <c r="U9" s="55" t="s">
        <v>8522</v>
      </c>
      <c r="W9" s="55" t="s">
        <v>8523</v>
      </c>
      <c r="AA9" s="1163"/>
    </row>
    <row r="10" spans="1:27" ht="15.75" customHeight="1" x14ac:dyDescent="0.3">
      <c r="A10" s="864" t="s">
        <v>8524</v>
      </c>
      <c r="B10" s="864" t="s">
        <v>8525</v>
      </c>
      <c r="C10" s="1079"/>
      <c r="D10" s="1080" t="str">
        <f t="shared" si="0"/>
        <v/>
      </c>
      <c r="E10" s="133"/>
      <c r="F10" s="2">
        <f>Noty!H923</f>
        <v>0</v>
      </c>
      <c r="G10" s="63"/>
      <c r="H10" s="2">
        <f>Noty!I923</f>
        <v>0</v>
      </c>
      <c r="J10" s="5"/>
      <c r="K10" s="987" t="str">
        <f>IF(WariantRZiS=2,"ukryj",IF(AND(rzis!F10=0,AND(rzis!H10=0,rzis!J10=0)),"ukryj","odkryj"))</f>
        <v>ukryj</v>
      </c>
      <c r="L10" s="1029"/>
      <c r="M10" s="1029"/>
      <c r="N10" s="1029"/>
      <c r="U10" s="55" t="s">
        <v>8526</v>
      </c>
      <c r="W10" s="55" t="s">
        <v>8527</v>
      </c>
      <c r="AA10" s="1163" t="s">
        <v>8528</v>
      </c>
    </row>
    <row r="11" spans="1:27" ht="15.75" customHeight="1" x14ac:dyDescent="0.3">
      <c r="A11" s="864" t="s">
        <v>8529</v>
      </c>
      <c r="B11" s="864" t="s">
        <v>8530</v>
      </c>
      <c r="C11" s="1079"/>
      <c r="D11" s="1080" t="str">
        <f t="shared" si="0"/>
        <v/>
      </c>
      <c r="E11" s="133"/>
      <c r="F11" s="5"/>
      <c r="G11" s="63"/>
      <c r="H11" s="5"/>
      <c r="J11" s="5"/>
      <c r="K11" s="987" t="str">
        <f>IF(WariantRZiS=2,"ukryj",IF(AND(rzis!F11=0,AND(rzis!H11=0,rzis!J11=0)),"ukryj","odkryj"))</f>
        <v>ukryj</v>
      </c>
      <c r="L11" s="1029"/>
      <c r="M11" s="1029"/>
      <c r="N11" s="1029"/>
      <c r="U11" s="55" t="s">
        <v>8531</v>
      </c>
      <c r="W11" s="55" t="s">
        <v>8532</v>
      </c>
      <c r="AA11" s="1163"/>
    </row>
    <row r="12" spans="1:27" ht="15.75" customHeight="1" x14ac:dyDescent="0.3">
      <c r="A12" s="864" t="s">
        <v>8533</v>
      </c>
      <c r="B12" s="864" t="s">
        <v>8534</v>
      </c>
      <c r="C12" s="1079"/>
      <c r="D12" s="1080" t="str">
        <f t="shared" si="0"/>
        <v/>
      </c>
      <c r="E12" s="133"/>
      <c r="F12" s="5"/>
      <c r="G12" s="63"/>
      <c r="H12" s="5"/>
      <c r="J12" s="5"/>
      <c r="K12" s="987" t="str">
        <f>IF(WariantRZiS=2,"ukryj",IF(AND(rzis!F12=0,AND(rzis!H12=0,rzis!J12=0)),"ukryj","odkryj"))</f>
        <v>ukryj</v>
      </c>
      <c r="L12" s="1029"/>
      <c r="M12" s="1029"/>
      <c r="N12" s="1029"/>
      <c r="U12" s="55" t="s">
        <v>8535</v>
      </c>
      <c r="W12" s="55" t="s">
        <v>8536</v>
      </c>
      <c r="AA12" s="1163"/>
    </row>
    <row r="13" spans="1:27" ht="15.75" customHeight="1" x14ac:dyDescent="0.3">
      <c r="A13" s="864" t="s">
        <v>8537</v>
      </c>
      <c r="B13" s="864" t="s">
        <v>8538</v>
      </c>
      <c r="C13" s="1079"/>
      <c r="D13" s="1080" t="str">
        <f t="shared" si="0"/>
        <v/>
      </c>
      <c r="E13" s="133"/>
      <c r="F13" s="2">
        <f>Noty!H927</f>
        <v>0</v>
      </c>
      <c r="G13" s="63"/>
      <c r="H13" s="2">
        <f>Noty!I927</f>
        <v>0</v>
      </c>
      <c r="J13" s="5"/>
      <c r="K13" s="987" t="str">
        <f>IF(WariantRZiS=2,"ukryj",IF(AND(rzis!F13=0,AND(rzis!H13=0,rzis!J13=0)),"ukryj","odkryj"))</f>
        <v>ukryj</v>
      </c>
      <c r="L13" s="1029"/>
      <c r="M13" s="1029"/>
      <c r="N13" s="1029"/>
      <c r="U13" s="55" t="s">
        <v>8539</v>
      </c>
      <c r="W13" s="55" t="s">
        <v>8540</v>
      </c>
      <c r="AA13" s="1163" t="s">
        <v>8541</v>
      </c>
    </row>
    <row r="14" spans="1:27" ht="15.75" customHeight="1" x14ac:dyDescent="0.3">
      <c r="A14" s="862" t="s">
        <v>8542</v>
      </c>
      <c r="B14" s="862" t="s">
        <v>8543</v>
      </c>
      <c r="C14" s="1079"/>
      <c r="D14" s="1080" t="str">
        <f t="shared" si="0"/>
        <v/>
      </c>
      <c r="E14" s="133"/>
      <c r="F14" s="763">
        <f>rzis!F15+rzis!F16+rzis!F17+rzis!F18+rzis!F20+rzis!F21+rzis!F23+rzis!F24</f>
        <v>0</v>
      </c>
      <c r="G14" s="64"/>
      <c r="H14" s="763">
        <f>rzis!H15+rzis!H16+rzis!H17+rzis!H18+rzis!H20+rzis!H21+rzis!H23+rzis!H24</f>
        <v>0</v>
      </c>
      <c r="J14" s="763">
        <f>rzis!J15+rzis!J16+rzis!J17+rzis!J18+rzis!J20+rzis!J21+rzis!J23+rzis!J24</f>
        <v>0</v>
      </c>
      <c r="K14" s="987" t="str">
        <f>IF(WariantRZiS=2,"ukryj",IF(AND(rzis!F14=0,AND(rzis!H14=0,rzis!J14=0)),"ukryj","odkryj"))</f>
        <v>ukryj</v>
      </c>
      <c r="L14" s="1029"/>
      <c r="M14" s="1029"/>
      <c r="N14" s="1029"/>
      <c r="U14" s="55" t="s">
        <v>8544</v>
      </c>
      <c r="W14" s="55" t="s">
        <v>8545</v>
      </c>
      <c r="AA14" s="1163"/>
    </row>
    <row r="15" spans="1:27" ht="15.75" customHeight="1" x14ac:dyDescent="0.3">
      <c r="A15" s="864" t="s">
        <v>8546</v>
      </c>
      <c r="B15" s="864" t="s">
        <v>8547</v>
      </c>
      <c r="C15" s="1079"/>
      <c r="D15" s="1080" t="str">
        <f t="shared" si="0"/>
        <v/>
      </c>
      <c r="E15" s="133"/>
      <c r="F15" s="5"/>
      <c r="G15" s="63"/>
      <c r="H15" s="5"/>
      <c r="J15" s="5"/>
      <c r="K15" s="987" t="str">
        <f>IF(WariantRZiS=2,"ukryj",IF(AND(rzis!F15=0,AND(rzis!H15=0,rzis!J15=0)),"ukryj","odkryj"))</f>
        <v>ukryj</v>
      </c>
      <c r="L15" s="1029"/>
      <c r="M15" s="1029"/>
      <c r="N15" s="1029"/>
      <c r="U15" s="55" t="s">
        <v>8548</v>
      </c>
      <c r="W15" s="55" t="s">
        <v>8549</v>
      </c>
      <c r="AA15" s="1163" t="s">
        <v>8550</v>
      </c>
    </row>
    <row r="16" spans="1:27" ht="15.75" customHeight="1" x14ac:dyDescent="0.3">
      <c r="A16" s="864" t="s">
        <v>8551</v>
      </c>
      <c r="B16" s="864" t="s">
        <v>8552</v>
      </c>
      <c r="C16" s="1079"/>
      <c r="D16" s="1080" t="str">
        <f t="shared" si="0"/>
        <v/>
      </c>
      <c r="E16" s="133"/>
      <c r="F16" s="5"/>
      <c r="G16" s="63"/>
      <c r="H16" s="5"/>
      <c r="J16" s="5"/>
      <c r="K16" s="987" t="str">
        <f>IF(WariantRZiS=2,"ukryj",IF(AND(rzis!F16=0,AND(rzis!H16=0,rzis!J16=0)),"ukryj","odkryj"))</f>
        <v>ukryj</v>
      </c>
      <c r="L16" s="1029"/>
      <c r="M16" s="1029"/>
      <c r="N16" s="1029"/>
      <c r="U16" s="55" t="s">
        <v>8553</v>
      </c>
      <c r="W16" s="55" t="s">
        <v>8554</v>
      </c>
      <c r="AA16" s="1163" t="s">
        <v>8555</v>
      </c>
    </row>
    <row r="17" spans="1:27" ht="15.75" customHeight="1" x14ac:dyDescent="0.3">
      <c r="A17" s="864" t="s">
        <v>8556</v>
      </c>
      <c r="B17" s="864" t="s">
        <v>8557</v>
      </c>
      <c r="C17" s="1079"/>
      <c r="D17" s="1080" t="str">
        <f t="shared" si="0"/>
        <v/>
      </c>
      <c r="E17" s="133"/>
      <c r="F17" s="5"/>
      <c r="G17" s="63"/>
      <c r="H17" s="5"/>
      <c r="J17" s="5"/>
      <c r="K17" s="987" t="str">
        <f>IF(WariantRZiS=2,"ukryj",IF(AND(rzis!F17=0,AND(rzis!H17=0,rzis!J17=0)),"ukryj","odkryj"))</f>
        <v>ukryj</v>
      </c>
      <c r="L17" s="1029"/>
      <c r="M17" s="1029"/>
      <c r="N17" s="1029"/>
      <c r="U17" s="55" t="s">
        <v>8558</v>
      </c>
      <c r="W17" s="55" t="s">
        <v>8559</v>
      </c>
      <c r="AA17" s="1163" t="s">
        <v>8560</v>
      </c>
    </row>
    <row r="18" spans="1:27" ht="15.75" customHeight="1" x14ac:dyDescent="0.3">
      <c r="A18" s="864" t="s">
        <v>8561</v>
      </c>
      <c r="B18" s="864" t="s">
        <v>8562</v>
      </c>
      <c r="C18" s="1079"/>
      <c r="D18" s="1080" t="str">
        <f t="shared" si="0"/>
        <v/>
      </c>
      <c r="E18" s="133"/>
      <c r="F18" s="5"/>
      <c r="G18" s="63"/>
      <c r="H18" s="5"/>
      <c r="J18" s="5"/>
      <c r="K18" s="987" t="str">
        <f>IF(WariantRZiS=2,"ukryj",IF(AND(rzis!F18=0,AND(rzis!H18=0,rzis!J18=0)),"ukryj","odkryj"))</f>
        <v>ukryj</v>
      </c>
      <c r="L18" s="1029"/>
      <c r="M18" s="1029"/>
      <c r="N18" s="1029"/>
      <c r="U18" s="55" t="s">
        <v>8563</v>
      </c>
      <c r="W18" s="55" t="s">
        <v>8564</v>
      </c>
      <c r="AA18" s="1163" t="s">
        <v>8565</v>
      </c>
    </row>
    <row r="19" spans="1:27" ht="15.75" customHeight="1" x14ac:dyDescent="0.3">
      <c r="A19" s="852" t="s">
        <v>8566</v>
      </c>
      <c r="B19" s="852" t="s">
        <v>8567</v>
      </c>
      <c r="C19" s="1079"/>
      <c r="D19" s="1080" t="str">
        <f t="shared" si="0"/>
        <v/>
      </c>
      <c r="E19" s="133"/>
      <c r="F19" s="5"/>
      <c r="G19" s="63"/>
      <c r="H19" s="5"/>
      <c r="J19" s="5"/>
      <c r="K19" s="987" t="str">
        <f>IF(WariantRZiS=2,"ukryj",IF(AND(rzis!F19=0,AND(rzis!H19=0,rzis!J19=0)),"ukryj","odkryj"))</f>
        <v>ukryj</v>
      </c>
      <c r="L19" s="1029"/>
      <c r="M19" s="1029"/>
      <c r="N19" s="1029"/>
      <c r="U19" s="55" t="s">
        <v>8568</v>
      </c>
      <c r="W19" s="55" t="s">
        <v>8569</v>
      </c>
      <c r="AA19" s="1163" t="s">
        <v>8570</v>
      </c>
    </row>
    <row r="20" spans="1:27" ht="15.75" customHeight="1" x14ac:dyDescent="0.3">
      <c r="A20" s="864" t="s">
        <v>8571</v>
      </c>
      <c r="B20" s="864" t="s">
        <v>8572</v>
      </c>
      <c r="C20" s="1079"/>
      <c r="D20" s="1080" t="str">
        <f t="shared" si="0"/>
        <v/>
      </c>
      <c r="E20" s="133"/>
      <c r="F20" s="5"/>
      <c r="G20" s="63"/>
      <c r="H20" s="5"/>
      <c r="J20" s="5"/>
      <c r="K20" s="987" t="str">
        <f>IF(WariantRZiS=2,"ukryj",IF(AND(rzis!F20=0,AND(rzis!H20=0,rzis!J20=0)),"ukryj","odkryj"))</f>
        <v>ukryj</v>
      </c>
      <c r="L20" s="1029"/>
      <c r="M20" s="1029"/>
      <c r="N20" s="1029"/>
      <c r="U20" s="55" t="s">
        <v>8573</v>
      </c>
      <c r="W20" s="55" t="s">
        <v>8574</v>
      </c>
      <c r="AA20" s="1163" t="s">
        <v>8575</v>
      </c>
    </row>
    <row r="21" spans="1:27" ht="15.75" customHeight="1" x14ac:dyDescent="0.3">
      <c r="A21" s="865" t="s">
        <v>8576</v>
      </c>
      <c r="B21" s="865" t="s">
        <v>8577</v>
      </c>
      <c r="C21" s="1079"/>
      <c r="D21" s="1080" t="str">
        <f t="shared" si="0"/>
        <v/>
      </c>
      <c r="E21" s="133"/>
      <c r="F21" s="5"/>
      <c r="G21" s="63"/>
      <c r="H21" s="5"/>
      <c r="J21" s="5"/>
      <c r="K21" s="987" t="str">
        <f>IF(WariantRZiS=2,"ukryj",IF(AND(rzis!F21=0,AND(rzis!H21=0,rzis!J21=0)),"ukryj","odkryj"))</f>
        <v>ukryj</v>
      </c>
      <c r="L21" s="1029"/>
      <c r="M21" s="1029"/>
      <c r="N21" s="1029"/>
      <c r="U21" s="55" t="s">
        <v>8578</v>
      </c>
      <c r="W21" s="55" t="s">
        <v>8579</v>
      </c>
      <c r="AA21" s="1163" t="s">
        <v>8580</v>
      </c>
    </row>
    <row r="22" spans="1:27" ht="15.75" customHeight="1" x14ac:dyDescent="0.3">
      <c r="A22" s="878" t="s">
        <v>8581</v>
      </c>
      <c r="B22" s="878" t="s">
        <v>8582</v>
      </c>
      <c r="C22" s="1079"/>
      <c r="D22" s="1080" t="str">
        <f t="shared" si="0"/>
        <v/>
      </c>
      <c r="E22" s="133"/>
      <c r="F22" s="5"/>
      <c r="G22" s="63"/>
      <c r="H22" s="5"/>
      <c r="J22" s="5"/>
      <c r="K22" s="987" t="str">
        <f>IF(WariantRZiS=2,"ukryj",IF(AND(rzis!F22=0,AND(rzis!H22=0,rzis!J22=0)),"ukryj","odkryj"))</f>
        <v>ukryj</v>
      </c>
      <c r="L22" s="1029"/>
      <c r="M22" s="1029"/>
      <c r="N22" s="1029"/>
      <c r="U22" s="55" t="s">
        <v>8583</v>
      </c>
      <c r="W22" s="55" t="s">
        <v>8584</v>
      </c>
      <c r="AA22" s="1165"/>
    </row>
    <row r="23" spans="1:27" ht="15.75" customHeight="1" x14ac:dyDescent="0.3">
      <c r="A23" s="864" t="s">
        <v>8585</v>
      </c>
      <c r="B23" s="864" t="s">
        <v>8586</v>
      </c>
      <c r="C23" s="1079"/>
      <c r="D23" s="1080" t="str">
        <f t="shared" si="0"/>
        <v/>
      </c>
      <c r="E23" s="133"/>
      <c r="F23" s="5"/>
      <c r="G23" s="63"/>
      <c r="H23" s="5"/>
      <c r="J23" s="5"/>
      <c r="K23" s="987" t="str">
        <f>IF(WariantRZiS=2,"ukryj",IF(AND(rzis!F23=0,AND(rzis!H23=0,rzis!J23=0)),"ukryj","odkryj"))</f>
        <v>ukryj</v>
      </c>
      <c r="L23" s="1029"/>
      <c r="M23" s="1029"/>
      <c r="N23" s="1029"/>
      <c r="U23" s="55" t="s">
        <v>8587</v>
      </c>
      <c r="W23" s="55" t="s">
        <v>8588</v>
      </c>
      <c r="AA23" s="1163" t="s">
        <v>8589</v>
      </c>
    </row>
    <row r="24" spans="1:27" ht="15.75" customHeight="1" x14ac:dyDescent="0.3">
      <c r="A24" s="864" t="s">
        <v>8590</v>
      </c>
      <c r="B24" s="864" t="s">
        <v>8591</v>
      </c>
      <c r="C24" s="1079"/>
      <c r="D24" s="1080" t="str">
        <f t="shared" si="0"/>
        <v/>
      </c>
      <c r="E24" s="133"/>
      <c r="F24" s="5"/>
      <c r="G24" s="63"/>
      <c r="H24" s="5"/>
      <c r="J24" s="5"/>
      <c r="K24" s="987" t="str">
        <f>IF(WariantRZiS=2,"ukryj",IF(AND(rzis!F24=0,AND(rzis!H24=0,rzis!J24=0)),"ukryj","odkryj"))</f>
        <v>ukryj</v>
      </c>
      <c r="L24" s="1029"/>
      <c r="M24" s="1029"/>
      <c r="N24" s="1029"/>
      <c r="U24" s="55" t="s">
        <v>8592</v>
      </c>
      <c r="W24" s="55" t="s">
        <v>8593</v>
      </c>
      <c r="AA24" s="1163" t="s">
        <v>8594</v>
      </c>
    </row>
    <row r="25" spans="1:27" ht="15.75" customHeight="1" x14ac:dyDescent="0.3">
      <c r="A25" s="862" t="s">
        <v>8595</v>
      </c>
      <c r="B25" s="862" t="s">
        <v>8596</v>
      </c>
      <c r="C25" s="1079"/>
      <c r="D25" s="1080" t="str">
        <f t="shared" si="0"/>
        <v/>
      </c>
      <c r="E25" s="133"/>
      <c r="F25" s="763">
        <f>rzis!F8-rzis!F14</f>
        <v>0</v>
      </c>
      <c r="G25" s="64"/>
      <c r="H25" s="763">
        <f>rzis!H8-rzis!H14</f>
        <v>0</v>
      </c>
      <c r="J25" s="763">
        <f>rzis!J8-rzis!J14</f>
        <v>0</v>
      </c>
      <c r="K25" s="987" t="str">
        <f>IF(WariantRZiS=2,"ukryj",IF(AND(rzis!F25=0,AND(rzis!H25=0,rzis!J25=0)),"ukryj","odkryj"))</f>
        <v>ukryj</v>
      </c>
      <c r="L25" s="1029"/>
      <c r="M25" s="1029"/>
      <c r="N25" s="1029"/>
      <c r="U25" s="55" t="s">
        <v>8597</v>
      </c>
      <c r="W25" s="55" t="s">
        <v>8598</v>
      </c>
      <c r="AA25" s="1163"/>
    </row>
    <row r="26" spans="1:27" ht="15.75" customHeight="1" x14ac:dyDescent="0.3">
      <c r="A26" s="862" t="s">
        <v>8599</v>
      </c>
      <c r="B26" s="862" t="s">
        <v>8600</v>
      </c>
      <c r="C26" s="1077" t="str">
        <f>IF(Noty!K962="n/a","",Noty!L962)</f>
        <v/>
      </c>
      <c r="D26" s="1078" t="str">
        <f t="shared" si="0"/>
        <v/>
      </c>
      <c r="E26" s="133"/>
      <c r="F26" s="767">
        <f>rzis!F27+rzis!F28+rzis!F29+rzis!F30</f>
        <v>0</v>
      </c>
      <c r="G26" s="63"/>
      <c r="H26" s="767">
        <f>rzis!H27+rzis!H28+rzis!H29+rzis!H30</f>
        <v>0</v>
      </c>
      <c r="J26" s="767">
        <f>rzis!J27+rzis!J28+rzis!J29+rzis!J30</f>
        <v>0</v>
      </c>
      <c r="K26" s="987" t="str">
        <f>IF(WariantRZiS=2,"ukryj",IF(AND(rzis!F26=0,AND(rzis!H26=0,rzis!J26=0)),"ukryj","odkryj"))</f>
        <v>ukryj</v>
      </c>
      <c r="L26" s="1029"/>
      <c r="M26" s="1029"/>
      <c r="N26" s="1029"/>
      <c r="U26" s="55" t="s">
        <v>8601</v>
      </c>
      <c r="W26" s="55" t="s">
        <v>8602</v>
      </c>
      <c r="AA26" s="1163"/>
    </row>
    <row r="27" spans="1:27" ht="15.75" customHeight="1" x14ac:dyDescent="0.3">
      <c r="A27" s="865" t="s">
        <v>8603</v>
      </c>
      <c r="B27" s="865" t="s">
        <v>8604</v>
      </c>
      <c r="C27" s="1079"/>
      <c r="D27" s="1080" t="str">
        <f t="shared" si="0"/>
        <v/>
      </c>
      <c r="E27" s="133"/>
      <c r="F27" s="2">
        <f>Noty!H970</f>
        <v>0</v>
      </c>
      <c r="G27" s="64"/>
      <c r="H27" s="2">
        <f>Noty!I970</f>
        <v>0</v>
      </c>
      <c r="J27" s="5"/>
      <c r="K27" s="987" t="str">
        <f>IF(WariantRZiS=2,"ukryj",IF(AND(rzis!F27=0,AND(rzis!H27=0,rzis!J27=0)),"ukryj","odkryj"))</f>
        <v>ukryj</v>
      </c>
      <c r="L27" s="1029"/>
      <c r="M27" s="1029"/>
      <c r="N27" s="1029"/>
      <c r="U27" s="55" t="s">
        <v>8605</v>
      </c>
      <c r="W27" s="55" t="s">
        <v>8606</v>
      </c>
      <c r="AA27" s="1163" t="s">
        <v>8607</v>
      </c>
    </row>
    <row r="28" spans="1:27" ht="15.75" customHeight="1" x14ac:dyDescent="0.3">
      <c r="A28" s="865" t="s">
        <v>8608</v>
      </c>
      <c r="B28" s="865" t="s">
        <v>8609</v>
      </c>
      <c r="C28" s="1079"/>
      <c r="D28" s="1080" t="str">
        <f t="shared" si="0"/>
        <v/>
      </c>
      <c r="E28" s="133"/>
      <c r="F28" s="2">
        <f>Noty!H981</f>
        <v>0</v>
      </c>
      <c r="G28" s="64"/>
      <c r="H28" s="2">
        <f>Noty!I981</f>
        <v>0</v>
      </c>
      <c r="J28" s="5"/>
      <c r="K28" s="987" t="str">
        <f>IF(WariantRZiS=2,"ukryj",IF(AND(rzis!F28=0,AND(rzis!H28=0,rzis!J28=0)),"ukryj","odkryj"))</f>
        <v>ukryj</v>
      </c>
      <c r="L28" s="1029"/>
      <c r="M28" s="1029"/>
      <c r="N28" s="1029"/>
      <c r="U28" s="55" t="s">
        <v>8610</v>
      </c>
      <c r="W28" s="55" t="s">
        <v>8611</v>
      </c>
      <c r="AA28" s="1163" t="s">
        <v>8612</v>
      </c>
    </row>
    <row r="29" spans="1:27" ht="15.75" customHeight="1" x14ac:dyDescent="0.3">
      <c r="A29" s="865" t="s">
        <v>8613</v>
      </c>
      <c r="B29" s="865" t="s">
        <v>8614</v>
      </c>
      <c r="C29" s="1079"/>
      <c r="D29" s="1080" t="str">
        <f t="shared" si="0"/>
        <v/>
      </c>
      <c r="E29" s="133"/>
      <c r="F29" s="2">
        <f>Noty!H979</f>
        <v>0</v>
      </c>
      <c r="G29" s="64"/>
      <c r="H29" s="2">
        <f>Noty!I979</f>
        <v>0</v>
      </c>
      <c r="J29" s="5"/>
      <c r="K29" s="987" t="str">
        <f>IF(WariantRZiS=2,"ukryj",IF(AND(rzis!F29=0,AND(rzis!H29=0,rzis!J29=0)),"ukryj","odkryj"))</f>
        <v>ukryj</v>
      </c>
      <c r="L29" s="1029"/>
      <c r="M29" s="1029"/>
      <c r="N29" s="1029"/>
      <c r="U29" s="55" t="s">
        <v>8615</v>
      </c>
      <c r="W29" s="55" t="s">
        <v>8616</v>
      </c>
      <c r="AA29" s="1163"/>
    </row>
    <row r="30" spans="1:27" ht="15.75" customHeight="1" x14ac:dyDescent="0.3">
      <c r="A30" s="864" t="s">
        <v>8617</v>
      </c>
      <c r="B30" s="864" t="s">
        <v>8600</v>
      </c>
      <c r="C30" s="1079"/>
      <c r="D30" s="1080" t="str">
        <f t="shared" si="0"/>
        <v/>
      </c>
      <c r="E30" s="133"/>
      <c r="F30" s="2">
        <f>Noty!H986</f>
        <v>0</v>
      </c>
      <c r="G30" s="63"/>
      <c r="H30" s="2">
        <f>Noty!I986</f>
        <v>0</v>
      </c>
      <c r="J30" s="5"/>
      <c r="K30" s="987" t="str">
        <f>IF(WariantRZiS=2,"ukryj",IF(AND(rzis!F30=0,AND(rzis!H30=0,rzis!J30=0)),"ukryj","odkryj"))</f>
        <v>ukryj</v>
      </c>
      <c r="L30" s="1029"/>
      <c r="M30" s="1029"/>
      <c r="N30" s="1029"/>
      <c r="U30" s="55" t="s">
        <v>8618</v>
      </c>
      <c r="W30" s="55" t="s">
        <v>8619</v>
      </c>
      <c r="AA30" s="1163" t="s">
        <v>8620</v>
      </c>
    </row>
    <row r="31" spans="1:27" ht="15.75" customHeight="1" x14ac:dyDescent="0.3">
      <c r="A31" s="862" t="s">
        <v>8621</v>
      </c>
      <c r="B31" s="862" t="s">
        <v>8622</v>
      </c>
      <c r="C31" s="1077" t="str">
        <f>IF(Noty!K990="n/a","",Noty!L990)</f>
        <v/>
      </c>
      <c r="D31" s="1078" t="str">
        <f t="shared" si="0"/>
        <v/>
      </c>
      <c r="E31" s="133"/>
      <c r="F31" s="763">
        <f>rzis!F32+rzis!F33+rzis!F34</f>
        <v>0</v>
      </c>
      <c r="G31" s="63"/>
      <c r="H31" s="763">
        <f>rzis!H32+rzis!H33+rzis!H34</f>
        <v>0</v>
      </c>
      <c r="J31" s="763">
        <f>rzis!J32+rzis!J33+rzis!J34</f>
        <v>0</v>
      </c>
      <c r="K31" s="987" t="str">
        <f>IF(WariantRZiS=2,"ukryj",IF(AND(rzis!F31=0,AND(rzis!H31=0,rzis!J31=0)),"ukryj","odkryj"))</f>
        <v>ukryj</v>
      </c>
      <c r="L31" s="1029"/>
      <c r="M31" s="1029"/>
      <c r="N31" s="1029"/>
      <c r="U31" s="55" t="s">
        <v>8623</v>
      </c>
      <c r="W31" s="55" t="s">
        <v>8624</v>
      </c>
      <c r="AA31" s="1163"/>
    </row>
    <row r="32" spans="1:27" ht="15.75" customHeight="1" x14ac:dyDescent="0.3">
      <c r="A32" s="865" t="s">
        <v>8625</v>
      </c>
      <c r="B32" s="865" t="s">
        <v>8626</v>
      </c>
      <c r="C32" s="1079"/>
      <c r="D32" s="1080" t="str">
        <f t="shared" si="0"/>
        <v/>
      </c>
      <c r="E32" s="133"/>
      <c r="F32" s="2">
        <f>Noty!H998</f>
        <v>0</v>
      </c>
      <c r="G32" s="63"/>
      <c r="H32" s="2">
        <f>Noty!I998</f>
        <v>0</v>
      </c>
      <c r="J32" s="5"/>
      <c r="K32" s="987" t="str">
        <f>IF(WariantRZiS=2,"ukryj",IF(AND(rzis!F32=0,AND(rzis!H32=0,rzis!J32=0)),"ukryj","odkryj"))</f>
        <v>ukryj</v>
      </c>
      <c r="L32" s="1029"/>
      <c r="M32" s="1029"/>
      <c r="N32" s="1029"/>
      <c r="U32" s="55" t="s">
        <v>8627</v>
      </c>
      <c r="W32" s="55" t="s">
        <v>8628</v>
      </c>
      <c r="AA32" s="1163" t="s">
        <v>8629</v>
      </c>
    </row>
    <row r="33" spans="1:27" ht="15.75" customHeight="1" x14ac:dyDescent="0.3">
      <c r="A33" s="864" t="s">
        <v>8613</v>
      </c>
      <c r="B33" s="864" t="s">
        <v>8614</v>
      </c>
      <c r="C33" s="1079"/>
      <c r="D33" s="1080" t="str">
        <f t="shared" si="0"/>
        <v/>
      </c>
      <c r="E33" s="133"/>
      <c r="F33" s="2">
        <f>Noty!H1007</f>
        <v>0</v>
      </c>
      <c r="G33" s="63"/>
      <c r="H33" s="2">
        <f>Noty!I1007</f>
        <v>0</v>
      </c>
      <c r="J33" s="5"/>
      <c r="K33" s="987" t="str">
        <f>IF(WariantRZiS=2,"ukryj",IF(AND(rzis!F33=0,AND(rzis!H33=0,rzis!J33=0)),"ukryj","odkryj"))</f>
        <v>ukryj</v>
      </c>
      <c r="L33" s="1029"/>
      <c r="M33" s="1029"/>
      <c r="N33" s="1029"/>
      <c r="U33" s="55" t="s">
        <v>8630</v>
      </c>
      <c r="W33" s="55" t="s">
        <v>8631</v>
      </c>
      <c r="AA33" s="1163" t="s">
        <v>8632</v>
      </c>
    </row>
    <row r="34" spans="1:27" ht="15.75" customHeight="1" x14ac:dyDescent="0.3">
      <c r="A34" s="864" t="s">
        <v>8633</v>
      </c>
      <c r="B34" s="864" t="s">
        <v>8634</v>
      </c>
      <c r="C34" s="1079"/>
      <c r="D34" s="1080" t="str">
        <f t="shared" si="0"/>
        <v/>
      </c>
      <c r="E34" s="133"/>
      <c r="F34" s="2">
        <f>Noty!H1012</f>
        <v>0</v>
      </c>
      <c r="G34" s="63"/>
      <c r="H34" s="2">
        <f>Noty!I1012</f>
        <v>0</v>
      </c>
      <c r="J34" s="5"/>
      <c r="K34" s="987" t="str">
        <f>IF(WariantRZiS=2,"ukryj",IF(AND(rzis!F34=0,AND(rzis!H34=0,rzis!J34=0)),"ukryj","odkryj"))</f>
        <v>ukryj</v>
      </c>
      <c r="L34" s="1029"/>
      <c r="M34" s="1029"/>
      <c r="N34" s="1029"/>
      <c r="U34" s="55" t="s">
        <v>8635</v>
      </c>
      <c r="W34" s="55" t="s">
        <v>8636</v>
      </c>
      <c r="AA34" s="1163" t="s">
        <v>8637</v>
      </c>
    </row>
    <row r="35" spans="1:27" ht="15.75" customHeight="1" x14ac:dyDescent="0.3">
      <c r="A35" s="862" t="s">
        <v>8638</v>
      </c>
      <c r="B35" s="862" t="s">
        <v>8639</v>
      </c>
      <c r="C35" s="1079"/>
      <c r="D35" s="1080" t="str">
        <f t="shared" si="0"/>
        <v/>
      </c>
      <c r="E35" s="133"/>
      <c r="F35" s="763">
        <f>rzis!F25+rzis!F26-rzis!F31</f>
        <v>0</v>
      </c>
      <c r="G35" s="63"/>
      <c r="H35" s="765"/>
      <c r="J35" s="763">
        <f>rzis!J25+rzis!J26-rzis!J31</f>
        <v>0</v>
      </c>
      <c r="K35" s="987" t="str">
        <f>IF(WariantRZiS=2,"ukryj",IF(AND(rzis!F35=0,AND(rzis!H35=0,rzis!J35=0)),"ukryj","odkryj"))</f>
        <v>ukryj</v>
      </c>
      <c r="L35" s="1029"/>
      <c r="M35" s="1029"/>
      <c r="N35" s="1029"/>
      <c r="U35" s="55" t="s">
        <v>8640</v>
      </c>
      <c r="W35" s="55" t="s">
        <v>8641</v>
      </c>
      <c r="AA35" s="1163"/>
    </row>
    <row r="36" spans="1:27" ht="15.75" customHeight="1" x14ac:dyDescent="0.3">
      <c r="A36" s="862" t="s">
        <v>8642</v>
      </c>
      <c r="B36" s="862" t="s">
        <v>8643</v>
      </c>
      <c r="C36" s="1077" t="str">
        <f>IF(Noty!K1016="n/a","",Noty!L1016)</f>
        <v/>
      </c>
      <c r="D36" s="1078" t="str">
        <f t="shared" si="0"/>
        <v/>
      </c>
      <c r="E36" s="133"/>
      <c r="F36" s="767">
        <f>rzis!F37+rzis!F42+rzis!F44+rzis!F46+rzis!F47</f>
        <v>0</v>
      </c>
      <c r="G36" s="64"/>
      <c r="H36" s="767">
        <f>rzis!H37+rzis!H42+rzis!H44+rzis!H46+rzis!H47</f>
        <v>0</v>
      </c>
      <c r="J36" s="767">
        <f>rzis!J37+rzis!J42+rzis!J44+rzis!J46+rzis!J47</f>
        <v>0</v>
      </c>
      <c r="K36" s="987" t="str">
        <f>IF(WariantRZiS=2,"ukryj",IF(AND(rzis!F36=0,AND(rzis!H36=0,rzis!J36=0)),"ukryj","odkryj"))</f>
        <v>ukryj</v>
      </c>
      <c r="L36" s="1029"/>
      <c r="M36" s="1029"/>
      <c r="N36" s="1029"/>
      <c r="U36" s="55" t="s">
        <v>8644</v>
      </c>
      <c r="W36" s="55" t="s">
        <v>8645</v>
      </c>
      <c r="AA36" s="1163"/>
    </row>
    <row r="37" spans="1:27" ht="15.75" customHeight="1" x14ac:dyDescent="0.3">
      <c r="A37" s="864" t="s">
        <v>8646</v>
      </c>
      <c r="B37" s="864" t="s">
        <v>8647</v>
      </c>
      <c r="C37" s="1079"/>
      <c r="D37" s="1080" t="str">
        <f t="shared" si="0"/>
        <v/>
      </c>
      <c r="E37" s="133"/>
      <c r="F37" s="2">
        <f>rzis!F38+rzis!F40</f>
        <v>0</v>
      </c>
      <c r="G37" s="64"/>
      <c r="H37" s="2">
        <f>rzis!H38+rzis!H40</f>
        <v>0</v>
      </c>
      <c r="J37" s="2">
        <f>rzis!J38+rzis!J40</f>
        <v>0</v>
      </c>
      <c r="K37" s="987" t="str">
        <f>IF(WariantRZiS=2,"ukryj",IF(AND(rzis!F37=0,AND(rzis!H37=0,rzis!J37=0)),"ukryj","odkryj"))</f>
        <v>ukryj</v>
      </c>
      <c r="L37" s="1029"/>
      <c r="M37" s="1029"/>
      <c r="N37" s="1029"/>
      <c r="U37" s="55" t="s">
        <v>8648</v>
      </c>
      <c r="W37" s="55" t="s">
        <v>8649</v>
      </c>
      <c r="AA37" s="1163" t="s">
        <v>8650</v>
      </c>
    </row>
    <row r="38" spans="1:27" ht="15.75" customHeight="1" x14ac:dyDescent="0.3">
      <c r="A38" s="852" t="s">
        <v>8651</v>
      </c>
      <c r="B38" s="852" t="s">
        <v>8652</v>
      </c>
      <c r="C38" s="1079"/>
      <c r="D38" s="1080" t="str">
        <f t="shared" si="0"/>
        <v/>
      </c>
      <c r="E38" s="133"/>
      <c r="F38" s="5"/>
      <c r="G38" s="63"/>
      <c r="H38" s="5"/>
      <c r="J38" s="5"/>
      <c r="K38" s="987" t="str">
        <f>IF(WariantRZiS=2,"ukryj",IF(AND(rzis!F38=0,AND(rzis!H38=0,rzis!J38=0)),"ukryj","odkryj"))</f>
        <v>ukryj</v>
      </c>
      <c r="L38" s="1029"/>
      <c r="M38" s="1029"/>
      <c r="N38" s="1029"/>
      <c r="U38" s="55" t="s">
        <v>8653</v>
      </c>
      <c r="W38" s="55" t="s">
        <v>8654</v>
      </c>
      <c r="AA38" s="1163" t="s">
        <v>8655</v>
      </c>
    </row>
    <row r="39" spans="1:27" ht="15.75" customHeight="1" x14ac:dyDescent="0.3">
      <c r="A39" s="874" t="s">
        <v>8656</v>
      </c>
      <c r="B39" s="874" t="s">
        <v>8657</v>
      </c>
      <c r="C39" s="1079"/>
      <c r="D39" s="1080" t="str">
        <f t="shared" si="0"/>
        <v/>
      </c>
      <c r="E39" s="133"/>
      <c r="F39" s="5"/>
      <c r="G39" s="63"/>
      <c r="H39" s="5"/>
      <c r="J39" s="5"/>
      <c r="K39" s="987" t="str">
        <f>IF(WariantRZiS=2,"ukryj",IF(AND(rzis!F39=0,AND(rzis!H39=0,rzis!J39=0)),"ukryj","odkryj"))</f>
        <v>ukryj</v>
      </c>
      <c r="L39" s="1029"/>
      <c r="M39" s="1029"/>
      <c r="N39" s="1029"/>
      <c r="U39" s="55" t="s">
        <v>8658</v>
      </c>
      <c r="W39" s="55" t="s">
        <v>8659</v>
      </c>
      <c r="AA39" s="1163"/>
    </row>
    <row r="40" spans="1:27" ht="15.75" customHeight="1" x14ac:dyDescent="0.3">
      <c r="A40" s="852" t="s">
        <v>8660</v>
      </c>
      <c r="B40" s="852" t="s">
        <v>8661</v>
      </c>
      <c r="C40" s="1079"/>
      <c r="D40" s="1080" t="str">
        <f t="shared" si="0"/>
        <v/>
      </c>
      <c r="E40" s="133"/>
      <c r="F40" s="5"/>
      <c r="G40" s="63"/>
      <c r="H40" s="5"/>
      <c r="J40" s="5"/>
      <c r="K40" s="987" t="str">
        <f>IF(WariantRZiS=2,"ukryj",IF(AND(rzis!F40=0,AND(rzis!H40=0,rzis!J40=0)),"ukryj","odkryj"))</f>
        <v>ukryj</v>
      </c>
      <c r="L40" s="1029"/>
      <c r="M40" s="1029"/>
      <c r="N40" s="1029"/>
      <c r="U40" s="55" t="s">
        <v>8662</v>
      </c>
      <c r="W40" s="55" t="s">
        <v>8663</v>
      </c>
      <c r="AA40" s="1163"/>
    </row>
    <row r="41" spans="1:27" ht="15.75" customHeight="1" x14ac:dyDescent="0.3">
      <c r="A41" s="873" t="s">
        <v>8656</v>
      </c>
      <c r="B41" s="873" t="s">
        <v>8657</v>
      </c>
      <c r="C41" s="1079"/>
      <c r="D41" s="1080" t="str">
        <f t="shared" si="0"/>
        <v/>
      </c>
      <c r="E41" s="133"/>
      <c r="F41" s="5"/>
      <c r="G41" s="63"/>
      <c r="H41" s="5"/>
      <c r="J41" s="5"/>
      <c r="K41" s="987" t="str">
        <f>IF(WariantRZiS=2,"ukryj",IF(AND(rzis!F41=0,AND(rzis!H41=0,rzis!J41=0)),"ukryj","odkryj"))</f>
        <v>ukryj</v>
      </c>
      <c r="L41" s="1029"/>
      <c r="M41" s="1029"/>
      <c r="N41" s="1029"/>
      <c r="U41" s="55" t="s">
        <v>8664</v>
      </c>
      <c r="W41" s="55" t="s">
        <v>8665</v>
      </c>
      <c r="AA41" s="1163"/>
    </row>
    <row r="42" spans="1:27" ht="15.75" customHeight="1" x14ac:dyDescent="0.3">
      <c r="A42" s="864" t="s">
        <v>8666</v>
      </c>
      <c r="B42" s="864" t="s">
        <v>8667</v>
      </c>
      <c r="C42" s="1077" t="str">
        <f>IF(Noty!K1018="n/a","",Noty!L1018)</f>
        <v/>
      </c>
      <c r="D42" s="1078" t="str">
        <f t="shared" si="0"/>
        <v/>
      </c>
      <c r="E42" s="133"/>
      <c r="F42" s="5"/>
      <c r="G42" s="63"/>
      <c r="H42" s="5"/>
      <c r="J42" s="5"/>
      <c r="K42" s="987" t="str">
        <f>IF(WariantRZiS=2,"ukryj",IF(AND(rzis!F42=0,AND(rzis!H42=0,rzis!J42=0)),"ukryj","odkryj"))</f>
        <v>ukryj</v>
      </c>
      <c r="L42" s="1029"/>
      <c r="M42" s="1029"/>
      <c r="N42" s="1029"/>
      <c r="U42" s="55" t="s">
        <v>8668</v>
      </c>
      <c r="W42" s="55" t="s">
        <v>8669</v>
      </c>
      <c r="AA42" s="1163" t="s">
        <v>8670</v>
      </c>
    </row>
    <row r="43" spans="1:27" ht="15.75" customHeight="1" x14ac:dyDescent="0.3">
      <c r="A43" s="879" t="s">
        <v>8671</v>
      </c>
      <c r="B43" s="879" t="s">
        <v>8521</v>
      </c>
      <c r="C43" s="1079"/>
      <c r="D43" s="1080" t="str">
        <f t="shared" si="0"/>
        <v/>
      </c>
      <c r="E43" s="133"/>
      <c r="F43" s="5"/>
      <c r="G43" s="63"/>
      <c r="H43" s="5"/>
      <c r="J43" s="5"/>
      <c r="K43" s="987" t="str">
        <f>IF(WariantRZiS=2,"ukryj",IF(AND(rzis!F43=0,AND(rzis!H43=0,rzis!J43=0)),"ukryj","odkryj"))</f>
        <v>ukryj</v>
      </c>
      <c r="L43" s="1029"/>
      <c r="M43" s="1029"/>
      <c r="N43" s="1029"/>
      <c r="U43" s="55" t="s">
        <v>8672</v>
      </c>
      <c r="W43" s="55" t="s">
        <v>8673</v>
      </c>
      <c r="AA43" s="1163" t="s">
        <v>8674</v>
      </c>
    </row>
    <row r="44" spans="1:27" ht="15.75" customHeight="1" x14ac:dyDescent="0.3">
      <c r="A44" s="864" t="s">
        <v>8675</v>
      </c>
      <c r="B44" s="864" t="s">
        <v>8676</v>
      </c>
      <c r="C44" s="1079"/>
      <c r="D44" s="1080" t="str">
        <f t="shared" si="0"/>
        <v/>
      </c>
      <c r="E44" s="133"/>
      <c r="F44" s="5"/>
      <c r="G44" s="63"/>
      <c r="H44" s="5"/>
      <c r="J44" s="5"/>
      <c r="K44" s="987" t="str">
        <f>IF(WariantRZiS=2,"ukryj",IF(AND(rzis!F44=0,AND(rzis!H44=0,rzis!J44=0)),"ukryj","odkryj"))</f>
        <v>ukryj</v>
      </c>
      <c r="L44" s="1029"/>
      <c r="M44" s="1029"/>
      <c r="N44" s="1029"/>
      <c r="U44" s="55" t="s">
        <v>8677</v>
      </c>
      <c r="W44" s="55" t="s">
        <v>8678</v>
      </c>
      <c r="AA44" s="1163" t="s">
        <v>8679</v>
      </c>
    </row>
    <row r="45" spans="1:27" ht="15.75" customHeight="1" x14ac:dyDescent="0.3">
      <c r="A45" s="879" t="s">
        <v>8680</v>
      </c>
      <c r="B45" s="879" t="s">
        <v>8521</v>
      </c>
      <c r="C45" s="1079"/>
      <c r="D45" s="1080" t="str">
        <f t="shared" si="0"/>
        <v/>
      </c>
      <c r="E45" s="133"/>
      <c r="F45" s="5"/>
      <c r="G45" s="63"/>
      <c r="H45" s="5"/>
      <c r="J45" s="5"/>
      <c r="K45" s="987" t="str">
        <f>IF(WariantRZiS=2,"ukryj",IF(AND(rzis!F45=0,AND(rzis!H45=0,rzis!J45=0)),"ukryj","odkryj"))</f>
        <v>ukryj</v>
      </c>
      <c r="L45" s="1029"/>
      <c r="M45" s="1029"/>
      <c r="N45" s="1029"/>
      <c r="U45" s="55" t="s">
        <v>8681</v>
      </c>
      <c r="W45" s="55" t="s">
        <v>8682</v>
      </c>
      <c r="AA45" s="1163"/>
    </row>
    <row r="46" spans="1:27" x14ac:dyDescent="0.3">
      <c r="A46" s="864" t="s">
        <v>8683</v>
      </c>
      <c r="B46" s="864" t="s">
        <v>8684</v>
      </c>
      <c r="C46" s="1077" t="str">
        <f>IF(Noty!K1035="n/a","",Noty!L1035)</f>
        <v/>
      </c>
      <c r="D46" s="1078" t="str">
        <f t="shared" si="0"/>
        <v/>
      </c>
      <c r="E46" s="133"/>
      <c r="F46" s="2">
        <f>Noty!H1065</f>
        <v>0</v>
      </c>
      <c r="G46" s="63"/>
      <c r="H46" s="2">
        <f>Noty!I1065</f>
        <v>0</v>
      </c>
      <c r="J46" s="5"/>
      <c r="K46" s="987" t="str">
        <f>IF(WariantRZiS=2,"ukryj",IF(AND(rzis!F46=0,AND(rzis!H46=0,rzis!J46=0)),"ukryj","odkryj"))</f>
        <v>ukryj</v>
      </c>
      <c r="L46" s="1029"/>
      <c r="M46" s="1029"/>
      <c r="N46" s="1029"/>
      <c r="U46" s="55" t="s">
        <v>8685</v>
      </c>
      <c r="W46" s="55" t="s">
        <v>8686</v>
      </c>
      <c r="AA46" s="1163" t="s">
        <v>8687</v>
      </c>
    </row>
    <row r="47" spans="1:27" ht="15.75" customHeight="1" x14ac:dyDescent="0.3">
      <c r="A47" s="864" t="s">
        <v>7558</v>
      </c>
      <c r="B47" s="864" t="s">
        <v>7777</v>
      </c>
      <c r="C47" s="1077" t="str">
        <f>IF(Noty!K1067="n/a","",Noty!L1067)</f>
        <v/>
      </c>
      <c r="D47" s="1078" t="str">
        <f t="shared" si="0"/>
        <v/>
      </c>
      <c r="E47" s="133"/>
      <c r="F47" s="2">
        <f>Noty!H1085</f>
        <v>0</v>
      </c>
      <c r="G47" s="63"/>
      <c r="H47" s="2">
        <f>Noty!I1085</f>
        <v>0</v>
      </c>
      <c r="J47" s="5"/>
      <c r="K47" s="987" t="str">
        <f>IF(WariantRZiS=2,"ukryj",IF(AND(rzis!F47=0,AND(rzis!H47=0,rzis!J47=0)),"ukryj","odkryj"))</f>
        <v>ukryj</v>
      </c>
      <c r="L47" s="1029"/>
      <c r="M47" s="1029"/>
      <c r="N47" s="1029"/>
      <c r="U47" s="55" t="s">
        <v>8688</v>
      </c>
      <c r="W47" s="55" t="s">
        <v>8689</v>
      </c>
      <c r="AA47" s="1163" t="s">
        <v>8690</v>
      </c>
    </row>
    <row r="48" spans="1:27" ht="15.75" customHeight="1" x14ac:dyDescent="0.3">
      <c r="A48" s="862" t="s">
        <v>8691</v>
      </c>
      <c r="B48" s="862" t="s">
        <v>8692</v>
      </c>
      <c r="C48" s="1077" t="str">
        <f>IF(Noty!K1087="n/a","",Noty!L1087)</f>
        <v/>
      </c>
      <c r="D48" s="1078" t="str">
        <f t="shared" si="0"/>
        <v/>
      </c>
      <c r="E48" s="133"/>
      <c r="F48" s="763">
        <f>rzis!F49+rzis!F51+rzis!F53+rzis!F54</f>
        <v>0</v>
      </c>
      <c r="G48" s="63"/>
      <c r="H48" s="763">
        <f>rzis!H49+rzis!H51+rzis!H53+rzis!H54</f>
        <v>0</v>
      </c>
      <c r="J48" s="763">
        <f>rzis!J49+rzis!J51+rzis!J53+rzis!J54</f>
        <v>0</v>
      </c>
      <c r="K48" s="987" t="str">
        <f>IF(WariantRZiS=2,"ukryj",IF(AND(rzis!F48=0,AND(rzis!H48=0,rzis!J48=0)),"ukryj","odkryj"))</f>
        <v>ukryj</v>
      </c>
      <c r="L48" s="1029"/>
      <c r="M48" s="1029"/>
      <c r="N48" s="1029"/>
      <c r="U48" s="55" t="s">
        <v>8693</v>
      </c>
      <c r="W48" s="55" t="s">
        <v>8694</v>
      </c>
      <c r="AA48" s="1163"/>
    </row>
    <row r="49" spans="1:27" ht="15.75" customHeight="1" x14ac:dyDescent="0.3">
      <c r="A49" s="864" t="s">
        <v>8666</v>
      </c>
      <c r="B49" s="864" t="s">
        <v>8667</v>
      </c>
      <c r="C49" s="1077" t="str">
        <f>IF(Noty!K1089="n/a","",Noty!L1089)</f>
        <v/>
      </c>
      <c r="D49" s="1078" t="str">
        <f t="shared" si="0"/>
        <v/>
      </c>
      <c r="E49" s="133"/>
      <c r="F49" s="5"/>
      <c r="G49" s="64"/>
      <c r="H49" s="5"/>
      <c r="J49" s="5"/>
      <c r="K49" s="987" t="str">
        <f>IF(WariantRZiS=2,"ukryj",IF(AND(rzis!F49=0,AND(rzis!H49=0,rzis!J49=0)),"ukryj","odkryj"))</f>
        <v>ukryj</v>
      </c>
      <c r="L49" s="1029"/>
      <c r="M49" s="1029"/>
      <c r="N49" s="1029"/>
      <c r="U49" s="55" t="s">
        <v>8695</v>
      </c>
      <c r="W49" s="55" t="s">
        <v>8696</v>
      </c>
      <c r="AA49" s="1163" t="s">
        <v>8697</v>
      </c>
    </row>
    <row r="50" spans="1:27" ht="15.75" customHeight="1" x14ac:dyDescent="0.3">
      <c r="A50" s="852" t="s">
        <v>8698</v>
      </c>
      <c r="B50" s="852" t="s">
        <v>8521</v>
      </c>
      <c r="C50" s="1079"/>
      <c r="D50" s="1080" t="str">
        <f t="shared" si="0"/>
        <v/>
      </c>
      <c r="E50" s="133"/>
      <c r="F50" s="5"/>
      <c r="G50" s="63"/>
      <c r="H50" s="5"/>
      <c r="J50" s="5"/>
      <c r="K50" s="987" t="str">
        <f>IF(WariantRZiS=2,"ukryj",IF(AND(rzis!F50=0,AND(rzis!H50=0,rzis!J50=0)),"ukryj","odkryj"))</f>
        <v>ukryj</v>
      </c>
      <c r="L50" s="1029"/>
      <c r="M50" s="1029"/>
      <c r="N50" s="1029"/>
      <c r="U50" s="55" t="s">
        <v>8699</v>
      </c>
      <c r="W50" s="55" t="s">
        <v>8700</v>
      </c>
      <c r="AA50" s="1163" t="s">
        <v>8701</v>
      </c>
    </row>
    <row r="51" spans="1:27" ht="15.75" customHeight="1" x14ac:dyDescent="0.3">
      <c r="A51" s="864" t="s">
        <v>8702</v>
      </c>
      <c r="B51" s="864" t="s">
        <v>8703</v>
      </c>
      <c r="C51" s="1079"/>
      <c r="D51" s="1080" t="str">
        <f t="shared" si="0"/>
        <v/>
      </c>
      <c r="E51" s="133"/>
      <c r="F51" s="5"/>
      <c r="G51" s="63"/>
      <c r="H51" s="5"/>
      <c r="J51" s="5"/>
      <c r="K51" s="987" t="str">
        <f>IF(WariantRZiS=2,"ukryj",IF(AND(rzis!F51=0,AND(rzis!H51=0,rzis!J51=0)),"ukryj","odkryj"))</f>
        <v>ukryj</v>
      </c>
      <c r="L51" s="1029"/>
      <c r="M51" s="1029"/>
      <c r="N51" s="1029"/>
      <c r="U51" s="55" t="s">
        <v>8704</v>
      </c>
      <c r="W51" s="55" t="s">
        <v>8705</v>
      </c>
      <c r="AA51" s="1163" t="s">
        <v>8706</v>
      </c>
    </row>
    <row r="52" spans="1:27" x14ac:dyDescent="0.3">
      <c r="A52" s="879" t="s">
        <v>8680</v>
      </c>
      <c r="B52" s="879" t="s">
        <v>8521</v>
      </c>
      <c r="C52" s="1079"/>
      <c r="D52" s="1080" t="str">
        <f t="shared" si="0"/>
        <v/>
      </c>
      <c r="E52" s="133"/>
      <c r="F52" s="5"/>
      <c r="G52" s="63"/>
      <c r="H52" s="5"/>
      <c r="J52" s="5"/>
      <c r="K52" s="987" t="str">
        <f>IF(WariantRZiS=2,"ukryj",IF(AND(rzis!F52=0,AND(rzis!H52=0,rzis!J52=0)),"ukryj","odkryj"))</f>
        <v>ukryj</v>
      </c>
      <c r="L52" s="1029"/>
      <c r="M52" s="1029"/>
      <c r="N52" s="1029"/>
      <c r="U52" s="55" t="s">
        <v>8707</v>
      </c>
      <c r="W52" s="55" t="s">
        <v>8708</v>
      </c>
      <c r="AA52" s="1163"/>
    </row>
    <row r="53" spans="1:27" ht="15.75" customHeight="1" x14ac:dyDescent="0.3">
      <c r="A53" s="864" t="s">
        <v>8683</v>
      </c>
      <c r="B53" s="864" t="s">
        <v>8684</v>
      </c>
      <c r="C53" s="1077" t="str">
        <f>IF(Noty!K1108="n/a","",Noty!L1108)</f>
        <v/>
      </c>
      <c r="D53" s="1078" t="str">
        <f t="shared" si="0"/>
        <v/>
      </c>
      <c r="E53" s="133"/>
      <c r="F53" s="2">
        <f>Noty!H1129</f>
        <v>0</v>
      </c>
      <c r="G53" s="63"/>
      <c r="H53" s="2">
        <f>Noty!I1129</f>
        <v>0</v>
      </c>
      <c r="J53" s="5"/>
      <c r="K53" s="987" t="str">
        <f>IF(WariantRZiS=2,"ukryj",IF(AND(rzis!F53=0,AND(rzis!H53=0,rzis!J53=0)),"ukryj","odkryj"))</f>
        <v>ukryj</v>
      </c>
      <c r="L53" s="1029"/>
      <c r="M53" s="1029"/>
      <c r="N53" s="1029"/>
      <c r="U53" s="55" t="s">
        <v>8709</v>
      </c>
      <c r="W53" s="55" t="s">
        <v>8710</v>
      </c>
      <c r="AA53" s="1163" t="s">
        <v>8711</v>
      </c>
    </row>
    <row r="54" spans="1:27" ht="15.75" customHeight="1" x14ac:dyDescent="0.3">
      <c r="A54" s="864" t="s">
        <v>7558</v>
      </c>
      <c r="B54" s="864" t="s">
        <v>7777</v>
      </c>
      <c r="C54" s="1077" t="str">
        <f>IF(Noty!K1131="n/a","",Noty!L1131)</f>
        <v/>
      </c>
      <c r="D54" s="1078" t="str">
        <f t="shared" si="0"/>
        <v/>
      </c>
      <c r="E54" s="133"/>
      <c r="F54" s="2">
        <f>Noty!H1148</f>
        <v>0</v>
      </c>
      <c r="G54" s="63"/>
      <c r="H54" s="2">
        <f>Noty!I1148</f>
        <v>0</v>
      </c>
      <c r="J54" s="5"/>
      <c r="K54" s="987" t="str">
        <f>IF(WariantRZiS=2,"ukryj",IF(AND(rzis!F54=0,AND(rzis!H54=0,rzis!J54=0)),"ukryj","odkryj"))</f>
        <v>ukryj</v>
      </c>
      <c r="L54" s="1029"/>
      <c r="M54" s="1029"/>
      <c r="N54" s="1029"/>
      <c r="U54" s="55" t="s">
        <v>8712</v>
      </c>
      <c r="W54" s="55" t="s">
        <v>8713</v>
      </c>
      <c r="AA54" s="1163" t="s">
        <v>8714</v>
      </c>
    </row>
    <row r="55" spans="1:27" ht="15.75" customHeight="1" x14ac:dyDescent="0.3">
      <c r="A55" s="862" t="s">
        <v>8715</v>
      </c>
      <c r="B55" s="862" t="s">
        <v>8716</v>
      </c>
      <c r="C55" s="1079"/>
      <c r="D55" s="1080" t="str">
        <f t="shared" si="0"/>
        <v/>
      </c>
      <c r="E55" s="133"/>
      <c r="F55" s="763">
        <f>ROUND(rzis!F35,2)+ROUND(rzis!F36,2)-ROUND(rzis!F48,2)</f>
        <v>0</v>
      </c>
      <c r="G55" s="63"/>
      <c r="H55" s="763">
        <f>ROUND(rzis!H35,2)+ROUND(rzis!H36,2)-ROUND(rzis!H48,2)</f>
        <v>0</v>
      </c>
      <c r="J55" s="763">
        <f>rzis!J35+rzis!J36-rzis!J48</f>
        <v>0</v>
      </c>
      <c r="K55" s="987" t="str">
        <f>IF(WariantRZiS=2,"ukryj",IF(AND(rzis!F55=0,AND(rzis!H55=0,rzis!J55=0)),"ukryj","odkryj"))</f>
        <v>ukryj</v>
      </c>
      <c r="L55" s="1035"/>
      <c r="M55" s="1029"/>
      <c r="N55" s="1029"/>
      <c r="U55" s="55" t="s">
        <v>8717</v>
      </c>
      <c r="W55" s="55" t="s">
        <v>8718</v>
      </c>
      <c r="AA55" s="1167"/>
    </row>
    <row r="56" spans="1:27" ht="15.75" customHeight="1" x14ac:dyDescent="0.3">
      <c r="A56" s="862" t="s">
        <v>7655</v>
      </c>
      <c r="B56" s="862" t="s">
        <v>8719</v>
      </c>
      <c r="C56" s="1077" t="str">
        <f>IF(Noty!K1162="n/a","",Noty!L1162)</f>
        <v/>
      </c>
      <c r="D56" s="1078" t="str">
        <f t="shared" si="0"/>
        <v/>
      </c>
      <c r="E56" s="133"/>
      <c r="F56" s="2">
        <f>Noty!H1167</f>
        <v>0</v>
      </c>
      <c r="G56" s="64"/>
      <c r="H56" s="2">
        <f>Noty!I1167</f>
        <v>0</v>
      </c>
      <c r="J56" s="5"/>
      <c r="K56" s="987" t="str">
        <f>IF(WariantRZiS=2,"ukryj",IF(AND(rzis!F56=0,AND(rzis!H56=0,rzis!J56=0)),"ukryj","odkryj"))</f>
        <v>ukryj</v>
      </c>
      <c r="L56" s="1029"/>
      <c r="M56" s="1029"/>
      <c r="N56" s="1029"/>
      <c r="U56" s="55" t="s">
        <v>8720</v>
      </c>
      <c r="W56" s="55" t="s">
        <v>8721</v>
      </c>
      <c r="AA56" s="1163" t="s">
        <v>8722</v>
      </c>
    </row>
    <row r="57" spans="1:27" ht="24.9" x14ac:dyDescent="0.3">
      <c r="A57" s="885" t="s">
        <v>8723</v>
      </c>
      <c r="B57" s="885" t="s">
        <v>8724</v>
      </c>
      <c r="C57" s="1079"/>
      <c r="D57" s="1080" t="str">
        <f t="shared" si="0"/>
        <v/>
      </c>
      <c r="E57" s="133"/>
      <c r="F57" s="5"/>
      <c r="G57" s="63"/>
      <c r="H57" s="5"/>
      <c r="J57" s="5"/>
      <c r="K57" s="987" t="str">
        <f>IF(WariantRZiS=2,"ukryj",IF(AND(rzis!F57=0,AND(rzis!H57=0,rzis!J57=0)),"ukryj","odkryj"))</f>
        <v>ukryj</v>
      </c>
      <c r="L57" s="1029"/>
      <c r="M57" s="1029"/>
      <c r="N57" s="1029"/>
      <c r="U57" s="55" t="s">
        <v>8725</v>
      </c>
      <c r="W57" s="55" t="s">
        <v>8726</v>
      </c>
      <c r="AA57" s="1163"/>
    </row>
    <row r="58" spans="1:27" ht="15.75" customHeight="1" thickBot="1" x14ac:dyDescent="0.35">
      <c r="A58" s="862" t="s">
        <v>8727</v>
      </c>
      <c r="B58" s="862" t="s">
        <v>8328</v>
      </c>
      <c r="C58" s="1079"/>
      <c r="D58" s="1080" t="str">
        <f t="shared" si="0"/>
        <v/>
      </c>
      <c r="E58" s="133"/>
      <c r="F58" s="6">
        <f>ROUND(rzis!F55,2)-ROUND(rzis!F56,2)-ROUND(rzis!F57,2)</f>
        <v>0</v>
      </c>
      <c r="G58" s="63"/>
      <c r="H58" s="6">
        <f>ROUND(rzis!H55,2)-ROUND(rzis!H56,2)-ROUND(rzis!H57,2)</f>
        <v>0</v>
      </c>
      <c r="J58" s="6">
        <f>rzis!J55+rzis!J56+rzis!J57</f>
        <v>0</v>
      </c>
      <c r="K58" s="987" t="str">
        <f>IF(WariantRZiS=2,"ukryj",IF(AND(rzis!F58=0,AND(rzis!H58=0,rzis!J58=0)),"ukryj","odkryj"))</f>
        <v>ukryj</v>
      </c>
      <c r="L58" s="140" t="str">
        <f>IF(WariantRZiS=1,IF(F58&gt;=0,"zysk","stratę"),IF(F108&gt;=0,"zysk","stratę"))</f>
        <v>zysk</v>
      </c>
      <c r="M58" s="55" t="str">
        <f>IF(WariantRZiS=1,IF(F58&gt;=0,"profit","loss"),IF(F108&gt;=0,"profit","loss"))</f>
        <v>profit</v>
      </c>
      <c r="U58" s="55" t="s">
        <v>8728</v>
      </c>
      <c r="W58" s="55" t="s">
        <v>8729</v>
      </c>
      <c r="AA58"/>
    </row>
    <row r="59" spans="1:27" ht="13.6" customHeight="1" thickTop="1" x14ac:dyDescent="0.3">
      <c r="A59" s="134"/>
      <c r="B59" s="134"/>
      <c r="D59" s="489"/>
      <c r="E59" s="133"/>
      <c r="F59" s="130"/>
      <c r="G59" s="130"/>
      <c r="H59" s="130"/>
      <c r="J59" s="130"/>
      <c r="K59" s="987" t="s">
        <v>5125</v>
      </c>
      <c r="U59" s="55" t="s">
        <v>8730</v>
      </c>
      <c r="AA59"/>
    </row>
    <row r="60" spans="1:27" x14ac:dyDescent="0.3">
      <c r="A60"/>
      <c r="B60"/>
      <c r="C60"/>
      <c r="D60"/>
      <c r="E60"/>
      <c r="F60"/>
      <c r="G60"/>
      <c r="H60"/>
      <c r="J60"/>
      <c r="K60" s="253" t="s">
        <v>5125</v>
      </c>
      <c r="U60" s="55" t="s">
        <v>8730</v>
      </c>
      <c r="AA60"/>
    </row>
    <row r="61" spans="1:27" x14ac:dyDescent="0.3">
      <c r="A61"/>
      <c r="B61"/>
      <c r="C61"/>
      <c r="D61"/>
      <c r="E61"/>
      <c r="F61"/>
      <c r="G61"/>
      <c r="H61"/>
      <c r="J61"/>
      <c r="K61" s="253" t="s">
        <v>5125</v>
      </c>
      <c r="U61" s="55" t="s">
        <v>8730</v>
      </c>
      <c r="AA61"/>
    </row>
    <row r="62" spans="1:27" s="132" customFormat="1" ht="25.55" customHeight="1" x14ac:dyDescent="0.3">
      <c r="A62"/>
      <c r="B62"/>
      <c r="C62"/>
      <c r="D62"/>
      <c r="E62"/>
      <c r="F62"/>
      <c r="G62"/>
      <c r="H62"/>
      <c r="I62"/>
      <c r="J62"/>
      <c r="K62" s="253" t="s">
        <v>5125</v>
      </c>
      <c r="U62" s="132" t="s">
        <v>8730</v>
      </c>
      <c r="AA62"/>
    </row>
    <row r="63" spans="1:27" ht="15.75" customHeight="1" x14ac:dyDescent="0.3">
      <c r="A63"/>
      <c r="B63"/>
      <c r="C63"/>
      <c r="D63"/>
      <c r="E63"/>
      <c r="F63"/>
      <c r="G63"/>
      <c r="H63"/>
      <c r="J63"/>
      <c r="K63" s="253" t="s">
        <v>5125</v>
      </c>
      <c r="U63" s="55" t="s">
        <v>8730</v>
      </c>
      <c r="AA63"/>
    </row>
    <row r="64" spans="1:27" ht="15.75" customHeight="1" x14ac:dyDescent="0.3">
      <c r="A64" s="1116" t="s">
        <v>8731</v>
      </c>
      <c r="B64" s="1116" t="s">
        <v>8732</v>
      </c>
      <c r="C64" s="1117" t="str">
        <f>IF(Noty!K915="n/a","",Noty!L915)</f>
        <v/>
      </c>
      <c r="D64" s="1117" t="str">
        <f>IF(C64="","",C64)</f>
        <v/>
      </c>
      <c r="E64" s="1117"/>
      <c r="F64" s="763"/>
      <c r="G64" s="1118"/>
      <c r="H64" s="763"/>
      <c r="I64" s="1117"/>
      <c r="J64" s="763"/>
      <c r="K64" s="1140" t="str">
        <f>IF(WariantRZiS=1,"ukryj",IF(AND(rzis!F64=0,AND(rzis!H64=0,rzis!J64=0)),"ukryj","odkryj"))</f>
        <v>ukryj</v>
      </c>
      <c r="L64" s="1117"/>
      <c r="M64" s="1117"/>
      <c r="N64" s="1117"/>
      <c r="O64" s="1117"/>
      <c r="P64" s="1117"/>
      <c r="Q64" s="1117"/>
      <c r="R64" s="1117"/>
      <c r="S64" s="1117"/>
      <c r="T64" s="1117"/>
      <c r="U64" s="55" t="s">
        <v>8733</v>
      </c>
      <c r="W64" s="55" t="s">
        <v>8734</v>
      </c>
      <c r="X64" s="1117"/>
      <c r="Y64" s="1117"/>
      <c r="Z64" s="1117"/>
      <c r="AA64"/>
    </row>
    <row r="65" spans="1:27" ht="15.75" customHeight="1" x14ac:dyDescent="0.3">
      <c r="A65" s="1119" t="s">
        <v>8520</v>
      </c>
      <c r="B65" s="1119" t="s">
        <v>8521</v>
      </c>
      <c r="C65" s="1117"/>
      <c r="D65" s="1117" t="str">
        <f t="shared" ref="D65:D108" si="1">IF(C65="","",C65)</f>
        <v/>
      </c>
      <c r="E65" s="1117"/>
      <c r="F65" s="5"/>
      <c r="G65" s="63"/>
      <c r="H65" s="5"/>
      <c r="I65" s="1117"/>
      <c r="J65" s="5"/>
      <c r="K65" s="1140" t="str">
        <f>IF(WariantRZiS=1,"ukryj",IF(AND(rzis!F65=0,AND(rzis!H65=0,rzis!J65=0)),"ukryj","odkryj"))</f>
        <v>ukryj</v>
      </c>
      <c r="L65" s="1117"/>
      <c r="M65" s="1117"/>
      <c r="N65" s="1117"/>
      <c r="O65" s="1117"/>
      <c r="P65" s="1117"/>
      <c r="Q65" s="1117"/>
      <c r="R65" s="1117"/>
      <c r="S65" s="1117"/>
      <c r="T65" s="1117"/>
      <c r="U65" s="55" t="s">
        <v>8735</v>
      </c>
      <c r="W65" s="55" t="s">
        <v>8736</v>
      </c>
      <c r="X65" s="1117"/>
      <c r="Y65" s="1117"/>
      <c r="Z65" s="1117"/>
      <c r="AA65"/>
    </row>
    <row r="66" spans="1:27" ht="15.75" customHeight="1" x14ac:dyDescent="0.3">
      <c r="A66" s="1120" t="s">
        <v>8524</v>
      </c>
      <c r="B66" s="1120" t="s">
        <v>8737</v>
      </c>
      <c r="C66" s="1117"/>
      <c r="D66" s="1117" t="str">
        <f t="shared" si="1"/>
        <v/>
      </c>
      <c r="E66" s="1117"/>
      <c r="F66" s="5"/>
      <c r="G66" s="63"/>
      <c r="H66" s="5"/>
      <c r="I66" s="1117"/>
      <c r="J66" s="5"/>
      <c r="K66" s="1140" t="str">
        <f>IF(WariantRZiS=1,"ukryj",IF(AND(rzis!F66=0,AND(rzis!H66=0,rzis!J66=0)),"ukryj","odkryj"))</f>
        <v>ukryj</v>
      </c>
      <c r="L66" s="1117"/>
      <c r="M66" s="1117"/>
      <c r="N66" s="1117"/>
      <c r="O66" s="1117"/>
      <c r="P66" s="1117"/>
      <c r="Q66" s="1117"/>
      <c r="R66" s="1117"/>
      <c r="S66" s="1117"/>
      <c r="T66" s="1117"/>
      <c r="U66" s="55" t="s">
        <v>8738</v>
      </c>
      <c r="W66" s="55" t="s">
        <v>8739</v>
      </c>
      <c r="X66" s="1117"/>
      <c r="Y66" s="1117"/>
      <c r="Z66" s="1117"/>
      <c r="AA66"/>
    </row>
    <row r="67" spans="1:27" ht="15.75" customHeight="1" x14ac:dyDescent="0.3">
      <c r="A67" s="1120" t="s">
        <v>8537</v>
      </c>
      <c r="B67" s="1120" t="s">
        <v>8740</v>
      </c>
      <c r="C67" s="1117"/>
      <c r="D67" s="1117" t="str">
        <f t="shared" si="1"/>
        <v/>
      </c>
      <c r="E67" s="1117"/>
      <c r="F67" s="5"/>
      <c r="G67" s="63"/>
      <c r="H67" s="5"/>
      <c r="I67" s="1117"/>
      <c r="J67" s="5"/>
      <c r="K67" s="1140" t="str">
        <f>IF(WariantRZiS=1,"ukryj",IF(AND(rzis!F67=0,AND(rzis!H67=0,rzis!J67=0)),"ukryj","odkryj"))</f>
        <v>ukryj</v>
      </c>
      <c r="L67" s="1117"/>
      <c r="M67" s="1117"/>
      <c r="N67" s="1117"/>
      <c r="O67" s="1117"/>
      <c r="P67" s="1117"/>
      <c r="Q67" s="1117"/>
      <c r="R67" s="1117"/>
      <c r="S67" s="1117"/>
      <c r="T67" s="1117"/>
      <c r="U67" s="55" t="s">
        <v>8741</v>
      </c>
      <c r="W67" s="55" t="s">
        <v>8742</v>
      </c>
      <c r="X67" s="1117"/>
      <c r="Y67" s="1117"/>
      <c r="Z67" s="1117"/>
      <c r="AA67"/>
    </row>
    <row r="68" spans="1:27" ht="15.75" customHeight="1" x14ac:dyDescent="0.3">
      <c r="A68" s="1116" t="s">
        <v>8743</v>
      </c>
      <c r="B68" s="1116" t="s">
        <v>8744</v>
      </c>
      <c r="C68" s="1117"/>
      <c r="D68" s="1117" t="str">
        <f t="shared" si="1"/>
        <v/>
      </c>
      <c r="E68" s="1117"/>
      <c r="F68" s="763"/>
      <c r="G68" s="1118"/>
      <c r="H68" s="763"/>
      <c r="I68" s="1117"/>
      <c r="J68" s="763"/>
      <c r="K68" s="1140" t="str">
        <f>IF(WariantRZiS=1,"ukryj",IF(AND(rzis!F68=0,AND(rzis!H68=0,rzis!J68=0)),"ukryj","odkryj"))</f>
        <v>ukryj</v>
      </c>
      <c r="L68" s="1117"/>
      <c r="M68" s="1117"/>
      <c r="N68" s="1117"/>
      <c r="O68" s="1117"/>
      <c r="P68" s="1117"/>
      <c r="Q68" s="1117"/>
      <c r="R68" s="1117"/>
      <c r="S68" s="1117"/>
      <c r="T68" s="1117"/>
      <c r="U68" s="55" t="s">
        <v>8745</v>
      </c>
      <c r="W68" s="55" t="s">
        <v>8746</v>
      </c>
      <c r="X68" s="1117"/>
      <c r="Y68" s="1117"/>
      <c r="Z68" s="1117"/>
      <c r="AA68"/>
    </row>
    <row r="69" spans="1:27" ht="15.75" customHeight="1" x14ac:dyDescent="0.3">
      <c r="A69" s="1119" t="s">
        <v>8747</v>
      </c>
      <c r="B69" s="1119" t="s">
        <v>8748</v>
      </c>
      <c r="C69" s="1117"/>
      <c r="D69" s="1117" t="str">
        <f t="shared" si="1"/>
        <v/>
      </c>
      <c r="E69" s="1117"/>
      <c r="F69" s="5"/>
      <c r="G69" s="63"/>
      <c r="H69" s="5"/>
      <c r="I69" s="1117"/>
      <c r="J69" s="5"/>
      <c r="K69" s="1140" t="str">
        <f>IF(WariantRZiS=1,"ukryj",IF(AND(rzis!F69=0,AND(rzis!H69=0,rzis!J69=0)),"ukryj","odkryj"))</f>
        <v>ukryj</v>
      </c>
      <c r="L69" s="1117"/>
      <c r="M69" s="1117"/>
      <c r="N69" s="1117"/>
      <c r="O69" s="1117"/>
      <c r="P69" s="1117"/>
      <c r="Q69" s="1117"/>
      <c r="R69" s="1117"/>
      <c r="S69" s="1117"/>
      <c r="T69" s="1117"/>
      <c r="U69" s="55" t="s">
        <v>8749</v>
      </c>
      <c r="W69" s="55" t="s">
        <v>8750</v>
      </c>
      <c r="X69" s="1117"/>
      <c r="Y69" s="1117"/>
      <c r="Z69" s="1117"/>
      <c r="AA69"/>
    </row>
    <row r="70" spans="1:27" ht="15.75" customHeight="1" x14ac:dyDescent="0.3">
      <c r="A70" s="1120" t="s">
        <v>8751</v>
      </c>
      <c r="B70" s="1120" t="s">
        <v>8752</v>
      </c>
      <c r="C70" s="1117"/>
      <c r="D70" s="1117" t="str">
        <f t="shared" si="1"/>
        <v/>
      </c>
      <c r="E70" s="1117"/>
      <c r="F70" s="5"/>
      <c r="G70" s="63"/>
      <c r="H70" s="5"/>
      <c r="I70" s="1117"/>
      <c r="J70" s="5"/>
      <c r="K70" s="1140" t="str">
        <f>IF(WariantRZiS=1,"ukryj",IF(AND(rzis!F70=0,AND(rzis!H70=0,rzis!J70=0)),"ukryj","odkryj"))</f>
        <v>ukryj</v>
      </c>
      <c r="L70" s="1117"/>
      <c r="M70" s="1117"/>
      <c r="N70" s="1117"/>
      <c r="O70" s="1117"/>
      <c r="P70" s="1117"/>
      <c r="Q70" s="1117"/>
      <c r="R70" s="1117"/>
      <c r="S70" s="1117"/>
      <c r="T70" s="1117"/>
      <c r="U70" s="55" t="s">
        <v>8753</v>
      </c>
      <c r="W70" s="55" t="s">
        <v>8754</v>
      </c>
      <c r="X70" s="1117"/>
      <c r="Y70" s="1117"/>
      <c r="Z70" s="1117"/>
      <c r="AA70"/>
    </row>
    <row r="71" spans="1:27" ht="15.75" customHeight="1" x14ac:dyDescent="0.3">
      <c r="A71" s="1120" t="s">
        <v>8590</v>
      </c>
      <c r="B71" s="1121" t="s">
        <v>8591</v>
      </c>
      <c r="C71" s="1117"/>
      <c r="D71" s="1117" t="str">
        <f t="shared" si="1"/>
        <v/>
      </c>
      <c r="E71" s="1117"/>
      <c r="F71" s="5"/>
      <c r="G71" s="63"/>
      <c r="H71" s="5"/>
      <c r="I71" s="1117"/>
      <c r="J71" s="5"/>
      <c r="K71" s="1140" t="str">
        <f>IF(WariantRZiS=1,"ukryj",IF(AND(rzis!F71=0,AND(rzis!H71=0,rzis!J71=0)),"ukryj","odkryj"))</f>
        <v>ukryj</v>
      </c>
      <c r="L71" s="1117"/>
      <c r="M71" s="1117"/>
      <c r="N71" s="1117"/>
      <c r="O71" s="1117"/>
      <c r="P71" s="1117"/>
      <c r="Q71" s="1117"/>
      <c r="R71" s="1117"/>
      <c r="S71" s="1117"/>
      <c r="T71" s="1117"/>
      <c r="U71" s="55" t="s">
        <v>8755</v>
      </c>
      <c r="W71" s="55" t="s">
        <v>8756</v>
      </c>
      <c r="X71" s="1117"/>
      <c r="Y71" s="1117"/>
      <c r="Z71" s="1117"/>
      <c r="AA71"/>
    </row>
    <row r="72" spans="1:27" ht="15.75" customHeight="1" x14ac:dyDescent="0.3">
      <c r="A72" s="1116" t="s">
        <v>8757</v>
      </c>
      <c r="B72" s="1116" t="s">
        <v>8596</v>
      </c>
      <c r="C72" s="1117"/>
      <c r="D72" s="1117" t="str">
        <f t="shared" si="1"/>
        <v/>
      </c>
      <c r="E72" s="1117"/>
      <c r="F72" s="763"/>
      <c r="G72" s="1118"/>
      <c r="H72" s="763"/>
      <c r="I72" s="1117"/>
      <c r="J72" s="763"/>
      <c r="K72" s="1140" t="str">
        <f>IF(WariantRZiS=1,"ukryj",IF(AND(rzis!F72=0,AND(rzis!H72=0,rzis!J72=0)),"ukryj","odkryj"))</f>
        <v>ukryj</v>
      </c>
      <c r="L72" s="1117"/>
      <c r="M72" s="1117"/>
      <c r="N72" s="1117"/>
      <c r="O72" s="1117"/>
      <c r="P72" s="1117"/>
      <c r="Q72" s="1117"/>
      <c r="R72" s="1117"/>
      <c r="S72" s="1117"/>
      <c r="T72" s="1117"/>
      <c r="U72" s="55" t="s">
        <v>8758</v>
      </c>
      <c r="W72" s="55" t="s">
        <v>8759</v>
      </c>
      <c r="X72" s="1117"/>
      <c r="Y72" s="1117"/>
      <c r="Z72" s="1117"/>
      <c r="AA72"/>
    </row>
    <row r="73" spans="1:27" ht="15.75" customHeight="1" x14ac:dyDescent="0.3">
      <c r="A73" s="1122" t="s">
        <v>8760</v>
      </c>
      <c r="B73" s="1122" t="s">
        <v>8761</v>
      </c>
      <c r="C73" s="1117"/>
      <c r="D73" s="1117" t="str">
        <f t="shared" si="1"/>
        <v/>
      </c>
      <c r="E73" s="1117"/>
      <c r="F73" s="5"/>
      <c r="G73" s="63"/>
      <c r="H73" s="5"/>
      <c r="I73" s="1117"/>
      <c r="J73" s="5"/>
      <c r="K73" s="1140" t="str">
        <f>IF(WariantRZiS=1,"ukryj",IF(AND(rzis!F73=0,AND(rzis!H73=0,rzis!J73=0)),"ukryj","odkryj"))</f>
        <v>ukryj</v>
      </c>
      <c r="L73" s="1117"/>
      <c r="M73" s="1117"/>
      <c r="N73" s="1117"/>
      <c r="O73" s="1117"/>
      <c r="P73" s="1117"/>
      <c r="Q73" s="1117"/>
      <c r="R73" s="1117"/>
      <c r="S73" s="1117"/>
      <c r="T73" s="1117"/>
      <c r="U73" s="55" t="s">
        <v>8762</v>
      </c>
      <c r="W73" s="55" t="s">
        <v>8763</v>
      </c>
      <c r="X73" s="1117"/>
      <c r="Y73" s="1117"/>
      <c r="Z73" s="1117"/>
      <c r="AA73"/>
    </row>
    <row r="74" spans="1:27" ht="15.75" customHeight="1" x14ac:dyDescent="0.3">
      <c r="A74" s="1122" t="s">
        <v>8764</v>
      </c>
      <c r="B74" s="1122" t="s">
        <v>8765</v>
      </c>
      <c r="C74" s="1117"/>
      <c r="D74" s="1117" t="str">
        <f t="shared" si="1"/>
        <v/>
      </c>
      <c r="E74" s="1117"/>
      <c r="F74" s="5"/>
      <c r="G74" s="63"/>
      <c r="H74" s="5"/>
      <c r="I74" s="1117"/>
      <c r="J74" s="5"/>
      <c r="K74" s="1140" t="str">
        <f>IF(WariantRZiS=1,"ukryj",IF(AND(rzis!F74=0,AND(rzis!H74=0,rzis!J74=0)),"ukryj","odkryj"))</f>
        <v>ukryj</v>
      </c>
      <c r="L74" s="1117"/>
      <c r="M74" s="1117"/>
      <c r="N74" s="1117"/>
      <c r="O74" s="1117"/>
      <c r="P74" s="1117"/>
      <c r="Q74" s="1117"/>
      <c r="R74" s="1117"/>
      <c r="S74" s="1117"/>
      <c r="T74" s="1117"/>
      <c r="U74" s="55" t="s">
        <v>8766</v>
      </c>
      <c r="W74" s="55" t="s">
        <v>8767</v>
      </c>
      <c r="X74" s="1117"/>
      <c r="Y74" s="1117"/>
      <c r="Z74" s="1117"/>
      <c r="AA74"/>
    </row>
    <row r="75" spans="1:27" ht="15.75" customHeight="1" x14ac:dyDescent="0.3">
      <c r="A75" s="1116" t="s">
        <v>8768</v>
      </c>
      <c r="B75" s="1116" t="s">
        <v>8769</v>
      </c>
      <c r="C75" s="1117"/>
      <c r="D75" s="1117" t="str">
        <f t="shared" si="1"/>
        <v/>
      </c>
      <c r="E75" s="1117"/>
      <c r="F75" s="763"/>
      <c r="G75" s="1118"/>
      <c r="H75" s="763"/>
      <c r="I75" s="1117"/>
      <c r="J75" s="763"/>
      <c r="K75" s="1140" t="str">
        <f>IF(WariantRZiS=1,"ukryj",IF(AND(rzis!F75=0,AND(rzis!H75=0,rzis!J75=0)),"ukryj","odkryj"))</f>
        <v>ukryj</v>
      </c>
      <c r="L75" s="1117"/>
      <c r="M75" s="1117"/>
      <c r="N75" s="1117"/>
      <c r="O75" s="1117"/>
      <c r="P75" s="1117"/>
      <c r="Q75" s="1117"/>
      <c r="R75" s="1117"/>
      <c r="S75" s="1117"/>
      <c r="T75" s="1117"/>
      <c r="U75" s="55" t="s">
        <v>8770</v>
      </c>
      <c r="W75" s="55" t="s">
        <v>8771</v>
      </c>
      <c r="X75" s="1117"/>
      <c r="Y75" s="1117"/>
      <c r="Z75" s="1117"/>
      <c r="AA75"/>
    </row>
    <row r="76" spans="1:27" ht="15.75" customHeight="1" x14ac:dyDescent="0.3">
      <c r="A76" s="1116" t="s">
        <v>8599</v>
      </c>
      <c r="B76" s="1116" t="s">
        <v>8600</v>
      </c>
      <c r="C76" s="1117" t="str">
        <f>IF(Noty!K962="n/a","",Noty!L962)</f>
        <v/>
      </c>
      <c r="D76" s="1117" t="str">
        <f t="shared" si="1"/>
        <v/>
      </c>
      <c r="E76" s="1117"/>
      <c r="F76" s="763"/>
      <c r="G76" s="1118"/>
      <c r="H76" s="763"/>
      <c r="I76" s="1117"/>
      <c r="J76" s="763"/>
      <c r="K76" s="1140" t="str">
        <f>IF(WariantRZiS=1,"ukryj",IF(AND(rzis!F76=0,AND(rzis!H76=0,rzis!J76=0)),"ukryj","odkryj"))</f>
        <v>ukryj</v>
      </c>
      <c r="L76" s="1117"/>
      <c r="M76" s="1117"/>
      <c r="N76" s="1117"/>
      <c r="O76" s="1117"/>
      <c r="P76" s="1117"/>
      <c r="Q76" s="1117"/>
      <c r="R76" s="1117"/>
      <c r="S76" s="1117"/>
      <c r="T76" s="1117"/>
      <c r="U76" s="55" t="s">
        <v>8772</v>
      </c>
      <c r="W76" s="55" t="s">
        <v>8773</v>
      </c>
      <c r="X76" s="1117"/>
      <c r="Y76" s="1117"/>
      <c r="Z76" s="1117"/>
      <c r="AA76"/>
    </row>
    <row r="77" spans="1:27" ht="15.75" customHeight="1" x14ac:dyDescent="0.3">
      <c r="A77" s="1120" t="s">
        <v>8603</v>
      </c>
      <c r="B77" s="1120" t="s">
        <v>8604</v>
      </c>
      <c r="C77" s="1117"/>
      <c r="D77" s="1117" t="str">
        <f t="shared" si="1"/>
        <v/>
      </c>
      <c r="E77" s="1117"/>
      <c r="F77" s="5"/>
      <c r="G77" s="63"/>
      <c r="H77" s="5"/>
      <c r="I77" s="1117"/>
      <c r="J77" s="5"/>
      <c r="K77" s="1140" t="str">
        <f>IF(WariantRZiS=1,"ukryj",IF(AND(rzis!F77=0,AND(rzis!H77=0,rzis!J77=0)),"ukryj","odkryj"))</f>
        <v>ukryj</v>
      </c>
      <c r="L77" s="1117"/>
      <c r="M77" s="1117"/>
      <c r="N77" s="1117"/>
      <c r="O77" s="1117"/>
      <c r="P77" s="1117"/>
      <c r="Q77" s="1117"/>
      <c r="R77" s="1117"/>
      <c r="S77" s="1117"/>
      <c r="T77" s="1117"/>
      <c r="U77" s="55" t="s">
        <v>8774</v>
      </c>
      <c r="W77" s="55" t="s">
        <v>8775</v>
      </c>
      <c r="X77" s="1117"/>
      <c r="Y77" s="1117"/>
      <c r="Z77" s="1117"/>
      <c r="AA77" s="1163" t="s">
        <v>8607</v>
      </c>
    </row>
    <row r="78" spans="1:27" ht="15.75" customHeight="1" x14ac:dyDescent="0.3">
      <c r="A78" s="1120" t="s">
        <v>8608</v>
      </c>
      <c r="B78" s="1120" t="s">
        <v>8609</v>
      </c>
      <c r="C78" s="1117"/>
      <c r="D78" s="1117" t="str">
        <f t="shared" si="1"/>
        <v/>
      </c>
      <c r="E78" s="1117"/>
      <c r="F78" s="5"/>
      <c r="G78" s="63"/>
      <c r="H78" s="5"/>
      <c r="I78" s="1117"/>
      <c r="J78" s="5"/>
      <c r="K78" s="1140" t="str">
        <f>IF(WariantRZiS=1,"ukryj",IF(AND(rzis!F78=0,AND(rzis!H78=0,rzis!J78=0)),"ukryj","odkryj"))</f>
        <v>ukryj</v>
      </c>
      <c r="L78" s="1117"/>
      <c r="M78" s="1117"/>
      <c r="N78" s="1117"/>
      <c r="O78" s="1117"/>
      <c r="P78" s="1117"/>
      <c r="Q78" s="1117"/>
      <c r="R78" s="1117"/>
      <c r="S78" s="1117"/>
      <c r="T78" s="1117"/>
      <c r="U78" s="55" t="s">
        <v>8776</v>
      </c>
      <c r="W78" s="55" t="s">
        <v>8777</v>
      </c>
      <c r="X78" s="1117"/>
      <c r="Y78" s="1117"/>
      <c r="Z78" s="1117"/>
      <c r="AA78" s="1163" t="s">
        <v>8612</v>
      </c>
    </row>
    <row r="79" spans="1:27" ht="15.75" customHeight="1" x14ac:dyDescent="0.3">
      <c r="A79" s="1120" t="s">
        <v>8613</v>
      </c>
      <c r="B79" s="1120" t="s">
        <v>8614</v>
      </c>
      <c r="C79" s="1117"/>
      <c r="D79" s="1117" t="str">
        <f t="shared" si="1"/>
        <v/>
      </c>
      <c r="E79" s="1117"/>
      <c r="F79" s="5"/>
      <c r="G79" s="63"/>
      <c r="H79" s="5"/>
      <c r="I79" s="1117"/>
      <c r="J79" s="5"/>
      <c r="K79" s="1140" t="str">
        <f>IF(WariantRZiS=1,"ukryj",IF(AND(rzis!F79=0,AND(rzis!H79=0,rzis!J79=0)),"ukryj","odkryj"))</f>
        <v>ukryj</v>
      </c>
      <c r="L79" s="1117"/>
      <c r="M79" s="1117"/>
      <c r="N79" s="1117"/>
      <c r="O79" s="1117"/>
      <c r="P79" s="1117"/>
      <c r="Q79" s="1117"/>
      <c r="R79" s="1117"/>
      <c r="S79" s="1117"/>
      <c r="T79" s="1117"/>
      <c r="U79" s="55" t="s">
        <v>8778</v>
      </c>
      <c r="W79" s="55" t="s">
        <v>8779</v>
      </c>
      <c r="X79" s="1117"/>
      <c r="Y79" s="1117"/>
      <c r="Z79" s="1117"/>
      <c r="AA79" s="1163"/>
    </row>
    <row r="80" spans="1:27" ht="15.75" customHeight="1" x14ac:dyDescent="0.3">
      <c r="A80" s="1120" t="s">
        <v>8617</v>
      </c>
      <c r="B80" s="1120" t="s">
        <v>8600</v>
      </c>
      <c r="C80" s="1117"/>
      <c r="D80" s="1117" t="str">
        <f t="shared" si="1"/>
        <v/>
      </c>
      <c r="E80" s="1117"/>
      <c r="F80" s="5"/>
      <c r="G80" s="63"/>
      <c r="H80" s="5"/>
      <c r="I80" s="1117"/>
      <c r="J80" s="5"/>
      <c r="K80" s="1140" t="str">
        <f>IF(WariantRZiS=1,"ukryj",IF(AND(rzis!F80=0,AND(rzis!H80=0,rzis!J80=0)),"ukryj","odkryj"))</f>
        <v>ukryj</v>
      </c>
      <c r="L80" s="1117"/>
      <c r="M80" s="1117"/>
      <c r="N80" s="1117"/>
      <c r="O80" s="1117"/>
      <c r="P80" s="1117"/>
      <c r="Q80" s="1117"/>
      <c r="R80" s="1117"/>
      <c r="S80" s="1117"/>
      <c r="T80" s="1117"/>
      <c r="U80" s="55" t="s">
        <v>8780</v>
      </c>
      <c r="W80" s="55" t="s">
        <v>8781</v>
      </c>
      <c r="X80" s="1117"/>
      <c r="Y80" s="1117"/>
      <c r="Z80" s="1117"/>
      <c r="AA80" s="1163" t="s">
        <v>8620</v>
      </c>
    </row>
    <row r="81" spans="1:27" ht="15.75" customHeight="1" x14ac:dyDescent="0.3">
      <c r="A81" s="1116" t="s">
        <v>8621</v>
      </c>
      <c r="B81" s="1116" t="s">
        <v>8622</v>
      </c>
      <c r="C81" s="1117" t="str">
        <f>IF(Noty!K990="n/a","",Noty!L990)</f>
        <v/>
      </c>
      <c r="D81" s="1117" t="str">
        <f t="shared" si="1"/>
        <v/>
      </c>
      <c r="E81" s="1117"/>
      <c r="F81" s="763"/>
      <c r="G81" s="1118"/>
      <c r="H81" s="763"/>
      <c r="I81" s="1117"/>
      <c r="J81" s="763"/>
      <c r="K81" s="1140" t="str">
        <f>IF(WariantRZiS=1,"ukryj",IF(AND(rzis!F81=0,AND(rzis!H81=0,rzis!J81=0)),"ukryj","odkryj"))</f>
        <v>ukryj</v>
      </c>
      <c r="L81" s="1117"/>
      <c r="M81" s="1117"/>
      <c r="N81" s="1117"/>
      <c r="O81" s="1117"/>
      <c r="P81" s="1117"/>
      <c r="Q81" s="1117"/>
      <c r="R81" s="1117"/>
      <c r="S81" s="1117"/>
      <c r="T81" s="1117"/>
      <c r="U81" s="55" t="s">
        <v>8782</v>
      </c>
      <c r="W81" s="55" t="s">
        <v>8783</v>
      </c>
      <c r="X81" s="1117"/>
      <c r="Y81" s="1117"/>
      <c r="Z81" s="1117"/>
      <c r="AA81" s="1163"/>
    </row>
    <row r="82" spans="1:27" ht="15.75" customHeight="1" x14ac:dyDescent="0.3">
      <c r="A82" s="1120" t="s">
        <v>8625</v>
      </c>
      <c r="B82" s="1120" t="s">
        <v>8626</v>
      </c>
      <c r="C82" s="1117"/>
      <c r="D82" s="1117" t="str">
        <f t="shared" si="1"/>
        <v/>
      </c>
      <c r="E82" s="1117"/>
      <c r="F82" s="5"/>
      <c r="G82" s="63"/>
      <c r="H82" s="5"/>
      <c r="I82" s="1117"/>
      <c r="J82" s="5"/>
      <c r="K82" s="1140" t="str">
        <f>IF(WariantRZiS=1,"ukryj",IF(AND(rzis!F82=0,AND(rzis!H82=0,rzis!J82=0)),"ukryj","odkryj"))</f>
        <v>ukryj</v>
      </c>
      <c r="L82" s="1117"/>
      <c r="M82" s="1117"/>
      <c r="N82" s="1117"/>
      <c r="O82" s="1117"/>
      <c r="P82" s="1117"/>
      <c r="Q82" s="1117"/>
      <c r="R82" s="1117"/>
      <c r="S82" s="1117"/>
      <c r="T82" s="1117"/>
      <c r="U82" s="55" t="s">
        <v>8784</v>
      </c>
      <c r="W82" s="55" t="s">
        <v>8785</v>
      </c>
      <c r="X82" s="1117"/>
      <c r="Y82" s="1117"/>
      <c r="Z82" s="1117"/>
      <c r="AA82" s="1163" t="s">
        <v>8629</v>
      </c>
    </row>
    <row r="83" spans="1:27" ht="15.75" customHeight="1" x14ac:dyDescent="0.3">
      <c r="A83" s="1120" t="s">
        <v>8613</v>
      </c>
      <c r="B83" s="1120" t="s">
        <v>8614</v>
      </c>
      <c r="C83" s="1117"/>
      <c r="D83" s="1117" t="str">
        <f t="shared" si="1"/>
        <v/>
      </c>
      <c r="E83" s="1117"/>
      <c r="F83" s="5"/>
      <c r="G83" s="63"/>
      <c r="H83" s="5"/>
      <c r="I83" s="1117"/>
      <c r="J83" s="5"/>
      <c r="K83" s="1140" t="str">
        <f>IF(WariantRZiS=1,"ukryj",IF(AND(rzis!F83=0,AND(rzis!H83=0,rzis!J83=0)),"ukryj","odkryj"))</f>
        <v>ukryj</v>
      </c>
      <c r="L83" s="1117"/>
      <c r="M83" s="1117"/>
      <c r="N83" s="1117"/>
      <c r="O83" s="1117"/>
      <c r="P83" s="1117"/>
      <c r="Q83" s="1117"/>
      <c r="R83" s="1117"/>
      <c r="S83" s="1117"/>
      <c r="T83" s="1117"/>
      <c r="U83" s="55" t="s">
        <v>8786</v>
      </c>
      <c r="W83" s="55" t="s">
        <v>8787</v>
      </c>
      <c r="X83" s="1117"/>
      <c r="Y83" s="1117"/>
      <c r="Z83" s="1117"/>
      <c r="AA83" s="1163" t="s">
        <v>8632</v>
      </c>
    </row>
    <row r="84" spans="1:27" ht="15.75" customHeight="1" x14ac:dyDescent="0.3">
      <c r="A84" s="1120" t="s">
        <v>8633</v>
      </c>
      <c r="B84" s="1120" t="s">
        <v>8634</v>
      </c>
      <c r="C84" s="1117"/>
      <c r="D84" s="1117" t="str">
        <f t="shared" si="1"/>
        <v/>
      </c>
      <c r="E84" s="1117"/>
      <c r="F84" s="5"/>
      <c r="G84" s="63"/>
      <c r="H84" s="5"/>
      <c r="I84" s="1117"/>
      <c r="J84" s="5"/>
      <c r="K84" s="1140" t="str">
        <f>IF(WariantRZiS=1,"ukryj",IF(AND(rzis!F84=0,AND(rzis!H84=0,rzis!J84=0)),"ukryj","odkryj"))</f>
        <v>ukryj</v>
      </c>
      <c r="L84" s="1117"/>
      <c r="M84" s="1117"/>
      <c r="N84" s="1117"/>
      <c r="O84" s="1117"/>
      <c r="P84" s="1117"/>
      <c r="Q84" s="1117"/>
      <c r="R84" s="1117"/>
      <c r="S84" s="1117"/>
      <c r="T84" s="1117"/>
      <c r="U84" s="55" t="s">
        <v>8788</v>
      </c>
      <c r="W84" s="55" t="s">
        <v>8789</v>
      </c>
      <c r="X84" s="1117"/>
      <c r="Y84" s="1117"/>
      <c r="Z84" s="1117"/>
      <c r="AA84" s="1163" t="s">
        <v>8637</v>
      </c>
    </row>
    <row r="85" spans="1:27" ht="15.75" customHeight="1" x14ac:dyDescent="0.3">
      <c r="A85" s="1116" t="s">
        <v>8790</v>
      </c>
      <c r="B85" s="1116" t="s">
        <v>8639</v>
      </c>
      <c r="C85" s="1117"/>
      <c r="D85" s="1117" t="str">
        <f t="shared" si="1"/>
        <v/>
      </c>
      <c r="E85" s="1117"/>
      <c r="F85" s="763"/>
      <c r="G85" s="1118"/>
      <c r="H85" s="763"/>
      <c r="I85" s="1117"/>
      <c r="J85" s="763"/>
      <c r="K85" s="1140" t="str">
        <f>IF(WariantRZiS=1,"ukryj",IF(AND(rzis!F85=0,AND(rzis!H85=0,rzis!J85=0)),"ukryj","odkryj"))</f>
        <v>ukryj</v>
      </c>
      <c r="L85" s="1117"/>
      <c r="M85" s="1117"/>
      <c r="N85" s="1117"/>
      <c r="O85" s="1117"/>
      <c r="P85" s="1117"/>
      <c r="Q85" s="1117"/>
      <c r="R85" s="1117"/>
      <c r="S85" s="1117"/>
      <c r="T85" s="1117"/>
      <c r="U85" s="55" t="s">
        <v>8791</v>
      </c>
      <c r="W85" s="55" t="s">
        <v>8792</v>
      </c>
      <c r="X85" s="1117"/>
      <c r="Y85" s="1117"/>
      <c r="Z85" s="1117"/>
      <c r="AA85" s="1163"/>
    </row>
    <row r="86" spans="1:27" ht="15.75" customHeight="1" x14ac:dyDescent="0.3">
      <c r="A86" s="1116" t="s">
        <v>8642</v>
      </c>
      <c r="B86" s="1116" t="s">
        <v>8643</v>
      </c>
      <c r="C86" s="1117" t="str">
        <f>IF(Noty!K1016="n/a","",Noty!L1016)</f>
        <v/>
      </c>
      <c r="D86" s="1117" t="str">
        <f t="shared" si="1"/>
        <v/>
      </c>
      <c r="E86" s="1117"/>
      <c r="F86" s="763"/>
      <c r="G86" s="1118"/>
      <c r="H86" s="763"/>
      <c r="I86" s="1117"/>
      <c r="J86" s="763"/>
      <c r="K86" s="1140" t="str">
        <f>IF(WariantRZiS=1,"ukryj",IF(AND(rzis!F86=0,AND(rzis!H86=0,rzis!J86=0)),"ukryj","odkryj"))</f>
        <v>ukryj</v>
      </c>
      <c r="L86" s="1117"/>
      <c r="M86" s="1117"/>
      <c r="N86" s="1117"/>
      <c r="O86" s="1117"/>
      <c r="P86" s="1117"/>
      <c r="Q86" s="1117"/>
      <c r="R86" s="1117"/>
      <c r="S86" s="1117"/>
      <c r="T86" s="1117"/>
      <c r="U86" s="55" t="s">
        <v>8793</v>
      </c>
      <c r="W86" s="55" t="s">
        <v>8794</v>
      </c>
      <c r="X86" s="1117"/>
      <c r="Y86" s="1117"/>
      <c r="Z86" s="1117"/>
      <c r="AA86" s="1163"/>
    </row>
    <row r="87" spans="1:27" ht="15.75" customHeight="1" x14ac:dyDescent="0.3">
      <c r="A87" s="1120" t="s">
        <v>8646</v>
      </c>
      <c r="B87" s="1120" t="s">
        <v>8795</v>
      </c>
      <c r="C87" s="1117"/>
      <c r="D87" s="1117" t="str">
        <f t="shared" si="1"/>
        <v/>
      </c>
      <c r="E87" s="1117"/>
      <c r="F87" s="5"/>
      <c r="G87" s="63"/>
      <c r="H87" s="5"/>
      <c r="I87" s="1117"/>
      <c r="J87" s="5"/>
      <c r="K87" s="1140" t="str">
        <f>IF(WariantRZiS=1,"ukryj",IF(AND(rzis!F87=0,AND(rzis!H87=0,rzis!J87=0)),"ukryj","odkryj"))</f>
        <v>ukryj</v>
      </c>
      <c r="L87" s="1117"/>
      <c r="M87" s="1117"/>
      <c r="N87" s="1117"/>
      <c r="O87" s="1117"/>
      <c r="P87" s="1117"/>
      <c r="Q87" s="1117"/>
      <c r="R87" s="1117"/>
      <c r="S87" s="1117"/>
      <c r="T87" s="1117"/>
      <c r="U87" s="55" t="s">
        <v>8796</v>
      </c>
      <c r="W87" s="55" t="s">
        <v>8797</v>
      </c>
      <c r="X87" s="1117"/>
      <c r="Y87" s="1117"/>
      <c r="Z87" s="1117"/>
      <c r="AA87" s="1163" t="s">
        <v>8650</v>
      </c>
    </row>
    <row r="88" spans="1:27" ht="15.75" customHeight="1" x14ac:dyDescent="0.3">
      <c r="A88" s="1119" t="s">
        <v>8798</v>
      </c>
      <c r="B88" s="1119" t="s">
        <v>8652</v>
      </c>
      <c r="C88" s="1117"/>
      <c r="D88" s="1117" t="str">
        <f t="shared" si="1"/>
        <v/>
      </c>
      <c r="E88" s="1117"/>
      <c r="F88" s="5"/>
      <c r="G88" s="63"/>
      <c r="H88" s="5"/>
      <c r="I88" s="1117"/>
      <c r="J88" s="5"/>
      <c r="K88" s="1140" t="str">
        <f>IF(WariantRZiS=1,"ukryj",IF(AND(rzis!F88=0,AND(rzis!H88=0,rzis!J88=0)),"ukryj","odkryj"))</f>
        <v>ukryj</v>
      </c>
      <c r="L88" s="1117"/>
      <c r="M88" s="1117"/>
      <c r="N88" s="1117"/>
      <c r="O88" s="1117"/>
      <c r="P88" s="1117"/>
      <c r="Q88" s="1117"/>
      <c r="R88" s="1117"/>
      <c r="S88" s="1117"/>
      <c r="T88" s="1117"/>
      <c r="U88" s="55" t="s">
        <v>8799</v>
      </c>
      <c r="W88" s="55" t="s">
        <v>8800</v>
      </c>
      <c r="X88" s="1117"/>
      <c r="Y88" s="1117"/>
      <c r="Z88" s="1117"/>
      <c r="AA88" s="1163" t="s">
        <v>8655</v>
      </c>
    </row>
    <row r="89" spans="1:27" ht="15.75" customHeight="1" x14ac:dyDescent="0.3">
      <c r="A89" s="1123" t="s">
        <v>8656</v>
      </c>
      <c r="B89" s="1123" t="s">
        <v>8657</v>
      </c>
      <c r="C89" s="1117"/>
      <c r="D89" s="1117" t="str">
        <f t="shared" si="1"/>
        <v/>
      </c>
      <c r="E89" s="1117"/>
      <c r="F89" s="5"/>
      <c r="G89" s="63"/>
      <c r="H89" s="5"/>
      <c r="I89" s="1117"/>
      <c r="J89" s="5"/>
      <c r="K89" s="1140" t="str">
        <f>IF(WariantRZiS=1,"ukryj",IF(AND(rzis!F89=0,AND(rzis!H89=0,rzis!J89=0)),"ukryj","odkryj"))</f>
        <v>ukryj</v>
      </c>
      <c r="L89" s="1117"/>
      <c r="M89" s="1117"/>
      <c r="N89" s="1117"/>
      <c r="O89" s="1117"/>
      <c r="P89" s="1117"/>
      <c r="Q89" s="1117"/>
      <c r="R89" s="1117"/>
      <c r="S89" s="1117"/>
      <c r="T89" s="1117"/>
      <c r="U89" s="55" t="s">
        <v>8801</v>
      </c>
      <c r="W89" s="55" t="s">
        <v>8802</v>
      </c>
      <c r="X89" s="1117"/>
      <c r="Y89" s="1117"/>
      <c r="Z89" s="1117"/>
      <c r="AA89" s="1163"/>
    </row>
    <row r="90" spans="1:27" ht="15.75" customHeight="1" x14ac:dyDescent="0.3">
      <c r="A90" s="1119" t="s">
        <v>8660</v>
      </c>
      <c r="B90" s="1119" t="s">
        <v>8661</v>
      </c>
      <c r="C90" s="1117"/>
      <c r="D90" s="1117" t="str">
        <f t="shared" si="1"/>
        <v/>
      </c>
      <c r="E90" s="1117"/>
      <c r="F90" s="5"/>
      <c r="G90" s="63"/>
      <c r="H90" s="5"/>
      <c r="I90" s="1117"/>
      <c r="J90" s="5"/>
      <c r="K90" s="1140" t="str">
        <f>IF(WariantRZiS=1,"ukryj",IF(AND(rzis!F90=0,AND(rzis!H90=0,rzis!J90=0)),"ukryj","odkryj"))</f>
        <v>ukryj</v>
      </c>
      <c r="L90" s="1117"/>
      <c r="M90" s="1117"/>
      <c r="N90" s="1117"/>
      <c r="O90" s="1117"/>
      <c r="P90" s="1117"/>
      <c r="Q90" s="1117"/>
      <c r="R90" s="1117"/>
      <c r="S90" s="1117"/>
      <c r="T90" s="1117"/>
      <c r="U90" s="55" t="s">
        <v>8803</v>
      </c>
      <c r="W90" s="55" t="s">
        <v>8804</v>
      </c>
      <c r="X90" s="1117"/>
      <c r="Y90" s="1117"/>
      <c r="Z90" s="1117"/>
      <c r="AA90" s="1163"/>
    </row>
    <row r="91" spans="1:27" ht="15.75" customHeight="1" x14ac:dyDescent="0.3">
      <c r="A91" s="1123" t="s">
        <v>8656</v>
      </c>
      <c r="B91" s="1123" t="s">
        <v>8657</v>
      </c>
      <c r="C91" s="1117"/>
      <c r="D91" s="1117" t="str">
        <f t="shared" si="1"/>
        <v/>
      </c>
      <c r="E91" s="1117"/>
      <c r="F91" s="5"/>
      <c r="G91" s="63"/>
      <c r="H91" s="5"/>
      <c r="I91" s="1117"/>
      <c r="J91" s="5"/>
      <c r="K91" s="1140" t="str">
        <f>IF(WariantRZiS=1,"ukryj",IF(AND(rzis!F91=0,AND(rzis!H91=0,rzis!J91=0)),"ukryj","odkryj"))</f>
        <v>ukryj</v>
      </c>
      <c r="L91" s="1117"/>
      <c r="M91" s="1117"/>
      <c r="N91" s="1117"/>
      <c r="O91" s="1117"/>
      <c r="P91" s="1117"/>
      <c r="Q91" s="1117"/>
      <c r="R91" s="1117"/>
      <c r="S91" s="1117"/>
      <c r="T91" s="1117"/>
      <c r="U91" s="55" t="s">
        <v>8805</v>
      </c>
      <c r="W91" s="55" t="s">
        <v>8806</v>
      </c>
      <c r="X91" s="1117"/>
      <c r="Y91" s="1117"/>
      <c r="Z91" s="1117"/>
      <c r="AA91" s="1163"/>
    </row>
    <row r="92" spans="1:27" ht="15.75" customHeight="1" x14ac:dyDescent="0.3">
      <c r="A92" s="1120" t="s">
        <v>8666</v>
      </c>
      <c r="B92" s="1120" t="s">
        <v>8667</v>
      </c>
      <c r="C92" s="1117" t="str">
        <f>IF(Noty!K1018="n/a","",Noty!L1018)</f>
        <v/>
      </c>
      <c r="D92" s="1117" t="str">
        <f t="shared" si="1"/>
        <v/>
      </c>
      <c r="E92" s="1117"/>
      <c r="F92" s="5"/>
      <c r="G92" s="63"/>
      <c r="H92" s="5"/>
      <c r="I92" s="1117"/>
      <c r="J92" s="5"/>
      <c r="K92" s="1140" t="str">
        <f>IF(WariantRZiS=1,"ukryj",IF(AND(rzis!F92=0,AND(rzis!H92=0,rzis!J92=0)),"ukryj","odkryj"))</f>
        <v>ukryj</v>
      </c>
      <c r="L92" s="1117"/>
      <c r="M92" s="1117"/>
      <c r="N92" s="1117"/>
      <c r="O92" s="1117"/>
      <c r="P92" s="1117"/>
      <c r="Q92" s="1117"/>
      <c r="R92" s="1117"/>
      <c r="S92" s="1117"/>
      <c r="T92" s="1117"/>
      <c r="U92" s="55" t="s">
        <v>8807</v>
      </c>
      <c r="W92" s="55" t="s">
        <v>8808</v>
      </c>
      <c r="X92" s="1117"/>
      <c r="Y92" s="1117"/>
      <c r="Z92" s="1117"/>
      <c r="AA92" s="1163" t="s">
        <v>8670</v>
      </c>
    </row>
    <row r="93" spans="1:27" ht="15.75" customHeight="1" x14ac:dyDescent="0.3">
      <c r="A93" s="1119" t="s">
        <v>8671</v>
      </c>
      <c r="B93" s="1119" t="s">
        <v>8521</v>
      </c>
      <c r="C93" s="1117"/>
      <c r="D93" s="1117" t="str">
        <f t="shared" si="1"/>
        <v/>
      </c>
      <c r="E93" s="1117"/>
      <c r="F93" s="5"/>
      <c r="G93" s="63"/>
      <c r="H93" s="5"/>
      <c r="I93" s="1117"/>
      <c r="J93" s="5"/>
      <c r="K93" s="1140" t="str">
        <f>IF(WariantRZiS=1,"ukryj",IF(AND(rzis!F93=0,AND(rzis!H93=0,rzis!J93=0)),"ukryj","odkryj"))</f>
        <v>ukryj</v>
      </c>
      <c r="L93" s="1117"/>
      <c r="M93" s="1117"/>
      <c r="N93" s="1117"/>
      <c r="O93" s="1117"/>
      <c r="P93" s="1117"/>
      <c r="Q93" s="1117"/>
      <c r="R93" s="1117"/>
      <c r="S93" s="1117"/>
      <c r="T93" s="1117"/>
      <c r="U93" s="55" t="s">
        <v>8809</v>
      </c>
      <c r="W93" s="55" t="s">
        <v>8810</v>
      </c>
      <c r="X93" s="1117"/>
      <c r="Y93" s="1117"/>
      <c r="Z93" s="1117"/>
      <c r="AA93" s="1163" t="s">
        <v>8674</v>
      </c>
    </row>
    <row r="94" spans="1:27" ht="15.75" customHeight="1" x14ac:dyDescent="0.3">
      <c r="A94" s="1120" t="s">
        <v>8811</v>
      </c>
      <c r="B94" s="1120" t="s">
        <v>8812</v>
      </c>
      <c r="C94" s="1117"/>
      <c r="D94" s="1117" t="str">
        <f t="shared" si="1"/>
        <v/>
      </c>
      <c r="E94" s="1117"/>
      <c r="F94" s="5"/>
      <c r="G94" s="63"/>
      <c r="H94" s="5"/>
      <c r="I94" s="1117"/>
      <c r="J94" s="5"/>
      <c r="K94" s="1140" t="str">
        <f>IF(WariantRZiS=1,"ukryj",IF(AND(rzis!F94=0,AND(rzis!H94=0,rzis!J94=0)),"ukryj","odkryj"))</f>
        <v>ukryj</v>
      </c>
      <c r="L94" s="1117"/>
      <c r="M94" s="1117"/>
      <c r="N94" s="1117"/>
      <c r="O94" s="1117"/>
      <c r="P94" s="1117"/>
      <c r="Q94" s="1117"/>
      <c r="R94" s="1117"/>
      <c r="S94" s="1117"/>
      <c r="T94" s="1117"/>
      <c r="U94" s="55" t="s">
        <v>8813</v>
      </c>
      <c r="W94" s="55" t="s">
        <v>8814</v>
      </c>
      <c r="X94" s="1117"/>
      <c r="Y94" s="1117"/>
      <c r="Z94" s="1117"/>
      <c r="AA94" s="1163" t="s">
        <v>8679</v>
      </c>
    </row>
    <row r="95" spans="1:27" ht="15.75" customHeight="1" x14ac:dyDescent="0.3">
      <c r="A95" s="1119" t="s">
        <v>8680</v>
      </c>
      <c r="B95" s="1119" t="s">
        <v>8521</v>
      </c>
      <c r="C95" s="1117"/>
      <c r="D95" s="1117" t="str">
        <f t="shared" si="1"/>
        <v/>
      </c>
      <c r="E95" s="1117"/>
      <c r="F95" s="5"/>
      <c r="G95" s="63"/>
      <c r="H95" s="5"/>
      <c r="I95" s="1117"/>
      <c r="J95" s="5"/>
      <c r="K95" s="1140" t="str">
        <f>IF(WariantRZiS=1,"ukryj",IF(AND(rzis!F95=0,AND(rzis!H95=0,rzis!J95=0)),"ukryj","odkryj"))</f>
        <v>ukryj</v>
      </c>
      <c r="L95" s="1117"/>
      <c r="M95" s="1117"/>
      <c r="N95" s="1117"/>
      <c r="O95" s="1117"/>
      <c r="P95" s="1117"/>
      <c r="Q95" s="1117"/>
      <c r="R95" s="1117"/>
      <c r="S95" s="1117"/>
      <c r="T95" s="1117"/>
      <c r="U95" s="55" t="s">
        <v>8815</v>
      </c>
      <c r="W95" s="55" t="s">
        <v>8816</v>
      </c>
      <c r="X95" s="1117"/>
      <c r="Y95" s="1117"/>
      <c r="Z95" s="1117"/>
      <c r="AA95" s="1163"/>
    </row>
    <row r="96" spans="1:27" ht="15.75" customHeight="1" x14ac:dyDescent="0.3">
      <c r="A96" s="1120" t="s">
        <v>8613</v>
      </c>
      <c r="B96" s="1120" t="s">
        <v>8817</v>
      </c>
      <c r="C96" s="1117" t="str">
        <f>IF(Noty!K1035="n/a","",Noty!L1035)</f>
        <v/>
      </c>
      <c r="D96" s="1117" t="str">
        <f t="shared" si="1"/>
        <v/>
      </c>
      <c r="E96" s="1117"/>
      <c r="F96" s="5"/>
      <c r="G96" s="63"/>
      <c r="H96" s="5"/>
      <c r="I96" s="1117"/>
      <c r="J96" s="5"/>
      <c r="K96" s="1140" t="str">
        <f>IF(WariantRZiS=1,"ukryj",IF(AND(rzis!F96=0,AND(rzis!H96=0,rzis!J96=0)),"ukryj","odkryj"))</f>
        <v>ukryj</v>
      </c>
      <c r="L96" s="1117"/>
      <c r="M96" s="1117"/>
      <c r="N96" s="1117"/>
      <c r="O96" s="1117"/>
      <c r="P96" s="1117"/>
      <c r="Q96" s="1117"/>
      <c r="R96" s="1117"/>
      <c r="S96" s="1117"/>
      <c r="T96" s="1117"/>
      <c r="U96" s="55" t="s">
        <v>8818</v>
      </c>
      <c r="W96" s="55" t="s">
        <v>8819</v>
      </c>
      <c r="X96" s="1117"/>
      <c r="Y96" s="1117"/>
      <c r="Z96" s="1117"/>
      <c r="AA96" s="1163" t="s">
        <v>8687</v>
      </c>
    </row>
    <row r="97" spans="1:27" ht="15.75" customHeight="1" x14ac:dyDescent="0.3">
      <c r="A97" s="1120" t="s">
        <v>7558</v>
      </c>
      <c r="B97" s="1120" t="s">
        <v>7777</v>
      </c>
      <c r="C97" s="1117" t="str">
        <f>IF(Noty!K1067="n/a","",Noty!L1067)</f>
        <v/>
      </c>
      <c r="D97" s="1117" t="str">
        <f t="shared" si="1"/>
        <v/>
      </c>
      <c r="E97" s="1117"/>
      <c r="F97" s="5"/>
      <c r="G97" s="63"/>
      <c r="H97" s="5"/>
      <c r="I97" s="1117"/>
      <c r="J97" s="5"/>
      <c r="K97" s="1140" t="str">
        <f>IF(WariantRZiS=1,"ukryj",IF(AND(rzis!F97=0,AND(rzis!H97=0,rzis!J97=0)),"ukryj","odkryj"))</f>
        <v>ukryj</v>
      </c>
      <c r="L97" s="1117"/>
      <c r="M97" s="1117"/>
      <c r="N97" s="1117"/>
      <c r="O97" s="1117"/>
      <c r="P97" s="1117"/>
      <c r="Q97" s="1117"/>
      <c r="R97" s="1117"/>
      <c r="S97" s="1117"/>
      <c r="T97" s="1117"/>
      <c r="U97" s="55" t="s">
        <v>8820</v>
      </c>
      <c r="W97" s="55" t="s">
        <v>8821</v>
      </c>
      <c r="X97" s="1117"/>
      <c r="Y97" s="1117"/>
      <c r="Z97" s="1117"/>
      <c r="AA97" s="1163" t="s">
        <v>8690</v>
      </c>
    </row>
    <row r="98" spans="1:27" ht="15.75" customHeight="1" x14ac:dyDescent="0.3">
      <c r="A98" s="1116" t="s">
        <v>8691</v>
      </c>
      <c r="B98" s="1116" t="s">
        <v>8692</v>
      </c>
      <c r="C98" s="1117" t="str">
        <f>IF(Noty!K1087="n/a","",Noty!L1087)</f>
        <v/>
      </c>
      <c r="D98" s="1117" t="str">
        <f t="shared" si="1"/>
        <v/>
      </c>
      <c r="E98" s="1117"/>
      <c r="F98" s="763"/>
      <c r="G98" s="1118"/>
      <c r="H98" s="763"/>
      <c r="I98" s="1117"/>
      <c r="J98" s="763"/>
      <c r="K98" s="1140" t="str">
        <f>IF(WariantRZiS=1,"ukryj",IF(AND(rzis!F98=0,AND(rzis!H98=0,rzis!J98=0)),"ukryj","odkryj"))</f>
        <v>ukryj</v>
      </c>
      <c r="L98" s="1117"/>
      <c r="M98" s="1117"/>
      <c r="N98" s="1117"/>
      <c r="O98" s="1117"/>
      <c r="P98" s="1117"/>
      <c r="Q98" s="1117"/>
      <c r="R98" s="1117"/>
      <c r="S98" s="1117"/>
      <c r="T98" s="1117"/>
      <c r="U98" s="55" t="s">
        <v>8822</v>
      </c>
      <c r="W98" s="55" t="s">
        <v>8823</v>
      </c>
      <c r="X98" s="1117"/>
      <c r="Y98" s="1117"/>
      <c r="Z98" s="1117"/>
      <c r="AA98" s="1163"/>
    </row>
    <row r="99" spans="1:27" ht="15.75" customHeight="1" x14ac:dyDescent="0.3">
      <c r="A99" s="1120" t="s">
        <v>8666</v>
      </c>
      <c r="B99" s="1120" t="s">
        <v>8667</v>
      </c>
      <c r="C99" s="1117" t="str">
        <f>IF(Noty!K1089="n/a","",Noty!L1089)</f>
        <v/>
      </c>
      <c r="D99" s="1117" t="str">
        <f t="shared" si="1"/>
        <v/>
      </c>
      <c r="E99" s="1117"/>
      <c r="F99" s="5"/>
      <c r="G99" s="63"/>
      <c r="H99" s="5"/>
      <c r="I99" s="1117"/>
      <c r="J99" s="5"/>
      <c r="K99" s="1140" t="str">
        <f>IF(WariantRZiS=1,"ukryj",IF(AND(rzis!F99=0,AND(rzis!H99=0,rzis!J99=0)),"ukryj","odkryj"))</f>
        <v>ukryj</v>
      </c>
      <c r="L99" s="1117"/>
      <c r="M99" s="1117"/>
      <c r="N99" s="1117"/>
      <c r="O99" s="1117"/>
      <c r="P99" s="1117"/>
      <c r="Q99" s="1117"/>
      <c r="R99" s="1117"/>
      <c r="S99" s="1117"/>
      <c r="T99" s="1117"/>
      <c r="U99" s="55" t="s">
        <v>8824</v>
      </c>
      <c r="W99" s="55" t="s">
        <v>8825</v>
      </c>
      <c r="X99" s="1117"/>
      <c r="Y99" s="1117"/>
      <c r="Z99" s="1117"/>
      <c r="AA99" s="1163" t="s">
        <v>8697</v>
      </c>
    </row>
    <row r="100" spans="1:27" ht="15.75" customHeight="1" x14ac:dyDescent="0.3">
      <c r="A100" s="1119" t="s">
        <v>8698</v>
      </c>
      <c r="B100" s="1119" t="s">
        <v>8521</v>
      </c>
      <c r="C100" s="1117"/>
      <c r="D100" s="1117" t="str">
        <f t="shared" si="1"/>
        <v/>
      </c>
      <c r="E100" s="1117"/>
      <c r="F100" s="5"/>
      <c r="G100" s="63"/>
      <c r="H100" s="5"/>
      <c r="I100" s="1117"/>
      <c r="J100" s="5"/>
      <c r="K100" s="1140" t="str">
        <f>IF(WariantRZiS=1,"ukryj",IF(AND(rzis!F100=0,AND(rzis!H100=0,rzis!J100=0)),"ukryj","odkryj"))</f>
        <v>ukryj</v>
      </c>
      <c r="L100" s="1117"/>
      <c r="M100" s="1117"/>
      <c r="N100" s="1117"/>
      <c r="O100" s="1117"/>
      <c r="P100" s="1117"/>
      <c r="Q100" s="1117"/>
      <c r="R100" s="1117"/>
      <c r="S100" s="1117"/>
      <c r="T100" s="1117"/>
      <c r="U100" s="55" t="s">
        <v>8826</v>
      </c>
      <c r="W100" s="55" t="s">
        <v>8827</v>
      </c>
      <c r="X100" s="1117"/>
      <c r="Y100" s="1117"/>
      <c r="Z100" s="1117"/>
      <c r="AA100" s="1163" t="s">
        <v>8701</v>
      </c>
    </row>
    <row r="101" spans="1:27" ht="15.75" customHeight="1" x14ac:dyDescent="0.3">
      <c r="A101" s="1120" t="s">
        <v>8828</v>
      </c>
      <c r="B101" s="1120" t="s">
        <v>8829</v>
      </c>
      <c r="C101" s="1117"/>
      <c r="D101" s="1117" t="str">
        <f t="shared" si="1"/>
        <v/>
      </c>
      <c r="E101" s="1117"/>
      <c r="F101" s="5"/>
      <c r="G101" s="63"/>
      <c r="H101" s="5"/>
      <c r="I101" s="1117"/>
      <c r="J101" s="5"/>
      <c r="K101" s="1140" t="str">
        <f>IF(WariantRZiS=1,"ukryj",IF(AND(rzis!F101=0,AND(rzis!H101=0,rzis!J101=0)),"ukryj","odkryj"))</f>
        <v>ukryj</v>
      </c>
      <c r="L101" s="1117"/>
      <c r="M101" s="1117"/>
      <c r="N101" s="1117"/>
      <c r="O101" s="1117"/>
      <c r="P101" s="1117"/>
      <c r="Q101" s="1117"/>
      <c r="R101" s="1117"/>
      <c r="S101" s="1117"/>
      <c r="T101" s="1117"/>
      <c r="U101" s="55" t="s">
        <v>8830</v>
      </c>
      <c r="W101" s="55" t="s">
        <v>8831</v>
      </c>
      <c r="X101" s="1117"/>
      <c r="Y101" s="1117"/>
      <c r="Z101" s="1117"/>
      <c r="AA101" s="1163" t="s">
        <v>8706</v>
      </c>
    </row>
    <row r="102" spans="1:27" x14ac:dyDescent="0.3">
      <c r="A102" s="1119" t="s">
        <v>8680</v>
      </c>
      <c r="B102" s="1119" t="s">
        <v>8521</v>
      </c>
      <c r="C102" s="1117"/>
      <c r="D102" s="1117" t="str">
        <f t="shared" si="1"/>
        <v/>
      </c>
      <c r="E102" s="1117"/>
      <c r="F102" s="5"/>
      <c r="G102" s="63"/>
      <c r="H102" s="5"/>
      <c r="I102" s="1117"/>
      <c r="J102" s="5"/>
      <c r="K102" s="1140" t="str">
        <f>IF(WariantRZiS=1,"ukryj",IF(AND(rzis!F102=0,AND(rzis!H102=0,rzis!J102=0)),"ukryj","odkryj"))</f>
        <v>ukryj</v>
      </c>
      <c r="L102" s="1117"/>
      <c r="M102" s="1117"/>
      <c r="N102" s="1117"/>
      <c r="O102" s="1117"/>
      <c r="P102" s="1117"/>
      <c r="Q102" s="1117"/>
      <c r="R102" s="1117"/>
      <c r="S102" s="1117"/>
      <c r="T102" s="1117"/>
      <c r="U102" s="55" t="s">
        <v>8832</v>
      </c>
      <c r="W102" s="55" t="s">
        <v>8833</v>
      </c>
      <c r="X102" s="1117"/>
      <c r="Y102" s="1117"/>
      <c r="Z102" s="1117"/>
      <c r="AA102" s="1163"/>
    </row>
    <row r="103" spans="1:27" ht="15.75" customHeight="1" x14ac:dyDescent="0.3">
      <c r="A103" s="1120" t="s">
        <v>8613</v>
      </c>
      <c r="B103" s="1120" t="s">
        <v>8834</v>
      </c>
      <c r="C103" s="1117" t="str">
        <f>IF(Noty!K1108="n/a","",Noty!L1108)</f>
        <v/>
      </c>
      <c r="D103" s="1117" t="str">
        <f t="shared" si="1"/>
        <v/>
      </c>
      <c r="E103" s="1117"/>
      <c r="F103" s="5"/>
      <c r="G103" s="63"/>
      <c r="H103" s="5"/>
      <c r="I103" s="1117"/>
      <c r="J103" s="5"/>
      <c r="K103" s="1140" t="str">
        <f>IF(WariantRZiS=1,"ukryj",IF(AND(rzis!F103=0,AND(rzis!H103=0,rzis!J103=0)),"ukryj","odkryj"))</f>
        <v>ukryj</v>
      </c>
      <c r="L103" s="1117"/>
      <c r="M103" s="1117"/>
      <c r="N103" s="1117"/>
      <c r="O103" s="1117"/>
      <c r="P103" s="1117"/>
      <c r="Q103" s="1117"/>
      <c r="R103" s="1117"/>
      <c r="S103" s="1117"/>
      <c r="T103" s="1117"/>
      <c r="U103" s="55" t="s">
        <v>8835</v>
      </c>
      <c r="W103" s="55" t="s">
        <v>8836</v>
      </c>
      <c r="X103" s="1117"/>
      <c r="Y103" s="1117"/>
      <c r="Z103" s="1117"/>
      <c r="AA103" s="1163" t="s">
        <v>8711</v>
      </c>
    </row>
    <row r="104" spans="1:27" ht="15.75" customHeight="1" x14ac:dyDescent="0.3">
      <c r="A104" s="1120" t="s">
        <v>7558</v>
      </c>
      <c r="B104" s="1120" t="s">
        <v>7777</v>
      </c>
      <c r="C104" s="1117" t="str">
        <f>IF(Noty!K1131="n/a","",Noty!L1131)</f>
        <v/>
      </c>
      <c r="D104" s="1117" t="str">
        <f t="shared" si="1"/>
        <v/>
      </c>
      <c r="E104" s="1117"/>
      <c r="F104" s="5"/>
      <c r="G104" s="63"/>
      <c r="H104" s="5"/>
      <c r="I104" s="1117"/>
      <c r="J104" s="5"/>
      <c r="K104" s="1140" t="str">
        <f>IF(WariantRZiS=1,"ukryj",IF(AND(rzis!F104=0,AND(rzis!H104=0,rzis!J104=0)),"ukryj","odkryj"))</f>
        <v>ukryj</v>
      </c>
      <c r="L104" s="1117"/>
      <c r="M104" s="1117"/>
      <c r="N104" s="1117"/>
      <c r="O104" s="1117"/>
      <c r="P104" s="1117"/>
      <c r="Q104" s="1117"/>
      <c r="R104" s="1117"/>
      <c r="S104" s="1117"/>
      <c r="T104" s="1117"/>
      <c r="U104" s="55" t="s">
        <v>8837</v>
      </c>
      <c r="W104" s="55" t="s">
        <v>8838</v>
      </c>
      <c r="X104" s="1117"/>
      <c r="Y104" s="1117"/>
      <c r="Z104" s="1117"/>
      <c r="AA104" s="1163" t="s">
        <v>8714</v>
      </c>
    </row>
    <row r="105" spans="1:27" ht="15.75" customHeight="1" x14ac:dyDescent="0.3">
      <c r="A105" s="1116" t="s">
        <v>8715</v>
      </c>
      <c r="B105" s="1116" t="s">
        <v>8716</v>
      </c>
      <c r="C105" s="1117"/>
      <c r="D105" s="1117" t="str">
        <f t="shared" si="1"/>
        <v/>
      </c>
      <c r="E105" s="1117"/>
      <c r="F105" s="763"/>
      <c r="G105" s="1118"/>
      <c r="H105" s="763"/>
      <c r="I105" s="1117"/>
      <c r="J105" s="763"/>
      <c r="K105" s="1140" t="str">
        <f>IF(WariantRZiS=1,"ukryj",IF(AND(rzis!F105=0,AND(rzis!H105=0,rzis!J105=0)),"ukryj","odkryj"))</f>
        <v>ukryj</v>
      </c>
      <c r="L105" s="1117"/>
      <c r="M105" s="1117"/>
      <c r="N105" s="1117"/>
      <c r="O105" s="1117"/>
      <c r="P105" s="1117"/>
      <c r="Q105" s="1117"/>
      <c r="R105" s="1117"/>
      <c r="S105" s="1117"/>
      <c r="T105" s="1117"/>
      <c r="U105" s="55" t="s">
        <v>8839</v>
      </c>
      <c r="W105" s="55" t="s">
        <v>8840</v>
      </c>
      <c r="X105" s="1117"/>
      <c r="Y105" s="1117"/>
      <c r="Z105" s="1117"/>
      <c r="AA105" s="1167"/>
    </row>
    <row r="106" spans="1:27" ht="15.75" customHeight="1" x14ac:dyDescent="0.3">
      <c r="A106" s="1116" t="s">
        <v>7655</v>
      </c>
      <c r="B106" s="1116" t="s">
        <v>8719</v>
      </c>
      <c r="C106" s="1117" t="str">
        <f>IF(Noty!K1162="n/a","",Noty!L1162)</f>
        <v/>
      </c>
      <c r="D106" s="1117" t="str">
        <f t="shared" si="1"/>
        <v/>
      </c>
      <c r="E106" s="1117"/>
      <c r="F106" s="5"/>
      <c r="G106" s="63"/>
      <c r="H106" s="5"/>
      <c r="I106" s="1117"/>
      <c r="J106" s="5"/>
      <c r="K106" s="1140" t="str">
        <f>IF(WariantRZiS=1,"ukryj",IF(AND(rzis!F106=0,AND(rzis!H106=0,rzis!J106=0)),"ukryj","odkryj"))</f>
        <v>ukryj</v>
      </c>
      <c r="L106" s="1117"/>
      <c r="M106" s="1117"/>
      <c r="N106" s="1117"/>
      <c r="O106" s="1117"/>
      <c r="P106" s="1117"/>
      <c r="Q106" s="1117"/>
      <c r="R106" s="1117"/>
      <c r="S106" s="1117"/>
      <c r="T106" s="1117"/>
      <c r="U106" s="55" t="s">
        <v>8841</v>
      </c>
      <c r="W106" s="55" t="s">
        <v>8842</v>
      </c>
      <c r="X106" s="1117"/>
      <c r="Y106" s="1117"/>
      <c r="Z106" s="1117"/>
      <c r="AA106" s="1163" t="s">
        <v>8722</v>
      </c>
    </row>
    <row r="107" spans="1:27" ht="15.75" customHeight="1" x14ac:dyDescent="0.3">
      <c r="A107" s="1116" t="s">
        <v>8723</v>
      </c>
      <c r="B107" s="1116" t="s">
        <v>8843</v>
      </c>
      <c r="C107" s="1117"/>
      <c r="D107" s="1117" t="str">
        <f t="shared" si="1"/>
        <v/>
      </c>
      <c r="E107" s="1117"/>
      <c r="F107" s="5"/>
      <c r="G107" s="63"/>
      <c r="H107" s="5"/>
      <c r="I107" s="1117"/>
      <c r="J107" s="5"/>
      <c r="K107" s="1140" t="str">
        <f>IF(WariantRZiS=1,"ukryj",IF(AND(rzis!F107=0,AND(rzis!H107=0,rzis!J107=0)),"ukryj","odkryj"))</f>
        <v>ukryj</v>
      </c>
      <c r="L107" s="1117"/>
      <c r="M107" s="1117"/>
      <c r="N107" s="1117"/>
      <c r="O107" s="1117"/>
      <c r="P107" s="1117"/>
      <c r="Q107" s="1117"/>
      <c r="R107" s="1117"/>
      <c r="S107" s="1117"/>
      <c r="T107" s="1117"/>
      <c r="U107" s="55" t="s">
        <v>8844</v>
      </c>
      <c r="W107" s="55" t="s">
        <v>8845</v>
      </c>
      <c r="X107" s="1117"/>
      <c r="Y107" s="1117"/>
      <c r="Z107" s="1117"/>
    </row>
    <row r="108" spans="1:27" x14ac:dyDescent="0.3">
      <c r="A108" s="1116" t="s">
        <v>8727</v>
      </c>
      <c r="B108" s="1116" t="s">
        <v>8328</v>
      </c>
      <c r="C108" s="1117"/>
      <c r="D108" s="1117" t="str">
        <f t="shared" si="1"/>
        <v/>
      </c>
      <c r="E108" s="1117"/>
      <c r="F108" s="763"/>
      <c r="G108" s="1118"/>
      <c r="H108" s="763"/>
      <c r="I108" s="1117"/>
      <c r="J108" s="763"/>
      <c r="K108" s="1140" t="str">
        <f>IF(WariantRZiS=1,"ukryj",IF(AND(rzis!F108=0,AND(rzis!H108=0,rzis!J108=0)),"ukryj","odkryj"))</f>
        <v>ukryj</v>
      </c>
      <c r="L108" s="1117"/>
      <c r="M108" s="1117"/>
      <c r="N108" s="1117"/>
      <c r="O108" s="1117"/>
      <c r="P108" s="1117"/>
      <c r="Q108" s="1117"/>
      <c r="R108" s="1117"/>
      <c r="S108" s="1117"/>
      <c r="T108" s="1117"/>
      <c r="U108" s="55" t="s">
        <v>8846</v>
      </c>
      <c r="W108" s="55" t="s">
        <v>8847</v>
      </c>
      <c r="X108" s="1117"/>
      <c r="Y108" s="1117"/>
      <c r="Z108" s="1117"/>
    </row>
    <row r="109" spans="1:27" ht="15.75" customHeight="1" x14ac:dyDescent="0.3">
      <c r="A109"/>
      <c r="B109"/>
      <c r="C109"/>
      <c r="D109"/>
      <c r="E109"/>
      <c r="F109"/>
      <c r="G109"/>
      <c r="H109"/>
      <c r="J109"/>
      <c r="K109"/>
    </row>
    <row r="110" spans="1:27" ht="15.75" customHeight="1" x14ac:dyDescent="0.3">
      <c r="A110"/>
      <c r="B110"/>
      <c r="C110"/>
      <c r="D110"/>
      <c r="E110"/>
      <c r="F110"/>
      <c r="G110"/>
      <c r="H110"/>
      <c r="J110"/>
      <c r="K110"/>
    </row>
    <row r="111" spans="1:27" ht="15.75" customHeight="1" x14ac:dyDescent="0.3">
      <c r="A111"/>
      <c r="B111"/>
      <c r="C111"/>
      <c r="D111"/>
      <c r="E111"/>
      <c r="F111"/>
      <c r="G111"/>
      <c r="H111"/>
      <c r="J111"/>
      <c r="K111"/>
      <c r="L111" s="139"/>
    </row>
    <row r="112" spans="1:27" ht="15.75" customHeight="1" x14ac:dyDescent="0.3">
      <c r="A112"/>
      <c r="B112"/>
      <c r="C112"/>
      <c r="D112"/>
      <c r="E112"/>
      <c r="F112"/>
      <c r="G112"/>
      <c r="H112"/>
      <c r="J112"/>
      <c r="K112"/>
    </row>
    <row r="113" spans="1:12" ht="15.75" customHeight="1" x14ac:dyDescent="0.3">
      <c r="A113"/>
      <c r="B113"/>
      <c r="C113"/>
      <c r="D113"/>
      <c r="E113"/>
      <c r="F113"/>
      <c r="G113"/>
      <c r="H113"/>
      <c r="J113"/>
      <c r="K113"/>
    </row>
    <row r="114" spans="1:12" ht="16.55" customHeight="1" x14ac:dyDescent="0.3">
      <c r="A114"/>
      <c r="B114"/>
      <c r="C114"/>
      <c r="D114"/>
      <c r="E114"/>
      <c r="F114"/>
      <c r="G114"/>
      <c r="H114"/>
      <c r="J114"/>
      <c r="K114"/>
      <c r="L114" s="140" t="str">
        <f>IF(F114&gt;=0,"zysk","stratę")</f>
        <v>zysk</v>
      </c>
    </row>
    <row r="115" spans="1:12" ht="16.55" customHeight="1" x14ac:dyDescent="0.3">
      <c r="A115"/>
      <c r="B115"/>
      <c r="C115"/>
      <c r="D115"/>
      <c r="E115"/>
      <c r="F115"/>
      <c r="G115"/>
      <c r="H115"/>
      <c r="J115"/>
      <c r="K115"/>
    </row>
    <row r="116" spans="1:12" x14ac:dyDescent="0.3">
      <c r="A116"/>
      <c r="B116"/>
      <c r="C116"/>
      <c r="D116"/>
      <c r="E116"/>
      <c r="F116"/>
      <c r="G116"/>
      <c r="H116"/>
      <c r="J116"/>
      <c r="K116"/>
    </row>
    <row r="117" spans="1:12" x14ac:dyDescent="0.3">
      <c r="A117"/>
      <c r="B117"/>
      <c r="C117"/>
      <c r="D117"/>
      <c r="E117"/>
      <c r="F117"/>
      <c r="G117"/>
      <c r="H117"/>
      <c r="J117"/>
      <c r="K117"/>
    </row>
    <row r="118" spans="1:12" hidden="1" x14ac:dyDescent="0.3">
      <c r="A118"/>
      <c r="B118"/>
      <c r="C118"/>
      <c r="D118"/>
      <c r="E118"/>
      <c r="F118"/>
      <c r="G118"/>
      <c r="H118"/>
      <c r="J118"/>
      <c r="K118"/>
    </row>
    <row r="119" spans="1:12" hidden="1" x14ac:dyDescent="0.3">
      <c r="A119"/>
      <c r="B119"/>
      <c r="C119"/>
      <c r="D119"/>
      <c r="E119"/>
      <c r="F119"/>
      <c r="G119"/>
      <c r="H119"/>
      <c r="J119"/>
      <c r="K119"/>
    </row>
    <row r="120" spans="1:12" hidden="1" x14ac:dyDescent="0.3">
      <c r="A120"/>
      <c r="B120"/>
      <c r="C120"/>
      <c r="D120"/>
      <c r="E120"/>
      <c r="F120"/>
      <c r="G120"/>
      <c r="H120"/>
      <c r="J120"/>
      <c r="K120"/>
    </row>
    <row r="121" spans="1:12" hidden="1" x14ac:dyDescent="0.3">
      <c r="A121"/>
      <c r="B121"/>
      <c r="C121"/>
      <c r="D121"/>
      <c r="E121"/>
      <c r="F121"/>
      <c r="G121"/>
      <c r="H121"/>
      <c r="J121"/>
      <c r="K121"/>
    </row>
    <row r="122" spans="1:12" hidden="1" x14ac:dyDescent="0.3">
      <c r="A122"/>
      <c r="B122"/>
      <c r="C122"/>
      <c r="D122"/>
      <c r="E122"/>
      <c r="F122"/>
      <c r="G122"/>
      <c r="H122"/>
      <c r="J122"/>
      <c r="K122"/>
    </row>
    <row r="123" spans="1:12" hidden="1" x14ac:dyDescent="0.3">
      <c r="A123"/>
      <c r="B123"/>
      <c r="C123"/>
      <c r="D123"/>
      <c r="E123"/>
      <c r="F123"/>
      <c r="G123"/>
      <c r="H123"/>
      <c r="J123"/>
      <c r="K123"/>
    </row>
    <row r="124" spans="1:12" hidden="1" x14ac:dyDescent="0.3">
      <c r="A124"/>
      <c r="B124"/>
      <c r="C124"/>
      <c r="D124"/>
      <c r="E124"/>
      <c r="F124"/>
      <c r="G124"/>
      <c r="H124"/>
      <c r="J124"/>
      <c r="K124"/>
    </row>
    <row r="125" spans="1:12" hidden="1" x14ac:dyDescent="0.3">
      <c r="A125"/>
      <c r="B125"/>
      <c r="C125"/>
      <c r="D125"/>
      <c r="E125"/>
      <c r="F125"/>
      <c r="G125"/>
      <c r="H125"/>
      <c r="J125"/>
      <c r="K125"/>
    </row>
    <row r="126" spans="1:12" hidden="1" x14ac:dyDescent="0.3">
      <c r="A126"/>
      <c r="B126"/>
      <c r="C126"/>
      <c r="D126"/>
      <c r="E126"/>
      <c r="F126"/>
      <c r="G126"/>
      <c r="H126"/>
      <c r="J126"/>
      <c r="K126"/>
    </row>
    <row r="127" spans="1:12" hidden="1" x14ac:dyDescent="0.3">
      <c r="A127"/>
      <c r="B127"/>
      <c r="C127"/>
      <c r="D127"/>
      <c r="E127"/>
      <c r="F127"/>
      <c r="G127"/>
      <c r="H127"/>
      <c r="J127"/>
      <c r="K127"/>
    </row>
    <row r="128" spans="1:12" hidden="1" x14ac:dyDescent="0.3">
      <c r="A128"/>
      <c r="B128"/>
      <c r="C128"/>
      <c r="D128"/>
      <c r="E128"/>
      <c r="F128"/>
      <c r="G128"/>
      <c r="H128"/>
      <c r="J128"/>
      <c r="K128"/>
    </row>
    <row r="129" spans="1:11" hidden="1" x14ac:dyDescent="0.3">
      <c r="A129"/>
      <c r="B129"/>
      <c r="C129"/>
      <c r="D129"/>
      <c r="E129"/>
      <c r="F129"/>
      <c r="G129"/>
      <c r="H129"/>
      <c r="J129"/>
      <c r="K129"/>
    </row>
    <row r="130" spans="1:11" hidden="1" x14ac:dyDescent="0.3">
      <c r="A130"/>
      <c r="B130"/>
      <c r="C130"/>
      <c r="D130"/>
      <c r="E130"/>
      <c r="F130"/>
      <c r="G130"/>
      <c r="H130"/>
      <c r="J130"/>
      <c r="K130"/>
    </row>
    <row r="131" spans="1:11" hidden="1" x14ac:dyDescent="0.3">
      <c r="A131"/>
      <c r="B131"/>
      <c r="C131"/>
      <c r="D131"/>
      <c r="E131"/>
      <c r="F131"/>
      <c r="G131"/>
      <c r="H131"/>
      <c r="J131"/>
      <c r="K131"/>
    </row>
    <row r="132" spans="1:11" hidden="1" x14ac:dyDescent="0.3">
      <c r="A132"/>
      <c r="B132"/>
      <c r="C132"/>
      <c r="D132"/>
      <c r="E132"/>
      <c r="F132"/>
      <c r="G132"/>
      <c r="H132"/>
      <c r="J132"/>
      <c r="K132"/>
    </row>
    <row r="133" spans="1:11" hidden="1" x14ac:dyDescent="0.3">
      <c r="A133"/>
      <c r="B133"/>
      <c r="C133"/>
      <c r="D133"/>
      <c r="E133"/>
      <c r="F133"/>
      <c r="G133"/>
      <c r="H133"/>
      <c r="J133"/>
      <c r="K133"/>
    </row>
    <row r="134" spans="1:11" hidden="1" x14ac:dyDescent="0.3">
      <c r="A134"/>
      <c r="B134"/>
      <c r="C134"/>
      <c r="D134"/>
      <c r="E134"/>
      <c r="F134"/>
      <c r="G134"/>
      <c r="H134"/>
      <c r="J134"/>
      <c r="K134"/>
    </row>
    <row r="135" spans="1:11" hidden="1" x14ac:dyDescent="0.3">
      <c r="A135"/>
      <c r="B135"/>
      <c r="C135"/>
      <c r="D135"/>
      <c r="E135"/>
      <c r="F135"/>
      <c r="G135"/>
      <c r="H135"/>
      <c r="J135"/>
      <c r="K135"/>
    </row>
    <row r="136" spans="1:11" hidden="1" x14ac:dyDescent="0.3">
      <c r="A136"/>
      <c r="B136"/>
      <c r="C136"/>
      <c r="D136"/>
      <c r="E136"/>
      <c r="F136"/>
      <c r="G136"/>
      <c r="H136"/>
      <c r="J136"/>
      <c r="K136"/>
    </row>
    <row r="137" spans="1:11" hidden="1" x14ac:dyDescent="0.3">
      <c r="A137"/>
      <c r="B137"/>
      <c r="C137"/>
      <c r="D137"/>
      <c r="E137"/>
      <c r="F137"/>
      <c r="G137"/>
      <c r="H137"/>
      <c r="J137"/>
      <c r="K137"/>
    </row>
    <row r="138" spans="1:11" hidden="1" x14ac:dyDescent="0.3">
      <c r="A138"/>
      <c r="B138"/>
      <c r="C138"/>
      <c r="D138"/>
      <c r="E138"/>
      <c r="F138"/>
      <c r="G138"/>
      <c r="H138"/>
      <c r="J138"/>
      <c r="K138"/>
    </row>
    <row r="139" spans="1:11" hidden="1" x14ac:dyDescent="0.3">
      <c r="A139"/>
      <c r="B139"/>
      <c r="C139"/>
      <c r="D139"/>
      <c r="E139"/>
      <c r="F139"/>
      <c r="G139"/>
      <c r="H139"/>
      <c r="J139"/>
      <c r="K139"/>
    </row>
    <row r="140" spans="1:11" hidden="1" x14ac:dyDescent="0.3">
      <c r="A140"/>
      <c r="B140"/>
      <c r="C140"/>
      <c r="D140"/>
      <c r="E140"/>
      <c r="F140"/>
      <c r="G140"/>
      <c r="H140"/>
      <c r="J140"/>
      <c r="K140"/>
    </row>
    <row r="141" spans="1:11" hidden="1" x14ac:dyDescent="0.3">
      <c r="A141"/>
      <c r="B141"/>
      <c r="C141"/>
      <c r="D141"/>
      <c r="E141"/>
      <c r="F141"/>
      <c r="G141"/>
      <c r="H141"/>
      <c r="J141"/>
      <c r="K141"/>
    </row>
    <row r="142" spans="1:11" hidden="1" x14ac:dyDescent="0.3">
      <c r="A142"/>
      <c r="B142"/>
      <c r="C142"/>
      <c r="D142"/>
      <c r="E142"/>
      <c r="F142"/>
      <c r="G142"/>
      <c r="H142"/>
      <c r="J142"/>
      <c r="K142"/>
    </row>
    <row r="143" spans="1:11" hidden="1" x14ac:dyDescent="0.3">
      <c r="A143"/>
      <c r="B143"/>
      <c r="C143"/>
      <c r="D143"/>
      <c r="E143"/>
      <c r="F143"/>
      <c r="G143"/>
      <c r="H143"/>
      <c r="J143"/>
      <c r="K143"/>
    </row>
    <row r="144" spans="1:11" hidden="1" x14ac:dyDescent="0.3">
      <c r="A144"/>
      <c r="B144"/>
      <c r="C144"/>
      <c r="D144"/>
      <c r="E144"/>
      <c r="F144"/>
      <c r="G144"/>
      <c r="H144"/>
      <c r="J144"/>
      <c r="K144"/>
    </row>
    <row r="145" spans="1:11" hidden="1" x14ac:dyDescent="0.3">
      <c r="A145"/>
      <c r="B145"/>
      <c r="C145"/>
      <c r="D145"/>
      <c r="E145"/>
      <c r="F145"/>
      <c r="G145"/>
      <c r="H145"/>
      <c r="J145"/>
      <c r="K145"/>
    </row>
    <row r="146" spans="1:11" hidden="1" x14ac:dyDescent="0.3">
      <c r="A146"/>
      <c r="B146"/>
      <c r="C146"/>
      <c r="D146"/>
      <c r="E146"/>
      <c r="F146"/>
      <c r="G146"/>
      <c r="H146"/>
      <c r="J146"/>
      <c r="K146"/>
    </row>
    <row r="147" spans="1:11" hidden="1" x14ac:dyDescent="0.3">
      <c r="A147"/>
      <c r="B147"/>
      <c r="C147"/>
      <c r="D147"/>
      <c r="E147"/>
      <c r="F147"/>
      <c r="G147"/>
      <c r="H147"/>
      <c r="J147"/>
      <c r="K147"/>
    </row>
    <row r="148" spans="1:11" hidden="1" x14ac:dyDescent="0.3">
      <c r="A148"/>
      <c r="B148"/>
      <c r="C148"/>
      <c r="D148"/>
      <c r="E148"/>
      <c r="F148"/>
      <c r="G148"/>
      <c r="H148"/>
      <c r="J148"/>
      <c r="K148"/>
    </row>
    <row r="149" spans="1:11" hidden="1" x14ac:dyDescent="0.3">
      <c r="A149"/>
      <c r="B149"/>
      <c r="C149"/>
      <c r="D149"/>
      <c r="E149"/>
      <c r="F149"/>
      <c r="G149"/>
      <c r="H149"/>
      <c r="J149"/>
      <c r="K149"/>
    </row>
    <row r="150" spans="1:11" hidden="1" x14ac:dyDescent="0.3">
      <c r="A150"/>
      <c r="B150"/>
      <c r="C150"/>
      <c r="D150"/>
      <c r="E150"/>
      <c r="F150"/>
      <c r="G150"/>
      <c r="H150"/>
      <c r="J150"/>
      <c r="K150"/>
    </row>
    <row r="151" spans="1:11" hidden="1" x14ac:dyDescent="0.3">
      <c r="A151"/>
      <c r="B151"/>
      <c r="C151"/>
      <c r="D151"/>
      <c r="E151"/>
      <c r="F151"/>
      <c r="G151"/>
      <c r="H151"/>
      <c r="J151"/>
      <c r="K151"/>
    </row>
    <row r="152" spans="1:11" hidden="1" x14ac:dyDescent="0.3">
      <c r="A152"/>
      <c r="B152"/>
      <c r="C152"/>
      <c r="D152"/>
      <c r="E152"/>
      <c r="F152"/>
      <c r="G152"/>
      <c r="H152"/>
      <c r="J152"/>
      <c r="K152"/>
    </row>
    <row r="153" spans="1:11" hidden="1" x14ac:dyDescent="0.3">
      <c r="A153"/>
      <c r="B153"/>
      <c r="C153"/>
      <c r="D153"/>
      <c r="E153"/>
      <c r="F153"/>
      <c r="G153"/>
      <c r="H153"/>
      <c r="J153"/>
      <c r="K153"/>
    </row>
    <row r="154" spans="1:11" hidden="1" x14ac:dyDescent="0.3">
      <c r="A154"/>
      <c r="B154"/>
      <c r="C154"/>
      <c r="D154"/>
      <c r="E154"/>
      <c r="F154"/>
      <c r="G154"/>
      <c r="H154"/>
      <c r="J154"/>
      <c r="K154"/>
    </row>
    <row r="155" spans="1:11" hidden="1" x14ac:dyDescent="0.3">
      <c r="A155"/>
      <c r="B155"/>
      <c r="C155"/>
      <c r="D155"/>
      <c r="E155"/>
      <c r="F155"/>
      <c r="G155"/>
      <c r="H155"/>
      <c r="J155"/>
      <c r="K155"/>
    </row>
    <row r="156" spans="1:11" hidden="1" x14ac:dyDescent="0.3">
      <c r="A156"/>
      <c r="B156"/>
      <c r="C156"/>
      <c r="D156"/>
      <c r="E156"/>
      <c r="F156"/>
      <c r="G156"/>
      <c r="H156"/>
      <c r="J156"/>
      <c r="K156"/>
    </row>
    <row r="157" spans="1:11" hidden="1" x14ac:dyDescent="0.3">
      <c r="A157"/>
      <c r="B157"/>
      <c r="C157"/>
      <c r="D157"/>
      <c r="E157"/>
      <c r="F157"/>
      <c r="G157"/>
      <c r="H157"/>
      <c r="J157"/>
      <c r="K157"/>
    </row>
    <row r="158" spans="1:11" hidden="1" x14ac:dyDescent="0.3">
      <c r="A158"/>
      <c r="B158"/>
      <c r="C158"/>
      <c r="D158"/>
      <c r="E158"/>
      <c r="F158"/>
      <c r="G158"/>
      <c r="H158"/>
      <c r="J158"/>
      <c r="K158"/>
    </row>
    <row r="159" spans="1:11" hidden="1" x14ac:dyDescent="0.3">
      <c r="A159"/>
      <c r="B159"/>
      <c r="C159"/>
      <c r="D159"/>
      <c r="E159"/>
      <c r="F159"/>
      <c r="G159"/>
      <c r="H159"/>
      <c r="J159"/>
      <c r="K159"/>
    </row>
    <row r="160" spans="1:11" hidden="1" x14ac:dyDescent="0.3">
      <c r="A160"/>
      <c r="B160"/>
      <c r="C160"/>
      <c r="D160"/>
      <c r="E160"/>
      <c r="F160"/>
      <c r="G160"/>
      <c r="H160"/>
      <c r="J160"/>
      <c r="K160"/>
    </row>
    <row r="161" spans="1:11" hidden="1" x14ac:dyDescent="0.3">
      <c r="A161"/>
      <c r="B161"/>
      <c r="C161"/>
      <c r="D161"/>
      <c r="E161"/>
      <c r="F161"/>
      <c r="G161"/>
      <c r="H161"/>
      <c r="J161"/>
      <c r="K161"/>
    </row>
    <row r="162" spans="1:11" hidden="1" x14ac:dyDescent="0.3">
      <c r="A162"/>
      <c r="B162"/>
      <c r="C162"/>
      <c r="D162"/>
      <c r="E162"/>
      <c r="F162"/>
      <c r="G162"/>
      <c r="H162"/>
      <c r="J162"/>
      <c r="K162"/>
    </row>
    <row r="163" spans="1:11" hidden="1" x14ac:dyDescent="0.3">
      <c r="A163"/>
      <c r="B163"/>
      <c r="C163"/>
      <c r="D163"/>
      <c r="E163"/>
      <c r="F163"/>
      <c r="G163"/>
      <c r="H163"/>
      <c r="J163"/>
      <c r="K163"/>
    </row>
    <row r="164" spans="1:11" hidden="1" x14ac:dyDescent="0.3">
      <c r="A164"/>
      <c r="B164"/>
      <c r="C164"/>
      <c r="D164"/>
      <c r="E164"/>
      <c r="F164"/>
      <c r="G164"/>
      <c r="H164"/>
      <c r="J164"/>
      <c r="K164"/>
    </row>
    <row r="165" spans="1:11" hidden="1" x14ac:dyDescent="0.3">
      <c r="A165"/>
      <c r="B165"/>
      <c r="C165"/>
      <c r="D165"/>
      <c r="E165"/>
      <c r="F165"/>
      <c r="G165"/>
      <c r="H165"/>
      <c r="J165"/>
      <c r="K165"/>
    </row>
    <row r="166" spans="1:11" hidden="1" x14ac:dyDescent="0.3">
      <c r="A166"/>
      <c r="B166"/>
      <c r="C166"/>
      <c r="D166"/>
      <c r="E166"/>
      <c r="F166"/>
      <c r="G166"/>
      <c r="H166"/>
      <c r="J166"/>
      <c r="K166"/>
    </row>
    <row r="167" spans="1:11" hidden="1" x14ac:dyDescent="0.3">
      <c r="A167"/>
      <c r="B167"/>
      <c r="C167"/>
      <c r="D167"/>
      <c r="E167"/>
      <c r="F167"/>
      <c r="G167"/>
      <c r="H167"/>
      <c r="J167"/>
      <c r="K167"/>
    </row>
    <row r="168" spans="1:11" hidden="1" x14ac:dyDescent="0.3">
      <c r="A168"/>
      <c r="B168"/>
      <c r="C168"/>
      <c r="D168"/>
      <c r="E168"/>
      <c r="F168"/>
      <c r="G168"/>
      <c r="H168"/>
      <c r="J168"/>
      <c r="K168"/>
    </row>
    <row r="169" spans="1:11" hidden="1" x14ac:dyDescent="0.3">
      <c r="A169"/>
      <c r="B169"/>
      <c r="C169"/>
      <c r="D169"/>
      <c r="E169"/>
      <c r="F169"/>
      <c r="G169"/>
      <c r="H169"/>
      <c r="J169"/>
      <c r="K169"/>
    </row>
    <row r="170" spans="1:11" hidden="1" x14ac:dyDescent="0.3">
      <c r="A170"/>
      <c r="B170"/>
      <c r="C170"/>
      <c r="D170"/>
      <c r="E170"/>
      <c r="F170"/>
      <c r="G170"/>
      <c r="H170"/>
      <c r="J170"/>
      <c r="K170"/>
    </row>
    <row r="171" spans="1:11" hidden="1" x14ac:dyDescent="0.3">
      <c r="A171"/>
      <c r="B171"/>
      <c r="C171"/>
      <c r="D171"/>
      <c r="E171"/>
      <c r="F171"/>
      <c r="G171"/>
      <c r="H171"/>
      <c r="J171"/>
      <c r="K171"/>
    </row>
    <row r="172" spans="1:11" hidden="1" x14ac:dyDescent="0.3">
      <c r="A172"/>
      <c r="B172"/>
      <c r="C172"/>
      <c r="D172"/>
      <c r="E172"/>
      <c r="F172"/>
      <c r="G172"/>
      <c r="H172"/>
      <c r="J172"/>
      <c r="K172"/>
    </row>
    <row r="173" spans="1:11" hidden="1" x14ac:dyDescent="0.3">
      <c r="A173"/>
      <c r="B173"/>
      <c r="C173"/>
      <c r="D173"/>
      <c r="E173"/>
      <c r="F173"/>
      <c r="G173"/>
      <c r="H173"/>
      <c r="J173"/>
      <c r="K173"/>
    </row>
    <row r="174" spans="1:11" hidden="1" x14ac:dyDescent="0.3">
      <c r="A174"/>
      <c r="B174"/>
      <c r="C174"/>
      <c r="D174"/>
      <c r="E174"/>
      <c r="F174"/>
      <c r="G174"/>
      <c r="H174"/>
      <c r="J174"/>
      <c r="K174"/>
    </row>
    <row r="175" spans="1:11" hidden="1" x14ac:dyDescent="0.3">
      <c r="A175"/>
      <c r="B175"/>
      <c r="C175"/>
      <c r="D175"/>
      <c r="E175"/>
      <c r="F175"/>
      <c r="G175"/>
      <c r="H175"/>
      <c r="J175"/>
      <c r="K175"/>
    </row>
    <row r="176" spans="1:11" hidden="1" x14ac:dyDescent="0.3">
      <c r="A176"/>
      <c r="B176"/>
      <c r="C176"/>
      <c r="D176"/>
      <c r="E176"/>
      <c r="F176"/>
      <c r="G176"/>
      <c r="H176"/>
      <c r="J176"/>
      <c r="K176"/>
    </row>
    <row r="177" spans="1:11" hidden="1" x14ac:dyDescent="0.3">
      <c r="A177"/>
      <c r="B177"/>
      <c r="C177"/>
      <c r="D177"/>
      <c r="E177"/>
      <c r="F177"/>
      <c r="G177"/>
      <c r="H177"/>
      <c r="J177"/>
      <c r="K177"/>
    </row>
    <row r="178" spans="1:11" hidden="1" x14ac:dyDescent="0.3">
      <c r="A178"/>
      <c r="B178"/>
      <c r="C178"/>
      <c r="D178"/>
      <c r="E178"/>
      <c r="F178"/>
      <c r="G178"/>
      <c r="H178"/>
      <c r="J178"/>
      <c r="K178"/>
    </row>
    <row r="179" spans="1:11" hidden="1" x14ac:dyDescent="0.3">
      <c r="A179"/>
      <c r="B179"/>
      <c r="C179"/>
      <c r="D179"/>
      <c r="E179"/>
      <c r="F179"/>
      <c r="G179"/>
      <c r="H179"/>
      <c r="J179"/>
      <c r="K179"/>
    </row>
    <row r="180" spans="1:11" hidden="1" x14ac:dyDescent="0.3">
      <c r="A180"/>
      <c r="B180"/>
      <c r="C180"/>
      <c r="D180"/>
      <c r="E180"/>
      <c r="F180"/>
      <c r="G180"/>
      <c r="H180"/>
      <c r="J180"/>
      <c r="K180"/>
    </row>
    <row r="181" spans="1:11" hidden="1" x14ac:dyDescent="0.3">
      <c r="A181"/>
      <c r="B181"/>
      <c r="C181"/>
      <c r="D181"/>
      <c r="E181"/>
      <c r="F181"/>
      <c r="G181"/>
      <c r="H181"/>
      <c r="J181"/>
      <c r="K181"/>
    </row>
    <row r="182" spans="1:11" hidden="1" x14ac:dyDescent="0.3">
      <c r="A182"/>
      <c r="B182"/>
      <c r="C182"/>
      <c r="D182"/>
      <c r="E182"/>
      <c r="F182"/>
      <c r="G182"/>
      <c r="H182"/>
      <c r="J182"/>
      <c r="K182"/>
    </row>
    <row r="183" spans="1:11" hidden="1" x14ac:dyDescent="0.3">
      <c r="A183"/>
      <c r="B183"/>
      <c r="C183"/>
      <c r="D183"/>
      <c r="E183"/>
      <c r="F183"/>
      <c r="G183"/>
      <c r="H183"/>
      <c r="J183"/>
      <c r="K183"/>
    </row>
    <row r="184" spans="1:11" hidden="1" x14ac:dyDescent="0.3">
      <c r="A184"/>
      <c r="B184"/>
      <c r="C184"/>
      <c r="D184"/>
      <c r="E184"/>
      <c r="F184"/>
      <c r="G184"/>
      <c r="H184"/>
      <c r="J184"/>
      <c r="K184"/>
    </row>
    <row r="185" spans="1:11" hidden="1" x14ac:dyDescent="0.3">
      <c r="A185"/>
      <c r="B185"/>
      <c r="C185"/>
      <c r="D185"/>
      <c r="E185"/>
      <c r="F185"/>
      <c r="G185"/>
      <c r="H185"/>
      <c r="J185"/>
      <c r="K185"/>
    </row>
    <row r="186" spans="1:11" hidden="1" x14ac:dyDescent="0.3">
      <c r="A186"/>
      <c r="B186"/>
      <c r="C186"/>
      <c r="D186"/>
      <c r="E186"/>
      <c r="F186"/>
      <c r="G186"/>
      <c r="H186"/>
      <c r="J186"/>
      <c r="K186"/>
    </row>
    <row r="187" spans="1:11" hidden="1" x14ac:dyDescent="0.3">
      <c r="A187"/>
      <c r="B187"/>
      <c r="C187"/>
      <c r="D187"/>
      <c r="E187"/>
      <c r="F187"/>
      <c r="G187"/>
      <c r="H187"/>
      <c r="J187"/>
      <c r="K187"/>
    </row>
    <row r="188" spans="1:11" hidden="1" x14ac:dyDescent="0.3">
      <c r="A188"/>
      <c r="B188"/>
      <c r="C188"/>
      <c r="D188"/>
      <c r="E188"/>
      <c r="F188"/>
      <c r="G188"/>
      <c r="H188"/>
      <c r="J188"/>
      <c r="K188"/>
    </row>
    <row r="189" spans="1:11" hidden="1" x14ac:dyDescent="0.3">
      <c r="A189"/>
      <c r="B189"/>
      <c r="C189"/>
      <c r="D189"/>
      <c r="E189"/>
      <c r="F189"/>
      <c r="G189"/>
      <c r="H189"/>
      <c r="J189"/>
      <c r="K189"/>
    </row>
    <row r="190" spans="1:11" hidden="1" x14ac:dyDescent="0.3">
      <c r="A190"/>
      <c r="B190"/>
      <c r="C190"/>
      <c r="D190"/>
      <c r="E190"/>
      <c r="F190"/>
      <c r="G190"/>
      <c r="H190"/>
      <c r="J190"/>
      <c r="K190"/>
    </row>
    <row r="191" spans="1:11" hidden="1" x14ac:dyDescent="0.3">
      <c r="A191"/>
      <c r="B191"/>
      <c r="C191"/>
      <c r="D191"/>
      <c r="E191"/>
      <c r="F191"/>
      <c r="G191"/>
      <c r="H191"/>
      <c r="J191"/>
      <c r="K191"/>
    </row>
    <row r="192" spans="1:11" hidden="1" x14ac:dyDescent="0.3">
      <c r="A192"/>
      <c r="B192"/>
      <c r="C192"/>
      <c r="D192"/>
      <c r="E192"/>
      <c r="F192"/>
      <c r="G192"/>
      <c r="H192"/>
      <c r="J192"/>
      <c r="K192"/>
    </row>
    <row r="193" spans="1:11" hidden="1" x14ac:dyDescent="0.3">
      <c r="A193"/>
      <c r="B193"/>
      <c r="C193"/>
      <c r="D193"/>
      <c r="E193"/>
      <c r="F193"/>
      <c r="G193"/>
      <c r="H193"/>
      <c r="J193"/>
      <c r="K193"/>
    </row>
    <row r="194" spans="1:11" hidden="1" x14ac:dyDescent="0.3">
      <c r="A194"/>
      <c r="B194"/>
      <c r="C194"/>
      <c r="D194"/>
      <c r="E194"/>
      <c r="F194"/>
      <c r="G194"/>
      <c r="H194"/>
      <c r="J194"/>
      <c r="K194"/>
    </row>
    <row r="195" spans="1:11" hidden="1" x14ac:dyDescent="0.3">
      <c r="A195"/>
      <c r="B195"/>
      <c r="C195"/>
      <c r="D195"/>
      <c r="E195"/>
      <c r="F195"/>
      <c r="G195"/>
      <c r="H195"/>
      <c r="J195"/>
      <c r="K195"/>
    </row>
    <row r="196" spans="1:11" hidden="1" x14ac:dyDescent="0.3">
      <c r="A196"/>
      <c r="B196"/>
      <c r="C196"/>
      <c r="D196"/>
      <c r="E196"/>
      <c r="F196"/>
      <c r="G196"/>
      <c r="H196"/>
      <c r="J196"/>
      <c r="K196"/>
    </row>
    <row r="197" spans="1:11" hidden="1" x14ac:dyDescent="0.3">
      <c r="A197"/>
      <c r="B197"/>
      <c r="C197"/>
      <c r="D197"/>
      <c r="E197"/>
      <c r="F197"/>
      <c r="G197"/>
      <c r="H197"/>
      <c r="J197"/>
      <c r="K197"/>
    </row>
    <row r="198" spans="1:11" hidden="1" x14ac:dyDescent="0.3">
      <c r="A198"/>
      <c r="B198"/>
      <c r="C198"/>
      <c r="D198"/>
      <c r="E198"/>
      <c r="F198"/>
      <c r="G198"/>
      <c r="H198"/>
      <c r="J198"/>
      <c r="K198"/>
    </row>
    <row r="199" spans="1:11" hidden="1" x14ac:dyDescent="0.3">
      <c r="A199"/>
      <c r="B199"/>
      <c r="C199"/>
      <c r="D199"/>
      <c r="E199"/>
      <c r="F199"/>
      <c r="G199"/>
      <c r="H199"/>
      <c r="J199"/>
      <c r="K199"/>
    </row>
    <row r="200" spans="1:11" hidden="1" x14ac:dyDescent="0.3">
      <c r="A200"/>
      <c r="B200"/>
      <c r="C200"/>
      <c r="D200"/>
      <c r="E200"/>
      <c r="F200"/>
      <c r="G200"/>
      <c r="H200"/>
      <c r="J200"/>
      <c r="K200"/>
    </row>
    <row r="201" spans="1:11" hidden="1" x14ac:dyDescent="0.3">
      <c r="A201"/>
      <c r="B201"/>
      <c r="C201"/>
      <c r="D201"/>
      <c r="E201"/>
      <c r="F201"/>
      <c r="G201"/>
      <c r="H201"/>
      <c r="J201"/>
      <c r="K201"/>
    </row>
    <row r="202" spans="1:11" hidden="1" x14ac:dyDescent="0.3">
      <c r="A202"/>
      <c r="B202"/>
      <c r="C202"/>
      <c r="D202"/>
      <c r="E202"/>
      <c r="F202"/>
      <c r="G202"/>
      <c r="H202"/>
      <c r="J202"/>
      <c r="K202"/>
    </row>
    <row r="203" spans="1:11" hidden="1" x14ac:dyDescent="0.3">
      <c r="A203"/>
      <c r="B203"/>
      <c r="C203"/>
      <c r="D203"/>
      <c r="E203"/>
      <c r="F203"/>
      <c r="G203"/>
      <c r="H203"/>
      <c r="J203"/>
      <c r="K203"/>
    </row>
    <row r="204" spans="1:11" hidden="1" x14ac:dyDescent="0.3">
      <c r="A204"/>
      <c r="B204"/>
      <c r="C204"/>
      <c r="D204"/>
      <c r="E204"/>
      <c r="F204"/>
      <c r="G204"/>
      <c r="H204"/>
      <c r="J204"/>
      <c r="K204"/>
    </row>
    <row r="205" spans="1:11" hidden="1" x14ac:dyDescent="0.3">
      <c r="A205"/>
      <c r="B205"/>
      <c r="C205"/>
      <c r="D205"/>
      <c r="E205"/>
      <c r="F205"/>
      <c r="G205"/>
      <c r="H205"/>
      <c r="J205"/>
      <c r="K205"/>
    </row>
    <row r="206" spans="1:11" hidden="1" x14ac:dyDescent="0.3">
      <c r="A206"/>
      <c r="B206"/>
      <c r="C206"/>
      <c r="D206"/>
      <c r="E206"/>
      <c r="F206"/>
      <c r="G206"/>
      <c r="H206"/>
      <c r="J206"/>
      <c r="K206"/>
    </row>
    <row r="207" spans="1:11" hidden="1" x14ac:dyDescent="0.3">
      <c r="A207"/>
      <c r="B207"/>
      <c r="C207"/>
      <c r="D207"/>
      <c r="E207"/>
      <c r="F207"/>
      <c r="G207"/>
      <c r="H207"/>
      <c r="J207"/>
      <c r="K207"/>
    </row>
    <row r="208" spans="1:11" hidden="1" x14ac:dyDescent="0.3">
      <c r="A208"/>
      <c r="B208"/>
      <c r="C208"/>
      <c r="D208"/>
      <c r="E208"/>
      <c r="F208"/>
      <c r="G208"/>
      <c r="H208"/>
      <c r="J208"/>
      <c r="K208"/>
    </row>
    <row r="209" spans="1:11" hidden="1" x14ac:dyDescent="0.3">
      <c r="A209"/>
      <c r="B209"/>
      <c r="C209"/>
      <c r="D209"/>
      <c r="E209"/>
      <c r="F209"/>
      <c r="G209"/>
      <c r="H209"/>
      <c r="J209"/>
      <c r="K209"/>
    </row>
    <row r="210" spans="1:11" hidden="1" x14ac:dyDescent="0.3">
      <c r="A210"/>
      <c r="B210"/>
      <c r="C210"/>
      <c r="D210"/>
      <c r="E210"/>
      <c r="F210"/>
      <c r="G210"/>
      <c r="H210"/>
      <c r="J210"/>
      <c r="K210"/>
    </row>
    <row r="211" spans="1:11" hidden="1" x14ac:dyDescent="0.3">
      <c r="A211"/>
      <c r="B211"/>
      <c r="C211"/>
      <c r="D211"/>
      <c r="E211"/>
      <c r="F211"/>
      <c r="G211"/>
      <c r="H211"/>
      <c r="J211"/>
      <c r="K211"/>
    </row>
    <row r="212" spans="1:11" hidden="1" x14ac:dyDescent="0.3">
      <c r="A212"/>
      <c r="B212"/>
      <c r="C212"/>
      <c r="D212"/>
      <c r="E212"/>
      <c r="F212"/>
      <c r="G212"/>
      <c r="H212"/>
      <c r="J212"/>
      <c r="K212"/>
    </row>
    <row r="213" spans="1:11" hidden="1" x14ac:dyDescent="0.3">
      <c r="A213"/>
      <c r="B213"/>
      <c r="C213"/>
      <c r="D213"/>
      <c r="E213"/>
      <c r="F213"/>
      <c r="G213"/>
      <c r="H213"/>
      <c r="J213"/>
      <c r="K213"/>
    </row>
    <row r="214" spans="1:11" hidden="1" x14ac:dyDescent="0.3">
      <c r="A214"/>
      <c r="B214"/>
      <c r="C214"/>
      <c r="D214"/>
      <c r="E214"/>
      <c r="F214"/>
      <c r="G214"/>
      <c r="H214"/>
      <c r="J214"/>
      <c r="K214"/>
    </row>
    <row r="215" spans="1:11" hidden="1" x14ac:dyDescent="0.3">
      <c r="A215"/>
      <c r="B215"/>
      <c r="C215"/>
      <c r="D215"/>
      <c r="E215"/>
      <c r="F215"/>
      <c r="G215"/>
      <c r="H215"/>
      <c r="J215"/>
      <c r="K215"/>
    </row>
    <row r="216" spans="1:11" hidden="1" x14ac:dyDescent="0.3">
      <c r="A216"/>
      <c r="B216"/>
      <c r="C216"/>
      <c r="D216"/>
      <c r="E216"/>
      <c r="F216"/>
      <c r="G216"/>
      <c r="H216"/>
      <c r="J216"/>
      <c r="K216"/>
    </row>
    <row r="217" spans="1:11" hidden="1" x14ac:dyDescent="0.3">
      <c r="A217"/>
      <c r="B217"/>
      <c r="C217"/>
      <c r="D217"/>
      <c r="E217"/>
      <c r="F217"/>
      <c r="G217"/>
      <c r="H217"/>
      <c r="J217"/>
      <c r="K217"/>
    </row>
    <row r="218" spans="1:11" hidden="1" x14ac:dyDescent="0.3">
      <c r="A218"/>
      <c r="B218"/>
      <c r="C218"/>
      <c r="D218"/>
      <c r="E218"/>
      <c r="F218"/>
      <c r="G218"/>
      <c r="H218"/>
      <c r="J218"/>
      <c r="K218"/>
    </row>
    <row r="219" spans="1:11" hidden="1" x14ac:dyDescent="0.3">
      <c r="A219"/>
      <c r="B219"/>
      <c r="C219"/>
      <c r="D219"/>
      <c r="E219"/>
      <c r="F219"/>
      <c r="G219"/>
      <c r="H219"/>
      <c r="J219"/>
      <c r="K219"/>
    </row>
    <row r="220" spans="1:11" hidden="1" x14ac:dyDescent="0.3">
      <c r="A220"/>
      <c r="B220"/>
      <c r="C220"/>
      <c r="D220"/>
      <c r="E220"/>
      <c r="F220"/>
      <c r="G220"/>
      <c r="H220"/>
      <c r="J220"/>
      <c r="K220"/>
    </row>
    <row r="221" spans="1:11" hidden="1" x14ac:dyDescent="0.3">
      <c r="A221"/>
      <c r="B221"/>
      <c r="C221"/>
      <c r="D221"/>
      <c r="E221"/>
      <c r="F221"/>
      <c r="G221"/>
      <c r="H221"/>
      <c r="J221"/>
      <c r="K221"/>
    </row>
    <row r="222" spans="1:11" hidden="1" x14ac:dyDescent="0.3">
      <c r="A222"/>
      <c r="B222"/>
      <c r="C222"/>
      <c r="D222"/>
      <c r="E222"/>
      <c r="F222"/>
      <c r="G222"/>
      <c r="H222"/>
      <c r="J222"/>
      <c r="K222"/>
    </row>
    <row r="223" spans="1:11" hidden="1" x14ac:dyDescent="0.3">
      <c r="A223"/>
      <c r="B223"/>
      <c r="C223"/>
      <c r="D223"/>
      <c r="E223"/>
      <c r="F223"/>
      <c r="G223"/>
      <c r="H223"/>
      <c r="J223"/>
      <c r="K223"/>
    </row>
    <row r="224" spans="1:11" hidden="1" x14ac:dyDescent="0.3">
      <c r="A224"/>
      <c r="B224"/>
      <c r="C224"/>
      <c r="D224"/>
      <c r="E224"/>
      <c r="F224"/>
      <c r="G224"/>
      <c r="H224"/>
      <c r="J224"/>
      <c r="K224"/>
    </row>
    <row r="225" spans="1:11" hidden="1" x14ac:dyDescent="0.3">
      <c r="A225"/>
      <c r="B225"/>
      <c r="C225"/>
      <c r="D225"/>
      <c r="E225"/>
      <c r="F225"/>
      <c r="G225"/>
      <c r="H225"/>
      <c r="J225"/>
      <c r="K225"/>
    </row>
    <row r="226" spans="1:11" hidden="1" x14ac:dyDescent="0.3">
      <c r="A226"/>
      <c r="B226"/>
      <c r="C226"/>
      <c r="D226"/>
      <c r="E226"/>
      <c r="F226"/>
      <c r="G226"/>
      <c r="H226"/>
      <c r="J226"/>
      <c r="K226"/>
    </row>
    <row r="227" spans="1:11" hidden="1" x14ac:dyDescent="0.3">
      <c r="A227"/>
      <c r="B227"/>
      <c r="C227"/>
      <c r="D227"/>
      <c r="E227"/>
      <c r="F227"/>
      <c r="G227"/>
      <c r="H227"/>
      <c r="J227"/>
      <c r="K227"/>
    </row>
    <row r="228" spans="1:11" hidden="1" x14ac:dyDescent="0.3">
      <c r="A228"/>
      <c r="B228"/>
      <c r="C228"/>
      <c r="D228"/>
      <c r="E228"/>
      <c r="F228"/>
      <c r="G228"/>
      <c r="H228"/>
      <c r="J228"/>
      <c r="K228"/>
    </row>
    <row r="229" spans="1:11" hidden="1" x14ac:dyDescent="0.3">
      <c r="A229"/>
      <c r="B229"/>
      <c r="C229"/>
      <c r="D229"/>
      <c r="E229"/>
      <c r="F229"/>
      <c r="G229"/>
      <c r="H229"/>
      <c r="J229"/>
      <c r="K229"/>
    </row>
    <row r="230" spans="1:11" hidden="1" x14ac:dyDescent="0.3">
      <c r="A230"/>
      <c r="B230"/>
      <c r="C230"/>
      <c r="D230"/>
      <c r="E230"/>
      <c r="F230"/>
      <c r="G230"/>
      <c r="H230"/>
      <c r="J230"/>
      <c r="K230"/>
    </row>
    <row r="231" spans="1:11" hidden="1" x14ac:dyDescent="0.3">
      <c r="A231"/>
      <c r="B231"/>
      <c r="C231"/>
      <c r="D231"/>
      <c r="E231"/>
      <c r="F231"/>
      <c r="G231"/>
      <c r="H231"/>
      <c r="J231"/>
      <c r="K231"/>
    </row>
    <row r="232" spans="1:11" hidden="1" x14ac:dyDescent="0.3">
      <c r="A232"/>
      <c r="B232"/>
      <c r="C232"/>
      <c r="D232"/>
      <c r="E232"/>
      <c r="F232"/>
      <c r="G232"/>
      <c r="H232"/>
      <c r="J232"/>
      <c r="K232"/>
    </row>
    <row r="233" spans="1:11" hidden="1" x14ac:dyDescent="0.3">
      <c r="A233"/>
      <c r="B233"/>
      <c r="C233"/>
      <c r="D233"/>
      <c r="E233"/>
      <c r="F233"/>
      <c r="G233"/>
      <c r="H233"/>
      <c r="J233"/>
      <c r="K233"/>
    </row>
    <row r="234" spans="1:11" hidden="1" x14ac:dyDescent="0.3">
      <c r="A234"/>
      <c r="B234"/>
      <c r="C234"/>
      <c r="D234"/>
      <c r="E234"/>
      <c r="F234"/>
      <c r="G234"/>
      <c r="H234"/>
      <c r="J234"/>
      <c r="K234"/>
    </row>
    <row r="235" spans="1:11" hidden="1" x14ac:dyDescent="0.3">
      <c r="A235"/>
      <c r="B235"/>
      <c r="C235"/>
      <c r="D235"/>
      <c r="E235"/>
      <c r="F235"/>
      <c r="G235"/>
      <c r="H235"/>
      <c r="J235"/>
      <c r="K235"/>
    </row>
    <row r="236" spans="1:11" hidden="1" x14ac:dyDescent="0.3">
      <c r="A236"/>
      <c r="B236"/>
      <c r="C236"/>
      <c r="D236"/>
      <c r="E236"/>
      <c r="F236"/>
      <c r="G236"/>
      <c r="H236"/>
      <c r="J236"/>
      <c r="K236"/>
    </row>
    <row r="237" spans="1:11" hidden="1" x14ac:dyDescent="0.3">
      <c r="A237"/>
      <c r="B237"/>
      <c r="C237"/>
      <c r="D237"/>
      <c r="E237"/>
      <c r="F237"/>
      <c r="G237"/>
      <c r="H237"/>
      <c r="J237"/>
      <c r="K237"/>
    </row>
    <row r="238" spans="1:11" hidden="1" x14ac:dyDescent="0.3">
      <c r="A238"/>
      <c r="B238"/>
      <c r="C238"/>
      <c r="D238"/>
      <c r="E238"/>
      <c r="F238"/>
      <c r="G238"/>
      <c r="H238"/>
      <c r="J238"/>
      <c r="K238"/>
    </row>
    <row r="239" spans="1:11" hidden="1" x14ac:dyDescent="0.3">
      <c r="A239"/>
      <c r="B239"/>
      <c r="C239"/>
      <c r="D239"/>
      <c r="E239"/>
      <c r="F239"/>
      <c r="G239"/>
      <c r="H239"/>
      <c r="J239"/>
      <c r="K239"/>
    </row>
    <row r="240" spans="1:11" hidden="1" x14ac:dyDescent="0.3">
      <c r="A240"/>
      <c r="B240"/>
      <c r="C240"/>
      <c r="D240"/>
      <c r="E240"/>
      <c r="F240"/>
      <c r="G240"/>
      <c r="H240"/>
      <c r="J240"/>
      <c r="K240"/>
    </row>
    <row r="241" spans="1:11" hidden="1" x14ac:dyDescent="0.3">
      <c r="A241"/>
      <c r="B241"/>
      <c r="C241"/>
      <c r="D241"/>
      <c r="E241"/>
      <c r="F241"/>
      <c r="G241"/>
      <c r="H241"/>
      <c r="J241"/>
      <c r="K241"/>
    </row>
    <row r="242" spans="1:11" hidden="1" x14ac:dyDescent="0.3">
      <c r="A242"/>
      <c r="B242"/>
      <c r="C242"/>
      <c r="D242"/>
      <c r="E242"/>
      <c r="F242"/>
      <c r="G242"/>
      <c r="H242"/>
      <c r="J242"/>
      <c r="K242"/>
    </row>
    <row r="243" spans="1:11" hidden="1" x14ac:dyDescent="0.3">
      <c r="A243"/>
      <c r="B243"/>
      <c r="C243"/>
      <c r="D243"/>
      <c r="E243"/>
      <c r="F243"/>
      <c r="G243"/>
      <c r="H243"/>
      <c r="J243"/>
      <c r="K243"/>
    </row>
    <row r="244" spans="1:11" hidden="1" x14ac:dyDescent="0.3">
      <c r="A244"/>
      <c r="B244"/>
      <c r="C244"/>
      <c r="D244"/>
      <c r="E244"/>
      <c r="F244"/>
      <c r="G244"/>
      <c r="H244"/>
      <c r="J244"/>
      <c r="K244"/>
    </row>
    <row r="245" spans="1:11" hidden="1" x14ac:dyDescent="0.3">
      <c r="A245"/>
      <c r="B245"/>
      <c r="C245"/>
      <c r="D245"/>
      <c r="E245"/>
      <c r="F245"/>
      <c r="G245"/>
      <c r="H245"/>
      <c r="J245"/>
      <c r="K245"/>
    </row>
    <row r="246" spans="1:11" hidden="1" x14ac:dyDescent="0.3">
      <c r="A246"/>
      <c r="B246"/>
      <c r="C246"/>
      <c r="D246"/>
      <c r="E246"/>
      <c r="F246"/>
      <c r="G246"/>
      <c r="H246"/>
      <c r="J246"/>
      <c r="K246"/>
    </row>
    <row r="247" spans="1:11" hidden="1" x14ac:dyDescent="0.3">
      <c r="A247"/>
      <c r="B247"/>
      <c r="C247"/>
      <c r="D247"/>
      <c r="E247"/>
      <c r="F247"/>
      <c r="G247"/>
      <c r="H247"/>
      <c r="J247"/>
      <c r="K247"/>
    </row>
    <row r="248" spans="1:11" hidden="1" x14ac:dyDescent="0.3">
      <c r="A248"/>
      <c r="B248"/>
      <c r="C248"/>
      <c r="D248"/>
      <c r="E248"/>
      <c r="F248"/>
      <c r="G248"/>
      <c r="H248"/>
      <c r="J248"/>
      <c r="K248"/>
    </row>
    <row r="249" spans="1:11" hidden="1" x14ac:dyDescent="0.3">
      <c r="A249"/>
      <c r="B249"/>
      <c r="C249"/>
      <c r="D249"/>
      <c r="E249"/>
      <c r="F249"/>
      <c r="G249"/>
      <c r="H249"/>
      <c r="J249"/>
      <c r="K249"/>
    </row>
    <row r="250" spans="1:11" hidden="1" x14ac:dyDescent="0.3">
      <c r="A250"/>
      <c r="B250"/>
      <c r="C250"/>
      <c r="D250"/>
      <c r="E250"/>
      <c r="F250"/>
      <c r="G250"/>
      <c r="H250"/>
      <c r="J250"/>
      <c r="K250"/>
    </row>
    <row r="251" spans="1:11" hidden="1" x14ac:dyDescent="0.3">
      <c r="A251"/>
      <c r="B251"/>
      <c r="C251"/>
      <c r="D251"/>
      <c r="E251"/>
      <c r="F251"/>
      <c r="G251"/>
      <c r="H251"/>
      <c r="J251"/>
      <c r="K251"/>
    </row>
    <row r="252" spans="1:11" hidden="1" x14ac:dyDescent="0.3">
      <c r="A252"/>
      <c r="B252"/>
      <c r="C252"/>
      <c r="D252"/>
      <c r="E252"/>
      <c r="F252"/>
      <c r="G252"/>
      <c r="H252"/>
      <c r="J252"/>
      <c r="K252"/>
    </row>
    <row r="253" spans="1:11" hidden="1" x14ac:dyDescent="0.3">
      <c r="A253"/>
      <c r="B253"/>
      <c r="C253"/>
      <c r="D253"/>
      <c r="E253"/>
      <c r="F253"/>
      <c r="G253"/>
      <c r="H253"/>
      <c r="J253"/>
      <c r="K253"/>
    </row>
    <row r="254" spans="1:11" hidden="1" x14ac:dyDescent="0.3">
      <c r="A254"/>
      <c r="B254"/>
      <c r="C254"/>
      <c r="D254"/>
      <c r="E254"/>
      <c r="F254"/>
      <c r="G254"/>
      <c r="H254"/>
      <c r="J254"/>
      <c r="K254"/>
    </row>
    <row r="255" spans="1:11" hidden="1" x14ac:dyDescent="0.3">
      <c r="A255"/>
      <c r="B255"/>
      <c r="C255"/>
      <c r="D255"/>
      <c r="E255"/>
      <c r="F255"/>
      <c r="G255"/>
      <c r="H255"/>
      <c r="J255"/>
      <c r="K255"/>
    </row>
    <row r="256" spans="1:11" hidden="1" x14ac:dyDescent="0.3">
      <c r="A256"/>
      <c r="B256"/>
      <c r="C256"/>
      <c r="D256"/>
      <c r="E256"/>
      <c r="F256"/>
      <c r="G256"/>
      <c r="H256"/>
      <c r="J256"/>
      <c r="K256"/>
    </row>
    <row r="257" spans="1:11" hidden="1" x14ac:dyDescent="0.3">
      <c r="A257"/>
      <c r="B257"/>
      <c r="C257"/>
      <c r="D257"/>
      <c r="E257"/>
      <c r="F257"/>
      <c r="G257"/>
      <c r="H257"/>
      <c r="J257"/>
      <c r="K257"/>
    </row>
    <row r="258" spans="1:11" hidden="1" x14ac:dyDescent="0.3">
      <c r="A258"/>
      <c r="B258"/>
      <c r="C258"/>
      <c r="D258"/>
      <c r="E258"/>
      <c r="F258"/>
      <c r="G258"/>
      <c r="H258"/>
      <c r="J258"/>
      <c r="K258"/>
    </row>
    <row r="259" spans="1:11" hidden="1" x14ac:dyDescent="0.3">
      <c r="A259"/>
      <c r="B259"/>
      <c r="C259"/>
      <c r="D259"/>
      <c r="E259"/>
      <c r="F259"/>
      <c r="G259"/>
      <c r="H259"/>
      <c r="J259"/>
      <c r="K259"/>
    </row>
    <row r="260" spans="1:11" hidden="1" x14ac:dyDescent="0.3">
      <c r="A260"/>
      <c r="B260"/>
      <c r="C260"/>
      <c r="D260"/>
      <c r="E260"/>
      <c r="F260"/>
      <c r="G260"/>
      <c r="H260"/>
      <c r="J260"/>
      <c r="K260"/>
    </row>
    <row r="261" spans="1:11" hidden="1" x14ac:dyDescent="0.3">
      <c r="A261"/>
      <c r="B261"/>
      <c r="C261"/>
      <c r="D261"/>
      <c r="E261"/>
      <c r="F261"/>
      <c r="G261"/>
      <c r="H261"/>
      <c r="J261"/>
      <c r="K261"/>
    </row>
    <row r="262" spans="1:11" hidden="1" x14ac:dyDescent="0.3">
      <c r="A262"/>
      <c r="B262"/>
      <c r="C262"/>
      <c r="D262"/>
      <c r="E262"/>
      <c r="F262"/>
      <c r="G262"/>
      <c r="H262"/>
      <c r="J262"/>
      <c r="K262"/>
    </row>
    <row r="263" spans="1:11" hidden="1" x14ac:dyDescent="0.3">
      <c r="A263"/>
      <c r="B263"/>
      <c r="C263"/>
      <c r="D263"/>
      <c r="E263"/>
      <c r="F263"/>
      <c r="G263"/>
      <c r="H263"/>
      <c r="J263"/>
      <c r="K263"/>
    </row>
    <row r="264" spans="1:11" hidden="1" x14ac:dyDescent="0.3">
      <c r="A264"/>
      <c r="B264"/>
      <c r="C264"/>
      <c r="D264"/>
      <c r="E264"/>
      <c r="F264"/>
      <c r="G264"/>
      <c r="H264"/>
      <c r="J264"/>
      <c r="K264"/>
    </row>
    <row r="265" spans="1:11" hidden="1" x14ac:dyDescent="0.3">
      <c r="A265"/>
      <c r="B265"/>
      <c r="C265"/>
      <c r="D265"/>
      <c r="E265"/>
      <c r="F265"/>
      <c r="G265"/>
      <c r="H265"/>
      <c r="J265"/>
      <c r="K265"/>
    </row>
    <row r="266" spans="1:11" hidden="1" x14ac:dyDescent="0.3">
      <c r="A266"/>
      <c r="B266"/>
      <c r="C266"/>
      <c r="D266"/>
      <c r="E266"/>
      <c r="F266"/>
      <c r="G266"/>
      <c r="H266"/>
      <c r="J266"/>
      <c r="K266"/>
    </row>
    <row r="267" spans="1:11" hidden="1" x14ac:dyDescent="0.3">
      <c r="A267"/>
      <c r="B267"/>
      <c r="C267"/>
      <c r="D267"/>
      <c r="E267"/>
      <c r="F267"/>
      <c r="G267"/>
      <c r="H267"/>
      <c r="J267"/>
      <c r="K267"/>
    </row>
    <row r="268" spans="1:11" hidden="1" x14ac:dyDescent="0.3">
      <c r="A268"/>
      <c r="B268"/>
      <c r="C268"/>
      <c r="D268"/>
      <c r="E268"/>
      <c r="F268"/>
      <c r="G268"/>
      <c r="H268"/>
      <c r="J268"/>
      <c r="K268"/>
    </row>
    <row r="269" spans="1:11" hidden="1" x14ac:dyDescent="0.3">
      <c r="A269"/>
      <c r="B269"/>
      <c r="C269"/>
      <c r="D269"/>
      <c r="E269"/>
      <c r="F269"/>
      <c r="G269"/>
      <c r="H269"/>
      <c r="J269"/>
      <c r="K269"/>
    </row>
    <row r="270" spans="1:11" hidden="1" x14ac:dyDescent="0.3">
      <c r="A270"/>
      <c r="B270"/>
      <c r="C270"/>
      <c r="D270"/>
      <c r="E270"/>
      <c r="F270"/>
      <c r="G270"/>
      <c r="H270"/>
      <c r="J270"/>
      <c r="K270"/>
    </row>
    <row r="271" spans="1:11" hidden="1" x14ac:dyDescent="0.3">
      <c r="A271"/>
      <c r="B271"/>
      <c r="C271"/>
      <c r="D271"/>
      <c r="E271"/>
      <c r="F271"/>
      <c r="G271"/>
      <c r="H271"/>
      <c r="J271"/>
      <c r="K271"/>
    </row>
    <row r="272" spans="1:11" hidden="1" x14ac:dyDescent="0.3">
      <c r="A272"/>
      <c r="B272"/>
      <c r="C272"/>
      <c r="D272"/>
      <c r="E272"/>
      <c r="F272"/>
      <c r="G272"/>
      <c r="H272"/>
      <c r="J272"/>
      <c r="K272"/>
    </row>
    <row r="273" spans="1:11" hidden="1" x14ac:dyDescent="0.3">
      <c r="A273"/>
      <c r="B273"/>
      <c r="C273"/>
      <c r="D273"/>
      <c r="E273"/>
      <c r="F273"/>
      <c r="G273"/>
      <c r="H273"/>
      <c r="J273"/>
      <c r="K273"/>
    </row>
    <row r="274" spans="1:11" hidden="1" x14ac:dyDescent="0.3">
      <c r="A274"/>
      <c r="B274"/>
      <c r="C274"/>
      <c r="D274"/>
      <c r="E274"/>
      <c r="F274"/>
      <c r="G274"/>
      <c r="H274"/>
      <c r="J274"/>
      <c r="K274"/>
    </row>
    <row r="275" spans="1:11" hidden="1" x14ac:dyDescent="0.3">
      <c r="A275"/>
      <c r="B275"/>
      <c r="C275"/>
      <c r="D275"/>
      <c r="E275"/>
      <c r="F275"/>
      <c r="G275"/>
      <c r="H275"/>
      <c r="J275"/>
      <c r="K275"/>
    </row>
    <row r="276" spans="1:11" hidden="1" x14ac:dyDescent="0.3">
      <c r="A276"/>
      <c r="B276"/>
      <c r="C276"/>
      <c r="D276"/>
      <c r="E276"/>
      <c r="F276"/>
      <c r="G276"/>
      <c r="H276"/>
      <c r="J276"/>
      <c r="K276"/>
    </row>
    <row r="277" spans="1:11" hidden="1" x14ac:dyDescent="0.3">
      <c r="A277"/>
      <c r="B277"/>
      <c r="C277"/>
      <c r="D277"/>
      <c r="E277"/>
      <c r="F277"/>
      <c r="G277"/>
      <c r="H277"/>
      <c r="J277"/>
      <c r="K277"/>
    </row>
    <row r="278" spans="1:11" hidden="1" x14ac:dyDescent="0.3">
      <c r="A278"/>
      <c r="B278"/>
      <c r="C278"/>
      <c r="D278"/>
      <c r="E278"/>
      <c r="F278"/>
      <c r="G278"/>
      <c r="H278"/>
      <c r="J278"/>
      <c r="K278"/>
    </row>
    <row r="279" spans="1:11" hidden="1" x14ac:dyDescent="0.3">
      <c r="A279"/>
      <c r="B279"/>
      <c r="C279"/>
      <c r="D279"/>
      <c r="E279"/>
      <c r="F279"/>
      <c r="G279"/>
      <c r="H279"/>
      <c r="J279"/>
      <c r="K279"/>
    </row>
    <row r="280" spans="1:11" hidden="1" x14ac:dyDescent="0.3">
      <c r="A280"/>
      <c r="B280"/>
      <c r="C280"/>
      <c r="D280"/>
      <c r="E280"/>
      <c r="F280"/>
      <c r="G280"/>
      <c r="H280"/>
      <c r="J280"/>
      <c r="K280"/>
    </row>
    <row r="281" spans="1:11" hidden="1" x14ac:dyDescent="0.3">
      <c r="A281"/>
      <c r="B281"/>
      <c r="C281"/>
      <c r="D281"/>
      <c r="E281"/>
      <c r="F281"/>
      <c r="G281"/>
      <c r="H281"/>
      <c r="J281"/>
      <c r="K281"/>
    </row>
    <row r="282" spans="1:11" hidden="1" x14ac:dyDescent="0.3">
      <c r="A282"/>
      <c r="B282"/>
      <c r="C282"/>
      <c r="D282"/>
      <c r="E282"/>
      <c r="F282"/>
      <c r="G282"/>
      <c r="H282"/>
      <c r="J282"/>
      <c r="K282"/>
    </row>
    <row r="283" spans="1:11" hidden="1" x14ac:dyDescent="0.3">
      <c r="A283"/>
      <c r="B283"/>
      <c r="C283"/>
      <c r="D283"/>
      <c r="E283"/>
      <c r="F283"/>
      <c r="G283"/>
      <c r="H283"/>
      <c r="J283"/>
      <c r="K283"/>
    </row>
    <row r="284" spans="1:11" hidden="1" x14ac:dyDescent="0.3">
      <c r="A284"/>
      <c r="B284"/>
      <c r="C284"/>
      <c r="D284"/>
      <c r="E284"/>
      <c r="F284"/>
      <c r="G284"/>
      <c r="H284"/>
      <c r="J284"/>
      <c r="K284"/>
    </row>
    <row r="285" spans="1:11" hidden="1" x14ac:dyDescent="0.3">
      <c r="A285"/>
      <c r="B285"/>
      <c r="C285"/>
      <c r="D285"/>
      <c r="E285"/>
      <c r="F285"/>
      <c r="G285"/>
      <c r="H285"/>
      <c r="J285"/>
      <c r="K285"/>
    </row>
    <row r="286" spans="1:11" hidden="1" x14ac:dyDescent="0.3">
      <c r="A286"/>
      <c r="B286"/>
      <c r="C286"/>
      <c r="D286"/>
      <c r="E286"/>
      <c r="F286"/>
      <c r="G286"/>
      <c r="H286"/>
      <c r="J286"/>
      <c r="K286"/>
    </row>
    <row r="287" spans="1:11" hidden="1" x14ac:dyDescent="0.3">
      <c r="A287"/>
      <c r="B287"/>
      <c r="C287"/>
      <c r="D287"/>
      <c r="E287"/>
      <c r="F287"/>
      <c r="G287"/>
      <c r="H287"/>
      <c r="J287"/>
      <c r="K287"/>
    </row>
    <row r="288" spans="1:11" hidden="1" x14ac:dyDescent="0.3">
      <c r="A288"/>
      <c r="B288"/>
      <c r="C288"/>
      <c r="D288"/>
      <c r="E288"/>
      <c r="F288"/>
      <c r="G288"/>
      <c r="H288"/>
      <c r="J288"/>
      <c r="K288"/>
    </row>
    <row r="289" spans="1:11" hidden="1" x14ac:dyDescent="0.3">
      <c r="A289"/>
      <c r="B289"/>
      <c r="C289"/>
      <c r="D289"/>
      <c r="E289"/>
      <c r="F289"/>
      <c r="G289"/>
      <c r="H289"/>
      <c r="J289"/>
      <c r="K289"/>
    </row>
    <row r="290" spans="1:11" hidden="1" x14ac:dyDescent="0.3">
      <c r="A290"/>
      <c r="B290"/>
      <c r="C290"/>
      <c r="D290"/>
      <c r="E290"/>
      <c r="F290"/>
      <c r="G290"/>
      <c r="H290"/>
      <c r="J290"/>
      <c r="K290"/>
    </row>
    <row r="291" spans="1:11" hidden="1" x14ac:dyDescent="0.3">
      <c r="A291"/>
      <c r="B291"/>
      <c r="C291"/>
      <c r="D291"/>
      <c r="E291"/>
      <c r="F291"/>
      <c r="G291"/>
      <c r="H291"/>
      <c r="J291"/>
      <c r="K291"/>
    </row>
    <row r="292" spans="1:11" hidden="1" x14ac:dyDescent="0.3">
      <c r="A292"/>
      <c r="B292"/>
      <c r="C292"/>
      <c r="D292"/>
      <c r="E292"/>
      <c r="F292"/>
      <c r="G292"/>
      <c r="H292"/>
      <c r="J292"/>
      <c r="K292"/>
    </row>
    <row r="293" spans="1:11" hidden="1" x14ac:dyDescent="0.3">
      <c r="A293"/>
      <c r="B293"/>
      <c r="C293"/>
      <c r="D293"/>
      <c r="E293"/>
      <c r="F293"/>
      <c r="G293"/>
      <c r="H293"/>
      <c r="J293"/>
      <c r="K293"/>
    </row>
    <row r="294" spans="1:11" hidden="1" x14ac:dyDescent="0.3">
      <c r="A294"/>
      <c r="B294"/>
      <c r="C294"/>
      <c r="D294"/>
      <c r="E294"/>
      <c r="F294"/>
      <c r="G294"/>
      <c r="H294"/>
      <c r="J294"/>
      <c r="K294"/>
    </row>
    <row r="295" spans="1:11" hidden="1" x14ac:dyDescent="0.3">
      <c r="A295"/>
      <c r="B295"/>
      <c r="C295"/>
      <c r="D295"/>
      <c r="E295"/>
      <c r="F295"/>
      <c r="G295"/>
      <c r="H295"/>
      <c r="J295"/>
      <c r="K295"/>
    </row>
    <row r="296" spans="1:11" hidden="1" x14ac:dyDescent="0.3">
      <c r="A296"/>
      <c r="B296"/>
      <c r="C296"/>
      <c r="D296"/>
      <c r="E296"/>
      <c r="F296"/>
      <c r="G296"/>
      <c r="H296"/>
      <c r="J296"/>
      <c r="K296"/>
    </row>
    <row r="297" spans="1:11" hidden="1" x14ac:dyDescent="0.3">
      <c r="A297"/>
      <c r="B297"/>
      <c r="C297"/>
      <c r="D297"/>
      <c r="E297"/>
      <c r="F297"/>
      <c r="G297"/>
      <c r="H297"/>
      <c r="J297"/>
      <c r="K297"/>
    </row>
    <row r="298" spans="1:11" hidden="1" x14ac:dyDescent="0.3">
      <c r="A298"/>
      <c r="B298"/>
      <c r="C298"/>
      <c r="D298"/>
      <c r="E298"/>
      <c r="F298"/>
      <c r="G298"/>
      <c r="H298"/>
      <c r="J298"/>
      <c r="K298"/>
    </row>
    <row r="299" spans="1:11" hidden="1" x14ac:dyDescent="0.3">
      <c r="A299"/>
      <c r="B299"/>
      <c r="C299"/>
      <c r="D299"/>
      <c r="E299"/>
      <c r="F299"/>
      <c r="G299"/>
      <c r="H299"/>
      <c r="J299"/>
      <c r="K299"/>
    </row>
    <row r="300" spans="1:11" hidden="1" x14ac:dyDescent="0.3">
      <c r="A300"/>
      <c r="B300"/>
      <c r="C300"/>
      <c r="D300"/>
      <c r="E300"/>
      <c r="F300"/>
      <c r="G300"/>
      <c r="H300"/>
      <c r="J300"/>
      <c r="K300"/>
    </row>
    <row r="301" spans="1:11" hidden="1" x14ac:dyDescent="0.3">
      <c r="A301"/>
      <c r="B301"/>
      <c r="C301"/>
      <c r="D301"/>
      <c r="E301"/>
      <c r="F301"/>
      <c r="G301"/>
      <c r="H301"/>
      <c r="J301"/>
      <c r="K301"/>
    </row>
    <row r="302" spans="1:11" hidden="1" x14ac:dyDescent="0.3">
      <c r="A302"/>
      <c r="B302"/>
      <c r="C302"/>
      <c r="D302"/>
      <c r="E302"/>
      <c r="F302"/>
      <c r="G302"/>
      <c r="H302"/>
      <c r="J302"/>
      <c r="K302"/>
    </row>
    <row r="303" spans="1:11" hidden="1" x14ac:dyDescent="0.3">
      <c r="A303"/>
      <c r="B303"/>
      <c r="C303"/>
      <c r="D303"/>
      <c r="E303"/>
      <c r="F303"/>
      <c r="G303"/>
      <c r="H303"/>
      <c r="J303"/>
      <c r="K303"/>
    </row>
    <row r="304" spans="1:11" hidden="1" x14ac:dyDescent="0.3">
      <c r="A304"/>
      <c r="B304"/>
      <c r="C304"/>
      <c r="D304"/>
      <c r="E304"/>
      <c r="F304"/>
      <c r="G304"/>
      <c r="H304"/>
      <c r="J304"/>
      <c r="K304"/>
    </row>
    <row r="305" spans="1:11" hidden="1" x14ac:dyDescent="0.3">
      <c r="A305"/>
      <c r="B305"/>
      <c r="C305"/>
      <c r="D305"/>
      <c r="E305"/>
      <c r="F305"/>
      <c r="G305"/>
      <c r="H305"/>
      <c r="J305"/>
      <c r="K305"/>
    </row>
    <row r="306" spans="1:11" hidden="1" x14ac:dyDescent="0.3">
      <c r="A306"/>
      <c r="B306"/>
      <c r="C306"/>
      <c r="D306"/>
      <c r="E306"/>
      <c r="F306"/>
      <c r="G306"/>
      <c r="H306"/>
      <c r="J306"/>
      <c r="K306"/>
    </row>
    <row r="307" spans="1:11" hidden="1" x14ac:dyDescent="0.3">
      <c r="A307"/>
      <c r="B307"/>
      <c r="C307"/>
      <c r="D307"/>
      <c r="E307"/>
      <c r="F307"/>
      <c r="G307"/>
      <c r="H307"/>
      <c r="J307"/>
      <c r="K307"/>
    </row>
    <row r="308" spans="1:11" hidden="1" x14ac:dyDescent="0.3">
      <c r="A308"/>
      <c r="B308"/>
      <c r="C308"/>
      <c r="D308"/>
      <c r="E308"/>
      <c r="F308"/>
      <c r="G308"/>
      <c r="H308"/>
      <c r="J308"/>
      <c r="K308"/>
    </row>
    <row r="309" spans="1:11" hidden="1" x14ac:dyDescent="0.3">
      <c r="A309"/>
      <c r="B309"/>
      <c r="C309"/>
      <c r="D309"/>
      <c r="E309"/>
      <c r="F309"/>
      <c r="G309"/>
      <c r="H309"/>
      <c r="J309"/>
      <c r="K309"/>
    </row>
    <row r="310" spans="1:11" hidden="1" x14ac:dyDescent="0.3">
      <c r="A310"/>
      <c r="B310"/>
      <c r="C310"/>
      <c r="D310"/>
      <c r="E310"/>
      <c r="F310"/>
      <c r="G310"/>
      <c r="H310"/>
      <c r="J310"/>
      <c r="K310"/>
    </row>
    <row r="311" spans="1:11" hidden="1" x14ac:dyDescent="0.3">
      <c r="A311"/>
      <c r="B311"/>
      <c r="C311"/>
      <c r="D311"/>
      <c r="E311"/>
      <c r="F311"/>
      <c r="G311"/>
      <c r="H311"/>
      <c r="J311"/>
      <c r="K311"/>
    </row>
    <row r="312" spans="1:11" hidden="1" x14ac:dyDescent="0.3">
      <c r="A312"/>
      <c r="B312"/>
      <c r="C312"/>
      <c r="D312"/>
      <c r="E312"/>
      <c r="F312"/>
      <c r="G312"/>
      <c r="H312"/>
      <c r="J312"/>
      <c r="K312"/>
    </row>
    <row r="313" spans="1:11" hidden="1" x14ac:dyDescent="0.3">
      <c r="A313"/>
      <c r="B313"/>
      <c r="C313"/>
      <c r="D313"/>
      <c r="E313"/>
      <c r="F313"/>
      <c r="G313"/>
      <c r="H313"/>
      <c r="J313"/>
      <c r="K313"/>
    </row>
    <row r="314" spans="1:11" hidden="1" x14ac:dyDescent="0.3">
      <c r="A314"/>
      <c r="B314"/>
      <c r="C314"/>
      <c r="D314"/>
      <c r="E314"/>
      <c r="F314"/>
      <c r="G314"/>
      <c r="H314"/>
      <c r="J314"/>
      <c r="K314"/>
    </row>
    <row r="315" spans="1:11" hidden="1" x14ac:dyDescent="0.3">
      <c r="A315"/>
      <c r="B315"/>
      <c r="C315"/>
      <c r="D315"/>
      <c r="E315"/>
      <c r="F315"/>
      <c r="G315"/>
      <c r="H315"/>
      <c r="J315"/>
      <c r="K315"/>
    </row>
    <row r="316" spans="1:11" hidden="1" x14ac:dyDescent="0.3">
      <c r="A316"/>
      <c r="B316"/>
      <c r="C316"/>
      <c r="D316"/>
      <c r="E316"/>
      <c r="F316"/>
      <c r="G316"/>
      <c r="H316"/>
      <c r="J316"/>
      <c r="K316"/>
    </row>
    <row r="317" spans="1:11" hidden="1" x14ac:dyDescent="0.3">
      <c r="A317"/>
      <c r="B317"/>
      <c r="C317"/>
      <c r="D317"/>
      <c r="E317"/>
      <c r="F317"/>
      <c r="G317"/>
      <c r="H317"/>
      <c r="J317"/>
      <c r="K317"/>
    </row>
    <row r="318" spans="1:11" hidden="1" x14ac:dyDescent="0.3">
      <c r="A318"/>
      <c r="B318"/>
      <c r="C318"/>
      <c r="D318"/>
      <c r="E318"/>
      <c r="F318"/>
      <c r="G318"/>
      <c r="H318"/>
      <c r="J318"/>
      <c r="K318"/>
    </row>
    <row r="319" spans="1:11" hidden="1" x14ac:dyDescent="0.3">
      <c r="A319"/>
      <c r="B319"/>
      <c r="C319"/>
      <c r="D319"/>
      <c r="E319"/>
      <c r="F319"/>
      <c r="G319"/>
      <c r="H319"/>
      <c r="J319"/>
      <c r="K319"/>
    </row>
    <row r="320" spans="1:11" hidden="1" x14ac:dyDescent="0.3">
      <c r="A320"/>
      <c r="B320"/>
      <c r="C320"/>
      <c r="D320"/>
      <c r="E320"/>
      <c r="F320"/>
      <c r="G320"/>
      <c r="H320"/>
      <c r="J320"/>
      <c r="K320"/>
    </row>
    <row r="321" spans="1:11" hidden="1" x14ac:dyDescent="0.3">
      <c r="A321"/>
      <c r="B321"/>
      <c r="C321"/>
      <c r="D321"/>
      <c r="E321"/>
      <c r="F321"/>
      <c r="G321"/>
      <c r="H321"/>
      <c r="J321"/>
      <c r="K321"/>
    </row>
    <row r="322" spans="1:11" hidden="1" x14ac:dyDescent="0.3">
      <c r="A322"/>
      <c r="B322"/>
      <c r="C322"/>
      <c r="D322"/>
      <c r="E322"/>
      <c r="F322"/>
      <c r="G322"/>
      <c r="H322"/>
      <c r="J322"/>
      <c r="K322"/>
    </row>
    <row r="323" spans="1:11" hidden="1" x14ac:dyDescent="0.3">
      <c r="A323"/>
      <c r="B323"/>
      <c r="C323"/>
      <c r="D323"/>
      <c r="E323"/>
      <c r="F323"/>
      <c r="G323"/>
      <c r="H323"/>
      <c r="J323"/>
      <c r="K323"/>
    </row>
    <row r="324" spans="1:11" hidden="1" x14ac:dyDescent="0.3">
      <c r="A324"/>
      <c r="B324"/>
      <c r="C324"/>
      <c r="D324"/>
      <c r="E324"/>
      <c r="F324"/>
      <c r="G324"/>
      <c r="H324"/>
      <c r="J324"/>
      <c r="K324"/>
    </row>
    <row r="325" spans="1:11" hidden="1" x14ac:dyDescent="0.3">
      <c r="A325"/>
      <c r="B325"/>
      <c r="C325"/>
      <c r="D325"/>
      <c r="E325"/>
      <c r="F325"/>
      <c r="G325"/>
      <c r="H325"/>
      <c r="J325"/>
      <c r="K325"/>
    </row>
    <row r="326" spans="1:11" hidden="1" x14ac:dyDescent="0.3">
      <c r="A326"/>
      <c r="B326"/>
      <c r="C326"/>
      <c r="D326"/>
      <c r="E326"/>
      <c r="F326"/>
      <c r="G326"/>
      <c r="H326"/>
      <c r="J326"/>
      <c r="K326"/>
    </row>
    <row r="327" spans="1:11" hidden="1" x14ac:dyDescent="0.3">
      <c r="A327"/>
      <c r="B327"/>
      <c r="C327"/>
      <c r="D327"/>
      <c r="E327"/>
      <c r="F327"/>
      <c r="G327"/>
      <c r="H327"/>
      <c r="J327"/>
      <c r="K327"/>
    </row>
    <row r="328" spans="1:11" hidden="1" x14ac:dyDescent="0.3">
      <c r="A328"/>
      <c r="B328"/>
      <c r="C328"/>
      <c r="D328"/>
      <c r="E328"/>
      <c r="F328"/>
      <c r="G328"/>
      <c r="H328"/>
      <c r="J328"/>
      <c r="K328"/>
    </row>
    <row r="329" spans="1:11" hidden="1" x14ac:dyDescent="0.3">
      <c r="A329"/>
      <c r="B329"/>
      <c r="C329"/>
      <c r="D329"/>
      <c r="E329"/>
      <c r="F329"/>
      <c r="G329"/>
      <c r="H329"/>
      <c r="J329"/>
      <c r="K329"/>
    </row>
    <row r="330" spans="1:11" hidden="1" x14ac:dyDescent="0.3">
      <c r="A330"/>
      <c r="B330"/>
      <c r="C330"/>
      <c r="D330"/>
      <c r="E330"/>
      <c r="F330"/>
      <c r="G330"/>
      <c r="H330"/>
      <c r="J330"/>
      <c r="K330"/>
    </row>
    <row r="331" spans="1:11" hidden="1" x14ac:dyDescent="0.3">
      <c r="A331"/>
      <c r="B331"/>
      <c r="C331"/>
      <c r="D331"/>
      <c r="E331"/>
      <c r="F331"/>
      <c r="G331"/>
      <c r="H331"/>
      <c r="J331"/>
      <c r="K331"/>
    </row>
    <row r="332" spans="1:11" hidden="1" x14ac:dyDescent="0.3">
      <c r="A332"/>
      <c r="B332"/>
      <c r="C332"/>
      <c r="D332"/>
      <c r="E332"/>
      <c r="F332"/>
      <c r="G332"/>
      <c r="H332"/>
      <c r="J332"/>
      <c r="K332"/>
    </row>
    <row r="333" spans="1:11" hidden="1" x14ac:dyDescent="0.3">
      <c r="A333"/>
      <c r="B333"/>
      <c r="C333"/>
      <c r="D333"/>
      <c r="E333"/>
      <c r="F333"/>
      <c r="G333"/>
      <c r="H333"/>
      <c r="J333"/>
      <c r="K333"/>
    </row>
    <row r="334" spans="1:11" hidden="1" x14ac:dyDescent="0.3">
      <c r="A334"/>
      <c r="B334"/>
      <c r="C334"/>
      <c r="D334"/>
      <c r="E334"/>
      <c r="F334"/>
      <c r="G334"/>
      <c r="H334"/>
      <c r="J334"/>
      <c r="K334"/>
    </row>
    <row r="335" spans="1:11" hidden="1" x14ac:dyDescent="0.3">
      <c r="A335"/>
      <c r="B335"/>
      <c r="C335"/>
      <c r="D335"/>
      <c r="E335"/>
      <c r="F335"/>
      <c r="G335"/>
      <c r="H335"/>
      <c r="J335"/>
      <c r="K335"/>
    </row>
    <row r="336" spans="1:11" hidden="1" x14ac:dyDescent="0.3">
      <c r="A336"/>
      <c r="B336"/>
      <c r="C336"/>
      <c r="D336"/>
      <c r="E336"/>
      <c r="F336"/>
      <c r="G336"/>
      <c r="H336"/>
      <c r="J336"/>
      <c r="K336"/>
    </row>
    <row r="337" spans="1:11" hidden="1" x14ac:dyDescent="0.3">
      <c r="A337"/>
      <c r="B337"/>
      <c r="C337"/>
      <c r="D337"/>
      <c r="E337"/>
      <c r="F337"/>
      <c r="G337"/>
      <c r="H337"/>
      <c r="J337"/>
      <c r="K337"/>
    </row>
    <row r="338" spans="1:11" hidden="1" x14ac:dyDescent="0.3">
      <c r="A338"/>
      <c r="B338"/>
      <c r="C338"/>
      <c r="D338"/>
      <c r="E338"/>
      <c r="F338"/>
      <c r="G338"/>
      <c r="H338"/>
      <c r="J338"/>
      <c r="K338"/>
    </row>
    <row r="339" spans="1:11" hidden="1" x14ac:dyDescent="0.3">
      <c r="A339"/>
      <c r="B339"/>
      <c r="C339"/>
      <c r="D339"/>
      <c r="E339"/>
      <c r="F339"/>
      <c r="G339"/>
      <c r="H339"/>
      <c r="J339"/>
      <c r="K339"/>
    </row>
    <row r="340" spans="1:11" hidden="1" x14ac:dyDescent="0.3">
      <c r="A340"/>
      <c r="B340"/>
      <c r="C340"/>
      <c r="D340"/>
      <c r="E340"/>
      <c r="F340"/>
      <c r="G340"/>
      <c r="H340"/>
      <c r="J340"/>
      <c r="K340"/>
    </row>
    <row r="341" spans="1:11" hidden="1" x14ac:dyDescent="0.3">
      <c r="A341"/>
      <c r="B341"/>
      <c r="C341"/>
      <c r="D341"/>
      <c r="E341"/>
      <c r="F341"/>
      <c r="G341"/>
      <c r="H341"/>
      <c r="J341"/>
      <c r="K341"/>
    </row>
    <row r="342" spans="1:11" hidden="1" x14ac:dyDescent="0.3">
      <c r="A342"/>
      <c r="B342"/>
      <c r="C342"/>
      <c r="D342"/>
      <c r="E342"/>
      <c r="F342"/>
      <c r="G342"/>
      <c r="H342"/>
      <c r="J342"/>
      <c r="K342"/>
    </row>
    <row r="343" spans="1:11" hidden="1" x14ac:dyDescent="0.3">
      <c r="A343"/>
      <c r="B343"/>
      <c r="C343"/>
      <c r="D343"/>
      <c r="E343"/>
      <c r="F343"/>
      <c r="G343"/>
      <c r="H343"/>
      <c r="J343"/>
      <c r="K343"/>
    </row>
    <row r="344" spans="1:11" hidden="1" x14ac:dyDescent="0.3">
      <c r="A344"/>
      <c r="B344"/>
      <c r="C344"/>
      <c r="D344"/>
      <c r="E344"/>
      <c r="F344"/>
      <c r="G344"/>
      <c r="H344"/>
      <c r="J344"/>
      <c r="K344"/>
    </row>
    <row r="345" spans="1:11" hidden="1" x14ac:dyDescent="0.3">
      <c r="A345"/>
      <c r="B345"/>
      <c r="C345"/>
      <c r="D345"/>
      <c r="E345"/>
      <c r="F345"/>
      <c r="G345"/>
      <c r="H345"/>
      <c r="J345"/>
      <c r="K345"/>
    </row>
    <row r="346" spans="1:11" hidden="1" x14ac:dyDescent="0.3">
      <c r="A346"/>
      <c r="B346"/>
      <c r="C346"/>
      <c r="D346"/>
      <c r="E346"/>
      <c r="F346"/>
      <c r="G346"/>
      <c r="H346"/>
      <c r="J346"/>
      <c r="K346"/>
    </row>
    <row r="347" spans="1:11" hidden="1" x14ac:dyDescent="0.3">
      <c r="A347"/>
      <c r="B347"/>
      <c r="C347"/>
      <c r="D347"/>
      <c r="E347"/>
      <c r="F347"/>
      <c r="G347"/>
      <c r="H347"/>
      <c r="J347"/>
      <c r="K347"/>
    </row>
    <row r="348" spans="1:11" hidden="1" x14ac:dyDescent="0.3">
      <c r="A348"/>
      <c r="B348"/>
      <c r="C348"/>
      <c r="D348"/>
      <c r="E348"/>
      <c r="F348"/>
      <c r="G348"/>
      <c r="H348"/>
      <c r="J348"/>
      <c r="K348"/>
    </row>
    <row r="349" spans="1:11" hidden="1" x14ac:dyDescent="0.3">
      <c r="A349"/>
      <c r="B349"/>
      <c r="C349"/>
      <c r="D349"/>
      <c r="E349"/>
      <c r="F349"/>
      <c r="G349"/>
      <c r="H349"/>
      <c r="J349"/>
      <c r="K349"/>
    </row>
    <row r="350" spans="1:11" hidden="1" x14ac:dyDescent="0.3">
      <c r="A350"/>
      <c r="B350"/>
      <c r="C350"/>
      <c r="D350"/>
      <c r="E350"/>
      <c r="F350"/>
      <c r="G350"/>
      <c r="H350"/>
      <c r="J350"/>
      <c r="K350"/>
    </row>
    <row r="351" spans="1:11" hidden="1" x14ac:dyDescent="0.3">
      <c r="A351"/>
      <c r="B351"/>
      <c r="C351"/>
      <c r="D351"/>
      <c r="E351"/>
      <c r="F351"/>
      <c r="G351"/>
      <c r="H351"/>
      <c r="J351"/>
      <c r="K351"/>
    </row>
    <row r="352" spans="1:11" hidden="1" x14ac:dyDescent="0.3">
      <c r="A352"/>
      <c r="B352"/>
      <c r="C352"/>
      <c r="D352"/>
      <c r="E352"/>
      <c r="F352"/>
      <c r="G352"/>
      <c r="H352"/>
      <c r="J352"/>
      <c r="K352"/>
    </row>
    <row r="353" spans="1:11" hidden="1" x14ac:dyDescent="0.3">
      <c r="A353"/>
      <c r="B353"/>
      <c r="C353"/>
      <c r="D353"/>
      <c r="E353"/>
      <c r="F353"/>
      <c r="G353"/>
      <c r="H353"/>
      <c r="J353"/>
      <c r="K353"/>
    </row>
    <row r="354" spans="1:11" hidden="1" x14ac:dyDescent="0.3">
      <c r="A354"/>
      <c r="B354"/>
      <c r="C354"/>
      <c r="D354"/>
      <c r="E354"/>
      <c r="F354"/>
      <c r="G354"/>
      <c r="H354"/>
      <c r="J354"/>
      <c r="K354"/>
    </row>
    <row r="355" spans="1:11" hidden="1" x14ac:dyDescent="0.3">
      <c r="A355"/>
      <c r="B355"/>
      <c r="C355"/>
      <c r="D355"/>
      <c r="E355"/>
      <c r="F355"/>
      <c r="G355"/>
      <c r="H355"/>
      <c r="J355"/>
      <c r="K355"/>
    </row>
    <row r="356" spans="1:11" hidden="1" x14ac:dyDescent="0.3">
      <c r="A356"/>
      <c r="B356"/>
      <c r="C356"/>
      <c r="D356"/>
      <c r="E356"/>
      <c r="F356"/>
      <c r="G356"/>
      <c r="H356"/>
      <c r="J356"/>
      <c r="K356"/>
    </row>
    <row r="357" spans="1:11" hidden="1" x14ac:dyDescent="0.3">
      <c r="A357"/>
      <c r="B357"/>
      <c r="C357"/>
      <c r="D357"/>
      <c r="E357"/>
      <c r="F357"/>
      <c r="G357"/>
      <c r="H357"/>
      <c r="J357"/>
      <c r="K357"/>
    </row>
    <row r="358" spans="1:11" hidden="1" x14ac:dyDescent="0.3">
      <c r="A358"/>
      <c r="B358"/>
      <c r="C358"/>
      <c r="D358"/>
      <c r="E358"/>
      <c r="F358"/>
      <c r="G358"/>
      <c r="H358"/>
      <c r="J358"/>
      <c r="K358"/>
    </row>
    <row r="359" spans="1:11" hidden="1" x14ac:dyDescent="0.3">
      <c r="A359"/>
      <c r="B359"/>
      <c r="C359"/>
      <c r="D359"/>
      <c r="E359"/>
      <c r="F359"/>
      <c r="G359"/>
      <c r="H359"/>
      <c r="J359"/>
      <c r="K359"/>
    </row>
    <row r="360" spans="1:11" hidden="1" x14ac:dyDescent="0.3">
      <c r="A360"/>
      <c r="B360"/>
      <c r="C360"/>
      <c r="D360"/>
      <c r="E360"/>
      <c r="F360"/>
      <c r="G360"/>
      <c r="H360"/>
      <c r="J360"/>
      <c r="K360"/>
    </row>
    <row r="361" spans="1:11" hidden="1" x14ac:dyDescent="0.3">
      <c r="A361"/>
      <c r="B361"/>
      <c r="C361"/>
      <c r="D361"/>
      <c r="E361"/>
      <c r="F361"/>
      <c r="G361"/>
      <c r="H361"/>
      <c r="J361"/>
      <c r="K361"/>
    </row>
    <row r="362" spans="1:11" hidden="1" x14ac:dyDescent="0.3">
      <c r="A362"/>
      <c r="B362"/>
      <c r="C362"/>
      <c r="D362"/>
      <c r="E362"/>
      <c r="F362"/>
      <c r="G362"/>
      <c r="H362"/>
      <c r="J362"/>
      <c r="K362"/>
    </row>
    <row r="363" spans="1:11" hidden="1" x14ac:dyDescent="0.3">
      <c r="A363"/>
      <c r="B363"/>
      <c r="C363"/>
      <c r="D363"/>
      <c r="E363"/>
      <c r="F363"/>
      <c r="G363"/>
      <c r="H363"/>
      <c r="J363"/>
      <c r="K363"/>
    </row>
    <row r="364" spans="1:11" hidden="1" x14ac:dyDescent="0.3">
      <c r="A364"/>
      <c r="B364"/>
      <c r="C364"/>
      <c r="D364"/>
      <c r="E364"/>
      <c r="F364"/>
      <c r="G364"/>
      <c r="H364"/>
      <c r="J364"/>
      <c r="K364"/>
    </row>
    <row r="365" spans="1:11" hidden="1" x14ac:dyDescent="0.3">
      <c r="A365"/>
      <c r="B365"/>
      <c r="C365"/>
      <c r="D365"/>
      <c r="E365"/>
      <c r="F365"/>
      <c r="G365"/>
      <c r="H365"/>
      <c r="J365"/>
      <c r="K365"/>
    </row>
    <row r="366" spans="1:11" hidden="1" x14ac:dyDescent="0.3">
      <c r="A366"/>
      <c r="B366"/>
      <c r="C366"/>
      <c r="D366"/>
      <c r="E366"/>
      <c r="F366"/>
      <c r="G366"/>
      <c r="H366"/>
      <c r="J366"/>
      <c r="K366"/>
    </row>
    <row r="367" spans="1:11" hidden="1" x14ac:dyDescent="0.3">
      <c r="A367"/>
      <c r="B367"/>
      <c r="C367"/>
      <c r="D367"/>
      <c r="E367"/>
      <c r="F367"/>
      <c r="G367"/>
      <c r="H367"/>
      <c r="J367"/>
      <c r="K367"/>
    </row>
    <row r="368" spans="1:11" hidden="1" x14ac:dyDescent="0.3">
      <c r="A368"/>
      <c r="B368"/>
      <c r="C368"/>
      <c r="D368"/>
      <c r="E368"/>
      <c r="F368"/>
      <c r="G368"/>
      <c r="H368"/>
      <c r="J368"/>
      <c r="K368"/>
    </row>
    <row r="369" spans="1:11" hidden="1" x14ac:dyDescent="0.3">
      <c r="A369"/>
      <c r="B369"/>
      <c r="C369"/>
      <c r="D369"/>
      <c r="E369"/>
      <c r="F369"/>
      <c r="G369"/>
      <c r="H369"/>
      <c r="J369"/>
      <c r="K369"/>
    </row>
    <row r="370" spans="1:11" hidden="1" x14ac:dyDescent="0.3">
      <c r="A370"/>
      <c r="B370"/>
      <c r="C370"/>
      <c r="D370"/>
      <c r="E370"/>
      <c r="F370"/>
      <c r="G370"/>
      <c r="H370"/>
      <c r="J370"/>
      <c r="K370"/>
    </row>
    <row r="371" spans="1:11" hidden="1" x14ac:dyDescent="0.3">
      <c r="A371"/>
      <c r="B371"/>
      <c r="C371"/>
      <c r="D371"/>
      <c r="E371"/>
      <c r="F371"/>
      <c r="G371"/>
      <c r="H371"/>
      <c r="J371"/>
      <c r="K371"/>
    </row>
    <row r="372" spans="1:11" hidden="1" x14ac:dyDescent="0.3">
      <c r="A372"/>
      <c r="B372"/>
      <c r="C372"/>
      <c r="D372"/>
      <c r="E372"/>
      <c r="F372"/>
      <c r="G372"/>
      <c r="H372"/>
      <c r="J372"/>
      <c r="K372"/>
    </row>
    <row r="373" spans="1:11" hidden="1" x14ac:dyDescent="0.3">
      <c r="A373"/>
      <c r="B373"/>
      <c r="C373"/>
      <c r="D373"/>
      <c r="E373"/>
      <c r="F373"/>
      <c r="G373"/>
      <c r="H373"/>
      <c r="J373"/>
      <c r="K373"/>
    </row>
    <row r="374" spans="1:11" hidden="1" x14ac:dyDescent="0.3">
      <c r="A374"/>
      <c r="B374"/>
      <c r="C374"/>
      <c r="D374"/>
      <c r="E374"/>
      <c r="F374"/>
      <c r="G374"/>
      <c r="H374"/>
      <c r="J374"/>
      <c r="K374"/>
    </row>
    <row r="375" spans="1:11" hidden="1" x14ac:dyDescent="0.3">
      <c r="A375"/>
      <c r="B375"/>
      <c r="C375"/>
      <c r="D375"/>
      <c r="E375"/>
      <c r="F375"/>
      <c r="G375"/>
      <c r="H375"/>
      <c r="J375"/>
      <c r="K375"/>
    </row>
    <row r="376" spans="1:11" hidden="1" x14ac:dyDescent="0.3">
      <c r="A376"/>
      <c r="B376"/>
      <c r="C376"/>
      <c r="D376"/>
      <c r="E376"/>
      <c r="F376"/>
      <c r="G376"/>
      <c r="H376"/>
      <c r="J376"/>
      <c r="K376"/>
    </row>
    <row r="377" spans="1:11" hidden="1" x14ac:dyDescent="0.3">
      <c r="A377"/>
      <c r="B377"/>
      <c r="C377"/>
      <c r="D377"/>
      <c r="E377"/>
      <c r="F377"/>
      <c r="G377"/>
      <c r="H377"/>
      <c r="J377"/>
      <c r="K377"/>
    </row>
    <row r="378" spans="1:11" hidden="1" x14ac:dyDescent="0.3">
      <c r="A378"/>
      <c r="B378"/>
      <c r="C378"/>
      <c r="D378"/>
      <c r="E378"/>
      <c r="F378"/>
      <c r="G378"/>
      <c r="H378"/>
      <c r="J378"/>
      <c r="K378"/>
    </row>
    <row r="379" spans="1:11" hidden="1" x14ac:dyDescent="0.3">
      <c r="A379"/>
      <c r="B379"/>
      <c r="C379"/>
      <c r="D379"/>
      <c r="E379"/>
      <c r="F379"/>
      <c r="G379"/>
      <c r="H379"/>
      <c r="J379"/>
      <c r="K379"/>
    </row>
    <row r="380" spans="1:11" hidden="1" x14ac:dyDescent="0.3">
      <c r="A380"/>
      <c r="B380"/>
      <c r="C380"/>
      <c r="D380"/>
      <c r="E380"/>
      <c r="F380"/>
      <c r="G380"/>
      <c r="H380"/>
      <c r="J380"/>
      <c r="K380"/>
    </row>
    <row r="381" spans="1:11" hidden="1" x14ac:dyDescent="0.3">
      <c r="A381"/>
      <c r="B381"/>
      <c r="C381"/>
      <c r="D381"/>
      <c r="E381"/>
      <c r="F381"/>
      <c r="G381"/>
      <c r="H381"/>
      <c r="J381"/>
      <c r="K381"/>
    </row>
    <row r="382" spans="1:11" hidden="1" x14ac:dyDescent="0.3">
      <c r="A382"/>
      <c r="B382"/>
      <c r="C382"/>
      <c r="D382"/>
      <c r="E382"/>
      <c r="F382"/>
      <c r="G382"/>
      <c r="H382"/>
      <c r="J382"/>
      <c r="K382"/>
    </row>
    <row r="383" spans="1:11" hidden="1" x14ac:dyDescent="0.3">
      <c r="A383"/>
      <c r="B383"/>
      <c r="C383"/>
      <c r="D383"/>
      <c r="E383"/>
      <c r="F383"/>
      <c r="G383"/>
      <c r="H383"/>
      <c r="J383"/>
      <c r="K383"/>
    </row>
    <row r="384" spans="1:11" hidden="1" x14ac:dyDescent="0.3">
      <c r="A384"/>
      <c r="B384"/>
      <c r="C384"/>
      <c r="D384"/>
      <c r="E384"/>
      <c r="F384"/>
      <c r="G384"/>
      <c r="H384"/>
      <c r="J384"/>
      <c r="K384"/>
    </row>
    <row r="385" spans="1:11" hidden="1" x14ac:dyDescent="0.3">
      <c r="A385"/>
      <c r="B385"/>
      <c r="C385"/>
      <c r="D385"/>
      <c r="E385"/>
      <c r="F385"/>
      <c r="G385"/>
      <c r="H385"/>
      <c r="J385"/>
      <c r="K385"/>
    </row>
    <row r="386" spans="1:11" hidden="1" x14ac:dyDescent="0.3">
      <c r="A386"/>
      <c r="B386"/>
      <c r="C386"/>
      <c r="D386"/>
      <c r="E386"/>
      <c r="F386"/>
      <c r="G386"/>
      <c r="H386"/>
      <c r="J386"/>
      <c r="K386"/>
    </row>
    <row r="387" spans="1:11" hidden="1" x14ac:dyDescent="0.3">
      <c r="A387"/>
      <c r="B387"/>
      <c r="C387"/>
      <c r="D387"/>
      <c r="E387"/>
      <c r="F387"/>
      <c r="G387"/>
      <c r="H387"/>
      <c r="J387"/>
      <c r="K387"/>
    </row>
    <row r="388" spans="1:11" hidden="1" x14ac:dyDescent="0.3">
      <c r="A388"/>
      <c r="B388"/>
      <c r="C388"/>
      <c r="D388"/>
      <c r="E388"/>
      <c r="F388"/>
      <c r="G388"/>
      <c r="H388"/>
      <c r="J388"/>
      <c r="K388"/>
    </row>
    <row r="389" spans="1:11" hidden="1" x14ac:dyDescent="0.3">
      <c r="A389"/>
      <c r="B389"/>
      <c r="C389"/>
      <c r="D389"/>
      <c r="E389"/>
      <c r="F389"/>
      <c r="G389"/>
      <c r="H389"/>
      <c r="J389"/>
      <c r="K389"/>
    </row>
    <row r="390" spans="1:11" hidden="1" x14ac:dyDescent="0.3">
      <c r="A390"/>
      <c r="B390"/>
      <c r="C390"/>
      <c r="D390"/>
      <c r="E390"/>
      <c r="F390"/>
      <c r="G390"/>
      <c r="H390"/>
      <c r="J390"/>
      <c r="K390"/>
    </row>
    <row r="391" spans="1:11" hidden="1" x14ac:dyDescent="0.3">
      <c r="A391"/>
      <c r="B391"/>
      <c r="C391"/>
      <c r="D391"/>
      <c r="E391"/>
      <c r="F391"/>
      <c r="G391"/>
      <c r="H391"/>
      <c r="J391"/>
      <c r="K391"/>
    </row>
    <row r="392" spans="1:11" hidden="1" x14ac:dyDescent="0.3">
      <c r="A392"/>
      <c r="B392"/>
      <c r="C392"/>
      <c r="D392"/>
      <c r="E392"/>
      <c r="F392"/>
      <c r="G392"/>
      <c r="H392"/>
      <c r="J392"/>
      <c r="K392"/>
    </row>
    <row r="393" spans="1:11" hidden="1" x14ac:dyDescent="0.3">
      <c r="A393"/>
      <c r="B393"/>
      <c r="C393"/>
      <c r="D393"/>
      <c r="E393"/>
      <c r="F393"/>
      <c r="G393"/>
      <c r="H393"/>
      <c r="J393"/>
      <c r="K393"/>
    </row>
    <row r="394" spans="1:11" hidden="1" x14ac:dyDescent="0.3">
      <c r="A394"/>
      <c r="B394"/>
      <c r="C394"/>
      <c r="D394"/>
      <c r="E394"/>
      <c r="F394"/>
      <c r="G394"/>
      <c r="H394"/>
      <c r="J394"/>
      <c r="K394"/>
    </row>
    <row r="395" spans="1:11" hidden="1" x14ac:dyDescent="0.3">
      <c r="A395"/>
      <c r="B395"/>
      <c r="C395"/>
      <c r="D395"/>
      <c r="E395"/>
      <c r="F395"/>
      <c r="G395"/>
      <c r="H395"/>
      <c r="J395"/>
      <c r="K395"/>
    </row>
    <row r="396" spans="1:11" hidden="1" x14ac:dyDescent="0.3">
      <c r="A396"/>
      <c r="B396"/>
      <c r="C396"/>
      <c r="D396"/>
      <c r="E396"/>
      <c r="F396"/>
      <c r="G396"/>
      <c r="H396"/>
      <c r="J396"/>
      <c r="K396"/>
    </row>
    <row r="397" spans="1:11" hidden="1" x14ac:dyDescent="0.3">
      <c r="A397"/>
      <c r="B397"/>
      <c r="C397"/>
      <c r="D397"/>
      <c r="E397"/>
      <c r="F397"/>
      <c r="G397"/>
      <c r="H397"/>
      <c r="J397"/>
      <c r="K397"/>
    </row>
    <row r="398" spans="1:11" hidden="1" x14ac:dyDescent="0.3">
      <c r="A398"/>
      <c r="B398"/>
      <c r="C398"/>
      <c r="D398"/>
      <c r="E398"/>
      <c r="F398"/>
      <c r="G398"/>
      <c r="H398"/>
      <c r="J398"/>
      <c r="K398"/>
    </row>
    <row r="399" spans="1:11" hidden="1" x14ac:dyDescent="0.3">
      <c r="A399"/>
      <c r="B399"/>
      <c r="C399"/>
      <c r="D399"/>
      <c r="E399"/>
      <c r="F399"/>
      <c r="G399"/>
      <c r="H399"/>
      <c r="J399"/>
      <c r="K399"/>
    </row>
    <row r="400" spans="1:11" hidden="1" x14ac:dyDescent="0.3">
      <c r="A400"/>
      <c r="B400"/>
      <c r="C400"/>
      <c r="D400"/>
      <c r="E400"/>
      <c r="F400"/>
      <c r="G400"/>
      <c r="H400"/>
      <c r="J400"/>
      <c r="K400"/>
    </row>
    <row r="401" spans="1:11" hidden="1" x14ac:dyDescent="0.3">
      <c r="A401"/>
      <c r="B401"/>
      <c r="C401"/>
      <c r="D401"/>
      <c r="E401"/>
      <c r="F401"/>
      <c r="G401"/>
      <c r="H401"/>
      <c r="J401"/>
      <c r="K401"/>
    </row>
    <row r="402" spans="1:11" hidden="1" x14ac:dyDescent="0.3">
      <c r="A402"/>
      <c r="B402"/>
      <c r="C402"/>
      <c r="D402"/>
      <c r="E402"/>
      <c r="F402"/>
      <c r="G402"/>
      <c r="H402"/>
      <c r="J402"/>
      <c r="K402"/>
    </row>
    <row r="403" spans="1:11" hidden="1" x14ac:dyDescent="0.3">
      <c r="A403"/>
      <c r="B403"/>
      <c r="C403"/>
      <c r="D403"/>
      <c r="E403"/>
      <c r="F403"/>
      <c r="G403"/>
      <c r="H403"/>
      <c r="J403"/>
      <c r="K403"/>
    </row>
    <row r="404" spans="1:11" hidden="1" x14ac:dyDescent="0.3">
      <c r="A404"/>
      <c r="B404"/>
      <c r="C404"/>
      <c r="D404"/>
      <c r="E404"/>
      <c r="F404"/>
      <c r="G404"/>
      <c r="H404"/>
      <c r="J404"/>
      <c r="K404"/>
    </row>
    <row r="405" spans="1:11" hidden="1" x14ac:dyDescent="0.3">
      <c r="A405"/>
      <c r="B405"/>
      <c r="C405"/>
      <c r="D405"/>
      <c r="E405"/>
      <c r="F405"/>
      <c r="G405"/>
      <c r="H405"/>
      <c r="J405"/>
      <c r="K405"/>
    </row>
    <row r="406" spans="1:11" hidden="1" x14ac:dyDescent="0.3">
      <c r="A406"/>
      <c r="B406"/>
      <c r="C406"/>
      <c r="D406"/>
      <c r="E406"/>
      <c r="F406"/>
      <c r="G406"/>
      <c r="H406"/>
      <c r="J406"/>
      <c r="K406"/>
    </row>
    <row r="407" spans="1:11" hidden="1" x14ac:dyDescent="0.3">
      <c r="A407"/>
      <c r="B407"/>
      <c r="C407"/>
      <c r="D407"/>
      <c r="E407"/>
      <c r="F407"/>
      <c r="G407"/>
      <c r="H407"/>
      <c r="J407"/>
      <c r="K407"/>
    </row>
    <row r="408" spans="1:11" hidden="1" x14ac:dyDescent="0.3">
      <c r="A408"/>
      <c r="B408"/>
      <c r="C408"/>
      <c r="D408"/>
      <c r="E408"/>
      <c r="F408"/>
      <c r="G408"/>
      <c r="H408"/>
      <c r="J408"/>
      <c r="K408"/>
    </row>
    <row r="409" spans="1:11" hidden="1" x14ac:dyDescent="0.3">
      <c r="A409"/>
      <c r="B409"/>
      <c r="C409"/>
      <c r="D409"/>
      <c r="E409"/>
      <c r="F409"/>
      <c r="G409"/>
      <c r="H409"/>
      <c r="J409"/>
      <c r="K409"/>
    </row>
    <row r="410" spans="1:11" hidden="1" x14ac:dyDescent="0.3">
      <c r="A410"/>
      <c r="B410"/>
      <c r="C410"/>
      <c r="D410"/>
      <c r="E410"/>
      <c r="F410"/>
      <c r="G410"/>
      <c r="H410"/>
      <c r="J410"/>
      <c r="K410"/>
    </row>
    <row r="411" spans="1:11" hidden="1" x14ac:dyDescent="0.3">
      <c r="A411"/>
      <c r="B411"/>
      <c r="C411"/>
      <c r="D411"/>
      <c r="E411"/>
      <c r="F411"/>
      <c r="G411"/>
      <c r="H411"/>
      <c r="J411"/>
      <c r="K411"/>
    </row>
    <row r="412" spans="1:11" hidden="1" x14ac:dyDescent="0.3">
      <c r="A412"/>
      <c r="B412"/>
      <c r="C412"/>
      <c r="D412"/>
      <c r="E412"/>
      <c r="F412"/>
      <c r="G412"/>
      <c r="H412"/>
      <c r="J412"/>
      <c r="K412"/>
    </row>
    <row r="413" spans="1:11" hidden="1" x14ac:dyDescent="0.3">
      <c r="A413"/>
      <c r="B413"/>
      <c r="C413"/>
      <c r="D413"/>
      <c r="E413"/>
      <c r="F413"/>
      <c r="G413"/>
      <c r="H413"/>
      <c r="J413"/>
      <c r="K413"/>
    </row>
    <row r="414" spans="1:11" hidden="1" x14ac:dyDescent="0.3">
      <c r="A414"/>
      <c r="B414"/>
      <c r="C414"/>
      <c r="D414"/>
      <c r="E414"/>
      <c r="F414"/>
      <c r="G414"/>
      <c r="H414"/>
      <c r="J414"/>
      <c r="K414"/>
    </row>
    <row r="415" spans="1:11" hidden="1" x14ac:dyDescent="0.3">
      <c r="A415"/>
      <c r="B415"/>
      <c r="C415"/>
      <c r="D415"/>
      <c r="E415"/>
      <c r="F415"/>
      <c r="G415"/>
      <c r="H415"/>
      <c r="J415"/>
      <c r="K415"/>
    </row>
    <row r="416" spans="1:11" hidden="1" x14ac:dyDescent="0.3">
      <c r="A416"/>
      <c r="B416"/>
      <c r="C416"/>
      <c r="D416"/>
      <c r="E416"/>
      <c r="F416"/>
      <c r="G416"/>
      <c r="H416"/>
      <c r="J416"/>
      <c r="K416"/>
    </row>
    <row r="417" spans="1:11" hidden="1" x14ac:dyDescent="0.3">
      <c r="A417"/>
      <c r="B417"/>
      <c r="C417"/>
      <c r="D417"/>
      <c r="E417"/>
      <c r="F417"/>
      <c r="G417"/>
      <c r="H417"/>
      <c r="J417"/>
      <c r="K417"/>
    </row>
    <row r="418" spans="1:11" hidden="1" x14ac:dyDescent="0.3">
      <c r="A418"/>
      <c r="B418"/>
      <c r="C418"/>
      <c r="D418"/>
      <c r="E418"/>
      <c r="F418"/>
      <c r="G418"/>
      <c r="H418"/>
      <c r="J418"/>
      <c r="K418"/>
    </row>
    <row r="419" spans="1:11" hidden="1" x14ac:dyDescent="0.3">
      <c r="A419"/>
      <c r="B419"/>
      <c r="C419"/>
      <c r="D419"/>
      <c r="E419"/>
      <c r="F419"/>
      <c r="G419"/>
      <c r="H419"/>
      <c r="J419"/>
      <c r="K419"/>
    </row>
    <row r="420" spans="1:11" hidden="1" x14ac:dyDescent="0.3">
      <c r="A420"/>
      <c r="B420"/>
      <c r="C420"/>
      <c r="D420"/>
      <c r="E420"/>
      <c r="F420"/>
      <c r="G420"/>
      <c r="H420"/>
      <c r="J420"/>
      <c r="K420"/>
    </row>
    <row r="421" spans="1:11" hidden="1" x14ac:dyDescent="0.3">
      <c r="A421"/>
      <c r="B421"/>
      <c r="C421"/>
      <c r="D421"/>
      <c r="E421"/>
      <c r="F421"/>
      <c r="G421"/>
      <c r="H421"/>
      <c r="J421"/>
      <c r="K421"/>
    </row>
    <row r="422" spans="1:11" hidden="1" x14ac:dyDescent="0.3">
      <c r="A422"/>
      <c r="B422"/>
      <c r="C422"/>
      <c r="D422"/>
      <c r="E422"/>
      <c r="F422"/>
      <c r="G422"/>
      <c r="H422"/>
      <c r="J422"/>
      <c r="K422"/>
    </row>
    <row r="423" spans="1:11" hidden="1" x14ac:dyDescent="0.3">
      <c r="A423"/>
      <c r="B423"/>
      <c r="C423"/>
      <c r="D423"/>
      <c r="E423"/>
      <c r="F423"/>
      <c r="G423"/>
      <c r="H423"/>
      <c r="J423"/>
      <c r="K423"/>
    </row>
    <row r="424" spans="1:11" hidden="1" x14ac:dyDescent="0.3">
      <c r="A424"/>
      <c r="B424"/>
      <c r="C424"/>
      <c r="D424"/>
      <c r="E424"/>
      <c r="F424"/>
      <c r="G424"/>
      <c r="H424"/>
      <c r="J424"/>
      <c r="K424"/>
    </row>
    <row r="425" spans="1:11" hidden="1" x14ac:dyDescent="0.3">
      <c r="A425"/>
      <c r="B425"/>
      <c r="C425"/>
      <c r="D425"/>
      <c r="E425"/>
      <c r="F425"/>
      <c r="G425"/>
      <c r="H425"/>
      <c r="J425"/>
      <c r="K425"/>
    </row>
    <row r="426" spans="1:11" hidden="1" x14ac:dyDescent="0.3">
      <c r="A426"/>
      <c r="B426"/>
      <c r="C426"/>
      <c r="D426"/>
      <c r="E426"/>
      <c r="F426"/>
      <c r="G426"/>
      <c r="H426"/>
      <c r="J426"/>
      <c r="K426"/>
    </row>
    <row r="427" spans="1:11" hidden="1" x14ac:dyDescent="0.3">
      <c r="A427"/>
      <c r="B427"/>
      <c r="C427"/>
      <c r="D427"/>
      <c r="E427"/>
      <c r="F427"/>
      <c r="G427"/>
      <c r="H427"/>
      <c r="J427"/>
      <c r="K427"/>
    </row>
    <row r="428" spans="1:11" hidden="1" x14ac:dyDescent="0.3">
      <c r="A428"/>
      <c r="B428"/>
      <c r="C428"/>
      <c r="D428"/>
      <c r="E428"/>
      <c r="F428"/>
      <c r="G428"/>
      <c r="H428"/>
      <c r="J428"/>
      <c r="K428"/>
    </row>
    <row r="429" spans="1:11" hidden="1" x14ac:dyDescent="0.3">
      <c r="A429"/>
      <c r="B429"/>
      <c r="C429"/>
      <c r="D429"/>
      <c r="E429"/>
      <c r="F429"/>
      <c r="G429"/>
      <c r="H429"/>
      <c r="J429"/>
      <c r="K429"/>
    </row>
    <row r="430" spans="1:11" hidden="1" x14ac:dyDescent="0.3">
      <c r="A430"/>
      <c r="B430"/>
      <c r="C430"/>
      <c r="D430"/>
      <c r="E430"/>
      <c r="F430"/>
      <c r="G430"/>
      <c r="H430"/>
      <c r="J430"/>
      <c r="K430"/>
    </row>
    <row r="431" spans="1:11" hidden="1" x14ac:dyDescent="0.3">
      <c r="A431"/>
      <c r="B431"/>
      <c r="C431"/>
      <c r="D431"/>
      <c r="E431"/>
      <c r="F431"/>
      <c r="G431"/>
      <c r="H431"/>
      <c r="J431"/>
      <c r="K431"/>
    </row>
    <row r="432" spans="1:11" hidden="1" x14ac:dyDescent="0.3">
      <c r="A432"/>
      <c r="B432"/>
      <c r="C432"/>
      <c r="D432"/>
      <c r="E432"/>
      <c r="F432"/>
      <c r="G432"/>
      <c r="H432"/>
      <c r="J432"/>
      <c r="K432"/>
    </row>
    <row r="433" spans="1:11" hidden="1" x14ac:dyDescent="0.3">
      <c r="A433"/>
      <c r="B433"/>
      <c r="C433"/>
      <c r="D433"/>
      <c r="E433"/>
      <c r="F433"/>
      <c r="G433"/>
      <c r="H433"/>
      <c r="J433"/>
      <c r="K433"/>
    </row>
    <row r="434" spans="1:11" hidden="1" x14ac:dyDescent="0.3">
      <c r="A434"/>
      <c r="B434"/>
      <c r="C434"/>
      <c r="D434"/>
      <c r="E434"/>
      <c r="F434"/>
      <c r="G434"/>
      <c r="H434"/>
      <c r="J434"/>
      <c r="K434"/>
    </row>
    <row r="435" spans="1:11" hidden="1" x14ac:dyDescent="0.3">
      <c r="A435"/>
      <c r="B435"/>
      <c r="C435"/>
      <c r="D435"/>
      <c r="E435"/>
      <c r="F435"/>
      <c r="G435"/>
      <c r="H435"/>
      <c r="J435"/>
      <c r="K435"/>
    </row>
    <row r="436" spans="1:11" hidden="1" x14ac:dyDescent="0.3">
      <c r="A436"/>
      <c r="B436"/>
      <c r="C436"/>
      <c r="D436"/>
      <c r="E436"/>
      <c r="F436"/>
      <c r="G436"/>
      <c r="H436"/>
      <c r="J436"/>
      <c r="K436"/>
    </row>
    <row r="437" spans="1:11" hidden="1" x14ac:dyDescent="0.3">
      <c r="A437"/>
      <c r="B437"/>
      <c r="C437"/>
      <c r="D437"/>
      <c r="E437"/>
      <c r="F437"/>
      <c r="G437"/>
      <c r="H437"/>
      <c r="J437"/>
      <c r="K437"/>
    </row>
    <row r="438" spans="1:11" hidden="1" x14ac:dyDescent="0.3">
      <c r="A438"/>
      <c r="B438"/>
      <c r="C438"/>
      <c r="D438"/>
      <c r="E438"/>
      <c r="F438"/>
      <c r="G438"/>
      <c r="H438"/>
      <c r="J438"/>
      <c r="K438"/>
    </row>
    <row r="439" spans="1:11" hidden="1" x14ac:dyDescent="0.3">
      <c r="A439"/>
      <c r="B439"/>
      <c r="C439"/>
      <c r="D439"/>
      <c r="E439"/>
      <c r="F439"/>
      <c r="G439"/>
      <c r="H439"/>
      <c r="J439"/>
      <c r="K439"/>
    </row>
    <row r="440" spans="1:11" hidden="1" x14ac:dyDescent="0.3">
      <c r="A440"/>
      <c r="B440"/>
      <c r="C440"/>
      <c r="D440"/>
      <c r="E440"/>
      <c r="F440"/>
      <c r="G440"/>
      <c r="H440"/>
      <c r="J440"/>
      <c r="K440"/>
    </row>
    <row r="441" spans="1:11" hidden="1" x14ac:dyDescent="0.3">
      <c r="A441"/>
      <c r="B441"/>
      <c r="C441"/>
      <c r="D441"/>
      <c r="E441"/>
      <c r="F441"/>
      <c r="G441"/>
      <c r="H441"/>
      <c r="J441"/>
      <c r="K441"/>
    </row>
    <row r="442" spans="1:11" hidden="1" x14ac:dyDescent="0.3">
      <c r="A442"/>
      <c r="B442"/>
      <c r="C442"/>
      <c r="D442"/>
      <c r="E442"/>
      <c r="F442"/>
      <c r="G442"/>
      <c r="H442"/>
      <c r="J442"/>
      <c r="K442"/>
    </row>
    <row r="443" spans="1:11" hidden="1" x14ac:dyDescent="0.3">
      <c r="A443"/>
      <c r="B443"/>
      <c r="C443"/>
      <c r="D443"/>
      <c r="E443"/>
      <c r="F443"/>
      <c r="G443"/>
      <c r="H443"/>
      <c r="J443"/>
      <c r="K443"/>
    </row>
    <row r="444" spans="1:11" hidden="1" x14ac:dyDescent="0.3">
      <c r="A444"/>
      <c r="B444"/>
      <c r="C444"/>
      <c r="D444"/>
      <c r="E444"/>
      <c r="F444"/>
      <c r="G444"/>
      <c r="H444"/>
      <c r="J444"/>
      <c r="K444"/>
    </row>
    <row r="445" spans="1:11" hidden="1" x14ac:dyDescent="0.3">
      <c r="A445"/>
      <c r="B445"/>
      <c r="C445"/>
      <c r="D445"/>
      <c r="E445"/>
      <c r="F445"/>
      <c r="G445"/>
      <c r="H445"/>
      <c r="J445"/>
      <c r="K445"/>
    </row>
    <row r="446" spans="1:11" hidden="1" x14ac:dyDescent="0.3">
      <c r="A446"/>
      <c r="B446"/>
      <c r="C446"/>
      <c r="D446"/>
      <c r="E446"/>
      <c r="F446"/>
      <c r="G446"/>
      <c r="H446"/>
      <c r="J446"/>
      <c r="K446"/>
    </row>
    <row r="447" spans="1:11" hidden="1" x14ac:dyDescent="0.3">
      <c r="A447"/>
      <c r="B447"/>
      <c r="C447"/>
      <c r="D447"/>
      <c r="E447"/>
      <c r="F447"/>
      <c r="G447"/>
      <c r="H447"/>
      <c r="J447"/>
      <c r="K447"/>
    </row>
    <row r="448" spans="1:11" hidden="1" x14ac:dyDescent="0.3">
      <c r="A448"/>
      <c r="B448"/>
      <c r="C448"/>
      <c r="D448"/>
      <c r="E448"/>
      <c r="F448"/>
      <c r="G448"/>
      <c r="H448"/>
      <c r="J448"/>
      <c r="K448"/>
    </row>
    <row r="449" spans="1:11" hidden="1" x14ac:dyDescent="0.3">
      <c r="A449"/>
      <c r="B449"/>
      <c r="C449"/>
      <c r="D449"/>
      <c r="E449"/>
      <c r="F449"/>
      <c r="G449"/>
      <c r="H449"/>
      <c r="J449"/>
      <c r="K449"/>
    </row>
    <row r="450" spans="1:11" hidden="1" x14ac:dyDescent="0.3">
      <c r="A450"/>
      <c r="B450"/>
      <c r="C450"/>
      <c r="D450"/>
      <c r="E450"/>
      <c r="F450"/>
      <c r="G450"/>
      <c r="H450"/>
      <c r="J450"/>
      <c r="K450"/>
    </row>
    <row r="451" spans="1:11" hidden="1" x14ac:dyDescent="0.3">
      <c r="A451"/>
      <c r="B451"/>
      <c r="C451"/>
      <c r="D451"/>
      <c r="E451"/>
      <c r="F451"/>
      <c r="G451"/>
      <c r="H451"/>
      <c r="J451"/>
      <c r="K451"/>
    </row>
    <row r="452" spans="1:11" hidden="1" x14ac:dyDescent="0.3">
      <c r="A452"/>
      <c r="B452"/>
      <c r="C452"/>
      <c r="D452"/>
      <c r="E452"/>
      <c r="F452"/>
      <c r="G452"/>
      <c r="H452"/>
      <c r="J452"/>
      <c r="K452"/>
    </row>
    <row r="453" spans="1:11" hidden="1" x14ac:dyDescent="0.3">
      <c r="A453"/>
      <c r="B453"/>
      <c r="C453"/>
      <c r="D453"/>
      <c r="E453"/>
      <c r="F453"/>
      <c r="G453"/>
      <c r="H453"/>
      <c r="J453"/>
      <c r="K453"/>
    </row>
    <row r="454" spans="1:11" hidden="1" x14ac:dyDescent="0.3">
      <c r="A454"/>
      <c r="B454"/>
      <c r="C454"/>
      <c r="D454"/>
      <c r="E454"/>
      <c r="F454"/>
      <c r="G454"/>
      <c r="H454"/>
      <c r="J454"/>
      <c r="K454"/>
    </row>
    <row r="455" spans="1:11" hidden="1" x14ac:dyDescent="0.3">
      <c r="A455"/>
      <c r="B455"/>
      <c r="C455"/>
      <c r="D455"/>
      <c r="E455"/>
      <c r="F455"/>
      <c r="G455"/>
      <c r="H455"/>
      <c r="J455"/>
      <c r="K455"/>
    </row>
    <row r="456" spans="1:11" hidden="1" x14ac:dyDescent="0.3">
      <c r="A456"/>
      <c r="B456"/>
      <c r="C456"/>
      <c r="D456"/>
      <c r="E456"/>
      <c r="F456"/>
      <c r="G456"/>
      <c r="H456"/>
      <c r="J456"/>
      <c r="K456"/>
    </row>
    <row r="457" spans="1:11" hidden="1" x14ac:dyDescent="0.3">
      <c r="A457"/>
      <c r="B457"/>
      <c r="C457"/>
      <c r="D457"/>
      <c r="E457"/>
      <c r="F457"/>
      <c r="G457"/>
      <c r="H457"/>
      <c r="J457"/>
      <c r="K457"/>
    </row>
    <row r="458" spans="1:11" hidden="1" x14ac:dyDescent="0.3">
      <c r="A458"/>
      <c r="B458"/>
      <c r="C458"/>
      <c r="D458"/>
      <c r="E458"/>
      <c r="F458"/>
      <c r="G458"/>
      <c r="H458"/>
      <c r="J458"/>
      <c r="K458"/>
    </row>
    <row r="459" spans="1:11" hidden="1" x14ac:dyDescent="0.3">
      <c r="A459"/>
      <c r="B459"/>
      <c r="C459"/>
      <c r="D459"/>
      <c r="E459"/>
      <c r="F459"/>
      <c r="G459"/>
      <c r="H459"/>
      <c r="J459"/>
      <c r="K459"/>
    </row>
    <row r="460" spans="1:11" hidden="1" x14ac:dyDescent="0.3">
      <c r="A460"/>
      <c r="B460"/>
      <c r="C460"/>
      <c r="D460"/>
      <c r="E460"/>
      <c r="F460"/>
      <c r="G460"/>
      <c r="H460"/>
      <c r="J460"/>
      <c r="K460"/>
    </row>
    <row r="461" spans="1:11" hidden="1" x14ac:dyDescent="0.3">
      <c r="A461"/>
      <c r="B461"/>
      <c r="C461"/>
      <c r="D461"/>
      <c r="E461"/>
      <c r="F461"/>
      <c r="G461"/>
      <c r="H461"/>
      <c r="J461"/>
      <c r="K461"/>
    </row>
    <row r="462" spans="1:11" hidden="1" x14ac:dyDescent="0.3">
      <c r="A462"/>
      <c r="B462"/>
      <c r="C462"/>
      <c r="D462"/>
      <c r="E462"/>
      <c r="F462"/>
      <c r="G462"/>
      <c r="H462"/>
      <c r="J462"/>
      <c r="K462"/>
    </row>
    <row r="463" spans="1:11" hidden="1" x14ac:dyDescent="0.3">
      <c r="A463"/>
      <c r="B463"/>
      <c r="C463"/>
      <c r="D463"/>
      <c r="E463"/>
      <c r="F463"/>
      <c r="G463"/>
      <c r="H463"/>
      <c r="J463"/>
      <c r="K463"/>
    </row>
    <row r="464" spans="1:11" hidden="1" x14ac:dyDescent="0.3">
      <c r="A464"/>
      <c r="B464"/>
      <c r="C464"/>
      <c r="D464"/>
      <c r="E464"/>
      <c r="F464"/>
      <c r="G464"/>
      <c r="H464"/>
      <c r="J464"/>
      <c r="K464"/>
    </row>
    <row r="465" spans="1:11" hidden="1" x14ac:dyDescent="0.3">
      <c r="A465"/>
      <c r="B465"/>
      <c r="C465"/>
      <c r="D465"/>
      <c r="E465"/>
      <c r="F465"/>
      <c r="G465"/>
      <c r="H465"/>
      <c r="J465"/>
      <c r="K465"/>
    </row>
    <row r="466" spans="1:11" hidden="1" x14ac:dyDescent="0.3">
      <c r="A466"/>
      <c r="B466"/>
      <c r="C466"/>
      <c r="D466"/>
      <c r="E466"/>
      <c r="F466"/>
      <c r="G466"/>
      <c r="H466"/>
      <c r="J466"/>
      <c r="K466"/>
    </row>
    <row r="467" spans="1:11" hidden="1" x14ac:dyDescent="0.3">
      <c r="A467"/>
      <c r="B467"/>
      <c r="C467"/>
      <c r="D467"/>
      <c r="E467"/>
      <c r="F467"/>
      <c r="G467"/>
      <c r="H467"/>
      <c r="J467"/>
      <c r="K467"/>
    </row>
    <row r="468" spans="1:11" hidden="1" x14ac:dyDescent="0.3">
      <c r="A468"/>
      <c r="B468"/>
      <c r="C468"/>
      <c r="D468"/>
      <c r="E468"/>
      <c r="F468"/>
      <c r="G468"/>
      <c r="H468"/>
      <c r="J468"/>
      <c r="K468"/>
    </row>
    <row r="469" spans="1:11" hidden="1" x14ac:dyDescent="0.3">
      <c r="A469"/>
      <c r="B469"/>
      <c r="C469"/>
      <c r="D469"/>
      <c r="E469"/>
      <c r="F469"/>
      <c r="G469"/>
      <c r="H469"/>
      <c r="J469"/>
      <c r="K469"/>
    </row>
    <row r="470" spans="1:11" hidden="1" x14ac:dyDescent="0.3">
      <c r="A470"/>
      <c r="B470"/>
      <c r="C470"/>
      <c r="D470"/>
      <c r="E470"/>
      <c r="F470"/>
      <c r="G470"/>
      <c r="H470"/>
      <c r="J470"/>
      <c r="K470"/>
    </row>
    <row r="471" spans="1:11" hidden="1" x14ac:dyDescent="0.3">
      <c r="A471"/>
      <c r="B471"/>
      <c r="C471"/>
      <c r="D471"/>
      <c r="E471"/>
      <c r="F471"/>
      <c r="G471"/>
      <c r="H471"/>
      <c r="J471"/>
      <c r="K471"/>
    </row>
    <row r="472" spans="1:11" hidden="1" x14ac:dyDescent="0.3">
      <c r="A472"/>
      <c r="B472"/>
      <c r="C472"/>
      <c r="D472"/>
      <c r="E472"/>
      <c r="F472"/>
      <c r="G472"/>
      <c r="H472"/>
      <c r="J472"/>
      <c r="K472"/>
    </row>
    <row r="473" spans="1:11" hidden="1" x14ac:dyDescent="0.3">
      <c r="A473"/>
      <c r="B473"/>
      <c r="C473"/>
      <c r="D473"/>
      <c r="E473"/>
      <c r="F473"/>
      <c r="G473"/>
      <c r="H473"/>
      <c r="J473"/>
      <c r="K473"/>
    </row>
    <row r="474" spans="1:11" hidden="1" x14ac:dyDescent="0.3">
      <c r="A474"/>
      <c r="B474"/>
      <c r="C474"/>
      <c r="D474"/>
      <c r="E474"/>
      <c r="F474"/>
      <c r="G474"/>
      <c r="H474"/>
      <c r="J474"/>
      <c r="K474"/>
    </row>
    <row r="475" spans="1:11" hidden="1" x14ac:dyDescent="0.3">
      <c r="A475"/>
      <c r="B475"/>
      <c r="C475"/>
      <c r="D475"/>
      <c r="E475"/>
      <c r="F475"/>
      <c r="G475"/>
      <c r="H475"/>
      <c r="J475"/>
      <c r="K475"/>
    </row>
    <row r="476" spans="1:11" hidden="1" x14ac:dyDescent="0.3">
      <c r="A476"/>
      <c r="B476"/>
      <c r="C476"/>
      <c r="D476"/>
      <c r="E476"/>
      <c r="F476"/>
      <c r="G476"/>
      <c r="H476"/>
      <c r="J476"/>
      <c r="K476"/>
    </row>
    <row r="477" spans="1:11" hidden="1" x14ac:dyDescent="0.3">
      <c r="A477"/>
      <c r="B477"/>
      <c r="C477"/>
      <c r="D477"/>
      <c r="E477"/>
      <c r="F477"/>
      <c r="G477"/>
      <c r="H477"/>
      <c r="J477"/>
      <c r="K477"/>
    </row>
    <row r="478" spans="1:11" hidden="1" x14ac:dyDescent="0.3">
      <c r="A478"/>
      <c r="B478"/>
      <c r="C478"/>
      <c r="D478"/>
      <c r="E478"/>
      <c r="F478"/>
      <c r="G478"/>
      <c r="H478"/>
      <c r="J478"/>
      <c r="K478"/>
    </row>
    <row r="479" spans="1:11" hidden="1" x14ac:dyDescent="0.3">
      <c r="A479"/>
      <c r="B479"/>
      <c r="C479"/>
      <c r="D479"/>
      <c r="E479"/>
      <c r="F479"/>
      <c r="G479"/>
      <c r="H479"/>
      <c r="J479"/>
      <c r="K479"/>
    </row>
    <row r="480" spans="1:11" hidden="1" x14ac:dyDescent="0.3">
      <c r="A480"/>
      <c r="B480"/>
      <c r="C480"/>
      <c r="D480"/>
      <c r="E480"/>
      <c r="F480"/>
      <c r="G480"/>
      <c r="H480"/>
      <c r="J480"/>
      <c r="K480"/>
    </row>
    <row r="481" spans="1:11" hidden="1" x14ac:dyDescent="0.3">
      <c r="A481"/>
      <c r="B481"/>
      <c r="C481"/>
      <c r="D481"/>
      <c r="E481"/>
      <c r="F481"/>
      <c r="G481"/>
      <c r="H481"/>
      <c r="J481"/>
      <c r="K481"/>
    </row>
    <row r="482" spans="1:11" hidden="1" x14ac:dyDescent="0.3">
      <c r="A482"/>
      <c r="B482"/>
      <c r="C482"/>
      <c r="D482"/>
      <c r="E482"/>
      <c r="F482"/>
      <c r="G482"/>
      <c r="H482"/>
      <c r="J482"/>
      <c r="K482"/>
    </row>
    <row r="483" spans="1:11" hidden="1" x14ac:dyDescent="0.3">
      <c r="A483"/>
      <c r="B483"/>
      <c r="C483"/>
      <c r="D483"/>
      <c r="E483"/>
      <c r="F483"/>
      <c r="G483"/>
      <c r="H483"/>
      <c r="J483"/>
      <c r="K483"/>
    </row>
    <row r="484" spans="1:11" hidden="1" x14ac:dyDescent="0.3">
      <c r="A484"/>
      <c r="B484"/>
      <c r="C484"/>
      <c r="D484"/>
      <c r="E484"/>
      <c r="F484"/>
      <c r="G484"/>
      <c r="H484"/>
      <c r="J484"/>
      <c r="K484"/>
    </row>
    <row r="485" spans="1:11" hidden="1" x14ac:dyDescent="0.3">
      <c r="A485"/>
      <c r="B485"/>
      <c r="C485"/>
      <c r="D485"/>
      <c r="E485"/>
      <c r="F485"/>
      <c r="G485"/>
      <c r="H485"/>
      <c r="J485"/>
      <c r="K485"/>
    </row>
    <row r="486" spans="1:11" hidden="1" x14ac:dyDescent="0.3">
      <c r="A486"/>
      <c r="B486"/>
      <c r="C486"/>
      <c r="D486"/>
      <c r="E486"/>
      <c r="F486"/>
      <c r="G486"/>
      <c r="H486"/>
      <c r="J486"/>
      <c r="K486"/>
    </row>
    <row r="487" spans="1:11" hidden="1" x14ac:dyDescent="0.3">
      <c r="A487"/>
      <c r="B487"/>
      <c r="C487"/>
      <c r="D487"/>
      <c r="E487"/>
      <c r="F487"/>
      <c r="G487"/>
      <c r="H487"/>
      <c r="J487"/>
      <c r="K487"/>
    </row>
    <row r="488" spans="1:11" hidden="1" x14ac:dyDescent="0.3">
      <c r="A488"/>
      <c r="B488"/>
      <c r="C488"/>
      <c r="D488"/>
      <c r="E488"/>
      <c r="F488"/>
      <c r="G488"/>
      <c r="H488"/>
      <c r="J488"/>
      <c r="K488"/>
    </row>
    <row r="489" spans="1:11" hidden="1" x14ac:dyDescent="0.3">
      <c r="A489"/>
      <c r="B489"/>
      <c r="C489"/>
      <c r="D489"/>
      <c r="E489"/>
      <c r="F489"/>
      <c r="G489"/>
      <c r="H489"/>
      <c r="J489"/>
      <c r="K489"/>
    </row>
    <row r="490" spans="1:11" hidden="1" x14ac:dyDescent="0.3">
      <c r="A490"/>
      <c r="B490"/>
      <c r="C490"/>
      <c r="D490"/>
      <c r="E490"/>
      <c r="F490"/>
      <c r="G490"/>
      <c r="H490"/>
      <c r="J490"/>
      <c r="K490"/>
    </row>
    <row r="491" spans="1:11" hidden="1" x14ac:dyDescent="0.3">
      <c r="A491"/>
      <c r="B491"/>
      <c r="C491"/>
      <c r="D491"/>
      <c r="E491"/>
      <c r="F491"/>
      <c r="G491"/>
      <c r="H491"/>
      <c r="J491"/>
      <c r="K491"/>
    </row>
    <row r="492" spans="1:11" hidden="1" x14ac:dyDescent="0.3">
      <c r="A492"/>
      <c r="B492"/>
      <c r="C492"/>
      <c r="D492"/>
      <c r="E492"/>
      <c r="F492"/>
      <c r="G492"/>
      <c r="H492"/>
      <c r="J492"/>
      <c r="K492"/>
    </row>
    <row r="493" spans="1:11" hidden="1" x14ac:dyDescent="0.3">
      <c r="A493"/>
      <c r="B493"/>
      <c r="C493"/>
      <c r="D493"/>
      <c r="E493"/>
      <c r="F493"/>
      <c r="G493"/>
      <c r="H493"/>
      <c r="J493"/>
      <c r="K493"/>
    </row>
    <row r="494" spans="1:11" hidden="1" x14ac:dyDescent="0.3">
      <c r="A494"/>
      <c r="B494"/>
      <c r="C494"/>
      <c r="D494"/>
      <c r="E494"/>
      <c r="F494"/>
      <c r="G494"/>
      <c r="H494"/>
      <c r="J494"/>
      <c r="K494"/>
    </row>
    <row r="495" spans="1:11" hidden="1" x14ac:dyDescent="0.3">
      <c r="A495"/>
      <c r="B495"/>
      <c r="C495"/>
      <c r="D495"/>
      <c r="E495"/>
      <c r="F495"/>
      <c r="G495"/>
      <c r="H495"/>
      <c r="J495"/>
      <c r="K495"/>
    </row>
    <row r="496" spans="1:11" hidden="1" x14ac:dyDescent="0.3">
      <c r="A496"/>
      <c r="B496"/>
      <c r="C496"/>
      <c r="D496"/>
      <c r="E496"/>
      <c r="F496"/>
      <c r="G496"/>
      <c r="H496"/>
      <c r="J496"/>
      <c r="K496"/>
    </row>
    <row r="497" spans="1:11" hidden="1" x14ac:dyDescent="0.3">
      <c r="A497"/>
      <c r="B497"/>
      <c r="C497"/>
      <c r="D497"/>
      <c r="E497"/>
      <c r="F497"/>
      <c r="G497"/>
      <c r="H497"/>
      <c r="J497"/>
      <c r="K497"/>
    </row>
    <row r="498" spans="1:11" hidden="1" x14ac:dyDescent="0.3">
      <c r="A498"/>
      <c r="B498"/>
      <c r="C498"/>
      <c r="D498"/>
      <c r="E498"/>
      <c r="F498"/>
      <c r="G498"/>
      <c r="H498"/>
      <c r="J498"/>
      <c r="K498"/>
    </row>
    <row r="499" spans="1:11" hidden="1" x14ac:dyDescent="0.3">
      <c r="A499"/>
      <c r="B499"/>
      <c r="C499"/>
      <c r="D499"/>
      <c r="E499"/>
      <c r="F499"/>
      <c r="G499"/>
      <c r="H499"/>
      <c r="J499"/>
      <c r="K499"/>
    </row>
    <row r="500" spans="1:11" hidden="1" x14ac:dyDescent="0.3">
      <c r="A500"/>
      <c r="B500"/>
      <c r="C500"/>
      <c r="D500"/>
      <c r="E500"/>
      <c r="F500"/>
      <c r="G500"/>
      <c r="H500"/>
      <c r="J500"/>
      <c r="K500"/>
    </row>
    <row r="501" spans="1:11" hidden="1" x14ac:dyDescent="0.3">
      <c r="A501"/>
      <c r="B501"/>
      <c r="C501"/>
      <c r="D501"/>
      <c r="E501"/>
      <c r="F501"/>
      <c r="G501"/>
      <c r="H501"/>
      <c r="J501"/>
      <c r="K501"/>
    </row>
    <row r="502" spans="1:11" hidden="1" x14ac:dyDescent="0.3">
      <c r="A502"/>
      <c r="B502"/>
      <c r="C502"/>
      <c r="D502"/>
      <c r="E502"/>
      <c r="F502"/>
      <c r="G502"/>
      <c r="H502"/>
      <c r="J502"/>
      <c r="K502"/>
    </row>
    <row r="503" spans="1:11" hidden="1" x14ac:dyDescent="0.3">
      <c r="A503"/>
      <c r="B503"/>
      <c r="C503"/>
      <c r="D503"/>
      <c r="E503"/>
      <c r="F503"/>
      <c r="G503"/>
      <c r="H503"/>
      <c r="J503"/>
      <c r="K503"/>
    </row>
    <row r="504" spans="1:11" hidden="1" x14ac:dyDescent="0.3">
      <c r="A504"/>
      <c r="B504"/>
      <c r="C504"/>
      <c r="D504"/>
      <c r="E504"/>
      <c r="F504"/>
      <c r="G504"/>
      <c r="H504"/>
      <c r="J504"/>
      <c r="K504"/>
    </row>
    <row r="505" spans="1:11" hidden="1" x14ac:dyDescent="0.3">
      <c r="A505"/>
      <c r="B505"/>
      <c r="C505"/>
      <c r="D505"/>
      <c r="E505"/>
      <c r="F505"/>
      <c r="G505"/>
      <c r="H505"/>
      <c r="J505"/>
      <c r="K505"/>
    </row>
    <row r="506" spans="1:11" hidden="1" x14ac:dyDescent="0.3">
      <c r="A506"/>
      <c r="B506"/>
      <c r="C506"/>
      <c r="D506"/>
      <c r="E506"/>
      <c r="F506"/>
      <c r="G506"/>
      <c r="H506"/>
      <c r="J506"/>
      <c r="K506"/>
    </row>
    <row r="507" spans="1:11" hidden="1" x14ac:dyDescent="0.3">
      <c r="A507"/>
      <c r="B507"/>
      <c r="C507"/>
      <c r="D507"/>
      <c r="E507"/>
      <c r="F507"/>
      <c r="G507"/>
      <c r="H507"/>
      <c r="J507"/>
      <c r="K507"/>
    </row>
    <row r="508" spans="1:11" hidden="1" x14ac:dyDescent="0.3">
      <c r="A508"/>
      <c r="B508"/>
      <c r="C508"/>
      <c r="D508"/>
      <c r="E508"/>
      <c r="F508"/>
      <c r="G508"/>
      <c r="H508"/>
      <c r="J508"/>
      <c r="K508"/>
    </row>
    <row r="509" spans="1:11" hidden="1" x14ac:dyDescent="0.3">
      <c r="A509"/>
      <c r="B509"/>
      <c r="C509"/>
      <c r="D509"/>
      <c r="E509"/>
      <c r="F509"/>
      <c r="G509"/>
      <c r="H509"/>
      <c r="J509"/>
      <c r="K509"/>
    </row>
    <row r="510" spans="1:11" hidden="1" x14ac:dyDescent="0.3">
      <c r="A510"/>
      <c r="B510"/>
      <c r="C510"/>
      <c r="D510"/>
      <c r="E510"/>
      <c r="F510"/>
      <c r="G510"/>
      <c r="H510"/>
      <c r="J510"/>
      <c r="K510"/>
    </row>
    <row r="511" spans="1:11" hidden="1" x14ac:dyDescent="0.3">
      <c r="A511"/>
      <c r="B511"/>
      <c r="C511"/>
      <c r="D511"/>
      <c r="E511"/>
      <c r="F511"/>
      <c r="G511"/>
      <c r="H511"/>
      <c r="J511"/>
      <c r="K511"/>
    </row>
    <row r="512" spans="1:11" hidden="1" x14ac:dyDescent="0.3">
      <c r="A512"/>
      <c r="B512"/>
      <c r="C512"/>
      <c r="D512"/>
      <c r="E512"/>
      <c r="F512"/>
      <c r="G512"/>
      <c r="H512"/>
      <c r="J512"/>
      <c r="K512"/>
    </row>
    <row r="513" spans="1:11" hidden="1" x14ac:dyDescent="0.3">
      <c r="A513"/>
      <c r="B513"/>
      <c r="C513"/>
      <c r="D513"/>
      <c r="E513"/>
      <c r="F513"/>
      <c r="G513"/>
      <c r="H513"/>
      <c r="J513"/>
      <c r="K513"/>
    </row>
    <row r="514" spans="1:11" hidden="1" x14ac:dyDescent="0.3">
      <c r="A514"/>
      <c r="B514"/>
      <c r="C514"/>
      <c r="D514"/>
      <c r="E514"/>
      <c r="F514"/>
      <c r="G514"/>
      <c r="H514"/>
      <c r="J514"/>
      <c r="K514"/>
    </row>
    <row r="515" spans="1:11" hidden="1" x14ac:dyDescent="0.3">
      <c r="A515"/>
      <c r="B515"/>
      <c r="C515"/>
      <c r="D515"/>
      <c r="E515"/>
      <c r="F515"/>
      <c r="G515"/>
      <c r="H515"/>
      <c r="J515"/>
      <c r="K515"/>
    </row>
    <row r="516" spans="1:11" hidden="1" x14ac:dyDescent="0.3">
      <c r="A516"/>
      <c r="B516"/>
      <c r="C516"/>
      <c r="D516"/>
      <c r="E516"/>
      <c r="F516"/>
      <c r="G516"/>
      <c r="H516"/>
      <c r="J516"/>
      <c r="K516"/>
    </row>
    <row r="517" spans="1:11" hidden="1" x14ac:dyDescent="0.3">
      <c r="A517"/>
      <c r="B517"/>
      <c r="C517"/>
      <c r="D517"/>
      <c r="E517"/>
      <c r="F517"/>
      <c r="G517"/>
      <c r="H517"/>
      <c r="J517"/>
      <c r="K517"/>
    </row>
    <row r="518" spans="1:11" hidden="1" x14ac:dyDescent="0.3">
      <c r="A518"/>
      <c r="B518"/>
      <c r="C518"/>
      <c r="D518"/>
      <c r="E518"/>
      <c r="F518"/>
      <c r="G518"/>
      <c r="H518"/>
      <c r="J518"/>
      <c r="K518"/>
    </row>
    <row r="519" spans="1:11" hidden="1" x14ac:dyDescent="0.3">
      <c r="A519"/>
      <c r="B519"/>
      <c r="C519"/>
      <c r="D519"/>
      <c r="E519"/>
      <c r="F519"/>
      <c r="G519"/>
      <c r="H519"/>
      <c r="J519"/>
      <c r="K519"/>
    </row>
    <row r="520" spans="1:11" hidden="1" x14ac:dyDescent="0.3">
      <c r="A520"/>
      <c r="B520"/>
      <c r="C520"/>
      <c r="D520"/>
      <c r="E520"/>
      <c r="F520"/>
      <c r="G520"/>
      <c r="H520"/>
      <c r="J520"/>
      <c r="K520"/>
    </row>
    <row r="521" spans="1:11" hidden="1" x14ac:dyDescent="0.3">
      <c r="A521"/>
      <c r="B521"/>
      <c r="C521"/>
      <c r="D521"/>
      <c r="E521"/>
      <c r="F521"/>
      <c r="G521"/>
      <c r="H521"/>
      <c r="J521"/>
      <c r="K521"/>
    </row>
    <row r="522" spans="1:11" hidden="1" x14ac:dyDescent="0.3">
      <c r="A522"/>
      <c r="B522"/>
      <c r="C522"/>
      <c r="D522"/>
      <c r="E522"/>
      <c r="F522"/>
      <c r="G522"/>
      <c r="H522"/>
      <c r="J522"/>
      <c r="K522"/>
    </row>
    <row r="523" spans="1:11" hidden="1" x14ac:dyDescent="0.3">
      <c r="A523"/>
      <c r="B523"/>
      <c r="C523"/>
      <c r="D523"/>
      <c r="E523"/>
      <c r="F523"/>
      <c r="G523"/>
      <c r="H523"/>
      <c r="J523"/>
      <c r="K523"/>
    </row>
    <row r="524" spans="1:11" hidden="1" x14ac:dyDescent="0.3">
      <c r="A524"/>
      <c r="B524"/>
      <c r="C524"/>
      <c r="D524"/>
      <c r="E524"/>
      <c r="F524"/>
      <c r="G524"/>
      <c r="H524"/>
      <c r="J524"/>
      <c r="K524"/>
    </row>
    <row r="525" spans="1:11" hidden="1" x14ac:dyDescent="0.3">
      <c r="A525"/>
      <c r="B525"/>
      <c r="C525"/>
      <c r="D525"/>
      <c r="E525"/>
      <c r="F525"/>
      <c r="G525"/>
      <c r="H525"/>
      <c r="J525"/>
      <c r="K525"/>
    </row>
    <row r="526" spans="1:11" hidden="1" x14ac:dyDescent="0.3">
      <c r="A526"/>
      <c r="B526"/>
      <c r="C526"/>
      <c r="D526"/>
      <c r="E526"/>
      <c r="F526"/>
      <c r="G526"/>
      <c r="H526"/>
      <c r="J526"/>
      <c r="K526"/>
    </row>
    <row r="527" spans="1:11" hidden="1" x14ac:dyDescent="0.3">
      <c r="A527"/>
      <c r="B527"/>
      <c r="C527"/>
      <c r="D527"/>
      <c r="E527"/>
      <c r="F527"/>
      <c r="G527"/>
      <c r="H527"/>
      <c r="J527"/>
      <c r="K527"/>
    </row>
    <row r="528" spans="1:11" hidden="1" x14ac:dyDescent="0.3">
      <c r="A528"/>
      <c r="B528"/>
      <c r="C528"/>
      <c r="D528"/>
      <c r="E528"/>
      <c r="F528"/>
      <c r="G528"/>
      <c r="H528"/>
      <c r="J528"/>
      <c r="K528"/>
    </row>
    <row r="529" spans="1:11" hidden="1" x14ac:dyDescent="0.3">
      <c r="A529"/>
      <c r="B529"/>
      <c r="C529"/>
      <c r="D529"/>
      <c r="E529"/>
      <c r="F529"/>
      <c r="G529"/>
      <c r="H529"/>
      <c r="J529"/>
      <c r="K529"/>
    </row>
    <row r="530" spans="1:11" hidden="1" x14ac:dyDescent="0.3">
      <c r="A530"/>
      <c r="B530"/>
      <c r="C530"/>
      <c r="D530"/>
      <c r="E530"/>
      <c r="F530"/>
      <c r="G530"/>
      <c r="H530"/>
      <c r="J530"/>
      <c r="K530"/>
    </row>
    <row r="531" spans="1:11" hidden="1" x14ac:dyDescent="0.3">
      <c r="A531"/>
      <c r="B531"/>
      <c r="C531"/>
      <c r="D531"/>
      <c r="E531"/>
      <c r="F531"/>
      <c r="G531"/>
      <c r="H531"/>
      <c r="J531"/>
      <c r="K531"/>
    </row>
    <row r="532" spans="1:11" hidden="1" x14ac:dyDescent="0.3">
      <c r="A532"/>
      <c r="B532"/>
      <c r="C532"/>
      <c r="D532"/>
      <c r="E532"/>
      <c r="F532"/>
      <c r="G532"/>
      <c r="H532"/>
      <c r="J532"/>
      <c r="K532"/>
    </row>
    <row r="533" spans="1:11" hidden="1" x14ac:dyDescent="0.3">
      <c r="A533"/>
      <c r="B533"/>
      <c r="C533"/>
      <c r="D533"/>
      <c r="E533"/>
      <c r="F533"/>
      <c r="G533"/>
      <c r="H533"/>
      <c r="J533"/>
      <c r="K533"/>
    </row>
    <row r="534" spans="1:11" hidden="1" x14ac:dyDescent="0.3">
      <c r="A534"/>
      <c r="B534"/>
      <c r="C534"/>
      <c r="D534"/>
      <c r="E534"/>
      <c r="F534"/>
      <c r="G534"/>
      <c r="H534"/>
      <c r="J534"/>
      <c r="K534"/>
    </row>
    <row r="535" spans="1:11" hidden="1" x14ac:dyDescent="0.3">
      <c r="A535"/>
      <c r="B535"/>
      <c r="C535"/>
      <c r="D535"/>
      <c r="E535"/>
      <c r="F535"/>
      <c r="G535"/>
      <c r="H535"/>
      <c r="J535"/>
      <c r="K535"/>
    </row>
    <row r="536" spans="1:11" hidden="1" x14ac:dyDescent="0.3">
      <c r="A536"/>
      <c r="B536"/>
      <c r="C536"/>
      <c r="D536"/>
      <c r="E536"/>
      <c r="F536"/>
      <c r="G536"/>
      <c r="H536"/>
      <c r="J536"/>
      <c r="K536"/>
    </row>
    <row r="537" spans="1:11" hidden="1" x14ac:dyDescent="0.3">
      <c r="A537"/>
      <c r="B537"/>
      <c r="C537"/>
      <c r="D537"/>
      <c r="E537"/>
      <c r="F537"/>
      <c r="G537"/>
      <c r="H537"/>
      <c r="J537"/>
      <c r="K537"/>
    </row>
    <row r="538" spans="1:11" hidden="1" x14ac:dyDescent="0.3">
      <c r="A538"/>
      <c r="B538"/>
      <c r="C538"/>
      <c r="D538"/>
      <c r="E538"/>
      <c r="F538"/>
      <c r="G538"/>
      <c r="H538"/>
      <c r="J538"/>
      <c r="K538"/>
    </row>
    <row r="539" spans="1:11" hidden="1" x14ac:dyDescent="0.3">
      <c r="A539"/>
      <c r="B539"/>
      <c r="C539"/>
      <c r="D539"/>
      <c r="E539"/>
      <c r="F539"/>
      <c r="G539"/>
      <c r="H539"/>
      <c r="J539"/>
      <c r="K539"/>
    </row>
    <row r="540" spans="1:11" hidden="1" x14ac:dyDescent="0.3">
      <c r="A540"/>
      <c r="B540"/>
      <c r="C540"/>
      <c r="D540"/>
      <c r="E540"/>
      <c r="F540"/>
      <c r="G540"/>
      <c r="H540"/>
      <c r="J540"/>
      <c r="K540"/>
    </row>
    <row r="541" spans="1:11" hidden="1" x14ac:dyDescent="0.3">
      <c r="A541"/>
      <c r="B541"/>
      <c r="C541"/>
      <c r="D541"/>
      <c r="E541"/>
      <c r="F541"/>
      <c r="G541"/>
      <c r="H541"/>
      <c r="J541"/>
      <c r="K541"/>
    </row>
    <row r="542" spans="1:11" hidden="1" x14ac:dyDescent="0.3">
      <c r="A542"/>
      <c r="B542"/>
      <c r="C542"/>
      <c r="D542"/>
      <c r="E542"/>
      <c r="F542"/>
      <c r="G542"/>
      <c r="H542"/>
      <c r="J542"/>
      <c r="K542"/>
    </row>
    <row r="543" spans="1:11" hidden="1" x14ac:dyDescent="0.3">
      <c r="A543"/>
      <c r="B543"/>
      <c r="C543"/>
      <c r="D543"/>
      <c r="E543"/>
      <c r="F543"/>
      <c r="G543"/>
      <c r="H543"/>
      <c r="J543"/>
      <c r="K543"/>
    </row>
    <row r="544" spans="1:11" hidden="1" x14ac:dyDescent="0.3">
      <c r="A544"/>
      <c r="B544"/>
      <c r="C544"/>
      <c r="D544"/>
      <c r="E544"/>
      <c r="F544"/>
      <c r="G544"/>
      <c r="H544"/>
      <c r="J544"/>
      <c r="K544"/>
    </row>
    <row r="545" spans="1:11" hidden="1" x14ac:dyDescent="0.3">
      <c r="A545"/>
      <c r="B545"/>
      <c r="C545"/>
      <c r="D545"/>
      <c r="E545"/>
      <c r="F545"/>
      <c r="G545"/>
      <c r="H545"/>
      <c r="J545"/>
      <c r="K545"/>
    </row>
    <row r="546" spans="1:11" hidden="1" x14ac:dyDescent="0.3">
      <c r="A546"/>
      <c r="B546"/>
      <c r="C546"/>
      <c r="D546"/>
      <c r="E546"/>
      <c r="F546"/>
      <c r="G546"/>
      <c r="H546"/>
      <c r="J546"/>
      <c r="K546"/>
    </row>
    <row r="547" spans="1:11" hidden="1" x14ac:dyDescent="0.3">
      <c r="A547"/>
      <c r="B547"/>
      <c r="C547"/>
      <c r="D547"/>
      <c r="E547"/>
      <c r="F547"/>
      <c r="G547"/>
      <c r="H547"/>
      <c r="J547"/>
      <c r="K547"/>
    </row>
    <row r="548" spans="1:11" hidden="1" x14ac:dyDescent="0.3">
      <c r="A548"/>
      <c r="B548"/>
      <c r="C548"/>
      <c r="D548"/>
      <c r="E548"/>
      <c r="F548"/>
      <c r="G548"/>
      <c r="H548"/>
      <c r="J548"/>
      <c r="K548"/>
    </row>
    <row r="549" spans="1:11" hidden="1" x14ac:dyDescent="0.3">
      <c r="A549"/>
      <c r="B549"/>
      <c r="C549"/>
      <c r="D549"/>
      <c r="E549"/>
      <c r="F549"/>
      <c r="G549"/>
      <c r="H549"/>
      <c r="J549"/>
      <c r="K549"/>
    </row>
    <row r="550" spans="1:11" hidden="1" x14ac:dyDescent="0.3">
      <c r="A550"/>
      <c r="B550"/>
      <c r="C550"/>
      <c r="D550"/>
      <c r="E550"/>
      <c r="F550"/>
      <c r="G550"/>
      <c r="H550"/>
      <c r="J550"/>
      <c r="K550"/>
    </row>
    <row r="551" spans="1:11" hidden="1" x14ac:dyDescent="0.3">
      <c r="A551"/>
      <c r="B551"/>
      <c r="C551"/>
      <c r="D551"/>
      <c r="E551"/>
      <c r="F551"/>
      <c r="G551"/>
      <c r="H551"/>
      <c r="J551"/>
      <c r="K551"/>
    </row>
    <row r="552" spans="1:11" hidden="1" x14ac:dyDescent="0.3">
      <c r="A552"/>
      <c r="B552"/>
      <c r="C552"/>
      <c r="D552"/>
      <c r="E552"/>
      <c r="F552"/>
      <c r="G552"/>
      <c r="H552"/>
      <c r="J552"/>
      <c r="K552"/>
    </row>
    <row r="553" spans="1:11" hidden="1" x14ac:dyDescent="0.3">
      <c r="A553"/>
      <c r="B553"/>
      <c r="C553"/>
      <c r="D553"/>
      <c r="E553"/>
      <c r="F553"/>
      <c r="G553"/>
      <c r="H553"/>
      <c r="J553"/>
      <c r="K553"/>
    </row>
    <row r="554" spans="1:11" hidden="1" x14ac:dyDescent="0.3">
      <c r="A554"/>
      <c r="B554"/>
      <c r="C554"/>
      <c r="D554"/>
      <c r="E554"/>
      <c r="F554"/>
      <c r="G554"/>
      <c r="H554"/>
      <c r="J554"/>
      <c r="K554"/>
    </row>
    <row r="555" spans="1:11" hidden="1" x14ac:dyDescent="0.3">
      <c r="A555"/>
      <c r="B555"/>
      <c r="C555"/>
      <c r="D555"/>
      <c r="E555"/>
      <c r="F555"/>
      <c r="G555"/>
      <c r="H555"/>
      <c r="J555"/>
      <c r="K555"/>
    </row>
    <row r="556" spans="1:11" hidden="1" x14ac:dyDescent="0.3">
      <c r="A556"/>
      <c r="B556"/>
      <c r="C556"/>
      <c r="D556"/>
      <c r="E556"/>
      <c r="F556"/>
      <c r="G556"/>
      <c r="H556"/>
      <c r="J556"/>
      <c r="K556"/>
    </row>
    <row r="557" spans="1:11" hidden="1" x14ac:dyDescent="0.3">
      <c r="A557"/>
      <c r="B557"/>
      <c r="C557"/>
      <c r="D557"/>
      <c r="E557"/>
      <c r="F557"/>
      <c r="G557"/>
      <c r="H557"/>
      <c r="J557"/>
      <c r="K557"/>
    </row>
    <row r="558" spans="1:11" hidden="1" x14ac:dyDescent="0.3">
      <c r="A558"/>
      <c r="B558"/>
      <c r="C558"/>
      <c r="D558"/>
      <c r="E558"/>
      <c r="F558"/>
      <c r="G558"/>
      <c r="H558"/>
      <c r="J558"/>
      <c r="K558"/>
    </row>
    <row r="559" spans="1:11" hidden="1" x14ac:dyDescent="0.3">
      <c r="A559"/>
      <c r="B559"/>
      <c r="C559"/>
      <c r="D559"/>
      <c r="E559"/>
      <c r="F559"/>
      <c r="G559"/>
      <c r="H559"/>
      <c r="J559"/>
      <c r="K559"/>
    </row>
    <row r="560" spans="1:11" hidden="1" x14ac:dyDescent="0.3">
      <c r="A560"/>
      <c r="B560"/>
      <c r="C560"/>
      <c r="D560"/>
      <c r="E560"/>
      <c r="F560"/>
      <c r="G560"/>
      <c r="H560"/>
      <c r="J560"/>
      <c r="K560"/>
    </row>
    <row r="561" spans="1:11" hidden="1" x14ac:dyDescent="0.3">
      <c r="A561"/>
      <c r="B561"/>
      <c r="C561"/>
      <c r="D561"/>
      <c r="E561"/>
      <c r="F561"/>
      <c r="G561"/>
      <c r="H561"/>
      <c r="J561"/>
      <c r="K561"/>
    </row>
    <row r="562" spans="1:11" hidden="1" x14ac:dyDescent="0.3">
      <c r="A562"/>
      <c r="B562"/>
      <c r="C562"/>
      <c r="D562"/>
      <c r="E562"/>
      <c r="F562"/>
      <c r="G562"/>
      <c r="H562"/>
      <c r="J562"/>
      <c r="K562"/>
    </row>
    <row r="563" spans="1:11" hidden="1" x14ac:dyDescent="0.3">
      <c r="A563"/>
      <c r="B563"/>
      <c r="C563"/>
      <c r="D563"/>
      <c r="E563"/>
      <c r="F563"/>
      <c r="G563"/>
      <c r="H563"/>
      <c r="J563"/>
      <c r="K563"/>
    </row>
    <row r="564" spans="1:11" hidden="1" x14ac:dyDescent="0.3">
      <c r="A564"/>
      <c r="B564"/>
      <c r="C564"/>
      <c r="D564"/>
      <c r="E564"/>
      <c r="F564"/>
      <c r="G564"/>
      <c r="H564"/>
      <c r="J564"/>
      <c r="K564"/>
    </row>
    <row r="565" spans="1:11" hidden="1" x14ac:dyDescent="0.3">
      <c r="A565"/>
      <c r="B565"/>
      <c r="C565"/>
      <c r="D565"/>
      <c r="E565"/>
      <c r="F565"/>
      <c r="G565"/>
      <c r="H565"/>
      <c r="J565"/>
      <c r="K565"/>
    </row>
    <row r="566" spans="1:11" hidden="1" x14ac:dyDescent="0.3">
      <c r="A566"/>
      <c r="B566"/>
      <c r="C566"/>
      <c r="D566"/>
      <c r="E566"/>
      <c r="F566"/>
      <c r="G566"/>
      <c r="H566"/>
      <c r="J566"/>
      <c r="K566"/>
    </row>
    <row r="567" spans="1:11" hidden="1" x14ac:dyDescent="0.3">
      <c r="A567"/>
      <c r="B567"/>
      <c r="C567"/>
      <c r="D567"/>
      <c r="E567"/>
      <c r="F567"/>
      <c r="G567"/>
      <c r="H567"/>
      <c r="J567"/>
      <c r="K567"/>
    </row>
    <row r="568" spans="1:11" hidden="1" x14ac:dyDescent="0.3">
      <c r="A568"/>
      <c r="B568"/>
      <c r="C568"/>
      <c r="D568"/>
      <c r="E568"/>
      <c r="F568"/>
      <c r="G568"/>
      <c r="H568"/>
      <c r="J568"/>
      <c r="K568"/>
    </row>
    <row r="569" spans="1:11" hidden="1" x14ac:dyDescent="0.3">
      <c r="A569"/>
      <c r="B569"/>
      <c r="C569"/>
      <c r="D569"/>
      <c r="E569"/>
      <c r="F569"/>
      <c r="G569"/>
      <c r="H569"/>
      <c r="J569"/>
      <c r="K569"/>
    </row>
    <row r="570" spans="1:11" hidden="1" x14ac:dyDescent="0.3">
      <c r="A570"/>
      <c r="B570"/>
      <c r="C570"/>
      <c r="D570"/>
      <c r="E570"/>
      <c r="F570"/>
      <c r="G570"/>
      <c r="H570"/>
      <c r="J570"/>
      <c r="K570"/>
    </row>
    <row r="571" spans="1:11" hidden="1" x14ac:dyDescent="0.3">
      <c r="A571"/>
      <c r="B571"/>
      <c r="C571"/>
      <c r="D571"/>
      <c r="E571"/>
      <c r="F571"/>
      <c r="G571"/>
      <c r="H571"/>
      <c r="J571"/>
      <c r="K571"/>
    </row>
    <row r="572" spans="1:11" hidden="1" x14ac:dyDescent="0.3">
      <c r="A572"/>
      <c r="B572"/>
      <c r="C572"/>
      <c r="D572"/>
      <c r="E572"/>
      <c r="F572"/>
      <c r="G572"/>
      <c r="H572"/>
      <c r="J572"/>
      <c r="K572"/>
    </row>
    <row r="573" spans="1:11" hidden="1" x14ac:dyDescent="0.3">
      <c r="A573"/>
      <c r="B573"/>
      <c r="C573"/>
      <c r="D573"/>
      <c r="E573"/>
      <c r="F573"/>
      <c r="G573"/>
      <c r="H573"/>
      <c r="J573"/>
      <c r="K573"/>
    </row>
    <row r="574" spans="1:11" hidden="1" x14ac:dyDescent="0.3">
      <c r="A574"/>
      <c r="B574"/>
      <c r="C574"/>
      <c r="D574"/>
      <c r="E574"/>
      <c r="F574"/>
      <c r="G574"/>
      <c r="H574"/>
      <c r="J574"/>
      <c r="K574"/>
    </row>
    <row r="575" spans="1:11" hidden="1" x14ac:dyDescent="0.3">
      <c r="A575"/>
      <c r="B575"/>
      <c r="C575"/>
      <c r="D575"/>
      <c r="E575"/>
      <c r="F575"/>
      <c r="G575"/>
      <c r="H575"/>
      <c r="J575"/>
      <c r="K575"/>
    </row>
    <row r="576" spans="1:11" hidden="1" x14ac:dyDescent="0.3">
      <c r="A576"/>
      <c r="B576"/>
      <c r="C576"/>
      <c r="D576"/>
      <c r="E576"/>
      <c r="F576"/>
      <c r="G576"/>
      <c r="H576"/>
      <c r="J576"/>
      <c r="K576"/>
    </row>
    <row r="577" spans="1:11" hidden="1" x14ac:dyDescent="0.3">
      <c r="A577"/>
      <c r="B577"/>
      <c r="C577"/>
      <c r="D577"/>
      <c r="E577"/>
      <c r="F577"/>
      <c r="G577"/>
      <c r="H577"/>
      <c r="J577"/>
      <c r="K577"/>
    </row>
    <row r="578" spans="1:11" hidden="1" x14ac:dyDescent="0.3">
      <c r="A578"/>
      <c r="B578"/>
      <c r="C578"/>
      <c r="D578"/>
      <c r="E578"/>
      <c r="F578"/>
      <c r="G578"/>
      <c r="H578"/>
      <c r="J578"/>
      <c r="K578"/>
    </row>
    <row r="579" spans="1:11" hidden="1" x14ac:dyDescent="0.3">
      <c r="A579"/>
      <c r="B579"/>
      <c r="C579"/>
      <c r="D579"/>
      <c r="E579"/>
      <c r="F579"/>
      <c r="G579"/>
      <c r="H579"/>
      <c r="J579"/>
      <c r="K579"/>
    </row>
    <row r="580" spans="1:11" hidden="1" x14ac:dyDescent="0.3">
      <c r="A580"/>
      <c r="B580"/>
      <c r="C580"/>
      <c r="D580"/>
      <c r="E580"/>
      <c r="F580"/>
      <c r="G580"/>
      <c r="H580"/>
      <c r="J580"/>
      <c r="K580"/>
    </row>
    <row r="581" spans="1:11" hidden="1" x14ac:dyDescent="0.3">
      <c r="A581"/>
      <c r="B581"/>
      <c r="C581"/>
      <c r="D581"/>
      <c r="E581"/>
      <c r="F581"/>
      <c r="G581"/>
      <c r="H581"/>
      <c r="J581"/>
      <c r="K581"/>
    </row>
    <row r="582" spans="1:11" hidden="1" x14ac:dyDescent="0.3">
      <c r="A582"/>
      <c r="B582"/>
      <c r="C582"/>
      <c r="D582"/>
      <c r="E582"/>
      <c r="F582"/>
      <c r="G582"/>
      <c r="H582"/>
      <c r="J582"/>
      <c r="K582"/>
    </row>
    <row r="583" spans="1:11" hidden="1" x14ac:dyDescent="0.3">
      <c r="A583"/>
      <c r="B583"/>
      <c r="C583"/>
      <c r="D583"/>
      <c r="E583"/>
      <c r="F583"/>
      <c r="G583"/>
      <c r="H583"/>
      <c r="J583"/>
      <c r="K583"/>
    </row>
    <row r="584" spans="1:11" hidden="1" x14ac:dyDescent="0.3">
      <c r="A584"/>
      <c r="B584"/>
      <c r="C584"/>
      <c r="D584"/>
      <c r="E584"/>
      <c r="F584"/>
      <c r="G584"/>
      <c r="H584"/>
      <c r="J584"/>
      <c r="K584"/>
    </row>
    <row r="585" spans="1:11" hidden="1" x14ac:dyDescent="0.3">
      <c r="A585"/>
      <c r="B585"/>
      <c r="C585"/>
      <c r="D585"/>
      <c r="E585"/>
      <c r="F585"/>
      <c r="G585"/>
      <c r="H585"/>
      <c r="J585"/>
      <c r="K585"/>
    </row>
    <row r="586" spans="1:11" hidden="1" x14ac:dyDescent="0.3">
      <c r="A586"/>
      <c r="B586"/>
      <c r="C586"/>
      <c r="D586"/>
      <c r="E586"/>
      <c r="F586"/>
      <c r="G586"/>
      <c r="H586"/>
      <c r="J586"/>
      <c r="K586"/>
    </row>
    <row r="587" spans="1:11" hidden="1" x14ac:dyDescent="0.3">
      <c r="A587"/>
      <c r="B587"/>
      <c r="C587"/>
      <c r="D587"/>
      <c r="E587"/>
      <c r="F587"/>
      <c r="G587"/>
      <c r="H587"/>
      <c r="J587"/>
      <c r="K587"/>
    </row>
    <row r="588" spans="1:11" hidden="1" x14ac:dyDescent="0.3">
      <c r="A588"/>
      <c r="B588"/>
      <c r="C588"/>
      <c r="D588"/>
      <c r="E588"/>
      <c r="F588"/>
      <c r="G588"/>
      <c r="H588"/>
      <c r="J588"/>
      <c r="K588"/>
    </row>
    <row r="589" spans="1:11" hidden="1" x14ac:dyDescent="0.3">
      <c r="A589"/>
      <c r="B589"/>
      <c r="C589"/>
      <c r="D589"/>
      <c r="E589"/>
      <c r="F589"/>
      <c r="G589"/>
      <c r="H589"/>
      <c r="J589"/>
      <c r="K589"/>
    </row>
    <row r="590" spans="1:11" hidden="1" x14ac:dyDescent="0.3">
      <c r="A590"/>
      <c r="B590"/>
      <c r="C590"/>
      <c r="D590"/>
      <c r="E590"/>
      <c r="F590"/>
      <c r="G590"/>
      <c r="H590"/>
      <c r="J590"/>
      <c r="K590"/>
    </row>
    <row r="591" spans="1:11" hidden="1" x14ac:dyDescent="0.3">
      <c r="A591"/>
      <c r="B591"/>
      <c r="C591"/>
      <c r="D591"/>
      <c r="E591"/>
      <c r="F591"/>
      <c r="G591"/>
      <c r="H591"/>
      <c r="J591"/>
      <c r="K591"/>
    </row>
    <row r="592" spans="1:11" hidden="1" x14ac:dyDescent="0.3">
      <c r="A592"/>
      <c r="B592"/>
      <c r="C592"/>
      <c r="D592"/>
      <c r="E592"/>
      <c r="F592"/>
      <c r="G592"/>
      <c r="H592"/>
      <c r="J592"/>
      <c r="K592"/>
    </row>
    <row r="593" spans="1:11" hidden="1" x14ac:dyDescent="0.3">
      <c r="A593"/>
      <c r="B593"/>
      <c r="C593"/>
      <c r="D593"/>
      <c r="E593"/>
      <c r="F593"/>
      <c r="G593"/>
      <c r="H593"/>
      <c r="J593"/>
      <c r="K593"/>
    </row>
    <row r="594" spans="1:11" hidden="1" x14ac:dyDescent="0.3">
      <c r="A594"/>
      <c r="B594"/>
      <c r="C594"/>
      <c r="D594"/>
      <c r="E594"/>
      <c r="F594"/>
      <c r="G594"/>
      <c r="H594"/>
      <c r="J594"/>
      <c r="K594"/>
    </row>
    <row r="595" spans="1:11" hidden="1" x14ac:dyDescent="0.3">
      <c r="A595"/>
      <c r="B595"/>
      <c r="C595"/>
      <c r="D595"/>
      <c r="E595"/>
      <c r="F595"/>
      <c r="G595"/>
      <c r="H595"/>
      <c r="J595"/>
      <c r="K595"/>
    </row>
    <row r="596" spans="1:11" hidden="1" x14ac:dyDescent="0.3">
      <c r="A596"/>
      <c r="B596"/>
      <c r="C596"/>
      <c r="D596"/>
      <c r="E596"/>
      <c r="F596"/>
      <c r="G596"/>
      <c r="H596"/>
      <c r="J596"/>
      <c r="K596"/>
    </row>
    <row r="597" spans="1:11" hidden="1" x14ac:dyDescent="0.3">
      <c r="A597"/>
      <c r="B597"/>
      <c r="C597"/>
      <c r="D597"/>
      <c r="E597"/>
      <c r="F597"/>
      <c r="G597"/>
      <c r="H597"/>
      <c r="J597"/>
      <c r="K597"/>
    </row>
    <row r="598" spans="1:11" hidden="1" x14ac:dyDescent="0.3">
      <c r="A598"/>
      <c r="B598"/>
      <c r="C598"/>
      <c r="D598"/>
      <c r="E598"/>
      <c r="F598"/>
      <c r="G598"/>
      <c r="H598"/>
      <c r="J598"/>
      <c r="K598"/>
    </row>
    <row r="599" spans="1:11" hidden="1" x14ac:dyDescent="0.3">
      <c r="A599"/>
      <c r="B599"/>
      <c r="C599"/>
      <c r="D599"/>
      <c r="E599"/>
      <c r="F599"/>
      <c r="G599"/>
      <c r="H599"/>
      <c r="J599"/>
      <c r="K599"/>
    </row>
    <row r="600" spans="1:11" hidden="1" x14ac:dyDescent="0.3">
      <c r="A600"/>
      <c r="B600"/>
      <c r="C600"/>
      <c r="D600"/>
      <c r="E600"/>
      <c r="F600"/>
      <c r="G600"/>
      <c r="H600"/>
      <c r="J600"/>
      <c r="K600"/>
    </row>
    <row r="601" spans="1:11" hidden="1" x14ac:dyDescent="0.3">
      <c r="A601"/>
      <c r="B601"/>
      <c r="C601"/>
      <c r="D601"/>
      <c r="E601"/>
      <c r="F601"/>
      <c r="G601"/>
      <c r="H601"/>
      <c r="J601"/>
      <c r="K601"/>
    </row>
    <row r="602" spans="1:11" hidden="1" x14ac:dyDescent="0.3">
      <c r="A602"/>
      <c r="B602"/>
      <c r="C602"/>
      <c r="D602"/>
      <c r="E602"/>
      <c r="F602"/>
      <c r="G602"/>
      <c r="H602"/>
      <c r="J602"/>
      <c r="K602"/>
    </row>
    <row r="603" spans="1:11" hidden="1" x14ac:dyDescent="0.3">
      <c r="A603"/>
      <c r="B603"/>
      <c r="C603"/>
      <c r="D603"/>
      <c r="E603"/>
      <c r="F603"/>
      <c r="G603"/>
      <c r="H603"/>
      <c r="J603"/>
      <c r="K603"/>
    </row>
    <row r="604" spans="1:11" hidden="1" x14ac:dyDescent="0.3">
      <c r="A604"/>
      <c r="B604"/>
      <c r="C604"/>
      <c r="D604"/>
      <c r="E604"/>
      <c r="F604"/>
      <c r="G604"/>
      <c r="H604"/>
      <c r="J604"/>
      <c r="K604"/>
    </row>
    <row r="605" spans="1:11" hidden="1" x14ac:dyDescent="0.3">
      <c r="A605"/>
      <c r="B605"/>
      <c r="C605"/>
      <c r="D605"/>
      <c r="E605"/>
      <c r="F605"/>
      <c r="G605"/>
      <c r="H605"/>
      <c r="J605"/>
      <c r="K605"/>
    </row>
    <row r="606" spans="1:11" hidden="1" x14ac:dyDescent="0.3">
      <c r="A606"/>
      <c r="B606"/>
      <c r="C606"/>
      <c r="D606"/>
      <c r="E606"/>
      <c r="F606"/>
      <c r="G606"/>
      <c r="H606"/>
      <c r="J606"/>
      <c r="K606"/>
    </row>
    <row r="607" spans="1:11" hidden="1" x14ac:dyDescent="0.3">
      <c r="A607"/>
      <c r="B607"/>
      <c r="C607"/>
      <c r="D607"/>
      <c r="E607"/>
      <c r="F607"/>
      <c r="G607"/>
      <c r="H607"/>
      <c r="J607"/>
      <c r="K607"/>
    </row>
    <row r="608" spans="1:11" hidden="1" x14ac:dyDescent="0.3">
      <c r="A608"/>
      <c r="B608"/>
      <c r="C608"/>
      <c r="D608"/>
      <c r="E608"/>
      <c r="F608"/>
      <c r="G608"/>
      <c r="H608"/>
      <c r="J608"/>
      <c r="K608"/>
    </row>
    <row r="609" spans="1:11" hidden="1" x14ac:dyDescent="0.3">
      <c r="A609"/>
      <c r="B609"/>
      <c r="C609"/>
      <c r="D609"/>
      <c r="E609"/>
      <c r="F609"/>
      <c r="G609"/>
      <c r="H609"/>
      <c r="J609"/>
      <c r="K609"/>
    </row>
    <row r="610" spans="1:11" hidden="1" x14ac:dyDescent="0.3">
      <c r="A610"/>
      <c r="B610"/>
      <c r="C610"/>
      <c r="D610"/>
      <c r="E610"/>
      <c r="F610"/>
      <c r="G610"/>
      <c r="H610"/>
      <c r="J610"/>
      <c r="K610"/>
    </row>
    <row r="611" spans="1:11" hidden="1" x14ac:dyDescent="0.3">
      <c r="A611"/>
      <c r="B611"/>
      <c r="C611"/>
      <c r="D611"/>
      <c r="E611"/>
      <c r="F611"/>
      <c r="G611"/>
      <c r="H611"/>
      <c r="J611"/>
      <c r="K611"/>
    </row>
    <row r="612" spans="1:11" hidden="1" x14ac:dyDescent="0.3">
      <c r="A612"/>
      <c r="B612"/>
      <c r="C612"/>
      <c r="D612"/>
      <c r="E612"/>
      <c r="F612"/>
      <c r="G612"/>
      <c r="H612"/>
      <c r="J612"/>
      <c r="K612"/>
    </row>
    <row r="613" spans="1:11" hidden="1" x14ac:dyDescent="0.3">
      <c r="A613"/>
      <c r="B613"/>
      <c r="C613"/>
      <c r="D613"/>
      <c r="E613"/>
      <c r="F613"/>
      <c r="G613"/>
      <c r="H613"/>
      <c r="J613"/>
      <c r="K613"/>
    </row>
    <row r="614" spans="1:11" hidden="1" x14ac:dyDescent="0.3">
      <c r="A614"/>
      <c r="B614"/>
      <c r="C614"/>
      <c r="D614"/>
      <c r="E614"/>
      <c r="F614"/>
      <c r="G614"/>
      <c r="H614"/>
      <c r="J614"/>
      <c r="K614"/>
    </row>
    <row r="615" spans="1:11" hidden="1" x14ac:dyDescent="0.3">
      <c r="A615"/>
      <c r="B615"/>
      <c r="C615"/>
      <c r="D615"/>
      <c r="E615"/>
      <c r="F615"/>
      <c r="G615"/>
      <c r="H615"/>
      <c r="J615"/>
      <c r="K615"/>
    </row>
    <row r="616" spans="1:11" hidden="1" x14ac:dyDescent="0.3">
      <c r="A616"/>
      <c r="B616"/>
      <c r="C616"/>
      <c r="D616"/>
      <c r="E616"/>
      <c r="F616"/>
      <c r="G616"/>
      <c r="H616"/>
      <c r="J616"/>
      <c r="K616"/>
    </row>
    <row r="617" spans="1:11" hidden="1" x14ac:dyDescent="0.3">
      <c r="A617"/>
      <c r="B617"/>
      <c r="C617"/>
      <c r="D617"/>
      <c r="E617"/>
      <c r="F617"/>
      <c r="G617"/>
      <c r="H617"/>
      <c r="J617"/>
      <c r="K617"/>
    </row>
    <row r="618" spans="1:11" hidden="1" x14ac:dyDescent="0.3">
      <c r="A618"/>
      <c r="B618"/>
      <c r="C618"/>
      <c r="D618"/>
      <c r="E618"/>
      <c r="F618"/>
      <c r="G618"/>
      <c r="H618"/>
      <c r="J618"/>
      <c r="K618"/>
    </row>
    <row r="619" spans="1:11" hidden="1" x14ac:dyDescent="0.3">
      <c r="A619"/>
      <c r="B619"/>
      <c r="C619"/>
      <c r="D619"/>
      <c r="E619"/>
      <c r="F619"/>
      <c r="G619"/>
      <c r="H619"/>
      <c r="J619"/>
      <c r="K619"/>
    </row>
    <row r="620" spans="1:11" hidden="1" x14ac:dyDescent="0.3">
      <c r="A620"/>
      <c r="B620"/>
      <c r="C620"/>
      <c r="D620"/>
      <c r="E620"/>
      <c r="F620"/>
      <c r="G620"/>
      <c r="H620"/>
      <c r="J620"/>
      <c r="K620"/>
    </row>
    <row r="621" spans="1:11" hidden="1" x14ac:dyDescent="0.3">
      <c r="A621"/>
      <c r="B621"/>
      <c r="C621"/>
      <c r="D621"/>
      <c r="E621"/>
      <c r="F621"/>
      <c r="G621"/>
      <c r="H621"/>
      <c r="J621"/>
      <c r="K621"/>
    </row>
    <row r="622" spans="1:11" hidden="1" x14ac:dyDescent="0.3">
      <c r="A622"/>
      <c r="B622"/>
      <c r="C622"/>
      <c r="D622"/>
      <c r="E622"/>
      <c r="F622"/>
      <c r="G622"/>
      <c r="H622"/>
      <c r="J622"/>
      <c r="K622"/>
    </row>
    <row r="623" spans="1:11" hidden="1" x14ac:dyDescent="0.3">
      <c r="A623"/>
      <c r="B623"/>
      <c r="C623"/>
      <c r="D623"/>
      <c r="E623"/>
      <c r="F623"/>
      <c r="G623"/>
      <c r="H623"/>
      <c r="J623"/>
      <c r="K623"/>
    </row>
    <row r="624" spans="1:11" hidden="1" x14ac:dyDescent="0.3">
      <c r="A624"/>
      <c r="B624"/>
      <c r="C624"/>
      <c r="D624"/>
      <c r="E624"/>
      <c r="F624"/>
      <c r="G624"/>
      <c r="H624"/>
      <c r="J624"/>
      <c r="K624"/>
    </row>
    <row r="625" spans="1:11" hidden="1" x14ac:dyDescent="0.3">
      <c r="A625"/>
      <c r="B625"/>
      <c r="C625"/>
      <c r="D625"/>
      <c r="E625"/>
      <c r="F625"/>
      <c r="G625"/>
      <c r="H625"/>
      <c r="J625"/>
      <c r="K625"/>
    </row>
    <row r="626" spans="1:11" hidden="1" x14ac:dyDescent="0.3">
      <c r="A626"/>
      <c r="B626"/>
      <c r="C626"/>
      <c r="D626"/>
      <c r="E626"/>
      <c r="F626"/>
      <c r="G626"/>
      <c r="H626"/>
      <c r="J626"/>
      <c r="K626"/>
    </row>
    <row r="627" spans="1:11" hidden="1" x14ac:dyDescent="0.3">
      <c r="A627"/>
      <c r="B627"/>
      <c r="C627"/>
      <c r="D627"/>
      <c r="E627"/>
      <c r="F627"/>
      <c r="G627"/>
      <c r="H627"/>
      <c r="J627"/>
      <c r="K627"/>
    </row>
    <row r="628" spans="1:11" hidden="1" x14ac:dyDescent="0.3">
      <c r="A628"/>
      <c r="B628"/>
      <c r="C628"/>
      <c r="D628"/>
      <c r="E628"/>
      <c r="F628"/>
      <c r="G628"/>
      <c r="H628"/>
      <c r="J628"/>
      <c r="K628"/>
    </row>
    <row r="629" spans="1:11" hidden="1" x14ac:dyDescent="0.3">
      <c r="A629"/>
      <c r="B629"/>
      <c r="C629"/>
      <c r="D629"/>
      <c r="E629"/>
      <c r="F629"/>
      <c r="G629"/>
      <c r="H629"/>
      <c r="J629"/>
      <c r="K629"/>
    </row>
    <row r="630" spans="1:11" hidden="1" x14ac:dyDescent="0.3">
      <c r="A630"/>
      <c r="B630"/>
      <c r="C630"/>
      <c r="D630"/>
      <c r="E630"/>
      <c r="F630"/>
      <c r="G630"/>
      <c r="H630"/>
      <c r="J630"/>
      <c r="K630"/>
    </row>
    <row r="631" spans="1:11" hidden="1" x14ac:dyDescent="0.3">
      <c r="A631"/>
      <c r="B631"/>
      <c r="C631"/>
      <c r="D631"/>
      <c r="E631"/>
      <c r="F631"/>
      <c r="G631"/>
      <c r="H631"/>
      <c r="J631"/>
      <c r="K631"/>
    </row>
    <row r="632" spans="1:11" hidden="1" x14ac:dyDescent="0.3">
      <c r="A632"/>
      <c r="B632"/>
      <c r="C632"/>
      <c r="D632"/>
      <c r="E632"/>
      <c r="F632"/>
      <c r="G632"/>
      <c r="H632"/>
      <c r="J632"/>
      <c r="K632"/>
    </row>
    <row r="633" spans="1:11" hidden="1" x14ac:dyDescent="0.3">
      <c r="A633"/>
      <c r="B633"/>
      <c r="C633"/>
      <c r="D633"/>
      <c r="E633"/>
      <c r="F633"/>
      <c r="G633"/>
      <c r="H633"/>
      <c r="J633"/>
      <c r="K633"/>
    </row>
    <row r="634" spans="1:11" hidden="1" x14ac:dyDescent="0.3">
      <c r="A634"/>
      <c r="B634"/>
      <c r="C634"/>
      <c r="D634"/>
      <c r="E634"/>
      <c r="F634"/>
      <c r="G634"/>
      <c r="H634"/>
      <c r="J634"/>
      <c r="K634"/>
    </row>
    <row r="635" spans="1:11" hidden="1" x14ac:dyDescent="0.3">
      <c r="A635"/>
      <c r="B635"/>
      <c r="C635"/>
      <c r="D635"/>
      <c r="E635"/>
      <c r="F635"/>
      <c r="G635"/>
      <c r="H635"/>
      <c r="J635"/>
      <c r="K635"/>
    </row>
    <row r="636" spans="1:11" hidden="1" x14ac:dyDescent="0.3">
      <c r="A636"/>
      <c r="B636"/>
      <c r="C636"/>
      <c r="D636"/>
      <c r="E636"/>
      <c r="F636"/>
      <c r="G636"/>
      <c r="H636"/>
      <c r="J636"/>
      <c r="K636"/>
    </row>
    <row r="637" spans="1:11" hidden="1" x14ac:dyDescent="0.3">
      <c r="A637"/>
      <c r="B637"/>
      <c r="C637"/>
      <c r="D637"/>
      <c r="E637"/>
      <c r="F637"/>
      <c r="G637"/>
      <c r="H637"/>
      <c r="J637"/>
      <c r="K637"/>
    </row>
    <row r="638" spans="1:11" hidden="1" x14ac:dyDescent="0.3">
      <c r="A638"/>
      <c r="B638"/>
      <c r="C638"/>
      <c r="D638"/>
      <c r="E638"/>
      <c r="F638"/>
      <c r="G638"/>
      <c r="H638"/>
      <c r="J638"/>
      <c r="K638"/>
    </row>
    <row r="639" spans="1:11" hidden="1" x14ac:dyDescent="0.3">
      <c r="A639"/>
      <c r="B639"/>
      <c r="C639"/>
      <c r="D639"/>
      <c r="E639"/>
      <c r="F639"/>
      <c r="G639"/>
      <c r="H639"/>
      <c r="J639"/>
      <c r="K639"/>
    </row>
    <row r="640" spans="1:11" hidden="1" x14ac:dyDescent="0.3">
      <c r="A640"/>
      <c r="B640"/>
      <c r="C640"/>
      <c r="D640"/>
      <c r="E640"/>
      <c r="F640"/>
      <c r="G640"/>
      <c r="H640"/>
      <c r="J640"/>
      <c r="K640"/>
    </row>
    <row r="641" spans="1:11" hidden="1" x14ac:dyDescent="0.3">
      <c r="A641"/>
      <c r="B641"/>
      <c r="C641"/>
      <c r="D641"/>
      <c r="E641"/>
      <c r="F641"/>
      <c r="G641"/>
      <c r="H641"/>
      <c r="J641"/>
      <c r="K641"/>
    </row>
    <row r="642" spans="1:11" hidden="1" x14ac:dyDescent="0.3">
      <c r="A642"/>
      <c r="B642"/>
      <c r="C642"/>
      <c r="D642"/>
      <c r="E642"/>
      <c r="F642"/>
      <c r="G642"/>
      <c r="H642"/>
      <c r="J642"/>
      <c r="K642"/>
    </row>
    <row r="643" spans="1:11" hidden="1" x14ac:dyDescent="0.3">
      <c r="A643"/>
      <c r="B643"/>
      <c r="C643"/>
      <c r="D643"/>
      <c r="E643"/>
      <c r="F643"/>
      <c r="G643"/>
      <c r="H643"/>
      <c r="J643"/>
      <c r="K643"/>
    </row>
    <row r="644" spans="1:11" hidden="1" x14ac:dyDescent="0.3">
      <c r="A644"/>
      <c r="B644"/>
      <c r="C644"/>
      <c r="D644"/>
      <c r="E644"/>
      <c r="F644"/>
      <c r="G644"/>
      <c r="H644"/>
      <c r="J644"/>
      <c r="K644"/>
    </row>
    <row r="645" spans="1:11" hidden="1" x14ac:dyDescent="0.3">
      <c r="A645"/>
      <c r="B645"/>
      <c r="C645"/>
      <c r="D645"/>
      <c r="E645"/>
      <c r="F645"/>
      <c r="G645"/>
      <c r="H645"/>
      <c r="J645"/>
      <c r="K645"/>
    </row>
    <row r="646" spans="1:11" hidden="1" x14ac:dyDescent="0.3">
      <c r="A646"/>
      <c r="B646"/>
      <c r="C646"/>
      <c r="D646"/>
      <c r="E646"/>
      <c r="F646"/>
      <c r="G646"/>
      <c r="H646"/>
      <c r="J646"/>
      <c r="K646"/>
    </row>
    <row r="647" spans="1:11" hidden="1" x14ac:dyDescent="0.3">
      <c r="A647"/>
      <c r="B647"/>
      <c r="C647"/>
      <c r="D647"/>
      <c r="E647"/>
      <c r="F647"/>
      <c r="G647"/>
      <c r="H647"/>
      <c r="J647"/>
      <c r="K647"/>
    </row>
    <row r="648" spans="1:11" hidden="1" x14ac:dyDescent="0.3">
      <c r="A648"/>
      <c r="B648"/>
      <c r="C648"/>
      <c r="D648"/>
      <c r="E648"/>
      <c r="F648"/>
      <c r="G648"/>
      <c r="H648"/>
      <c r="J648"/>
      <c r="K648"/>
    </row>
    <row r="649" spans="1:11" hidden="1" x14ac:dyDescent="0.3">
      <c r="A649"/>
      <c r="B649"/>
      <c r="C649"/>
      <c r="D649"/>
      <c r="E649"/>
      <c r="F649"/>
      <c r="G649"/>
      <c r="H649"/>
      <c r="J649"/>
      <c r="K649"/>
    </row>
    <row r="650" spans="1:11" hidden="1" x14ac:dyDescent="0.3">
      <c r="A650"/>
      <c r="B650"/>
      <c r="C650"/>
      <c r="D650"/>
      <c r="E650"/>
      <c r="F650"/>
      <c r="G650"/>
      <c r="H650"/>
      <c r="J650"/>
      <c r="K650"/>
    </row>
    <row r="651" spans="1:11" hidden="1" x14ac:dyDescent="0.3">
      <c r="A651"/>
      <c r="B651"/>
      <c r="C651"/>
      <c r="D651"/>
      <c r="E651"/>
      <c r="F651"/>
      <c r="G651"/>
      <c r="H651"/>
      <c r="J651"/>
      <c r="K651"/>
    </row>
    <row r="652" spans="1:11" hidden="1" x14ac:dyDescent="0.3">
      <c r="A652"/>
      <c r="B652"/>
      <c r="C652"/>
      <c r="D652"/>
      <c r="E652"/>
      <c r="F652"/>
      <c r="G652"/>
      <c r="H652"/>
      <c r="J652"/>
      <c r="K652"/>
    </row>
    <row r="653" spans="1:11" hidden="1" x14ac:dyDescent="0.3">
      <c r="A653"/>
      <c r="B653"/>
      <c r="C653"/>
      <c r="D653"/>
      <c r="E653"/>
      <c r="F653"/>
      <c r="G653"/>
      <c r="H653"/>
      <c r="J653"/>
      <c r="K653"/>
    </row>
    <row r="654" spans="1:11" hidden="1" x14ac:dyDescent="0.3">
      <c r="A654"/>
      <c r="B654"/>
      <c r="C654"/>
      <c r="D654"/>
      <c r="E654"/>
      <c r="F654"/>
      <c r="G654"/>
      <c r="H654"/>
      <c r="J654"/>
      <c r="K654"/>
    </row>
    <row r="655" spans="1:11" hidden="1" x14ac:dyDescent="0.3">
      <c r="A655"/>
      <c r="B655"/>
      <c r="C655"/>
      <c r="D655"/>
      <c r="E655"/>
      <c r="F655"/>
      <c r="G655"/>
      <c r="H655"/>
      <c r="J655"/>
      <c r="K655"/>
    </row>
    <row r="656" spans="1:11" hidden="1" x14ac:dyDescent="0.3">
      <c r="A656"/>
      <c r="B656"/>
      <c r="C656"/>
      <c r="D656"/>
      <c r="E656"/>
      <c r="F656"/>
      <c r="G656"/>
      <c r="H656"/>
      <c r="J656"/>
      <c r="K656"/>
    </row>
    <row r="657" spans="1:11" hidden="1" x14ac:dyDescent="0.3">
      <c r="A657"/>
      <c r="B657"/>
      <c r="C657"/>
      <c r="D657"/>
      <c r="E657"/>
      <c r="F657"/>
      <c r="G657"/>
      <c r="H657"/>
      <c r="J657"/>
      <c r="K657"/>
    </row>
    <row r="658" spans="1:11" hidden="1" x14ac:dyDescent="0.3">
      <c r="A658"/>
      <c r="B658"/>
      <c r="C658"/>
      <c r="D658"/>
      <c r="E658"/>
      <c r="F658"/>
      <c r="G658"/>
      <c r="H658"/>
      <c r="J658"/>
      <c r="K658"/>
    </row>
    <row r="659" spans="1:11" hidden="1" x14ac:dyDescent="0.3">
      <c r="A659"/>
      <c r="B659"/>
      <c r="C659"/>
      <c r="D659"/>
      <c r="E659"/>
      <c r="F659"/>
      <c r="G659"/>
      <c r="H659"/>
      <c r="J659"/>
      <c r="K659"/>
    </row>
    <row r="660" spans="1:11" hidden="1" x14ac:dyDescent="0.3">
      <c r="A660"/>
      <c r="B660"/>
      <c r="C660"/>
      <c r="D660"/>
      <c r="E660"/>
      <c r="F660"/>
      <c r="G660"/>
      <c r="H660"/>
      <c r="J660"/>
      <c r="K660"/>
    </row>
    <row r="661" spans="1:11" hidden="1" x14ac:dyDescent="0.3">
      <c r="A661"/>
      <c r="B661"/>
      <c r="C661"/>
      <c r="D661"/>
      <c r="E661"/>
      <c r="F661"/>
      <c r="G661"/>
      <c r="H661"/>
      <c r="J661"/>
      <c r="K661"/>
    </row>
  </sheetData>
  <sheetProtection formatCells="0" formatColumns="0" formatRows="0" sort="0" autoFilter="0"/>
  <protectedRanges>
    <protectedRange sqref="G8:J8 G14:J14 G26:J26 G31:J31 G48:J48 G55:J55 C2:C7 G36:J37 E2:J5 E6:I6 E7:J7 E62:I62 E63:J1048576 E9:J13 E8 E15:J25 E14 E27:J30 E26 E31 E49:J54 E48 E55 E36:E37 C11:C25 C9 C27:C30 C32:C35 C37:C41 C43:C45 C50:C52 C55 C57:C1048576 E32:J35 E56:J61 E38:J47" name="Range1"/>
    <protectedRange sqref="J6 J62" name="Range1_1"/>
    <protectedRange sqref="F8" name="Range1_2"/>
    <protectedRange sqref="F14" name="Range1_3"/>
    <protectedRange sqref="F26" name="Range1_4"/>
    <protectedRange sqref="F31" name="Range1_5"/>
    <protectedRange sqref="F36" name="Range1_6"/>
    <protectedRange sqref="F48" name="Range1_7"/>
    <protectedRange sqref="F55" name="Range1_8"/>
    <protectedRange sqref="F37" name="Range1_9"/>
    <protectedRange sqref="D2:D4 D6:D1048576" name="Range1_10"/>
    <protectedRange sqref="C10 C8 C26 C31 C36 C42 C53:C54 C56 C46:C49" name="Range1_11"/>
  </protectedRanges>
  <autoFilter ref="K6:K108" xr:uid="{00000000-0009-0000-0000-00000F000000}"/>
  <conditionalFormatting sqref="D7:D160">
    <cfRule type="cellIs" dxfId="20" priority="3" stopIfTrue="1" operator="notEqual">
      <formula>""</formula>
    </cfRule>
  </conditionalFormatting>
  <conditionalFormatting sqref="C7:C160">
    <cfRule type="cellIs" dxfId="19" priority="2" stopIfTrue="1" operator="notEqual">
      <formula>""</formula>
    </cfRule>
  </conditionalFormatting>
  <conditionalFormatting sqref="A1:B1048576">
    <cfRule type="expression" dxfId="18" priority="1" stopIfTrue="1">
      <formula>$K1="ukryj"</formula>
    </cfRule>
  </conditionalFormatting>
  <hyperlinks>
    <hyperlink ref="C8" location="Noty!$L$905" display="Noty!$L$905" xr:uid="{00000000-0004-0000-0F00-000000000000}"/>
    <hyperlink ref="C26" location="Noty!$L$936" display="Noty!$L$936" xr:uid="{00000000-0004-0000-0F00-000001000000}"/>
    <hyperlink ref="C31" location="Noty!$L$964" display="Noty!$L$964" xr:uid="{00000000-0004-0000-0F00-000002000000}"/>
    <hyperlink ref="C36" location="Noty!$L$990" display="Noty!$L$990" xr:uid="{00000000-0004-0000-0F00-000003000000}"/>
    <hyperlink ref="C42" location="Noty!$L$992" display="Noty!$L$992" xr:uid="{00000000-0004-0000-0F00-000004000000}"/>
    <hyperlink ref="C46" location="Noty!$L$1009" display="Noty!$L$1009" xr:uid="{00000000-0004-0000-0F00-000005000000}"/>
    <hyperlink ref="C47" location="Noty!$L$1041" display="Noty!$L$1041" xr:uid="{00000000-0004-0000-0F00-000006000000}"/>
    <hyperlink ref="C48" location="Noty!$L$1061" display="Noty!$L$1061" xr:uid="{00000000-0004-0000-0F00-000007000000}"/>
    <hyperlink ref="C49" location="Noty!$L$1063" display="Noty!$L$1063" xr:uid="{00000000-0004-0000-0F00-000008000000}"/>
    <hyperlink ref="C53" location="Noty!$L$1082" display="Noty!$L$1082" xr:uid="{00000000-0004-0000-0F00-000009000000}"/>
    <hyperlink ref="C54" location="Noty!$L$1105" display="Noty!$L$1105" xr:uid="{00000000-0004-0000-0F00-00000A000000}"/>
    <hyperlink ref="C56" location="Noty!$L$1136" display="Noty!$L$1136" xr:uid="{00000000-0004-0000-0F00-00000B000000}"/>
    <hyperlink ref="D8" location="Notes!$L$905" display="Notes!$L$905" xr:uid="{00000000-0004-0000-0F00-00000C000000}"/>
    <hyperlink ref="D26" location="Notes!$L$936" display="Notes!$L$936" xr:uid="{00000000-0004-0000-0F00-00000D000000}"/>
    <hyperlink ref="D31" location="Notes!$L$964" display="Notes!$L$964" xr:uid="{00000000-0004-0000-0F00-00000E000000}"/>
    <hyperlink ref="D36" location="Notes!$L$990" display="Notes!$L$990" xr:uid="{00000000-0004-0000-0F00-00000F000000}"/>
    <hyperlink ref="D42" location="Notes!$L$992" display="Notes!$L$992" xr:uid="{00000000-0004-0000-0F00-000010000000}"/>
    <hyperlink ref="D46" location="Notes!$L$1009" display="Notes!$L$1009" xr:uid="{00000000-0004-0000-0F00-000011000000}"/>
    <hyperlink ref="D47" location="Notes!$L$1041" display="Notes!$L$1041" xr:uid="{00000000-0004-0000-0F00-000012000000}"/>
    <hyperlink ref="D48" location="Notes!$L$1061" display="Notes!$L$1061" xr:uid="{00000000-0004-0000-0F00-000013000000}"/>
    <hyperlink ref="D49" location="Notes!$L$1063" display="Notes!$L$1063" xr:uid="{00000000-0004-0000-0F00-000014000000}"/>
    <hyperlink ref="D53" location="Notes!$L$1082" display="Notes!$L$1082" xr:uid="{00000000-0004-0000-0F00-000015000000}"/>
    <hyperlink ref="D54" location="Notes!$L$1105" display="Notes!$L$1105" xr:uid="{00000000-0004-0000-0F00-000016000000}"/>
    <hyperlink ref="D56" location="Notes!$L$1136" display="Notes!$L$1136" xr:uid="{00000000-0004-0000-0F00-000017000000}"/>
  </hyperlinks>
  <printOptions horizontalCentered="1"/>
  <pageMargins left="0.70866141732283472" right="0.70866141732283472" top="0.74803149606299213" bottom="0.74803149606299213" header="0.31496062992125984" footer="0.31496062992125984"/>
  <pageSetup paperSize="9" scale="90" orientation="portrait" blackAndWhite="1" r:id="rId1"/>
  <headerFooter alignWithMargins="0">
    <oddFooter>&amp;C&amp;"Times New Roman.Normalny"&amp;10&amp;P</oddFooter>
  </headerFooter>
  <rowBreaks count="1" manualBreakCount="1">
    <brk id="35"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88070" r:id="rId4" name="Dodaj pozycję użytkownika">
              <controlPr defaultSize="0" print="0" autoFill="0" autoPict="0" macro="[0]!Wezwij_Dodaj_PU">
                <anchor>
                  <from>
                    <xdr:col>0</xdr:col>
                    <xdr:colOff>41564</xdr:colOff>
                    <xdr:row>0</xdr:row>
                    <xdr:rowOff>41564</xdr:rowOff>
                  </from>
                  <to>
                    <xdr:col>0</xdr:col>
                    <xdr:colOff>1064029</xdr:colOff>
                    <xdr:row>0</xdr:row>
                    <xdr:rowOff>507076</xdr:rowOff>
                  </to>
                </anchor>
              </controlPr>
            </control>
          </mc:Choice>
        </mc:AlternateContent>
        <mc:AlternateContent xmlns:mc="http://schemas.openxmlformats.org/markup-compatibility/2006">
          <mc:Choice Requires="x14">
            <control shapeId="88071" r:id="rId5" name="Usuń pozycję użytkownika">
              <controlPr defaultSize="0" print="0" autoFill="0" autoPict="0" macro="[0]!Wezwij_Usun_PU">
                <anchor>
                  <from>
                    <xdr:col>0</xdr:col>
                    <xdr:colOff>1080655</xdr:colOff>
                    <xdr:row>0</xdr:row>
                    <xdr:rowOff>41564</xdr:rowOff>
                  </from>
                  <to>
                    <xdr:col>0</xdr:col>
                    <xdr:colOff>2094807</xdr:colOff>
                    <xdr:row>0</xdr:row>
                    <xdr:rowOff>507076</xdr:rowOff>
                  </to>
                </anchor>
              </controlPr>
            </control>
          </mc:Choice>
        </mc:AlternateContent>
        <mc:AlternateContent xmlns:mc="http://schemas.openxmlformats.org/markup-compatibility/2006">
          <mc:Choice Requires="x14">
            <control shapeId="88072" r:id="rId6" name="Odkryj wszystkie wiersze">
              <controlPr defaultSize="0" print="0" autoFill="0" autoPict="0" macro="[0]!filtr_Odkryj">
                <anchor moveWithCells="1">
                  <from>
                    <xdr:col>11</xdr:col>
                    <xdr:colOff>241069</xdr:colOff>
                    <xdr:row>0</xdr:row>
                    <xdr:rowOff>41564</xdr:rowOff>
                  </from>
                  <to>
                    <xdr:col>27</xdr:col>
                    <xdr:colOff>257695</xdr:colOff>
                    <xdr:row>0</xdr:row>
                    <xdr:rowOff>507076</xdr:rowOff>
                  </to>
                </anchor>
              </controlPr>
            </control>
          </mc:Choice>
        </mc:AlternateContent>
        <mc:AlternateContent xmlns:mc="http://schemas.openxmlformats.org/markup-compatibility/2006">
          <mc:Choice Requires="x14">
            <control shapeId="88073" r:id="rId7" name="Ukryj wszystkie wiersze">
              <controlPr defaultSize="0" print="0" autoFill="0" autoPict="0" macro="[0]!Formuly.filtr_Ukryj_Arkusz">
                <anchor moveWithCells="1">
                  <from>
                    <xdr:col>9</xdr:col>
                    <xdr:colOff>0</xdr:colOff>
                    <xdr:row>0</xdr:row>
                    <xdr:rowOff>41564</xdr:rowOff>
                  </from>
                  <to>
                    <xdr:col>9</xdr:col>
                    <xdr:colOff>1064029</xdr:colOff>
                    <xdr:row>0</xdr:row>
                    <xdr:rowOff>507076</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W81"/>
  <sheetViews>
    <sheetView view="pageBreakPreview" zoomScaleNormal="100" zoomScaleSheetLayoutView="100" workbookViewId="0">
      <pane ySplit="1" topLeftCell="A2" activePane="bottomLeft" state="frozen"/>
      <selection pane="bottomLeft"/>
    </sheetView>
  </sheetViews>
  <sheetFormatPr defaultColWidth="0" defaultRowHeight="15.75" zeroHeight="1" x14ac:dyDescent="0.3"/>
  <cols>
    <col min="1" max="2" width="42.44140625" style="55" customWidth="1"/>
    <col min="3" max="4" width="5" style="840" customWidth="1"/>
    <col min="5" max="5" width="2.5546875" style="126" customWidth="1"/>
    <col min="6" max="6" width="17.6640625" style="60" customWidth="1"/>
    <col min="7" max="7" width="2.109375" style="60" customWidth="1"/>
    <col min="8" max="8" width="17.6640625" style="60" customWidth="1"/>
    <col min="9" max="9" width="2.109375" customWidth="1"/>
    <col min="10" max="10" width="18" style="60" hidden="1" customWidth="1"/>
    <col min="11" max="11" width="7.5546875" style="117" bestFit="1" customWidth="1"/>
    <col min="12" max="12" width="11.44140625" style="56" customWidth="1"/>
    <col min="13" max="13" width="11" style="56" customWidth="1"/>
    <col min="14" max="14" width="111.44140625" style="56" customWidth="1"/>
    <col min="15" max="23" width="0" style="56" hidden="1" customWidth="1"/>
    <col min="24" max="16384" width="11.44140625" style="56" hidden="1"/>
  </cols>
  <sheetData>
    <row r="1" spans="1:23" ht="47.95" customHeight="1" x14ac:dyDescent="0.3">
      <c r="L1" s="141"/>
    </row>
    <row r="2" spans="1:23" ht="15.75" customHeight="1" x14ac:dyDescent="0.3">
      <c r="A2" s="244" t="str">
        <f>UPPER(Input!C2)</f>
        <v>TESTOWA 185 SP. Z O.O.</v>
      </c>
      <c r="B2" s="244" t="str">
        <f>UPPER(Input!C2)</f>
        <v>TESTOWA 185 SP. Z O.O.</v>
      </c>
      <c r="K2" s="986" t="s">
        <v>5070</v>
      </c>
    </row>
    <row r="3" spans="1:23" ht="15.75" customHeight="1" x14ac:dyDescent="0.3">
      <c r="A3" s="244" t="s">
        <v>8848</v>
      </c>
      <c r="B3" s="244" t="s">
        <v>8849</v>
      </c>
      <c r="K3" s="986" t="s">
        <v>5070</v>
      </c>
    </row>
    <row r="4" spans="1:23" ht="15.75" customHeight="1" x14ac:dyDescent="0.3">
      <c r="A4" s="257" t="str">
        <f>_aktywa!A4</f>
        <v>(wszystkie dane liczbowe przedstawiono w złotych polskich)</v>
      </c>
      <c r="B4" s="257" t="str">
        <f>_aktywa!B4</f>
        <v>(All amounts are stated in PLN)</v>
      </c>
      <c r="K4" s="986" t="s">
        <v>5070</v>
      </c>
    </row>
    <row r="5" spans="1:23" ht="15.75" customHeight="1" x14ac:dyDescent="0.3">
      <c r="A5" s="160"/>
      <c r="B5" s="160"/>
      <c r="K5" s="986" t="s">
        <v>5070</v>
      </c>
    </row>
    <row r="6" spans="1:23" s="125" customFormat="1" ht="37.5" customHeight="1" x14ac:dyDescent="0.3">
      <c r="A6" s="94"/>
      <c r="B6" s="94"/>
      <c r="C6" s="1081"/>
      <c r="D6" s="1081"/>
      <c r="E6" s="54"/>
      <c r="F6" s="886" t="str">
        <f>+CONCATENATE(Input!P6, "-",Input!P7)</f>
        <v>01.01.2020-31.12.2020</v>
      </c>
      <c r="G6" s="887"/>
      <c r="H6" s="886" t="str">
        <f>+CONCATENATE(Input!P10, "-",Input!P11)</f>
        <v>01.01.2019-31.12.2019</v>
      </c>
      <c r="I6" s="883"/>
      <c r="J6" s="886" t="str">
        <f>Input!P11&amp;" 
Dane przekształcone"</f>
        <v>31.12.2019 
Dane przekształcone</v>
      </c>
      <c r="K6" s="986" t="s">
        <v>5070</v>
      </c>
      <c r="L6" s="53"/>
    </row>
    <row r="7" spans="1:23" ht="15.75" customHeight="1" x14ac:dyDescent="0.3">
      <c r="A7" s="93"/>
      <c r="B7" s="93"/>
      <c r="E7" s="133"/>
      <c r="F7" s="68"/>
      <c r="G7" s="68"/>
      <c r="H7" s="68"/>
      <c r="J7" s="68"/>
      <c r="K7" s="986" t="s">
        <v>5070</v>
      </c>
    </row>
    <row r="8" spans="1:23" ht="15.75" customHeight="1" x14ac:dyDescent="0.3">
      <c r="A8" s="134" t="s">
        <v>8850</v>
      </c>
      <c r="B8" s="134" t="s">
        <v>8851</v>
      </c>
      <c r="C8" s="1093"/>
      <c r="E8" s="133"/>
      <c r="F8" s="2">
        <f>ROUND(kapitał!H61,2)</f>
        <v>0</v>
      </c>
      <c r="G8" s="147"/>
      <c r="H8" s="5"/>
      <c r="J8" s="5"/>
      <c r="K8" s="986" t="str">
        <f>IF(AND(kapitał!F8=0,AND(kapitał!H8=0,kapitał!J8=0)),"ukryj","odkryj")</f>
        <v>ukryj</v>
      </c>
      <c r="U8" s="56" t="s">
        <v>8852</v>
      </c>
      <c r="W8" s="56" t="s">
        <v>8853</v>
      </c>
    </row>
    <row r="9" spans="1:23" ht="15.75" customHeight="1" x14ac:dyDescent="0.3">
      <c r="A9" s="888" t="s">
        <v>8854</v>
      </c>
      <c r="B9" s="888" t="s">
        <v>8855</v>
      </c>
      <c r="C9" s="1077"/>
      <c r="E9" s="133"/>
      <c r="F9" s="5"/>
      <c r="G9" s="147"/>
      <c r="H9" s="5"/>
      <c r="J9" s="5"/>
      <c r="K9" s="986" t="str">
        <f>IF(AND(kapitał!F9=0,AND(kapitał!H9=0,kapitał!J9=0)),"ukryj","odkryj")</f>
        <v>ukryj</v>
      </c>
      <c r="L9" s="8"/>
      <c r="M9" s="8"/>
      <c r="N9" s="8"/>
      <c r="U9" s="56" t="s">
        <v>8856</v>
      </c>
      <c r="W9" s="56" t="s">
        <v>8857</v>
      </c>
    </row>
    <row r="10" spans="1:23" ht="15.75" customHeight="1" x14ac:dyDescent="0.3">
      <c r="A10" s="888" t="s">
        <v>8858</v>
      </c>
      <c r="B10" s="888" t="s">
        <v>8859</v>
      </c>
      <c r="C10" s="1093"/>
      <c r="E10" s="133"/>
      <c r="F10" s="5"/>
      <c r="G10" s="147"/>
      <c r="H10" s="5"/>
      <c r="J10" s="5"/>
      <c r="K10" s="986" t="str">
        <f>IF(AND(kapitał!F10=0,AND(kapitał!H10=0,kapitał!J10=0)),"ukryj","odkryj")</f>
        <v>ukryj</v>
      </c>
      <c r="L10" s="8"/>
      <c r="M10" s="8"/>
      <c r="N10" s="8"/>
      <c r="U10" s="56" t="s">
        <v>8860</v>
      </c>
      <c r="W10" s="56" t="s">
        <v>8861</v>
      </c>
    </row>
    <row r="11" spans="1:23" ht="15.75" customHeight="1" x14ac:dyDescent="0.3">
      <c r="A11" s="144" t="s">
        <v>8862</v>
      </c>
      <c r="B11" s="134" t="s">
        <v>8863</v>
      </c>
      <c r="C11" s="1093"/>
      <c r="E11" s="133"/>
      <c r="F11" s="86">
        <f>kapitał!F8+kapitał!F9+kapitał!F10</f>
        <v>0</v>
      </c>
      <c r="G11" s="143"/>
      <c r="H11" s="783">
        <f>kapitał!H8+kapitał!H9+kapitał!H10</f>
        <v>0</v>
      </c>
      <c r="J11" s="783">
        <f>kapitał!J8+kapitał!J9+kapitał!J10</f>
        <v>0</v>
      </c>
      <c r="K11" s="986" t="str">
        <f>IF(AND(kapitał!F11=0,AND(kapitał!H11=0,kapitał!J11=0)),"ukryj","odkryj")</f>
        <v>ukryj</v>
      </c>
      <c r="L11" s="8"/>
      <c r="M11" s="8"/>
      <c r="N11" s="8"/>
      <c r="U11" s="56" t="s">
        <v>8864</v>
      </c>
      <c r="W11" s="56" t="s">
        <v>8865</v>
      </c>
    </row>
    <row r="12" spans="1:23" ht="15.05" customHeight="1" x14ac:dyDescent="0.3">
      <c r="A12" s="144" t="s">
        <v>8866</v>
      </c>
      <c r="B12" s="134" t="s">
        <v>8867</v>
      </c>
      <c r="C12" s="1093"/>
      <c r="E12" s="133"/>
      <c r="F12" s="87">
        <f>kapitał!H18</f>
        <v>0</v>
      </c>
      <c r="G12" s="147"/>
      <c r="H12" s="5"/>
      <c r="J12" s="5"/>
      <c r="K12" s="986" t="str">
        <f>IF(AND(kapitał!F12=0,AND(kapitał!H12=0,kapitał!J12=0)),"ukryj","odkryj")</f>
        <v>ukryj</v>
      </c>
      <c r="L12" s="8"/>
      <c r="M12" s="8"/>
      <c r="N12" s="8"/>
      <c r="U12" s="56" t="s">
        <v>8868</v>
      </c>
      <c r="W12" s="56" t="s">
        <v>8869</v>
      </c>
    </row>
    <row r="13" spans="1:23" ht="15.75" customHeight="1" x14ac:dyDescent="0.3">
      <c r="A13" s="136" t="s">
        <v>8870</v>
      </c>
      <c r="B13" s="136" t="s">
        <v>8871</v>
      </c>
      <c r="C13" s="1093"/>
      <c r="E13" s="133"/>
      <c r="F13" s="87">
        <f>kapitał!F14+kapitał!F16</f>
        <v>0</v>
      </c>
      <c r="G13" s="889"/>
      <c r="H13" s="784">
        <f>kapitał!H14+kapitał!H16</f>
        <v>0</v>
      </c>
      <c r="J13" s="784">
        <f>kapitał!J14+kapitał!J16</f>
        <v>0</v>
      </c>
      <c r="K13" s="986" t="str">
        <f>IF(AND(kapitał!F13=0,AND(kapitał!H13=0,kapitał!J13=0)),"ukryj","odkryj")</f>
        <v>ukryj</v>
      </c>
      <c r="L13" s="8"/>
      <c r="M13" s="8"/>
      <c r="N13" s="8"/>
      <c r="U13" s="56" t="s">
        <v>8872</v>
      </c>
      <c r="W13" s="56" t="s">
        <v>8873</v>
      </c>
    </row>
    <row r="14" spans="1:23" ht="15.75" customHeight="1" x14ac:dyDescent="0.3">
      <c r="A14" s="137" t="s">
        <v>8874</v>
      </c>
      <c r="B14" s="137" t="s">
        <v>8875</v>
      </c>
      <c r="C14" s="1093"/>
      <c r="E14" s="133"/>
      <c r="F14" s="87">
        <f>kapitał!F15</f>
        <v>0</v>
      </c>
      <c r="G14" s="143"/>
      <c r="H14" s="784">
        <f>kapitał!H15</f>
        <v>0</v>
      </c>
      <c r="J14" s="784">
        <f>kapitał!J15</f>
        <v>0</v>
      </c>
      <c r="K14" s="986" t="str">
        <f>IF(AND(kapitał!F14=0,AND(kapitał!H14=0,kapitał!J14=0)),"ukryj","odkryj")</f>
        <v>ukryj</v>
      </c>
      <c r="L14" s="8"/>
      <c r="M14" s="8"/>
      <c r="N14" s="8"/>
      <c r="U14" s="56" t="s">
        <v>8876</v>
      </c>
      <c r="W14" s="56" t="s">
        <v>8877</v>
      </c>
    </row>
    <row r="15" spans="1:23" ht="15.75" customHeight="1" x14ac:dyDescent="0.3">
      <c r="A15" s="890" t="s">
        <v>8878</v>
      </c>
      <c r="B15" s="890" t="s">
        <v>8879</v>
      </c>
      <c r="C15" s="1093"/>
      <c r="E15" s="133"/>
      <c r="F15" s="5"/>
      <c r="G15" s="143"/>
      <c r="H15" s="5"/>
      <c r="J15" s="5"/>
      <c r="K15" s="986" t="str">
        <f>IF(AND(kapitał!F15=0,AND(kapitał!H15=0,kapitał!J15=0)),"ukryj","odkryj")</f>
        <v>ukryj</v>
      </c>
      <c r="L15" s="8"/>
      <c r="M15" s="8"/>
      <c r="N15" s="8"/>
      <c r="U15" s="56" t="s">
        <v>8880</v>
      </c>
      <c r="W15" s="56" t="s">
        <v>8881</v>
      </c>
    </row>
    <row r="16" spans="1:23" ht="15.75" customHeight="1" x14ac:dyDescent="0.3">
      <c r="A16" s="137" t="s">
        <v>8882</v>
      </c>
      <c r="B16" s="137" t="s">
        <v>8883</v>
      </c>
      <c r="C16" s="1093"/>
      <c r="E16" s="133"/>
      <c r="F16" s="87">
        <f>kapitał!F17</f>
        <v>0</v>
      </c>
      <c r="G16" s="143"/>
      <c r="H16" s="784">
        <f>kapitał!H17</f>
        <v>0</v>
      </c>
      <c r="J16" s="784">
        <f>kapitał!J17</f>
        <v>0</v>
      </c>
      <c r="K16" s="986" t="str">
        <f>IF(AND(kapitał!F16=0,AND(kapitał!H16=0,kapitał!J16=0)),"ukryj","odkryj")</f>
        <v>ukryj</v>
      </c>
      <c r="L16" s="8"/>
      <c r="M16" s="8"/>
      <c r="N16" s="8"/>
      <c r="U16" s="56" t="s">
        <v>8884</v>
      </c>
      <c r="W16" s="56" t="s">
        <v>8885</v>
      </c>
    </row>
    <row r="17" spans="1:23" ht="15.75" customHeight="1" x14ac:dyDescent="0.3">
      <c r="A17" s="890" t="s">
        <v>8886</v>
      </c>
      <c r="B17" s="890" t="s">
        <v>8887</v>
      </c>
      <c r="C17" s="1093"/>
      <c r="E17" s="133"/>
      <c r="F17" s="5"/>
      <c r="G17" s="143"/>
      <c r="H17" s="5"/>
      <c r="J17" s="5"/>
      <c r="K17" s="986" t="str">
        <f>IF(AND(kapitał!F17=0,AND(kapitał!H17=0,kapitał!J17=0)),"ukryj","odkryj")</f>
        <v>ukryj</v>
      </c>
      <c r="L17" s="8"/>
      <c r="M17" s="8"/>
      <c r="N17" s="8"/>
      <c r="U17" s="56" t="s">
        <v>8888</v>
      </c>
      <c r="W17" s="56" t="s">
        <v>8889</v>
      </c>
    </row>
    <row r="18" spans="1:23" ht="15.75" customHeight="1" x14ac:dyDescent="0.3">
      <c r="A18" s="134" t="s">
        <v>8890</v>
      </c>
      <c r="B18" s="134" t="s">
        <v>8891</v>
      </c>
      <c r="C18" s="1093"/>
      <c r="E18" s="133"/>
      <c r="F18" s="86">
        <f>kapitał!F12+kapitał!F13</f>
        <v>0</v>
      </c>
      <c r="G18" s="143"/>
      <c r="H18" s="783">
        <f>kapitał!H12+kapitał!H13</f>
        <v>0</v>
      </c>
      <c r="J18" s="783">
        <f>kapitał!J12+kapitał!J13</f>
        <v>0</v>
      </c>
      <c r="K18" s="986" t="str">
        <f>IF(AND(kapitał!F18=0,AND(kapitał!H18=0,kapitał!J18=0)),"ukryj","odkryj")</f>
        <v>ukryj</v>
      </c>
      <c r="L18" s="8"/>
      <c r="M18" s="8"/>
      <c r="N18" s="8"/>
      <c r="U18" s="56" t="s">
        <v>8892</v>
      </c>
      <c r="W18" s="56" t="s">
        <v>8893</v>
      </c>
    </row>
    <row r="19" spans="1:23" ht="15.75" customHeight="1" x14ac:dyDescent="0.3">
      <c r="A19" s="134" t="s">
        <v>8894</v>
      </c>
      <c r="B19" s="134" t="s">
        <v>8895</v>
      </c>
      <c r="C19" s="1093"/>
      <c r="E19" s="133"/>
      <c r="F19" s="87">
        <f>kapitał!H27</f>
        <v>0</v>
      </c>
      <c r="G19" s="143"/>
      <c r="H19" s="5"/>
      <c r="J19" s="5"/>
      <c r="K19" s="986" t="str">
        <f>IF(AND(kapitał!F19=0,AND(kapitał!H19=0,kapitał!J19=0)),"ukryj","odkryj")</f>
        <v>ukryj</v>
      </c>
      <c r="L19" s="8"/>
      <c r="M19" s="8"/>
      <c r="N19" s="8"/>
      <c r="U19" s="56" t="s">
        <v>8896</v>
      </c>
      <c r="W19" s="56" t="s">
        <v>8897</v>
      </c>
    </row>
    <row r="20" spans="1:23" ht="15.75" customHeight="1" x14ac:dyDescent="0.3">
      <c r="A20" s="891" t="s">
        <v>8898</v>
      </c>
      <c r="B20" s="891" t="s">
        <v>8899</v>
      </c>
      <c r="C20" s="1093"/>
      <c r="E20" s="133"/>
      <c r="F20" s="87">
        <f>kapitał!F21+kapitał!F25</f>
        <v>0</v>
      </c>
      <c r="G20" s="889"/>
      <c r="H20" s="784">
        <f>kapitał!H21+kapitał!H25</f>
        <v>0</v>
      </c>
      <c r="J20" s="784">
        <f>kapitał!J21+kapitał!J25</f>
        <v>0</v>
      </c>
      <c r="K20" s="986" t="str">
        <f>IF(AND(kapitał!F20=0,AND(kapitał!H20=0,kapitał!J20=0)),"ukryj","odkryj")</f>
        <v>ukryj</v>
      </c>
      <c r="L20" s="8"/>
      <c r="M20" s="8"/>
      <c r="N20" s="8"/>
      <c r="U20" s="56" t="s">
        <v>8900</v>
      </c>
      <c r="W20" s="56" t="s">
        <v>8901</v>
      </c>
    </row>
    <row r="21" spans="1:23" ht="15.75" customHeight="1" x14ac:dyDescent="0.3">
      <c r="A21" s="136" t="s">
        <v>8874</v>
      </c>
      <c r="B21" s="136" t="s">
        <v>8875</v>
      </c>
      <c r="C21" s="1093"/>
      <c r="E21" s="133"/>
      <c r="F21" s="87">
        <f>kapitał!F22+kapitał!F23+kapitał!F24</f>
        <v>0</v>
      </c>
      <c r="G21" s="889"/>
      <c r="H21" s="784">
        <f>kapitał!H22+kapitał!H23+kapitał!H24</f>
        <v>0</v>
      </c>
      <c r="J21" s="784">
        <f>kapitał!J22+kapitał!J23+kapitał!J24</f>
        <v>0</v>
      </c>
      <c r="K21" s="986" t="str">
        <f>IF(AND(kapitał!F21=0,AND(kapitał!H21=0,kapitał!J21=0)),"ukryj","odkryj")</f>
        <v>ukryj</v>
      </c>
      <c r="L21" s="8"/>
      <c r="M21" s="8"/>
      <c r="N21" s="8"/>
      <c r="U21" s="56" t="s">
        <v>8902</v>
      </c>
      <c r="W21" s="56" t="s">
        <v>8903</v>
      </c>
    </row>
    <row r="22" spans="1:23" ht="15.75" customHeight="1" x14ac:dyDescent="0.3">
      <c r="A22" s="892" t="s">
        <v>8904</v>
      </c>
      <c r="B22" s="892" t="s">
        <v>8905</v>
      </c>
      <c r="C22" s="1093"/>
      <c r="E22" s="133"/>
      <c r="F22" s="5"/>
      <c r="G22" s="143"/>
      <c r="H22" s="5"/>
      <c r="J22" s="5"/>
      <c r="K22" s="986" t="str">
        <f>IF(AND(kapitał!F22=0,AND(kapitał!H22=0,kapitał!J22=0)),"ukryj","odkryj")</f>
        <v>ukryj</v>
      </c>
      <c r="L22" s="8"/>
      <c r="M22" s="8"/>
      <c r="N22" s="8"/>
      <c r="U22" s="56" t="s">
        <v>8906</v>
      </c>
      <c r="W22" s="56" t="s">
        <v>8907</v>
      </c>
    </row>
    <row r="23" spans="1:23" ht="15.75" customHeight="1" x14ac:dyDescent="0.3">
      <c r="A23" s="892" t="s">
        <v>8908</v>
      </c>
      <c r="B23" s="892" t="s">
        <v>8909</v>
      </c>
      <c r="C23" s="1093"/>
      <c r="E23" s="133"/>
      <c r="F23" s="5"/>
      <c r="G23" s="143"/>
      <c r="H23" s="5"/>
      <c r="J23" s="5"/>
      <c r="K23" s="986" t="str">
        <f>IF(AND(kapitał!F23=0,AND(kapitał!H23=0,kapitał!J23=0)),"ukryj","odkryj")</f>
        <v>ukryj</v>
      </c>
      <c r="L23" s="8"/>
      <c r="M23" s="8"/>
      <c r="N23" s="8"/>
      <c r="U23" s="56" t="s">
        <v>8910</v>
      </c>
      <c r="W23" s="56" t="s">
        <v>8911</v>
      </c>
    </row>
    <row r="24" spans="1:23" ht="29.95" customHeight="1" x14ac:dyDescent="0.3">
      <c r="A24" s="135" t="s">
        <v>8912</v>
      </c>
      <c r="B24" s="135" t="s">
        <v>8913</v>
      </c>
      <c r="C24" s="1093"/>
      <c r="E24" s="133"/>
      <c r="F24" s="5"/>
      <c r="G24" s="143"/>
      <c r="H24" s="5"/>
      <c r="J24" s="5"/>
      <c r="K24" s="986" t="str">
        <f>IF(AND(kapitał!F24=0,AND(kapitał!H24=0,kapitał!J24=0)),"ukryj","odkryj")</f>
        <v>ukryj</v>
      </c>
      <c r="L24" s="8"/>
      <c r="M24" s="8"/>
      <c r="N24" s="8"/>
      <c r="U24" s="56" t="s">
        <v>8914</v>
      </c>
      <c r="W24" s="56" t="s">
        <v>8915</v>
      </c>
    </row>
    <row r="25" spans="1:23" ht="15.75" customHeight="1" x14ac:dyDescent="0.3">
      <c r="A25" s="136" t="s">
        <v>8882</v>
      </c>
      <c r="B25" s="136" t="s">
        <v>8883</v>
      </c>
      <c r="C25" s="1093"/>
      <c r="E25" s="133"/>
      <c r="F25" s="87">
        <f>kapitał!F26</f>
        <v>0</v>
      </c>
      <c r="G25" s="889"/>
      <c r="H25" s="784">
        <f>kapitał!H26</f>
        <v>0</v>
      </c>
      <c r="J25" s="784">
        <f>kapitał!J26</f>
        <v>0</v>
      </c>
      <c r="K25" s="986" t="str">
        <f>IF(AND(kapitał!F25=0,AND(kapitał!H25=0,kapitał!J25=0)),"ukryj","odkryj")</f>
        <v>ukryj</v>
      </c>
      <c r="L25" s="8"/>
      <c r="M25" s="8"/>
      <c r="N25" s="8"/>
      <c r="U25" s="56" t="s">
        <v>8916</v>
      </c>
      <c r="W25" s="56" t="s">
        <v>8917</v>
      </c>
    </row>
    <row r="26" spans="1:23" ht="15.75" customHeight="1" x14ac:dyDescent="0.3">
      <c r="A26" s="892" t="s">
        <v>8918</v>
      </c>
      <c r="B26" s="892" t="s">
        <v>8919</v>
      </c>
      <c r="C26" s="1093"/>
      <c r="E26" s="133"/>
      <c r="F26" s="5"/>
      <c r="G26" s="143"/>
      <c r="H26" s="5"/>
      <c r="J26" s="5"/>
      <c r="K26" s="986" t="str">
        <f>IF(AND(kapitał!F26=0,AND(kapitał!H26=0,kapitał!J26=0)),"ukryj","odkryj")</f>
        <v>ukryj</v>
      </c>
      <c r="L26" s="8"/>
      <c r="M26" s="8"/>
      <c r="N26" s="8"/>
      <c r="U26" s="56" t="s">
        <v>8920</v>
      </c>
      <c r="W26" s="56" t="s">
        <v>8921</v>
      </c>
    </row>
    <row r="27" spans="1:23" ht="15.75" customHeight="1" x14ac:dyDescent="0.3">
      <c r="A27" s="144" t="s">
        <v>8922</v>
      </c>
      <c r="B27" s="134" t="s">
        <v>8923</v>
      </c>
      <c r="C27" s="1093"/>
      <c r="E27" s="133"/>
      <c r="F27" s="86">
        <f>kapitał!F19+kapitał!F20</f>
        <v>0</v>
      </c>
      <c r="G27" s="143"/>
      <c r="H27" s="783">
        <f>kapitał!H19+kapitał!H20</f>
        <v>0</v>
      </c>
      <c r="J27" s="783">
        <f>kapitał!J19+kapitał!J20</f>
        <v>0</v>
      </c>
      <c r="K27" s="986" t="str">
        <f>IF(AND(kapitał!F27=0,AND(kapitał!H27=0,kapitał!J27=0)),"ukryj","odkryj")</f>
        <v>ukryj</v>
      </c>
      <c r="L27" s="8"/>
      <c r="M27" s="8"/>
      <c r="N27" s="8"/>
      <c r="U27" s="56" t="s">
        <v>8924</v>
      </c>
      <c r="W27" s="56" t="s">
        <v>8925</v>
      </c>
    </row>
    <row r="28" spans="1:23" ht="15.75" customHeight="1" x14ac:dyDescent="0.3">
      <c r="A28" s="144" t="s">
        <v>8926</v>
      </c>
      <c r="B28" s="134" t="s">
        <v>8927</v>
      </c>
      <c r="C28" s="1093"/>
      <c r="E28" s="133"/>
      <c r="F28" s="87">
        <f>kapitał!H33</f>
        <v>0</v>
      </c>
      <c r="G28" s="143"/>
      <c r="H28" s="5"/>
      <c r="J28" s="5"/>
      <c r="K28" s="986" t="str">
        <f>IF(AND(kapitał!F28=0,AND(kapitał!H28=0,kapitał!J28=0)),"ukryj","odkryj")</f>
        <v>ukryj</v>
      </c>
      <c r="L28" s="8"/>
      <c r="M28" s="8"/>
      <c r="N28" s="8"/>
      <c r="U28" s="56" t="s">
        <v>8928</v>
      </c>
      <c r="W28" s="56" t="s">
        <v>8929</v>
      </c>
    </row>
    <row r="29" spans="1:23" ht="15.75" customHeight="1" x14ac:dyDescent="0.3">
      <c r="A29" s="136" t="s">
        <v>8930</v>
      </c>
      <c r="B29" s="136" t="s">
        <v>8931</v>
      </c>
      <c r="C29" s="1093"/>
      <c r="E29" s="133"/>
      <c r="F29" s="87">
        <f>kapitał!F30+kapitał!F31</f>
        <v>0</v>
      </c>
      <c r="G29" s="143"/>
      <c r="H29" s="784">
        <f>kapitał!H30+kapitał!H31</f>
        <v>0</v>
      </c>
      <c r="J29" s="784">
        <f>kapitał!J30+kapitał!J31</f>
        <v>0</v>
      </c>
      <c r="K29" s="986" t="str">
        <f>IF(AND(kapitał!F29=0,AND(kapitał!H29=0,kapitał!J29=0)),"ukryj","odkryj")</f>
        <v>ukryj</v>
      </c>
      <c r="L29" s="8"/>
      <c r="M29" s="8"/>
      <c r="N29" s="8"/>
      <c r="U29" s="56" t="s">
        <v>8932</v>
      </c>
      <c r="W29" s="56" t="s">
        <v>8933</v>
      </c>
    </row>
    <row r="30" spans="1:23" ht="15.75" customHeight="1" x14ac:dyDescent="0.3">
      <c r="A30" s="137" t="s">
        <v>8934</v>
      </c>
      <c r="B30" s="137" t="s">
        <v>8875</v>
      </c>
      <c r="C30" s="1093"/>
      <c r="E30" s="133"/>
      <c r="F30" s="82"/>
      <c r="G30" s="143"/>
      <c r="H30" s="69"/>
      <c r="J30" s="69"/>
      <c r="K30" s="986" t="str">
        <f>IF(AND(kapitał!F30=0,AND(kapitał!H30=0,kapitał!J30=0)),"ukryj","odkryj")</f>
        <v>ukryj</v>
      </c>
      <c r="L30" s="8"/>
      <c r="M30" s="8"/>
      <c r="N30" s="8"/>
      <c r="U30" s="56" t="s">
        <v>8935</v>
      </c>
      <c r="W30" s="56" t="s">
        <v>8936</v>
      </c>
    </row>
    <row r="31" spans="1:23" ht="15.75" customHeight="1" x14ac:dyDescent="0.3">
      <c r="A31" s="137" t="s">
        <v>8937</v>
      </c>
      <c r="B31" s="137" t="s">
        <v>8883</v>
      </c>
      <c r="C31" s="1093"/>
      <c r="E31" s="133"/>
      <c r="F31" s="87">
        <f>kapitał!F32</f>
        <v>0</v>
      </c>
      <c r="G31" s="143"/>
      <c r="H31" s="784">
        <f>kapitał!H32</f>
        <v>0</v>
      </c>
      <c r="J31" s="784">
        <f>kapitał!J32</f>
        <v>0</v>
      </c>
      <c r="K31" s="986" t="str">
        <f>IF(AND(kapitał!F31=0,AND(kapitał!H31=0,kapitał!J31=0)),"ukryj","odkryj")</f>
        <v>ukryj</v>
      </c>
      <c r="L31" s="8"/>
      <c r="M31" s="8"/>
      <c r="N31" s="8"/>
      <c r="U31" s="56" t="s">
        <v>8938</v>
      </c>
      <c r="W31" s="56" t="s">
        <v>8939</v>
      </c>
    </row>
    <row r="32" spans="1:23" ht="15.75" customHeight="1" x14ac:dyDescent="0.3">
      <c r="A32" s="890" t="s">
        <v>8940</v>
      </c>
      <c r="B32" s="890" t="s">
        <v>8941</v>
      </c>
      <c r="C32" s="1093"/>
      <c r="E32" s="133"/>
      <c r="F32" s="5"/>
      <c r="G32" s="143"/>
      <c r="H32" s="5"/>
      <c r="J32" s="5"/>
      <c r="K32" s="986" t="str">
        <f>IF(AND(kapitał!F32=0,AND(kapitał!H32=0,kapitał!J32=0)),"ukryj","odkryj")</f>
        <v>ukryj</v>
      </c>
      <c r="L32" s="8"/>
      <c r="M32" s="8"/>
      <c r="N32" s="8"/>
      <c r="U32" s="56" t="s">
        <v>8942</v>
      </c>
      <c r="W32" s="56" t="s">
        <v>8943</v>
      </c>
    </row>
    <row r="33" spans="1:23" ht="15.75" customHeight="1" x14ac:dyDescent="0.3">
      <c r="A33" s="144" t="s">
        <v>8944</v>
      </c>
      <c r="B33" s="134" t="s">
        <v>8945</v>
      </c>
      <c r="C33" s="1093"/>
      <c r="E33" s="133"/>
      <c r="F33" s="86">
        <f>kapitał!F28+kapitał!F29</f>
        <v>0</v>
      </c>
      <c r="G33" s="143"/>
      <c r="H33" s="783">
        <f>kapitał!H28+kapitał!H29</f>
        <v>0</v>
      </c>
      <c r="J33" s="783">
        <f>kapitał!J28+kapitał!J29</f>
        <v>0</v>
      </c>
      <c r="K33" s="986" t="str">
        <f>IF(AND(kapitał!F33=0,AND(kapitał!H33=0,kapitał!J33=0)),"ukryj","odkryj")</f>
        <v>ukryj</v>
      </c>
      <c r="L33" s="8"/>
      <c r="M33" s="8"/>
      <c r="N33" s="8"/>
      <c r="U33" s="56" t="s">
        <v>8946</v>
      </c>
      <c r="W33" s="56" t="s">
        <v>8947</v>
      </c>
    </row>
    <row r="34" spans="1:23" ht="15.75" customHeight="1" x14ac:dyDescent="0.3">
      <c r="A34" s="144" t="s">
        <v>8948</v>
      </c>
      <c r="B34" s="134" t="s">
        <v>8949</v>
      </c>
      <c r="C34" s="1093"/>
      <c r="E34" s="133"/>
      <c r="F34" s="87">
        <f>kapitał!H38</f>
        <v>0</v>
      </c>
      <c r="G34" s="143"/>
      <c r="H34" s="5"/>
      <c r="J34" s="5"/>
      <c r="K34" s="986" t="str">
        <f>IF(AND(kapitał!F34=0,AND(kapitał!H34=0,kapitał!J34=0)),"ukryj","odkryj")</f>
        <v>ukryj</v>
      </c>
      <c r="L34" s="8"/>
      <c r="M34" s="8"/>
      <c r="N34" s="8"/>
      <c r="U34" s="56" t="s">
        <v>8950</v>
      </c>
      <c r="W34" s="56" t="s">
        <v>8951</v>
      </c>
    </row>
    <row r="35" spans="1:23" ht="15.75" customHeight="1" x14ac:dyDescent="0.3">
      <c r="A35" s="136" t="s">
        <v>8952</v>
      </c>
      <c r="B35" s="136" t="s">
        <v>8953</v>
      </c>
      <c r="C35" s="1093"/>
      <c r="E35" s="133"/>
      <c r="F35" s="87">
        <f>kapitał!F36+kapitał!F37</f>
        <v>0</v>
      </c>
      <c r="G35" s="143"/>
      <c r="H35" s="784">
        <f>kapitał!H36+kapitał!H37</f>
        <v>0</v>
      </c>
      <c r="J35" s="784">
        <f>kapitał!J36+kapitał!J37</f>
        <v>0</v>
      </c>
      <c r="K35" s="986" t="str">
        <f>IF(AND(kapitał!F35=0,AND(kapitał!H35=0,kapitał!J35=0)),"ukryj","odkryj")</f>
        <v>ukryj</v>
      </c>
      <c r="L35" s="8"/>
      <c r="M35" s="8"/>
      <c r="N35" s="8"/>
      <c r="U35" s="56" t="s">
        <v>8954</v>
      </c>
      <c r="W35" s="56" t="s">
        <v>8955</v>
      </c>
    </row>
    <row r="36" spans="1:23" ht="15.75" customHeight="1" x14ac:dyDescent="0.3">
      <c r="A36" s="137" t="s">
        <v>8934</v>
      </c>
      <c r="B36" s="137" t="s">
        <v>8875</v>
      </c>
      <c r="C36" s="1093"/>
      <c r="E36" s="133"/>
      <c r="F36" s="82"/>
      <c r="G36" s="143"/>
      <c r="H36" s="69"/>
      <c r="J36" s="69"/>
      <c r="K36" s="986" t="str">
        <f>IF(AND(kapitał!F36=0,AND(kapitał!H36=0,kapitał!J36=0)),"ukryj","odkryj")</f>
        <v>ukryj</v>
      </c>
      <c r="L36" s="8"/>
      <c r="M36" s="8"/>
      <c r="N36" s="8"/>
      <c r="U36" s="56" t="s">
        <v>8956</v>
      </c>
      <c r="W36" s="56" t="s">
        <v>8957</v>
      </c>
    </row>
    <row r="37" spans="1:23" ht="15.75" customHeight="1" x14ac:dyDescent="0.3">
      <c r="A37" s="137" t="s">
        <v>8937</v>
      </c>
      <c r="B37" s="137" t="s">
        <v>8883</v>
      </c>
      <c r="C37" s="1093"/>
      <c r="E37" s="133"/>
      <c r="F37" s="82"/>
      <c r="G37" s="143"/>
      <c r="H37" s="69"/>
      <c r="J37" s="69"/>
      <c r="K37" s="986" t="str">
        <f>IF(AND(kapitał!F37=0,AND(kapitał!H37=0,kapitał!J37=0)),"ukryj","odkryj")</f>
        <v>ukryj</v>
      </c>
      <c r="L37" s="8"/>
      <c r="M37" s="8"/>
      <c r="N37" s="8"/>
      <c r="U37" s="56" t="s">
        <v>8958</v>
      </c>
      <c r="W37" s="56" t="s">
        <v>8959</v>
      </c>
    </row>
    <row r="38" spans="1:23" ht="15.75" customHeight="1" x14ac:dyDescent="0.3">
      <c r="A38" s="134" t="s">
        <v>8960</v>
      </c>
      <c r="B38" s="134" t="s">
        <v>8961</v>
      </c>
      <c r="C38" s="1093"/>
      <c r="E38" s="133"/>
      <c r="F38" s="86">
        <f>kapitał!F34+kapitał!F35</f>
        <v>0</v>
      </c>
      <c r="G38" s="143"/>
      <c r="H38" s="783">
        <f>kapitał!H34+kapitał!H35</f>
        <v>0</v>
      </c>
      <c r="J38" s="783">
        <f>kapitał!J34+kapitał!J35</f>
        <v>0</v>
      </c>
      <c r="K38" s="986" t="str">
        <f>IF(AND(kapitał!F38=0,AND(kapitał!H38=0,kapitał!J38=0)),"ukryj","odkryj")</f>
        <v>ukryj</v>
      </c>
      <c r="L38" s="8"/>
      <c r="M38" s="8"/>
      <c r="N38" s="8"/>
      <c r="U38" s="56" t="s">
        <v>8962</v>
      </c>
      <c r="W38" s="56" t="s">
        <v>8963</v>
      </c>
    </row>
    <row r="39" spans="1:23" ht="24.9" x14ac:dyDescent="0.3">
      <c r="A39" s="134" t="s">
        <v>8964</v>
      </c>
      <c r="B39" s="144" t="s">
        <v>8965</v>
      </c>
      <c r="C39" s="1093"/>
      <c r="E39" s="133"/>
      <c r="F39" s="87">
        <f>IF(kapitał!F40&lt;&gt;0,kapitał!F40,kapitał!F48)</f>
        <v>0</v>
      </c>
      <c r="G39" s="143"/>
      <c r="H39" s="784">
        <f>IF(kapitał!H40&lt;&gt;0,kapitał!H40,kapitał!H48)</f>
        <v>0</v>
      </c>
      <c r="J39" s="784">
        <f>IF(kapitał!J40&lt;&gt;0,kapitał!J40,kapitał!J48)</f>
        <v>0</v>
      </c>
      <c r="K39" s="986" t="str">
        <f>IF(AND(kapitał!F39=0,AND(kapitał!H39=0,kapitał!J39=0)),"ukryj","odkryj")</f>
        <v>ukryj</v>
      </c>
      <c r="L39" s="8"/>
      <c r="M39" s="8"/>
      <c r="N39" s="8"/>
      <c r="U39" s="56" t="s">
        <v>8966</v>
      </c>
      <c r="W39" s="56" t="s">
        <v>8967</v>
      </c>
    </row>
    <row r="40" spans="1:23" ht="24.9" x14ac:dyDescent="0.3">
      <c r="A40" s="893" t="s">
        <v>8968</v>
      </c>
      <c r="B40" s="894" t="s">
        <v>8969</v>
      </c>
      <c r="C40" s="1093"/>
      <c r="E40" s="133"/>
      <c r="F40" s="87">
        <f>kapitał!H47</f>
        <v>0</v>
      </c>
      <c r="G40" s="143"/>
      <c r="H40" s="5"/>
      <c r="J40" s="5"/>
      <c r="K40" s="986" t="str">
        <f>IF(AND(kapitał!F40=0,AND(kapitał!H40=0,kapitał!J40=0)),"ukryj","odkryj")</f>
        <v>ukryj</v>
      </c>
      <c r="L40" s="8"/>
      <c r="M40" s="8"/>
      <c r="N40" s="8"/>
      <c r="U40" s="56" t="s">
        <v>8970</v>
      </c>
      <c r="W40" s="56" t="s">
        <v>8971</v>
      </c>
    </row>
    <row r="41" spans="1:23" ht="15.75" customHeight="1" x14ac:dyDescent="0.3">
      <c r="A41" s="895" t="s">
        <v>8972</v>
      </c>
      <c r="B41" s="895" t="s">
        <v>8855</v>
      </c>
      <c r="C41" s="1093"/>
      <c r="E41" s="133"/>
      <c r="F41" s="5"/>
      <c r="G41" s="143"/>
      <c r="H41" s="5"/>
      <c r="J41" s="5"/>
      <c r="K41" s="986" t="str">
        <f>IF(AND(kapitał!F41=0,AND(kapitał!H41=0,kapitał!J41=0)),"ukryj","odkryj")</f>
        <v>ukryj</v>
      </c>
      <c r="L41" s="8"/>
      <c r="M41" s="8"/>
      <c r="N41" s="8"/>
      <c r="U41" s="56" t="s">
        <v>8973</v>
      </c>
      <c r="W41" s="56" t="s">
        <v>8974</v>
      </c>
    </row>
    <row r="42" spans="1:23" ht="15.75" customHeight="1" x14ac:dyDescent="0.3">
      <c r="A42" s="895" t="s">
        <v>8975</v>
      </c>
      <c r="B42" s="895" t="s">
        <v>8859</v>
      </c>
      <c r="C42" s="1093"/>
      <c r="E42" s="133"/>
      <c r="F42" s="5"/>
      <c r="G42" s="143"/>
      <c r="H42" s="5"/>
      <c r="J42" s="5"/>
      <c r="K42" s="986" t="str">
        <f>IF(AND(kapitał!F42=0,AND(kapitał!H42=0,kapitał!J42=0)),"ukryj","odkryj")</f>
        <v>ukryj</v>
      </c>
      <c r="L42" s="8"/>
      <c r="M42" s="8"/>
      <c r="N42" s="8"/>
      <c r="U42" s="56" t="s">
        <v>8976</v>
      </c>
      <c r="W42" s="56" t="s">
        <v>8977</v>
      </c>
    </row>
    <row r="43" spans="1:23" ht="24.9" x14ac:dyDescent="0.3">
      <c r="A43" s="893" t="s">
        <v>8978</v>
      </c>
      <c r="B43" s="894" t="s">
        <v>8979</v>
      </c>
      <c r="C43" s="1094"/>
      <c r="D43" s="1095"/>
      <c r="E43" s="159"/>
      <c r="F43" s="88">
        <f>kapitał!F40+kapitał!F41+kapitał!F42</f>
        <v>0</v>
      </c>
      <c r="G43" s="143"/>
      <c r="H43" s="785">
        <f>kapitał!H40+kapitał!H41+kapitał!H42</f>
        <v>0</v>
      </c>
      <c r="J43" s="785">
        <f>kapitał!J40+kapitał!J41+kapitał!J42</f>
        <v>0</v>
      </c>
      <c r="K43" s="986" t="str">
        <f>IF(AND(kapitał!F43=0,AND(kapitał!H43=0,kapitał!J43=0)),"ukryj","odkryj")</f>
        <v>ukryj</v>
      </c>
      <c r="L43" s="8"/>
      <c r="M43" s="8"/>
      <c r="N43" s="8"/>
      <c r="U43" s="56" t="s">
        <v>8980</v>
      </c>
      <c r="W43" s="56" t="s">
        <v>8981</v>
      </c>
    </row>
    <row r="44" spans="1:23" ht="15.75" customHeight="1" x14ac:dyDescent="0.3">
      <c r="A44" s="137" t="s">
        <v>8934</v>
      </c>
      <c r="B44" s="137" t="s">
        <v>8875</v>
      </c>
      <c r="C44" s="1093"/>
      <c r="E44" s="133"/>
      <c r="F44" s="87">
        <f>kapitał!F45</f>
        <v>0</v>
      </c>
      <c r="G44" s="143"/>
      <c r="H44" s="784">
        <f>kapitał!H45</f>
        <v>0</v>
      </c>
      <c r="J44" s="784">
        <f>kapitał!J45</f>
        <v>0</v>
      </c>
      <c r="K44" s="986" t="str">
        <f>IF(AND(kapitał!F44=0,AND(kapitał!H44=0,kapitał!J44=0)),"ukryj","odkryj")</f>
        <v>ukryj</v>
      </c>
      <c r="L44" s="8"/>
      <c r="M44" s="8"/>
      <c r="N44" s="8"/>
      <c r="U44" s="56" t="s">
        <v>8982</v>
      </c>
      <c r="W44" s="56" t="s">
        <v>8983</v>
      </c>
    </row>
    <row r="45" spans="1:23" ht="15.75" customHeight="1" x14ac:dyDescent="0.3">
      <c r="A45" s="890" t="s">
        <v>8984</v>
      </c>
      <c r="B45" s="890" t="s">
        <v>8985</v>
      </c>
      <c r="C45" s="1093"/>
      <c r="E45" s="133"/>
      <c r="F45" s="5"/>
      <c r="G45" s="143"/>
      <c r="H45" s="5"/>
      <c r="J45" s="5"/>
      <c r="K45" s="986" t="str">
        <f>IF(AND(kapitał!F45=0,AND(kapitał!H45=0,kapitał!J45=0)),"ukryj","odkryj")</f>
        <v>ukryj</v>
      </c>
      <c r="L45" s="8"/>
      <c r="M45" s="8"/>
      <c r="N45" s="8"/>
      <c r="U45" s="56" t="s">
        <v>8986</v>
      </c>
      <c r="W45" s="56" t="s">
        <v>8987</v>
      </c>
    </row>
    <row r="46" spans="1:23" ht="15.75" customHeight="1" x14ac:dyDescent="0.3">
      <c r="A46" s="137" t="s">
        <v>8937</v>
      </c>
      <c r="B46" s="137" t="s">
        <v>8883</v>
      </c>
      <c r="C46" s="1093"/>
      <c r="E46" s="133"/>
      <c r="F46" s="82"/>
      <c r="G46" s="143"/>
      <c r="H46" s="69"/>
      <c r="J46" s="69"/>
      <c r="K46" s="986" t="str">
        <f>IF(AND(kapitał!F46=0,AND(kapitał!H46=0,kapitał!J46=0)),"ukryj","odkryj")</f>
        <v>ukryj</v>
      </c>
      <c r="L46" s="8"/>
      <c r="M46" s="8"/>
      <c r="N46" s="8"/>
      <c r="U46" s="56" t="s">
        <v>8988</v>
      </c>
      <c r="W46" s="56" t="s">
        <v>8989</v>
      </c>
    </row>
    <row r="47" spans="1:23" ht="15.75" customHeight="1" x14ac:dyDescent="0.3">
      <c r="A47" s="893" t="s">
        <v>8990</v>
      </c>
      <c r="B47" s="893" t="s">
        <v>8991</v>
      </c>
      <c r="C47" s="1093"/>
      <c r="E47" s="133"/>
      <c r="F47" s="86">
        <f>kapitał!F43+kapitał!F44+kapitał!F46</f>
        <v>0</v>
      </c>
      <c r="G47" s="143"/>
      <c r="H47" s="783">
        <f>kapitał!H43+kapitał!H44+kapitał!H46</f>
        <v>0</v>
      </c>
      <c r="J47" s="783">
        <f>kapitał!J43+kapitał!J44+kapitał!J46</f>
        <v>0</v>
      </c>
      <c r="K47" s="986" t="str">
        <f>IF(AND(kapitał!F47=0,AND(kapitał!H47=0,kapitał!J47=0)),"ukryj","odkryj")</f>
        <v>ukryj</v>
      </c>
      <c r="L47" s="8"/>
      <c r="M47" s="8"/>
      <c r="N47" s="8"/>
      <c r="U47" s="56" t="s">
        <v>8992</v>
      </c>
      <c r="W47" s="56" t="s">
        <v>8993</v>
      </c>
    </row>
    <row r="48" spans="1:23" ht="24.9" x14ac:dyDescent="0.3">
      <c r="A48" s="893" t="s">
        <v>8994</v>
      </c>
      <c r="B48" s="894" t="s">
        <v>8995</v>
      </c>
      <c r="C48" s="1093"/>
      <c r="E48" s="133"/>
      <c r="F48" s="87">
        <f>kapitał!H55</f>
        <v>0</v>
      </c>
      <c r="G48" s="143"/>
      <c r="H48" s="5"/>
      <c r="J48" s="5"/>
      <c r="K48" s="986" t="str">
        <f>IF(AND(kapitał!F48=0,AND(kapitał!H48=0,kapitał!J48=0)),"ukryj","odkryj")</f>
        <v>ukryj</v>
      </c>
      <c r="L48" s="8"/>
      <c r="M48" s="8"/>
      <c r="N48" s="8"/>
      <c r="U48" s="56" t="s">
        <v>8996</v>
      </c>
      <c r="W48" s="56" t="s">
        <v>8997</v>
      </c>
    </row>
    <row r="49" spans="1:23" ht="15.75" customHeight="1" x14ac:dyDescent="0.3">
      <c r="A49" s="895" t="s">
        <v>8972</v>
      </c>
      <c r="B49" s="895" t="s">
        <v>8855</v>
      </c>
      <c r="C49" s="1093"/>
      <c r="E49" s="133"/>
      <c r="F49" s="5"/>
      <c r="G49" s="143"/>
      <c r="H49" s="5"/>
      <c r="J49" s="5"/>
      <c r="K49" s="986" t="str">
        <f>IF(AND(kapitał!F49=0,AND(kapitał!H49=0,kapitał!J49=0)),"ukryj","odkryj")</f>
        <v>ukryj</v>
      </c>
      <c r="L49" s="8"/>
      <c r="M49" s="8"/>
      <c r="N49" s="8"/>
      <c r="U49" s="56" t="s">
        <v>8998</v>
      </c>
      <c r="W49" s="56" t="s">
        <v>8999</v>
      </c>
    </row>
    <row r="50" spans="1:23" ht="15.75" customHeight="1" x14ac:dyDescent="0.3">
      <c r="A50" s="895" t="s">
        <v>8975</v>
      </c>
      <c r="B50" s="895" t="s">
        <v>8859</v>
      </c>
      <c r="C50" s="1093"/>
      <c r="E50" s="133"/>
      <c r="F50" s="5"/>
      <c r="G50" s="143"/>
      <c r="H50" s="5"/>
      <c r="J50" s="5"/>
      <c r="K50" s="986" t="str">
        <f>IF(AND(kapitał!F50=0,AND(kapitał!H50=0,kapitał!J50=0)),"ukryj","odkryj")</f>
        <v>ukryj</v>
      </c>
      <c r="L50" s="8"/>
      <c r="M50" s="8"/>
      <c r="N50" s="8"/>
      <c r="U50" s="56" t="s">
        <v>9000</v>
      </c>
      <c r="W50" s="56" t="s">
        <v>9001</v>
      </c>
    </row>
    <row r="51" spans="1:23" ht="24.9" x14ac:dyDescent="0.3">
      <c r="A51" s="893" t="s">
        <v>9002</v>
      </c>
      <c r="B51" s="894" t="s">
        <v>9003</v>
      </c>
      <c r="C51" s="1036"/>
      <c r="D51" s="257"/>
      <c r="E51" s="56"/>
      <c r="F51" s="86">
        <f>kapitał!F48+kapitał!F49+kapitał!F50</f>
        <v>0</v>
      </c>
      <c r="G51" s="143"/>
      <c r="H51" s="783">
        <f>kapitał!H48+kapitał!H49+kapitał!H50</f>
        <v>0</v>
      </c>
      <c r="J51" s="783">
        <f>kapitał!J48+kapitał!J49+kapitał!J50</f>
        <v>0</v>
      </c>
      <c r="K51" s="986" t="str">
        <f>IF(AND(kapitał!F51=0,AND(kapitał!H51=0,kapitał!J51=0)),"ukryj","odkryj")</f>
        <v>ukryj</v>
      </c>
      <c r="L51" s="8"/>
      <c r="M51" s="8"/>
      <c r="N51" s="8"/>
      <c r="U51" s="56" t="s">
        <v>9004</v>
      </c>
      <c r="W51" s="56" t="s">
        <v>9005</v>
      </c>
    </row>
    <row r="52" spans="1:23" ht="15.75" customHeight="1" x14ac:dyDescent="0.3">
      <c r="A52" s="137" t="s">
        <v>8934</v>
      </c>
      <c r="B52" s="137" t="s">
        <v>8875</v>
      </c>
      <c r="C52" s="1093"/>
      <c r="E52" s="133"/>
      <c r="F52" s="87">
        <f>kapitał!F53</f>
        <v>0</v>
      </c>
      <c r="G52" s="143"/>
      <c r="H52" s="784">
        <f>kapitał!H53</f>
        <v>0</v>
      </c>
      <c r="J52" s="784">
        <f>kapitał!J53</f>
        <v>0</v>
      </c>
      <c r="K52" s="986" t="str">
        <f>IF(AND(kapitał!F52=0,AND(kapitał!H52=0,kapitał!J52=0)),"ukryj","odkryj")</f>
        <v>ukryj</v>
      </c>
      <c r="L52" s="8"/>
      <c r="M52" s="8"/>
      <c r="N52" s="8"/>
      <c r="U52" s="56" t="s">
        <v>9006</v>
      </c>
      <c r="W52" s="56" t="s">
        <v>9007</v>
      </c>
    </row>
    <row r="53" spans="1:23" ht="15.75" customHeight="1" x14ac:dyDescent="0.3">
      <c r="A53" s="890" t="s">
        <v>9008</v>
      </c>
      <c r="B53" s="890" t="s">
        <v>9009</v>
      </c>
      <c r="C53" s="1093"/>
      <c r="E53" s="133"/>
      <c r="F53" s="5"/>
      <c r="G53" s="143"/>
      <c r="H53" s="5"/>
      <c r="J53" s="5"/>
      <c r="K53" s="986" t="str">
        <f>IF(AND(kapitał!F53=0,AND(kapitał!H53=0,kapitał!J53=0)),"ukryj","odkryj")</f>
        <v>ukryj</v>
      </c>
      <c r="L53" s="8"/>
      <c r="M53" s="8"/>
      <c r="N53" s="8"/>
      <c r="U53" s="56" t="s">
        <v>9010</v>
      </c>
      <c r="W53" s="56" t="s">
        <v>9011</v>
      </c>
    </row>
    <row r="54" spans="1:23" ht="15.75" customHeight="1" x14ac:dyDescent="0.3">
      <c r="A54" s="137" t="s">
        <v>8937</v>
      </c>
      <c r="B54" s="137" t="s">
        <v>8883</v>
      </c>
      <c r="C54" s="1093"/>
      <c r="F54" s="82"/>
      <c r="G54" s="143"/>
      <c r="H54" s="69"/>
      <c r="J54" s="69"/>
      <c r="K54" s="986" t="str">
        <f>IF(AND(kapitał!F54=0,AND(kapitał!H54=0,kapitał!J54=0)),"ukryj","odkryj")</f>
        <v>ukryj</v>
      </c>
      <c r="L54" s="8"/>
      <c r="M54" s="8"/>
      <c r="N54" s="8"/>
      <c r="U54" s="56" t="s">
        <v>9012</v>
      </c>
      <c r="W54" s="56" t="s">
        <v>9013</v>
      </c>
    </row>
    <row r="55" spans="1:23" ht="15.75" customHeight="1" x14ac:dyDescent="0.3">
      <c r="A55" s="893" t="s">
        <v>9014</v>
      </c>
      <c r="B55" s="894" t="s">
        <v>9015</v>
      </c>
      <c r="C55" s="1093"/>
      <c r="F55" s="86">
        <f>kapitał!F51+kapitał!F52+kapitał!F54</f>
        <v>0</v>
      </c>
      <c r="G55" s="143"/>
      <c r="H55" s="783">
        <f>kapitał!H51+kapitał!H52+kapitał!H54</f>
        <v>0</v>
      </c>
      <c r="J55" s="784">
        <f>kapitał!J51+kapitał!J52+kapitał!J54</f>
        <v>0</v>
      </c>
      <c r="K55" s="986" t="str">
        <f>IF(AND(kapitał!F55=0,AND(kapitał!H55=0,kapitał!J55=0)),"ukryj","odkryj")</f>
        <v>ukryj</v>
      </c>
      <c r="L55" s="8"/>
      <c r="M55" s="8"/>
      <c r="N55" s="8"/>
      <c r="U55" s="56" t="s">
        <v>9016</v>
      </c>
      <c r="W55" s="56" t="s">
        <v>9017</v>
      </c>
    </row>
    <row r="56" spans="1:23" ht="24.9" x14ac:dyDescent="0.3">
      <c r="A56" s="134" t="s">
        <v>9018</v>
      </c>
      <c r="B56" s="144" t="s">
        <v>9019</v>
      </c>
      <c r="C56" s="1093"/>
      <c r="F56" s="86">
        <f>IF(kapitał!F47&lt;&gt;0,kapitał!F47,kapitał!F55)</f>
        <v>0</v>
      </c>
      <c r="G56" s="143"/>
      <c r="H56" s="783">
        <f>IF(kapitał!H47&lt;&gt;0,kapitał!H47,kapitał!H55)</f>
        <v>0</v>
      </c>
      <c r="J56" s="783">
        <f>IF(kapitał!J47&lt;&gt;0,kapitał!J47,kapitał!J55)</f>
        <v>0</v>
      </c>
      <c r="K56" s="986" t="str">
        <f>IF(AND(kapitał!F56=0,AND(kapitał!H56=0,kapitał!J56=0)),"ukryj","odkryj")</f>
        <v>ukryj</v>
      </c>
      <c r="L56" s="8"/>
      <c r="M56" s="8"/>
      <c r="N56" s="8"/>
      <c r="U56" s="56" t="s">
        <v>9020</v>
      </c>
      <c r="W56" s="56" t="s">
        <v>9021</v>
      </c>
    </row>
    <row r="57" spans="1:23" ht="15.75" customHeight="1" x14ac:dyDescent="0.3">
      <c r="A57" s="134" t="s">
        <v>9022</v>
      </c>
      <c r="B57" s="134" t="s">
        <v>9023</v>
      </c>
      <c r="C57" s="1093"/>
      <c r="F57" s="89">
        <f>kapitał!F58+kapitał!F59+kapitał!F60</f>
        <v>0</v>
      </c>
      <c r="G57" s="143"/>
      <c r="H57" s="786">
        <f>kapitał!H58+kapitał!H59+kapitał!H60</f>
        <v>0</v>
      </c>
      <c r="J57" s="786">
        <f>kapitał!J58+kapitał!J59+kapitał!J60</f>
        <v>0</v>
      </c>
      <c r="K57" s="986" t="str">
        <f>IF(AND(kapitał!F57=0,AND(kapitał!H57=0,kapitał!J57=0)),"ukryj","odkryj")</f>
        <v>ukryj</v>
      </c>
      <c r="L57" s="8"/>
      <c r="M57" s="8"/>
      <c r="N57" s="8"/>
      <c r="U57" s="56" t="s">
        <v>9024</v>
      </c>
      <c r="W57" s="56" t="s">
        <v>9025</v>
      </c>
    </row>
    <row r="58" spans="1:23" ht="15.75" customHeight="1" x14ac:dyDescent="0.3">
      <c r="A58" s="136" t="s">
        <v>9026</v>
      </c>
      <c r="B58" s="136" t="s">
        <v>9027</v>
      </c>
      <c r="C58" s="1096"/>
      <c r="D58" s="184"/>
      <c r="F58" s="89">
        <f>IF(rzis!F58&gt;0,rzis!F58,0)</f>
        <v>0</v>
      </c>
      <c r="G58" s="143"/>
      <c r="H58" s="786">
        <f>IF(rzis!H58&gt;0,rzis!H58,0)</f>
        <v>0</v>
      </c>
      <c r="J58" s="786">
        <f>IF(rzis!J58&gt;0,rzis!J58,0)</f>
        <v>0</v>
      </c>
      <c r="K58" s="986" t="str">
        <f>IF(AND(kapitał!F58=0,AND(kapitał!H58=0,kapitał!J58=0)),"ukryj","odkryj")</f>
        <v>ukryj</v>
      </c>
      <c r="L58" s="8"/>
      <c r="M58" s="8"/>
      <c r="N58" s="8"/>
      <c r="U58" s="56" t="s">
        <v>9028</v>
      </c>
      <c r="W58" s="56" t="s">
        <v>9029</v>
      </c>
    </row>
    <row r="59" spans="1:23" ht="15.75" customHeight="1" x14ac:dyDescent="0.3">
      <c r="A59" s="136" t="s">
        <v>9030</v>
      </c>
      <c r="B59" s="136" t="s">
        <v>9031</v>
      </c>
      <c r="C59" s="1093"/>
      <c r="F59" s="89">
        <f>IF(rzis!F58&lt;0,rzis!F58,0)</f>
        <v>0</v>
      </c>
      <c r="G59" s="143"/>
      <c r="H59" s="786">
        <f>IF(rzis!H58&lt;0,rzis!H58,0)</f>
        <v>0</v>
      </c>
      <c r="J59" s="786">
        <f>IF(rzis!J58&lt;0,rzis!J58,0)</f>
        <v>0</v>
      </c>
      <c r="K59" s="986" t="str">
        <f>IF(AND(kapitał!F59=0,AND(kapitał!H59=0,kapitał!J59=0)),"ukryj","odkryj")</f>
        <v>ukryj</v>
      </c>
      <c r="L59" s="8"/>
      <c r="M59" s="8"/>
      <c r="N59" s="8"/>
      <c r="U59" s="56" t="s">
        <v>9032</v>
      </c>
      <c r="W59" s="56" t="s">
        <v>9033</v>
      </c>
    </row>
    <row r="60" spans="1:23" ht="15.75" customHeight="1" x14ac:dyDescent="0.3">
      <c r="A60" s="136" t="s">
        <v>9034</v>
      </c>
      <c r="B60" s="136" t="s">
        <v>9035</v>
      </c>
      <c r="C60" s="1093"/>
      <c r="F60" s="5"/>
      <c r="G60" s="143"/>
      <c r="H60" s="5"/>
      <c r="J60" s="5"/>
      <c r="K60" s="986" t="str">
        <f>IF(AND(kapitał!F60=0,AND(kapitał!H60=0,kapitał!J60=0)),"ukryj","odkryj")</f>
        <v>ukryj</v>
      </c>
      <c r="L60" s="8"/>
      <c r="M60" s="8"/>
      <c r="N60" s="8"/>
      <c r="U60" s="56" t="s">
        <v>9036</v>
      </c>
      <c r="W60" s="56" t="s">
        <v>9037</v>
      </c>
    </row>
    <row r="61" spans="1:23" ht="15.75" customHeight="1" x14ac:dyDescent="0.3">
      <c r="A61" s="134" t="s">
        <v>9038</v>
      </c>
      <c r="B61" s="134" t="s">
        <v>9039</v>
      </c>
      <c r="C61" s="1093"/>
      <c r="F61" s="87">
        <f>ROUND(kapitał!F18,2)+ROUND(kapitał!F27,2)+ROUND(kapitał!F33,2)+ROUND(kapitał!F38,2)+ROUND(kapitał!F56,2)+ROUND(kapitał!F57,2)</f>
        <v>0</v>
      </c>
      <c r="G61" s="143"/>
      <c r="H61" s="784">
        <f>ROUND(kapitał!H18,2)+ROUND(kapitał!H27,2)+ROUND(kapitał!H33,2)+ROUND(kapitał!H38,2)+ROUND(kapitał!H56,2)+ROUND(kapitał!H57,2)</f>
        <v>0</v>
      </c>
      <c r="J61" s="784">
        <f>kapitał!J18+kapitał!J27+kapitał!J33+kapitał!J38+kapitał!J56+kapitał!J57</f>
        <v>0</v>
      </c>
      <c r="K61" s="986" t="str">
        <f>IF(AND(kapitał!F61=0,AND(kapitał!H61=0,kapitał!J61=0)),"ukryj","odkryj")</f>
        <v>ukryj</v>
      </c>
      <c r="L61" s="142" t="str">
        <f>IF(F61-H61&gt;0,"zwiększenie","zmniejszenie")</f>
        <v>zmniejszenie</v>
      </c>
      <c r="M61" s="142" t="str">
        <f>IF(F61-H61&gt;0,"increase","decrease")</f>
        <v>decrease</v>
      </c>
      <c r="U61" s="56" t="s">
        <v>9040</v>
      </c>
      <c r="W61" s="56" t="s">
        <v>9041</v>
      </c>
    </row>
    <row r="62" spans="1:23" ht="29.95" customHeight="1" x14ac:dyDescent="0.3">
      <c r="A62" s="896" t="s">
        <v>9042</v>
      </c>
      <c r="B62" s="896" t="s">
        <v>9043</v>
      </c>
      <c r="C62" s="1097"/>
      <c r="D62" s="1098"/>
      <c r="E62" s="28"/>
      <c r="F62" s="5"/>
      <c r="G62" s="28"/>
      <c r="H62" s="5"/>
      <c r="J62" s="5"/>
      <c r="K62" s="986" t="str">
        <f>IF(AND(kapitał!F62=0,AND(kapitał!H62=0,kapitał!J62=0)),"ukryj","odkryj")</f>
        <v>ukryj</v>
      </c>
      <c r="M62" s="142"/>
      <c r="U62" s="56" t="s">
        <v>9044</v>
      </c>
      <c r="W62" s="56" t="s">
        <v>9045</v>
      </c>
    </row>
    <row r="63" spans="1:23" ht="15.75" customHeight="1" x14ac:dyDescent="0.3">
      <c r="A63" s="897"/>
      <c r="B63" s="897"/>
      <c r="C63" s="1098"/>
      <c r="D63" s="1098"/>
      <c r="E63" s="28"/>
      <c r="F63" s="28"/>
      <c r="G63" s="28"/>
    </row>
    <row r="64" spans="1:23" ht="15.75" customHeight="1" x14ac:dyDescent="0.3">
      <c r="A64" s="897"/>
      <c r="B64" s="897"/>
      <c r="F64" s="57"/>
      <c r="G64" s="57"/>
      <c r="H64" s="57"/>
      <c r="J64" s="57"/>
    </row>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sheetData>
  <sheetProtection formatCells="0" formatColumns="0" formatRows="0" sort="0" autoFilter="0"/>
  <protectedRanges>
    <protectedRange sqref="B2:J5 B6:I6 F65:J1048576 F61:J62 B65:E1048576 B7:J10 B11:E11 G11:J11 B60:J60 B57:E59 G57:J59 B12:J56 B61:E64 F64:J64" name="Range1"/>
    <protectedRange sqref="J6" name="Range1_1"/>
    <protectedRange sqref="F11" name="Range1_2"/>
    <protectedRange sqref="F57" name="Range1_3"/>
    <protectedRange sqref="F58:F59" name="Range1_4"/>
  </protectedRanges>
  <autoFilter ref="K2:K64" xr:uid="{00000000-0009-0000-0000-000010000000}"/>
  <conditionalFormatting sqref="D7:D160">
    <cfRule type="cellIs" dxfId="17" priority="3" stopIfTrue="1" operator="notEqual">
      <formula>""</formula>
    </cfRule>
  </conditionalFormatting>
  <conditionalFormatting sqref="C7:C160">
    <cfRule type="cellIs" dxfId="16" priority="2" stopIfTrue="1" operator="notEqual">
      <formula>""</formula>
    </cfRule>
  </conditionalFormatting>
  <conditionalFormatting sqref="A1:B1048576">
    <cfRule type="expression" dxfId="15" priority="1" stopIfTrue="1">
      <formula>$K1="ukryj"</formula>
    </cfRule>
  </conditionalFormatting>
  <printOptions horizontalCentered="1"/>
  <pageMargins left="0.70866141732283472" right="0.70866141732283472" top="0.74803149606299213" bottom="0.74803149606299213" header="0.31496062992125984" footer="0.31496062992125984"/>
  <pageSetup paperSize="9" scale="90" fitToWidth="2" fitToHeight="2" orientation="portrait"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91" r:id="rId4" name="Dodaj pozycję użytkownika">
              <controlPr defaultSize="0" print="0" autoFill="0" autoPict="0" macro="[0]!Wezwij_Dodaj_PU">
                <anchor>
                  <from>
                    <xdr:col>0</xdr:col>
                    <xdr:colOff>41564</xdr:colOff>
                    <xdr:row>0</xdr:row>
                    <xdr:rowOff>41564</xdr:rowOff>
                  </from>
                  <to>
                    <xdr:col>0</xdr:col>
                    <xdr:colOff>1064029</xdr:colOff>
                    <xdr:row>0</xdr:row>
                    <xdr:rowOff>507076</xdr:rowOff>
                  </to>
                </anchor>
              </controlPr>
            </control>
          </mc:Choice>
        </mc:AlternateContent>
        <mc:AlternateContent xmlns:mc="http://schemas.openxmlformats.org/markup-compatibility/2006">
          <mc:Choice Requires="x14">
            <control shapeId="89092" r:id="rId5" name="Usuń pozycję użytkownika">
              <controlPr defaultSize="0" print="0" autoFill="0" autoPict="0" macro="[0]!Wezwij_Usun_PU">
                <anchor>
                  <from>
                    <xdr:col>0</xdr:col>
                    <xdr:colOff>1080655</xdr:colOff>
                    <xdr:row>0</xdr:row>
                    <xdr:rowOff>41564</xdr:rowOff>
                  </from>
                  <to>
                    <xdr:col>0</xdr:col>
                    <xdr:colOff>2094807</xdr:colOff>
                    <xdr:row>0</xdr:row>
                    <xdr:rowOff>507076</xdr:rowOff>
                  </to>
                </anchor>
              </controlPr>
            </control>
          </mc:Choice>
        </mc:AlternateContent>
        <mc:AlternateContent xmlns:mc="http://schemas.openxmlformats.org/markup-compatibility/2006">
          <mc:Choice Requires="x14">
            <control shapeId="89093" r:id="rId6" name="Odkryj wszystkie wiersze">
              <controlPr defaultSize="0" print="0" autoFill="0" autoPict="0" macro="[0]!filtr_Odkryj">
                <anchor moveWithCells="1">
                  <from>
                    <xdr:col>11</xdr:col>
                    <xdr:colOff>532015</xdr:colOff>
                    <xdr:row>0</xdr:row>
                    <xdr:rowOff>41564</xdr:rowOff>
                  </from>
                  <to>
                    <xdr:col>13</xdr:col>
                    <xdr:colOff>58189</xdr:colOff>
                    <xdr:row>0</xdr:row>
                    <xdr:rowOff>507076</xdr:rowOff>
                  </to>
                </anchor>
              </controlPr>
            </control>
          </mc:Choice>
        </mc:AlternateContent>
        <mc:AlternateContent xmlns:mc="http://schemas.openxmlformats.org/markup-compatibility/2006">
          <mc:Choice Requires="x14">
            <control shapeId="89094" r:id="rId7" name="Ukryj wszystkie wiersze">
              <controlPr defaultSize="0" print="0" autoFill="0" autoPict="0" macro="[0]!Formuly.filtr_Ukryj_Arkusz">
                <anchor moveWithCells="1">
                  <from>
                    <xdr:col>9</xdr:col>
                    <xdr:colOff>0</xdr:colOff>
                    <xdr:row>0</xdr:row>
                    <xdr:rowOff>41564</xdr:rowOff>
                  </from>
                  <to>
                    <xdr:col>11</xdr:col>
                    <xdr:colOff>515389</xdr:colOff>
                    <xdr:row>0</xdr:row>
                    <xdr:rowOff>507076</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W110"/>
  <sheetViews>
    <sheetView view="pageBreakPreview" zoomScaleNormal="100" zoomScaleSheetLayoutView="100" workbookViewId="0">
      <pane ySplit="1" topLeftCell="A2" activePane="bottomLeft" state="frozen"/>
      <selection pane="bottomLeft"/>
    </sheetView>
  </sheetViews>
  <sheetFormatPr defaultColWidth="0" defaultRowHeight="15.75" zeroHeight="1" x14ac:dyDescent="0.3"/>
  <cols>
    <col min="1" max="2" width="42.44140625" style="56" customWidth="1"/>
    <col min="3" max="3" width="7.44140625" style="370" customWidth="1"/>
    <col min="4" max="4" width="5" style="1089" customWidth="1"/>
    <col min="5" max="5" width="2.6640625" style="53" customWidth="1"/>
    <col min="6" max="6" width="17.6640625" style="166" customWidth="1"/>
    <col min="7" max="7" width="2.109375" style="166" customWidth="1"/>
    <col min="8" max="8" width="17.6640625" style="166" customWidth="1"/>
    <col min="9" max="9" width="2.109375" customWidth="1"/>
    <col min="10" max="10" width="19.44140625" style="166" hidden="1" customWidth="1"/>
    <col min="11" max="11" width="16.5546875" style="898" customWidth="1"/>
    <col min="12" max="13" width="11.44140625" style="56" customWidth="1"/>
    <col min="14" max="14" width="111.44140625" style="56" customWidth="1"/>
    <col min="15" max="23" width="0" style="56" hidden="1" customWidth="1"/>
    <col min="24" max="16384" width="11.44140625" style="56" hidden="1"/>
  </cols>
  <sheetData>
    <row r="1" spans="1:23" ht="47.95" customHeight="1" x14ac:dyDescent="0.3"/>
    <row r="2" spans="1:23" ht="15.75" customHeight="1" x14ac:dyDescent="0.3">
      <c r="A2" s="244" t="str">
        <f>UPPER(Input!C2)</f>
        <v>TESTOWA 185 SP. Z O.O.</v>
      </c>
      <c r="B2" s="244" t="str">
        <f>UPPER(Input!C2)</f>
        <v>TESTOWA 185 SP. Z O.O.</v>
      </c>
      <c r="K2" s="988" t="s">
        <v>5070</v>
      </c>
    </row>
    <row r="3" spans="1:23" ht="15.75" customHeight="1" x14ac:dyDescent="0.3">
      <c r="A3" s="185" t="s">
        <v>9046</v>
      </c>
      <c r="B3" s="185" t="s">
        <v>9047</v>
      </c>
      <c r="K3" s="988" t="s">
        <v>5070</v>
      </c>
    </row>
    <row r="4" spans="1:23" ht="15.75" customHeight="1" x14ac:dyDescent="0.3">
      <c r="A4" s="257" t="str">
        <f>_aktywa!A4</f>
        <v>(wszystkie dane liczbowe przedstawiono w złotych polskich)</v>
      </c>
      <c r="B4" s="257" t="str">
        <f>_aktywa!B4</f>
        <v>(All amounts are stated in PLN)</v>
      </c>
      <c r="K4" s="988" t="s">
        <v>5070</v>
      </c>
    </row>
    <row r="5" spans="1:23" ht="15.75" customHeight="1" x14ac:dyDescent="0.3">
      <c r="A5" s="160"/>
      <c r="B5" s="160"/>
      <c r="K5" s="988" t="s">
        <v>5070</v>
      </c>
      <c r="L5" s="8"/>
      <c r="M5" s="8"/>
      <c r="N5" s="8"/>
    </row>
    <row r="6" spans="1:23" ht="34.549999999999997" customHeight="1" x14ac:dyDescent="0.3">
      <c r="A6" s="96"/>
      <c r="B6" s="96"/>
      <c r="C6" s="1092" t="s">
        <v>7943</v>
      </c>
      <c r="D6" s="1092" t="s">
        <v>7944</v>
      </c>
      <c r="E6" s="161"/>
      <c r="F6" s="899" t="str">
        <f>CONCATENATE(Input!P6," -",Input!P7)</f>
        <v>01.01.2020 -31.12.2020</v>
      </c>
      <c r="G6" s="167"/>
      <c r="H6" s="899" t="str">
        <f>CONCATENATE(Input!P10," -",Input!P11)</f>
        <v>01.01.2019 -31.12.2019</v>
      </c>
      <c r="I6" s="883"/>
      <c r="J6" s="899" t="str">
        <f>Input!P11&amp;" 
Dane przekształcone"</f>
        <v>31.12.2019 
Dane przekształcone</v>
      </c>
      <c r="K6" s="988" t="s">
        <v>5070</v>
      </c>
      <c r="L6" s="8"/>
      <c r="M6" s="8"/>
      <c r="N6" s="8"/>
    </row>
    <row r="7" spans="1:23" ht="15.75" customHeight="1" x14ac:dyDescent="0.3">
      <c r="A7" s="93"/>
      <c r="B7" s="93"/>
      <c r="C7" s="1075"/>
      <c r="D7" s="1081"/>
      <c r="E7" s="161"/>
      <c r="F7" s="167"/>
      <c r="G7" s="167"/>
      <c r="H7" s="167"/>
      <c r="J7" s="167"/>
      <c r="K7" s="988" t="s">
        <v>5070</v>
      </c>
      <c r="L7" s="8"/>
      <c r="M7" s="8"/>
      <c r="N7" s="8"/>
    </row>
    <row r="8" spans="1:23" ht="15.75" customHeight="1" x14ac:dyDescent="0.3">
      <c r="A8" s="134" t="s">
        <v>9048</v>
      </c>
      <c r="B8" s="134" t="s">
        <v>9049</v>
      </c>
      <c r="C8" s="1079"/>
      <c r="D8" s="1080"/>
      <c r="E8" s="58"/>
      <c r="F8" s="169">
        <f>przepływy!F21</f>
        <v>0</v>
      </c>
      <c r="G8"/>
      <c r="H8" s="169">
        <f>przepływy!H21</f>
        <v>0</v>
      </c>
      <c r="J8" s="169">
        <f>przepływy!J21</f>
        <v>0</v>
      </c>
      <c r="K8" s="986" t="s">
        <v>5070</v>
      </c>
      <c r="L8" s="8"/>
      <c r="M8" s="8"/>
      <c r="N8" s="8"/>
      <c r="U8" s="56" t="s">
        <v>9050</v>
      </c>
      <c r="W8" s="56" t="s">
        <v>9051</v>
      </c>
    </row>
    <row r="9" spans="1:23" ht="15.75" customHeight="1" x14ac:dyDescent="0.3">
      <c r="A9" s="136" t="s">
        <v>8327</v>
      </c>
      <c r="B9" s="136" t="s">
        <v>8328</v>
      </c>
      <c r="C9" s="1077"/>
      <c r="D9" s="1080" t="str">
        <f>IF(C9="","",C9)</f>
        <v/>
      </c>
      <c r="E9" s="58"/>
      <c r="F9" s="89">
        <f>rzis!F58</f>
        <v>0</v>
      </c>
      <c r="G9" s="147"/>
      <c r="H9" s="89">
        <f>rzis!H58</f>
        <v>0</v>
      </c>
      <c r="J9" s="89">
        <f>rzis!J58</f>
        <v>0</v>
      </c>
      <c r="K9" s="986" t="str">
        <f>IF(AND(przepływy!F9=0,AND(przepływy!H9=0,przepływy!J9=0)),"ukryj","odkryj")</f>
        <v>ukryj</v>
      </c>
      <c r="L9" s="1029"/>
      <c r="M9" s="8"/>
      <c r="N9" s="8"/>
      <c r="U9" s="56" t="s">
        <v>9052</v>
      </c>
      <c r="W9" s="56" t="s">
        <v>9053</v>
      </c>
    </row>
    <row r="10" spans="1:23" ht="15.75" customHeight="1" x14ac:dyDescent="0.3">
      <c r="A10" s="136" t="s">
        <v>9054</v>
      </c>
      <c r="B10" s="136" t="s">
        <v>9055</v>
      </c>
      <c r="C10" s="1079"/>
      <c r="D10" s="1080" t="str">
        <f t="shared" ref="D10:D67" si="0">IF(C10="","",C10)</f>
        <v/>
      </c>
      <c r="E10" s="58"/>
      <c r="F10" s="91">
        <f>przepływy!F11+przepływy!F12+przepływy!F13+przepływy!F14+przepływy!F15+przepływy!F16+przepływy!F17+przepływy!F18+przepływy!F19+przepływy!F20</f>
        <v>0</v>
      </c>
      <c r="G10" s="147"/>
      <c r="H10" s="91">
        <f>przepływy!H11+przepływy!H12+przepływy!H13+przepływy!H14+przepływy!H15+przepływy!H16+przepływy!H17+przepływy!H18+przepływy!H19+przepływy!H20</f>
        <v>0</v>
      </c>
      <c r="J10" s="91">
        <f>przepływy!J11+przepływy!J12+przepływy!J13+przepływy!J14+przepływy!J15+przepływy!J16+przepływy!J17+przepływy!J17+przepływy!J19+przepływy!J20</f>
        <v>0</v>
      </c>
      <c r="K10" s="986" t="str">
        <f>IF(AND(przepływy!F10=0,AND(przepływy!H10=0,przepływy!J10=0)),"ukryj","odkryj")</f>
        <v>ukryj</v>
      </c>
      <c r="L10" s="8"/>
      <c r="M10" s="8"/>
      <c r="N10" s="8"/>
      <c r="U10" s="56" t="s">
        <v>9056</v>
      </c>
      <c r="W10" s="56" t="s">
        <v>9057</v>
      </c>
    </row>
    <row r="11" spans="1:23" ht="15.75" customHeight="1" x14ac:dyDescent="0.3">
      <c r="A11" s="137" t="s">
        <v>8546</v>
      </c>
      <c r="B11" s="137" t="s">
        <v>9058</v>
      </c>
      <c r="C11" s="1079"/>
      <c r="D11" s="1080" t="str">
        <f t="shared" si="0"/>
        <v/>
      </c>
      <c r="E11" s="29"/>
      <c r="F11" s="83"/>
      <c r="G11" s="147"/>
      <c r="H11" s="83"/>
      <c r="J11" s="83"/>
      <c r="K11" s="986" t="str">
        <f>IF(AND(przepływy!F11=0,AND(przepływy!H11=0,przepływy!J11=0)),"ukryj","odkryj")</f>
        <v>ukryj</v>
      </c>
      <c r="L11" s="8"/>
      <c r="M11" s="8"/>
      <c r="N11" s="8"/>
      <c r="U11" s="56" t="s">
        <v>9059</v>
      </c>
      <c r="W11" s="56" t="s">
        <v>9060</v>
      </c>
    </row>
    <row r="12" spans="1:23" ht="15.75" customHeight="1" x14ac:dyDescent="0.3">
      <c r="A12" s="137" t="s">
        <v>9061</v>
      </c>
      <c r="B12" s="137" t="s">
        <v>9062</v>
      </c>
      <c r="C12" s="1079"/>
      <c r="D12" s="1080" t="str">
        <f t="shared" si="0"/>
        <v/>
      </c>
      <c r="E12" s="29"/>
      <c r="F12" s="83"/>
      <c r="G12" s="147"/>
      <c r="H12" s="83"/>
      <c r="J12" s="83"/>
      <c r="K12" s="986" t="str">
        <f>IF(AND(przepływy!F12=0,AND(przepływy!H12=0,przepływy!J12=0)),"ukryj","odkryj")</f>
        <v>ukryj</v>
      </c>
      <c r="L12" s="8"/>
      <c r="M12" s="8"/>
      <c r="N12" s="8"/>
      <c r="U12" s="56" t="s">
        <v>9063</v>
      </c>
      <c r="W12" s="56" t="s">
        <v>9064</v>
      </c>
    </row>
    <row r="13" spans="1:23" ht="15.75" customHeight="1" x14ac:dyDescent="0.3">
      <c r="A13" s="137" t="s">
        <v>9065</v>
      </c>
      <c r="B13" s="137" t="s">
        <v>9066</v>
      </c>
      <c r="C13" s="1079"/>
      <c r="D13" s="1080" t="str">
        <f t="shared" si="0"/>
        <v/>
      </c>
      <c r="E13" s="29"/>
      <c r="F13" s="83"/>
      <c r="G13" s="147"/>
      <c r="H13" s="83"/>
      <c r="J13" s="83"/>
      <c r="K13" s="986" t="str">
        <f>IF(AND(przepływy!F13=0,AND(przepływy!H13=0,przepływy!J13=0)),"ukryj","odkryj")</f>
        <v>ukryj</v>
      </c>
      <c r="L13" s="8"/>
      <c r="M13" s="8"/>
      <c r="N13" s="8"/>
      <c r="U13" s="56" t="s">
        <v>9067</v>
      </c>
      <c r="W13" s="56" t="s">
        <v>9068</v>
      </c>
    </row>
    <row r="14" spans="1:23" ht="15.75" customHeight="1" x14ac:dyDescent="0.3">
      <c r="A14" s="137" t="s">
        <v>9069</v>
      </c>
      <c r="B14" s="137" t="s">
        <v>9070</v>
      </c>
      <c r="C14" s="1079"/>
      <c r="D14" s="1080" t="str">
        <f t="shared" si="0"/>
        <v/>
      </c>
      <c r="E14" s="29"/>
      <c r="F14" s="83"/>
      <c r="G14" s="147"/>
      <c r="H14" s="83"/>
      <c r="J14" s="83"/>
      <c r="K14" s="986" t="str">
        <f>IF(AND(przepływy!F14=0,AND(przepływy!H14=0,przepływy!J14=0)),"ukryj","odkryj")</f>
        <v>ukryj</v>
      </c>
      <c r="L14" s="8"/>
      <c r="M14" s="8"/>
      <c r="N14" s="8"/>
      <c r="U14" s="56" t="s">
        <v>9071</v>
      </c>
      <c r="W14" s="56" t="s">
        <v>9072</v>
      </c>
    </row>
    <row r="15" spans="1:23" ht="15.75" customHeight="1" x14ac:dyDescent="0.3">
      <c r="A15" s="137" t="s">
        <v>9073</v>
      </c>
      <c r="B15" s="137" t="s">
        <v>9074</v>
      </c>
      <c r="C15" s="1079"/>
      <c r="D15" s="1080" t="str">
        <f t="shared" si="0"/>
        <v/>
      </c>
      <c r="E15" s="29"/>
      <c r="F15" s="83"/>
      <c r="G15" s="147"/>
      <c r="H15" s="782"/>
      <c r="J15" s="782"/>
      <c r="K15" s="986" t="str">
        <f>IF(AND(przepływy!F15=0,AND(przepływy!H15=0,przepływy!J15=0)),"ukryj","odkryj")</f>
        <v>ukryj</v>
      </c>
      <c r="L15" s="8"/>
      <c r="M15" s="8"/>
      <c r="N15" s="8"/>
      <c r="U15" s="56" t="s">
        <v>9075</v>
      </c>
      <c r="W15" s="56" t="s">
        <v>9076</v>
      </c>
    </row>
    <row r="16" spans="1:23" ht="15.75" customHeight="1" x14ac:dyDescent="0.3">
      <c r="A16" s="137" t="s">
        <v>9077</v>
      </c>
      <c r="B16" s="137" t="s">
        <v>9078</v>
      </c>
      <c r="C16" s="1079"/>
      <c r="D16" s="1080" t="str">
        <f t="shared" si="0"/>
        <v/>
      </c>
      <c r="E16" s="29"/>
      <c r="F16" s="83"/>
      <c r="G16" s="147"/>
      <c r="H16" s="782"/>
      <c r="J16" s="782"/>
      <c r="K16" s="986" t="str">
        <f>IF(AND(przepływy!F16=0,AND(przepływy!H16=0,przepływy!J16=0)),"ukryj","odkryj")</f>
        <v>ukryj</v>
      </c>
      <c r="L16" s="8"/>
      <c r="M16" s="8"/>
      <c r="N16" s="8"/>
      <c r="U16" s="56" t="s">
        <v>9079</v>
      </c>
      <c r="W16" s="56" t="s">
        <v>9080</v>
      </c>
    </row>
    <row r="17" spans="1:23" ht="15.75" customHeight="1" x14ac:dyDescent="0.3">
      <c r="A17" s="137" t="s">
        <v>9081</v>
      </c>
      <c r="B17" s="137" t="s">
        <v>9082</v>
      </c>
      <c r="C17" s="1079"/>
      <c r="D17" s="1080" t="str">
        <f t="shared" si="0"/>
        <v/>
      </c>
      <c r="E17" s="29"/>
      <c r="F17" s="83"/>
      <c r="G17" s="147"/>
      <c r="H17" s="83"/>
      <c r="J17" s="83"/>
      <c r="K17" s="986" t="str">
        <f>IF(AND(przepływy!F17=0,AND(przepływy!H17=0,przepływy!J17=0)),"ukryj","odkryj")</f>
        <v>ukryj</v>
      </c>
      <c r="L17" s="8"/>
      <c r="M17" s="8"/>
      <c r="N17" s="8"/>
      <c r="U17" s="56" t="s">
        <v>9083</v>
      </c>
      <c r="W17" s="56" t="s">
        <v>9084</v>
      </c>
    </row>
    <row r="18" spans="1:23" ht="26.2" x14ac:dyDescent="0.3">
      <c r="A18" s="162" t="s">
        <v>9085</v>
      </c>
      <c r="B18" s="162" t="s">
        <v>9086</v>
      </c>
      <c r="C18" s="1079"/>
      <c r="D18" s="1080" t="str">
        <f t="shared" si="0"/>
        <v/>
      </c>
      <c r="E18" s="30"/>
      <c r="F18" s="84"/>
      <c r="G18" s="168"/>
      <c r="H18" s="84"/>
      <c r="J18" s="84"/>
      <c r="K18" s="986" t="str">
        <f>IF(AND(przepływy!F18=0,AND(przepływy!H18=0,przepływy!J18=0)),"ukryj","odkryj")</f>
        <v>ukryj</v>
      </c>
      <c r="L18" s="8"/>
      <c r="M18" s="8"/>
      <c r="N18" s="8"/>
      <c r="U18" s="56" t="s">
        <v>9087</v>
      </c>
      <c r="W18" s="56" t="s">
        <v>9088</v>
      </c>
    </row>
    <row r="19" spans="1:23" ht="15.75" customHeight="1" x14ac:dyDescent="0.3">
      <c r="A19" s="137" t="s">
        <v>9089</v>
      </c>
      <c r="B19" s="137" t="s">
        <v>9090</v>
      </c>
      <c r="C19" s="1079"/>
      <c r="D19" s="1080" t="str">
        <f t="shared" si="0"/>
        <v/>
      </c>
      <c r="E19" s="29"/>
      <c r="F19" s="83"/>
      <c r="G19" s="147"/>
      <c r="H19" s="782"/>
      <c r="J19" s="782"/>
      <c r="K19" s="986" t="str">
        <f>IF(AND(przepływy!F19=0,AND(przepływy!H19=0,przepływy!J19=0)),"ukryj","odkryj")</f>
        <v>ukryj</v>
      </c>
      <c r="L19" s="8"/>
      <c r="M19" s="8"/>
      <c r="N19" s="8"/>
      <c r="U19" s="56" t="s">
        <v>9091</v>
      </c>
      <c r="W19" s="56" t="s">
        <v>9092</v>
      </c>
    </row>
    <row r="20" spans="1:23" ht="15.75" customHeight="1" x14ac:dyDescent="0.3">
      <c r="A20" s="137" t="s">
        <v>9093</v>
      </c>
      <c r="B20" s="137" t="s">
        <v>9094</v>
      </c>
      <c r="C20" s="1079"/>
      <c r="D20" s="1080" t="str">
        <f t="shared" si="0"/>
        <v/>
      </c>
      <c r="E20" s="29"/>
      <c r="F20" s="83"/>
      <c r="G20" s="147"/>
      <c r="H20" s="83"/>
      <c r="J20" s="83"/>
      <c r="K20" s="986" t="str">
        <f>IF(AND(przepływy!F20=0,AND(przepływy!H20=0,przepływy!J20=0)),"ukryj","odkryj")</f>
        <v>ukryj</v>
      </c>
      <c r="L20" s="8"/>
      <c r="M20" s="8"/>
      <c r="N20" s="8"/>
      <c r="U20" s="56" t="s">
        <v>9095</v>
      </c>
      <c r="W20" s="56" t="s">
        <v>9096</v>
      </c>
    </row>
    <row r="21" spans="1:23" ht="15.75" customHeight="1" x14ac:dyDescent="0.3">
      <c r="A21" s="134" t="s">
        <v>9097</v>
      </c>
      <c r="B21" s="134" t="s">
        <v>9098</v>
      </c>
      <c r="C21" s="1079"/>
      <c r="D21" s="1080" t="str">
        <f t="shared" si="0"/>
        <v/>
      </c>
      <c r="E21" s="58"/>
      <c r="F21" s="146">
        <f>przepływy!F9+przepływy!F10</f>
        <v>0</v>
      </c>
      <c r="G21" s="147"/>
      <c r="H21" s="90">
        <f>przepływy!H9+przepływy!H10</f>
        <v>0</v>
      </c>
      <c r="J21" s="90">
        <f>przepływy!J9+przepływy!J10</f>
        <v>0</v>
      </c>
      <c r="K21" s="986" t="str">
        <f>IF(AND(przepływy!F21=0,AND(przepływy!H21=0,przepływy!J21=0)),"ukryj","odkryj")</f>
        <v>ukryj</v>
      </c>
      <c r="L21" s="8"/>
      <c r="M21" s="8"/>
      <c r="N21" s="8"/>
      <c r="U21" s="56" t="s">
        <v>9099</v>
      </c>
      <c r="W21" s="56" t="s">
        <v>9100</v>
      </c>
    </row>
    <row r="22" spans="1:23" ht="15.75" customHeight="1" x14ac:dyDescent="0.3">
      <c r="A22" s="134" t="s">
        <v>9101</v>
      </c>
      <c r="B22" s="134" t="s">
        <v>9102</v>
      </c>
      <c r="C22" s="1079"/>
      <c r="D22" s="1080" t="str">
        <f t="shared" si="0"/>
        <v/>
      </c>
      <c r="E22" s="58"/>
      <c r="F22" s="169">
        <f>przepływy!F44</f>
        <v>0</v>
      </c>
      <c r="G22"/>
      <c r="H22" s="169">
        <f>przepływy!H44</f>
        <v>0</v>
      </c>
      <c r="J22" s="169">
        <f>przepływy!J44</f>
        <v>0</v>
      </c>
      <c r="K22" s="986" t="s">
        <v>5070</v>
      </c>
      <c r="L22" s="8"/>
      <c r="M22" s="8"/>
      <c r="N22" s="8"/>
      <c r="U22" s="56" t="s">
        <v>9103</v>
      </c>
      <c r="W22" s="56" t="s">
        <v>9104</v>
      </c>
    </row>
    <row r="23" spans="1:23" ht="15.75" customHeight="1" x14ac:dyDescent="0.3">
      <c r="A23" s="136" t="s">
        <v>9105</v>
      </c>
      <c r="B23" s="136" t="s">
        <v>9106</v>
      </c>
      <c r="C23" s="1079"/>
      <c r="D23" s="1080" t="str">
        <f t="shared" si="0"/>
        <v/>
      </c>
      <c r="E23" s="58"/>
      <c r="F23" s="89">
        <f>przepływy!F24+przepływy!F25+przepływy!F26+przepływy!F34</f>
        <v>0</v>
      </c>
      <c r="G23" s="147"/>
      <c r="H23" s="89">
        <f>przepływy!H24+przepływy!H25+przepływy!H26+przepływy!H34</f>
        <v>0</v>
      </c>
      <c r="J23" s="89">
        <f>przepływy!J24+przepływy!J25+przepływy!J26+przepływy!J34</f>
        <v>0</v>
      </c>
      <c r="K23" s="986" t="str">
        <f>IF(AND(przepływy!F23=0,AND(przepływy!H23=0,przepływy!J23=0)),"ukryj","odkryj")</f>
        <v>ukryj</v>
      </c>
      <c r="L23" s="8"/>
      <c r="M23" s="8"/>
      <c r="N23" s="8"/>
      <c r="U23" s="56" t="s">
        <v>9107</v>
      </c>
      <c r="W23" s="56" t="s">
        <v>9108</v>
      </c>
    </row>
    <row r="24" spans="1:23" ht="26.2" x14ac:dyDescent="0.3">
      <c r="A24" s="162" t="s">
        <v>9109</v>
      </c>
      <c r="B24" s="162" t="s">
        <v>9110</v>
      </c>
      <c r="C24" s="1079"/>
      <c r="D24" s="1080" t="str">
        <f t="shared" si="0"/>
        <v/>
      </c>
      <c r="E24" s="58"/>
      <c r="F24" s="5"/>
      <c r="G24" s="147"/>
      <c r="H24" s="782"/>
      <c r="J24" s="782"/>
      <c r="K24" s="986" t="str">
        <f>IF(AND(przepływy!F24=0,AND(przepływy!H24=0,przepływy!J24=0)),"ukryj","odkryj")</f>
        <v>ukryj</v>
      </c>
      <c r="L24" s="8"/>
      <c r="M24" s="8"/>
      <c r="N24" s="8"/>
      <c r="U24" s="56" t="s">
        <v>9111</v>
      </c>
      <c r="W24" s="56" t="s">
        <v>9112</v>
      </c>
    </row>
    <row r="25" spans="1:23" ht="26.2" x14ac:dyDescent="0.3">
      <c r="A25" s="162" t="s">
        <v>9113</v>
      </c>
      <c r="B25" s="162" t="s">
        <v>9114</v>
      </c>
      <c r="C25" s="1079"/>
      <c r="D25" s="1080" t="str">
        <f t="shared" si="0"/>
        <v/>
      </c>
      <c r="E25" s="58"/>
      <c r="F25" s="5"/>
      <c r="G25" s="147"/>
      <c r="H25" s="782"/>
      <c r="J25" s="782"/>
      <c r="K25" s="986" t="str">
        <f>IF(AND(przepływy!F25=0,AND(przepływy!H25=0,przepływy!J25=0)),"ukryj","odkryj")</f>
        <v>ukryj</v>
      </c>
      <c r="L25" s="8"/>
      <c r="M25" s="8"/>
      <c r="N25" s="8"/>
      <c r="U25" s="56" t="s">
        <v>9115</v>
      </c>
      <c r="W25" s="56" t="s">
        <v>9116</v>
      </c>
    </row>
    <row r="26" spans="1:23" ht="15.75" customHeight="1" x14ac:dyDescent="0.3">
      <c r="A26" s="137" t="s">
        <v>9117</v>
      </c>
      <c r="B26" s="137" t="s">
        <v>9118</v>
      </c>
      <c r="C26" s="1079"/>
      <c r="D26" s="1080" t="str">
        <f t="shared" si="0"/>
        <v/>
      </c>
      <c r="E26" s="58"/>
      <c r="F26" s="89">
        <f>przepływy!F27+przepływy!F28</f>
        <v>0</v>
      </c>
      <c r="G26" s="147"/>
      <c r="H26" s="89">
        <f>przepływy!H27+przepływy!H28</f>
        <v>0</v>
      </c>
      <c r="J26" s="89">
        <f>przepływy!J27+przepływy!J28</f>
        <v>0</v>
      </c>
      <c r="K26" s="986" t="str">
        <f>IF(AND(przepływy!F26=0,AND(przepływy!H26=0,przepływy!J26=0)),"ukryj","odkryj")</f>
        <v>ukryj</v>
      </c>
      <c r="L26" s="8"/>
      <c r="M26" s="8"/>
      <c r="N26" s="8"/>
      <c r="U26" s="56" t="s">
        <v>9119</v>
      </c>
      <c r="W26" s="56" t="s">
        <v>9120</v>
      </c>
    </row>
    <row r="27" spans="1:23" ht="15.75" customHeight="1" x14ac:dyDescent="0.3">
      <c r="A27" s="138" t="s">
        <v>8040</v>
      </c>
      <c r="B27" s="138" t="s">
        <v>8041</v>
      </c>
      <c r="C27" s="1079"/>
      <c r="D27" s="1080" t="str">
        <f t="shared" si="0"/>
        <v/>
      </c>
      <c r="E27" s="58"/>
      <c r="F27" s="5"/>
      <c r="G27" s="147"/>
      <c r="H27" s="782"/>
      <c r="J27" s="782"/>
      <c r="K27" s="986" t="str">
        <f>IF(AND(przepływy!F27=0,AND(przepływy!H27=0,przepływy!J27=0)),"ukryj","odkryj")</f>
        <v>ukryj</v>
      </c>
      <c r="L27" s="8"/>
      <c r="M27" s="8"/>
      <c r="N27" s="8"/>
      <c r="U27" s="56" t="s">
        <v>9121</v>
      </c>
      <c r="W27" s="56" t="s">
        <v>9122</v>
      </c>
    </row>
    <row r="28" spans="1:23" ht="15.75" customHeight="1" x14ac:dyDescent="0.3">
      <c r="A28" s="138" t="s">
        <v>8076</v>
      </c>
      <c r="B28" s="138" t="s">
        <v>8077</v>
      </c>
      <c r="C28" s="1079"/>
      <c r="D28" s="1080" t="str">
        <f t="shared" si="0"/>
        <v/>
      </c>
      <c r="E28" s="58"/>
      <c r="F28" s="89">
        <f>przepływy!F29+przepływy!F30+przepływy!F31+przepływy!F32+przepływy!F33</f>
        <v>0</v>
      </c>
      <c r="G28" s="147"/>
      <c r="H28" s="89">
        <f>przepływy!H29+przepływy!H30+przepływy!H31+przepływy!H32+przepływy!H33</f>
        <v>0</v>
      </c>
      <c r="J28" s="89">
        <f>przepływy!J29+przepływy!J30+przepływy!J31+przepływy!J32+przepływy!J33</f>
        <v>0</v>
      </c>
      <c r="K28" s="986" t="str">
        <f>IF(AND(przepływy!F28=0,AND(przepływy!H28=0,przepływy!J28=0)),"ukryj","odkryj")</f>
        <v>ukryj</v>
      </c>
      <c r="L28" s="8"/>
      <c r="M28" s="8"/>
      <c r="N28" s="8"/>
      <c r="U28" s="56" t="s">
        <v>9123</v>
      </c>
      <c r="W28" s="56" t="s">
        <v>9124</v>
      </c>
    </row>
    <row r="29" spans="1:23" ht="15.75" customHeight="1" x14ac:dyDescent="0.3">
      <c r="A29" s="163" t="s">
        <v>9125</v>
      </c>
      <c r="B29" s="163" t="s">
        <v>9126</v>
      </c>
      <c r="C29" s="1079"/>
      <c r="D29" s="1080" t="str">
        <f t="shared" si="0"/>
        <v/>
      </c>
      <c r="E29" s="58"/>
      <c r="F29" s="5"/>
      <c r="G29" s="147"/>
      <c r="H29" s="782"/>
      <c r="J29" s="782"/>
      <c r="K29" s="986" t="str">
        <f>IF(AND(przepływy!F29=0,AND(przepływy!H29=0,przepływy!J29=0)),"ukryj","odkryj")</f>
        <v>ukryj</v>
      </c>
      <c r="L29" s="8"/>
      <c r="M29" s="8"/>
      <c r="N29" s="8"/>
      <c r="U29" s="56" t="s">
        <v>9127</v>
      </c>
      <c r="W29" s="56" t="s">
        <v>9128</v>
      </c>
    </row>
    <row r="30" spans="1:23" ht="15.75" customHeight="1" x14ac:dyDescent="0.3">
      <c r="A30" s="163" t="s">
        <v>9129</v>
      </c>
      <c r="B30" s="163" t="s">
        <v>9130</v>
      </c>
      <c r="C30" s="1079"/>
      <c r="D30" s="1080" t="str">
        <f t="shared" si="0"/>
        <v/>
      </c>
      <c r="E30" s="96"/>
      <c r="F30" s="5"/>
      <c r="G30" s="147"/>
      <c r="H30" s="782"/>
      <c r="J30" s="782"/>
      <c r="K30" s="986" t="str">
        <f>IF(AND(przepływy!F30=0,AND(przepływy!H30=0,przepływy!J30=0)),"ukryj","odkryj")</f>
        <v>ukryj</v>
      </c>
      <c r="L30" s="8"/>
      <c r="M30" s="8"/>
      <c r="N30" s="8"/>
      <c r="U30" s="56" t="s">
        <v>9131</v>
      </c>
      <c r="W30" s="56" t="s">
        <v>9132</v>
      </c>
    </row>
    <row r="31" spans="1:23" ht="15.75" customHeight="1" x14ac:dyDescent="0.3">
      <c r="A31" s="163" t="s">
        <v>9133</v>
      </c>
      <c r="B31" s="163" t="s">
        <v>9134</v>
      </c>
      <c r="C31" s="1079"/>
      <c r="D31" s="1080" t="str">
        <f t="shared" si="0"/>
        <v/>
      </c>
      <c r="E31" s="58"/>
      <c r="F31" s="5"/>
      <c r="G31" s="147"/>
      <c r="H31" s="782"/>
      <c r="J31" s="782"/>
      <c r="K31" s="986" t="str">
        <f>IF(AND(przepływy!F31=0,AND(przepływy!H31=0,przepływy!J31=0)),"ukryj","odkryj")</f>
        <v>ukryj</v>
      </c>
      <c r="L31" s="8"/>
      <c r="M31" s="8"/>
      <c r="N31" s="8"/>
      <c r="U31" s="56" t="s">
        <v>9135</v>
      </c>
      <c r="W31" s="56" t="s">
        <v>9136</v>
      </c>
    </row>
    <row r="32" spans="1:23" ht="15.75" customHeight="1" x14ac:dyDescent="0.3">
      <c r="A32" s="163" t="s">
        <v>9137</v>
      </c>
      <c r="B32" s="163" t="s">
        <v>9138</v>
      </c>
      <c r="C32" s="1079"/>
      <c r="D32" s="1080" t="str">
        <f t="shared" si="0"/>
        <v/>
      </c>
      <c r="E32" s="58"/>
      <c r="F32" s="5"/>
      <c r="G32" s="147"/>
      <c r="H32" s="782"/>
      <c r="J32" s="782"/>
      <c r="K32" s="986" t="str">
        <f>IF(AND(przepływy!F32=0,AND(przepływy!H32=0,przepływy!J32=0)),"ukryj","odkryj")</f>
        <v>ukryj</v>
      </c>
      <c r="L32" s="8"/>
      <c r="M32" s="8"/>
      <c r="N32" s="8"/>
      <c r="U32" s="56" t="s">
        <v>9139</v>
      </c>
      <c r="W32" s="56" t="s">
        <v>9140</v>
      </c>
    </row>
    <row r="33" spans="1:23" ht="15.75" customHeight="1" x14ac:dyDescent="0.3">
      <c r="A33" s="163" t="s">
        <v>9141</v>
      </c>
      <c r="B33" s="163" t="s">
        <v>9142</v>
      </c>
      <c r="C33" s="1079"/>
      <c r="D33" s="1080" t="str">
        <f t="shared" si="0"/>
        <v/>
      </c>
      <c r="E33" s="58"/>
      <c r="F33" s="5"/>
      <c r="G33" s="147"/>
      <c r="H33" s="782"/>
      <c r="J33" s="782"/>
      <c r="K33" s="986" t="str">
        <f>IF(AND(przepływy!F33=0,AND(przepływy!H33=0,przepływy!J33=0)),"ukryj","odkryj")</f>
        <v>ukryj</v>
      </c>
      <c r="L33" s="8"/>
      <c r="M33" s="8"/>
      <c r="N33" s="8"/>
      <c r="U33" s="56" t="s">
        <v>9143</v>
      </c>
      <c r="W33" s="56" t="s">
        <v>9144</v>
      </c>
    </row>
    <row r="34" spans="1:23" ht="15.75" customHeight="1" x14ac:dyDescent="0.3">
      <c r="A34" s="137" t="s">
        <v>9145</v>
      </c>
      <c r="B34" s="137" t="s">
        <v>9146</v>
      </c>
      <c r="C34" s="1079"/>
      <c r="D34" s="1080" t="str">
        <f t="shared" si="0"/>
        <v/>
      </c>
      <c r="E34" s="58"/>
      <c r="F34" s="5"/>
      <c r="G34" s="147"/>
      <c r="H34" s="782"/>
      <c r="J34" s="782"/>
      <c r="K34" s="986" t="str">
        <f>IF(AND(przepływy!F34=0,AND(przepływy!H34=0,przepływy!J34=0)),"ukryj","odkryj")</f>
        <v>ukryj</v>
      </c>
      <c r="L34" s="8"/>
      <c r="M34" s="8"/>
      <c r="N34" s="8"/>
      <c r="U34" s="56" t="s">
        <v>9147</v>
      </c>
      <c r="W34" s="56" t="s">
        <v>9148</v>
      </c>
    </row>
    <row r="35" spans="1:23" ht="15.75" customHeight="1" x14ac:dyDescent="0.3">
      <c r="A35" s="136" t="s">
        <v>9149</v>
      </c>
      <c r="B35" s="136" t="s">
        <v>9150</v>
      </c>
      <c r="C35" s="1079"/>
      <c r="D35" s="1080" t="str">
        <f t="shared" si="0"/>
        <v/>
      </c>
      <c r="E35" s="58"/>
      <c r="F35" s="89">
        <f>przepływy!F36+przepływy!F37+przepływy!F38+przepływy!F43</f>
        <v>0</v>
      </c>
      <c r="G35" s="147"/>
      <c r="H35" s="89">
        <f>przepływy!H36+przepływy!H37+przepływy!H38+przepływy!H43</f>
        <v>0</v>
      </c>
      <c r="J35" s="89">
        <f>przepływy!J36+przepływy!J37+przepływy!J38+przepływy!J43</f>
        <v>0</v>
      </c>
      <c r="K35" s="986" t="str">
        <f>IF(AND(przepływy!F35=0,AND(przepływy!H35=0,przepływy!J35=0)),"ukryj","odkryj")</f>
        <v>ukryj</v>
      </c>
      <c r="L35" s="8"/>
      <c r="M35" s="8"/>
      <c r="N35" s="8"/>
      <c r="U35" s="56" t="s">
        <v>9151</v>
      </c>
      <c r="W35" s="56" t="s">
        <v>9152</v>
      </c>
    </row>
    <row r="36" spans="1:23" ht="26.2" x14ac:dyDescent="0.3">
      <c r="A36" s="162" t="s">
        <v>9153</v>
      </c>
      <c r="B36" s="162" t="s">
        <v>9154</v>
      </c>
      <c r="C36" s="1079"/>
      <c r="D36" s="1080" t="str">
        <f t="shared" si="0"/>
        <v/>
      </c>
      <c r="E36" s="32"/>
      <c r="F36" s="84"/>
      <c r="G36" s="168"/>
      <c r="H36" s="84"/>
      <c r="J36" s="84"/>
      <c r="K36" s="986" t="str">
        <f>IF(AND(przepływy!F36=0,AND(przepływy!H36=0,przepływy!J36=0)),"ukryj","odkryj")</f>
        <v>ukryj</v>
      </c>
      <c r="L36" s="8"/>
      <c r="M36" s="8"/>
      <c r="N36" s="8"/>
      <c r="U36" s="56" t="s">
        <v>9155</v>
      </c>
      <c r="W36" s="56" t="s">
        <v>9156</v>
      </c>
    </row>
    <row r="37" spans="1:23" x14ac:dyDescent="0.3">
      <c r="A37" s="137" t="s">
        <v>9157</v>
      </c>
      <c r="B37" s="137" t="s">
        <v>9158</v>
      </c>
      <c r="C37" s="1079"/>
      <c r="D37" s="1080" t="str">
        <f t="shared" si="0"/>
        <v/>
      </c>
      <c r="E37" s="31"/>
      <c r="F37" s="5"/>
      <c r="G37" s="147"/>
      <c r="H37" s="782"/>
      <c r="J37" s="782"/>
      <c r="K37" s="986" t="str">
        <f>IF(AND(przepływy!F37=0,AND(przepływy!H37=0,przepływy!J37=0)),"ukryj","odkryj")</f>
        <v>ukryj</v>
      </c>
      <c r="L37" s="8"/>
      <c r="M37" s="8"/>
      <c r="N37" s="8"/>
      <c r="U37" s="56" t="s">
        <v>9159</v>
      </c>
      <c r="W37" s="56" t="s">
        <v>9160</v>
      </c>
    </row>
    <row r="38" spans="1:23" ht="15.75" customHeight="1" x14ac:dyDescent="0.3">
      <c r="A38" s="137" t="s">
        <v>9161</v>
      </c>
      <c r="B38" s="137" t="s">
        <v>9162</v>
      </c>
      <c r="C38" s="1079"/>
      <c r="D38" s="1080" t="str">
        <f t="shared" si="0"/>
        <v/>
      </c>
      <c r="E38" s="31"/>
      <c r="F38" s="89">
        <f>przepływy!F39+przepływy!F40</f>
        <v>0</v>
      </c>
      <c r="G38" s="147"/>
      <c r="H38" s="89">
        <f>przepływy!H39+przepływy!H40</f>
        <v>0</v>
      </c>
      <c r="J38" s="89">
        <f>przepływy!J39+przepływy!J40</f>
        <v>0</v>
      </c>
      <c r="K38" s="986" t="str">
        <f>IF(AND(przepływy!F38=0,AND(przepływy!H38=0,przepływy!J38=0)),"ukryj","odkryj")</f>
        <v>ukryj</v>
      </c>
      <c r="L38" s="8"/>
      <c r="M38" s="8"/>
      <c r="N38" s="8"/>
      <c r="U38" s="56" t="s">
        <v>9163</v>
      </c>
      <c r="W38" s="56" t="s">
        <v>9164</v>
      </c>
    </row>
    <row r="39" spans="1:23" ht="15.75" customHeight="1" x14ac:dyDescent="0.3">
      <c r="A39" s="138" t="s">
        <v>8040</v>
      </c>
      <c r="B39" s="138" t="s">
        <v>8041</v>
      </c>
      <c r="C39" s="1079"/>
      <c r="D39" s="1080" t="str">
        <f t="shared" si="0"/>
        <v/>
      </c>
      <c r="E39" s="58"/>
      <c r="F39" s="5"/>
      <c r="G39" s="147"/>
      <c r="H39" s="782"/>
      <c r="J39" s="782"/>
      <c r="K39" s="986" t="str">
        <f>IF(AND(przepływy!F39=0,AND(przepływy!H39=0,przepływy!J39=0)),"ukryj","odkryj")</f>
        <v>ukryj</v>
      </c>
      <c r="L39" s="8"/>
      <c r="M39" s="8"/>
      <c r="N39" s="8"/>
      <c r="U39" s="56" t="s">
        <v>9165</v>
      </c>
      <c r="W39" s="56" t="s">
        <v>9166</v>
      </c>
    </row>
    <row r="40" spans="1:23" ht="15.75" customHeight="1" x14ac:dyDescent="0.3">
      <c r="A40" s="138" t="s">
        <v>8076</v>
      </c>
      <c r="B40" s="138" t="s">
        <v>8077</v>
      </c>
      <c r="C40" s="1079"/>
      <c r="D40" s="1080" t="str">
        <f t="shared" si="0"/>
        <v/>
      </c>
      <c r="E40" s="58"/>
      <c r="F40" s="89">
        <f>przepływy!F41+przepływy!F42</f>
        <v>0</v>
      </c>
      <c r="G40" s="147"/>
      <c r="H40" s="89">
        <f>przepływy!H41+przepływy!H42</f>
        <v>0</v>
      </c>
      <c r="J40" s="89">
        <f>przepływy!J41+przepływy!J42</f>
        <v>0</v>
      </c>
      <c r="K40" s="986" t="str">
        <f>IF(AND(przepływy!F40=0,AND(przepływy!H40=0,przepływy!J40=0)),"ukryj","odkryj")</f>
        <v>ukryj</v>
      </c>
      <c r="L40" s="8"/>
      <c r="M40" s="1036"/>
      <c r="N40" s="8"/>
      <c r="U40" s="56" t="s">
        <v>9167</v>
      </c>
      <c r="W40" s="56" t="s">
        <v>9168</v>
      </c>
    </row>
    <row r="41" spans="1:23" ht="15.75" customHeight="1" x14ac:dyDescent="0.3">
      <c r="A41" s="163" t="s">
        <v>9169</v>
      </c>
      <c r="B41" s="163" t="s">
        <v>9170</v>
      </c>
      <c r="C41" s="1079"/>
      <c r="D41" s="1080" t="str">
        <f t="shared" si="0"/>
        <v/>
      </c>
      <c r="E41" s="58"/>
      <c r="F41" s="5"/>
      <c r="G41" s="147"/>
      <c r="H41" s="782"/>
      <c r="J41" s="782"/>
      <c r="K41" s="986" t="str">
        <f>IF(AND(przepływy!F41=0,AND(przepływy!H41=0,przepływy!J41=0)),"ukryj","odkryj")</f>
        <v>ukryj</v>
      </c>
      <c r="L41" s="8"/>
      <c r="M41" s="8"/>
      <c r="N41" s="8"/>
      <c r="U41" s="56" t="s">
        <v>9171</v>
      </c>
      <c r="W41" s="56" t="s">
        <v>9172</v>
      </c>
    </row>
    <row r="42" spans="1:23" ht="15.75" customHeight="1" x14ac:dyDescent="0.3">
      <c r="A42" s="163" t="s">
        <v>9173</v>
      </c>
      <c r="B42" s="163" t="s">
        <v>9174</v>
      </c>
      <c r="C42" s="1079"/>
      <c r="D42" s="1080" t="str">
        <f t="shared" si="0"/>
        <v/>
      </c>
      <c r="E42" s="58"/>
      <c r="F42" s="5"/>
      <c r="G42" s="147"/>
      <c r="H42" s="782"/>
      <c r="J42" s="782"/>
      <c r="K42" s="986" t="str">
        <f>IF(AND(przepływy!F42=0,AND(przepływy!H42=0,przepływy!J42=0)),"ukryj","odkryj")</f>
        <v>ukryj</v>
      </c>
      <c r="L42" s="8"/>
      <c r="M42" s="8"/>
      <c r="N42" s="8"/>
      <c r="U42" s="56" t="s">
        <v>9175</v>
      </c>
      <c r="W42" s="56" t="s">
        <v>9176</v>
      </c>
    </row>
    <row r="43" spans="1:23" ht="15.75" customHeight="1" x14ac:dyDescent="0.3">
      <c r="A43" s="137" t="s">
        <v>9177</v>
      </c>
      <c r="B43" s="137" t="s">
        <v>9178</v>
      </c>
      <c r="C43" s="1079"/>
      <c r="D43" s="1080" t="str">
        <f t="shared" si="0"/>
        <v/>
      </c>
      <c r="E43" s="58"/>
      <c r="F43" s="5"/>
      <c r="G43" s="147"/>
      <c r="H43" s="782"/>
      <c r="J43" s="782"/>
      <c r="K43" s="986" t="str">
        <f>IF(AND(przepływy!F43=0,AND(przepływy!H43=0,przepływy!J43=0)),"ukryj","odkryj")</f>
        <v>ukryj</v>
      </c>
      <c r="L43" s="8"/>
      <c r="M43" s="8"/>
      <c r="N43" s="8"/>
      <c r="U43" s="56" t="s">
        <v>9179</v>
      </c>
      <c r="W43" s="56" t="s">
        <v>9180</v>
      </c>
    </row>
    <row r="44" spans="1:23" ht="15.75" customHeight="1" x14ac:dyDescent="0.3">
      <c r="A44" s="134" t="s">
        <v>9181</v>
      </c>
      <c r="B44" s="134" t="s">
        <v>9182</v>
      </c>
      <c r="C44" s="1079"/>
      <c r="D44" s="1080" t="str">
        <f t="shared" si="0"/>
        <v/>
      </c>
      <c r="E44" s="58"/>
      <c r="F44" s="146">
        <f>przepływy!F23-przepływy!F35</f>
        <v>0</v>
      </c>
      <c r="G44" s="147"/>
      <c r="H44" s="146">
        <f>przepływy!H23-przepływy!H35</f>
        <v>0</v>
      </c>
      <c r="J44" s="146">
        <f>przepływy!J23-przepływy!J35</f>
        <v>0</v>
      </c>
      <c r="K44" s="986" t="str">
        <f>IF(AND(przepływy!F44=0,AND(przepływy!H44=0,przepływy!J44=0)),"ukryj","odkryj")</f>
        <v>ukryj</v>
      </c>
      <c r="L44" s="8"/>
      <c r="M44" s="8"/>
      <c r="N44" s="8"/>
      <c r="U44" s="56" t="s">
        <v>9183</v>
      </c>
      <c r="W44" s="56" t="s">
        <v>9184</v>
      </c>
    </row>
    <row r="45" spans="1:23" ht="15.75" customHeight="1" x14ac:dyDescent="0.3">
      <c r="A45" s="134" t="s">
        <v>9185</v>
      </c>
      <c r="B45" s="134" t="s">
        <v>9186</v>
      </c>
      <c r="C45" s="1079"/>
      <c r="D45" s="1080" t="str">
        <f t="shared" si="0"/>
        <v/>
      </c>
      <c r="E45" s="58"/>
      <c r="F45" s="169">
        <f>przepływy!F61</f>
        <v>0</v>
      </c>
      <c r="G45"/>
      <c r="H45" s="169">
        <f>przepływy!H61</f>
        <v>0</v>
      </c>
      <c r="J45" s="169">
        <f>przepływy!J61</f>
        <v>0</v>
      </c>
      <c r="K45" s="986" t="s">
        <v>5070</v>
      </c>
      <c r="L45" s="8"/>
      <c r="M45" s="8"/>
      <c r="N45" s="8"/>
      <c r="U45" s="56" t="s">
        <v>9187</v>
      </c>
      <c r="W45" s="56" t="s">
        <v>9188</v>
      </c>
    </row>
    <row r="46" spans="1:23" ht="15.75" customHeight="1" x14ac:dyDescent="0.3">
      <c r="A46" s="136" t="s">
        <v>9105</v>
      </c>
      <c r="B46" s="136" t="s">
        <v>9106</v>
      </c>
      <c r="C46" s="1079"/>
      <c r="D46" s="1080" t="str">
        <f t="shared" si="0"/>
        <v/>
      </c>
      <c r="E46" s="58"/>
      <c r="F46" s="89">
        <f>przepływy!F47+przepływy!F48+przepływy!F49+przepływy!F50</f>
        <v>0</v>
      </c>
      <c r="G46" s="147"/>
      <c r="H46" s="89">
        <f>przepływy!H47+przepływy!H48+przepływy!H49+przepływy!H50</f>
        <v>0</v>
      </c>
      <c r="J46" s="89">
        <f>przepływy!J47+przepływy!J48+przepływy!J49+przepływy!J50</f>
        <v>0</v>
      </c>
      <c r="K46" s="986" t="str">
        <f>IF(AND(przepływy!F46=0,AND(przepływy!H46=0,przepływy!J46=0)),"ukryj","odkryj")</f>
        <v>ukryj</v>
      </c>
      <c r="L46" s="8"/>
      <c r="M46" s="8"/>
      <c r="N46" s="8"/>
      <c r="U46" s="56" t="s">
        <v>9189</v>
      </c>
      <c r="W46" s="56" t="s">
        <v>9190</v>
      </c>
    </row>
    <row r="47" spans="1:23" ht="25.55" customHeight="1" x14ac:dyDescent="0.3">
      <c r="A47" s="162" t="s">
        <v>9191</v>
      </c>
      <c r="B47" s="162" t="s">
        <v>9192</v>
      </c>
      <c r="C47" s="1079"/>
      <c r="D47" s="1080" t="str">
        <f t="shared" si="0"/>
        <v/>
      </c>
      <c r="E47" s="32"/>
      <c r="F47" s="5"/>
      <c r="G47" s="168"/>
      <c r="H47" s="782"/>
      <c r="J47" s="782"/>
      <c r="K47" s="986" t="str">
        <f>IF(AND(przepływy!F47=0,AND(przepływy!H47=0,przepływy!J47=0)),"ukryj","odkryj")</f>
        <v>ukryj</v>
      </c>
      <c r="L47" s="8"/>
      <c r="M47" s="8"/>
      <c r="N47" s="8"/>
      <c r="U47" s="56" t="s">
        <v>9193</v>
      </c>
      <c r="W47" s="56" t="s">
        <v>9194</v>
      </c>
    </row>
    <row r="48" spans="1:23" ht="15.75" customHeight="1" x14ac:dyDescent="0.3">
      <c r="A48" s="137" t="s">
        <v>9195</v>
      </c>
      <c r="B48" s="137" t="s">
        <v>9196</v>
      </c>
      <c r="C48" s="1079"/>
      <c r="D48" s="1080" t="str">
        <f t="shared" si="0"/>
        <v/>
      </c>
      <c r="E48" s="32"/>
      <c r="F48" s="5"/>
      <c r="G48" s="147"/>
      <c r="H48" s="782"/>
      <c r="J48" s="782"/>
      <c r="K48" s="986" t="str">
        <f>IF(AND(przepływy!F48=0,AND(przepływy!H48=0,przepływy!J48=0)),"ukryj","odkryj")</f>
        <v>ukryj</v>
      </c>
      <c r="L48" s="8"/>
      <c r="M48" s="8"/>
      <c r="N48" s="8"/>
      <c r="U48" s="56" t="s">
        <v>9197</v>
      </c>
      <c r="W48" s="56" t="s">
        <v>9198</v>
      </c>
    </row>
    <row r="49" spans="1:23" ht="15.75" customHeight="1" x14ac:dyDescent="0.3">
      <c r="A49" s="137" t="s">
        <v>9199</v>
      </c>
      <c r="B49" s="137" t="s">
        <v>9200</v>
      </c>
      <c r="C49" s="1079"/>
      <c r="D49" s="1080" t="str">
        <f t="shared" si="0"/>
        <v/>
      </c>
      <c r="E49" s="32"/>
      <c r="F49" s="5"/>
      <c r="G49" s="147"/>
      <c r="H49" s="782"/>
      <c r="J49" s="782"/>
      <c r="K49" s="986" t="str">
        <f>IF(AND(przepływy!F49=0,AND(przepływy!H49=0,przepływy!J49=0)),"ukryj","odkryj")</f>
        <v>ukryj</v>
      </c>
      <c r="L49" s="8"/>
      <c r="M49" s="8"/>
      <c r="N49" s="8"/>
      <c r="U49" s="56" t="s">
        <v>9201</v>
      </c>
      <c r="W49" s="56" t="s">
        <v>9202</v>
      </c>
    </row>
    <row r="50" spans="1:23" ht="15.75" customHeight="1" x14ac:dyDescent="0.3">
      <c r="A50" s="137" t="s">
        <v>9203</v>
      </c>
      <c r="B50" s="137" t="s">
        <v>9204</v>
      </c>
      <c r="C50" s="1079"/>
      <c r="D50" s="1080" t="str">
        <f t="shared" si="0"/>
        <v/>
      </c>
      <c r="E50" s="32"/>
      <c r="F50" s="5"/>
      <c r="G50" s="147"/>
      <c r="H50" s="782"/>
      <c r="J50" s="782"/>
      <c r="K50" s="986" t="str">
        <f>IF(AND(przepływy!F50=0,AND(przepływy!H50=0,przepływy!J50=0)),"ukryj","odkryj")</f>
        <v>ukryj</v>
      </c>
      <c r="L50" s="8"/>
      <c r="M50" s="8"/>
      <c r="N50" s="8"/>
      <c r="U50" s="56" t="s">
        <v>9205</v>
      </c>
      <c r="W50" s="56" t="s">
        <v>9206</v>
      </c>
    </row>
    <row r="51" spans="1:23" ht="15.75" customHeight="1" x14ac:dyDescent="0.3">
      <c r="A51" s="136" t="s">
        <v>9149</v>
      </c>
      <c r="B51" s="136" t="s">
        <v>9150</v>
      </c>
      <c r="C51" s="1079"/>
      <c r="D51" s="1080" t="str">
        <f t="shared" si="0"/>
        <v/>
      </c>
      <c r="E51" s="58"/>
      <c r="F51" s="89">
        <f>przepływy!F52+przepływy!F53+przepływy!F54+przepływy!F55+przepływy!F56+przepływy!F57+przepływy!F58+przepływy!F59+przepływy!F60</f>
        <v>0</v>
      </c>
      <c r="G51" s="147"/>
      <c r="H51" s="89">
        <f>przepływy!H52+przepływy!H53+przepływy!H54+przepływy!H55+przepływy!H56+przepływy!H57+przepływy!H58+przepływy!H59+przepływy!H60</f>
        <v>0</v>
      </c>
      <c r="J51" s="89">
        <f>przepływy!J52+przepływy!J53+przepływy!J54+przepływy!J55+przepływy!J56+przepływy!J57+przepływy!J58+przepływy!J59+przepływy!J60</f>
        <v>0</v>
      </c>
      <c r="K51" s="986" t="str">
        <f>IF(AND(przepływy!F51=0,AND(przepływy!H51=0,przepływy!J51=0)),"ukryj","odkryj")</f>
        <v>ukryj</v>
      </c>
      <c r="L51" s="8"/>
      <c r="M51" s="8"/>
      <c r="N51" s="8"/>
      <c r="U51" s="56" t="s">
        <v>9207</v>
      </c>
      <c r="W51" s="56" t="s">
        <v>9208</v>
      </c>
    </row>
    <row r="52" spans="1:23" ht="15.75" customHeight="1" x14ac:dyDescent="0.3">
      <c r="A52" s="137" t="s">
        <v>9209</v>
      </c>
      <c r="B52" s="137" t="s">
        <v>9210</v>
      </c>
      <c r="C52" s="1079"/>
      <c r="D52" s="1080" t="str">
        <f t="shared" si="0"/>
        <v/>
      </c>
      <c r="E52" s="32"/>
      <c r="F52" s="5"/>
      <c r="G52" s="147"/>
      <c r="H52" s="782"/>
      <c r="J52" s="782"/>
      <c r="K52" s="986" t="str">
        <f>IF(AND(przepływy!F52=0,AND(przepływy!H52=0,przepływy!J52=0)),"ukryj","odkryj")</f>
        <v>ukryj</v>
      </c>
      <c r="L52" s="8"/>
      <c r="M52" s="8"/>
      <c r="N52" s="8"/>
      <c r="U52" s="56" t="s">
        <v>9211</v>
      </c>
      <c r="W52" s="56" t="s">
        <v>9212</v>
      </c>
    </row>
    <row r="53" spans="1:23" ht="15.75" customHeight="1" x14ac:dyDescent="0.3">
      <c r="A53" s="137" t="s">
        <v>9213</v>
      </c>
      <c r="B53" s="137" t="s">
        <v>9214</v>
      </c>
      <c r="C53" s="1079"/>
      <c r="D53" s="1080" t="str">
        <f t="shared" si="0"/>
        <v/>
      </c>
      <c r="E53" s="32"/>
      <c r="F53" s="5"/>
      <c r="G53" s="147"/>
      <c r="H53" s="782"/>
      <c r="J53" s="782"/>
      <c r="K53" s="986" t="str">
        <f>IF(AND(przepływy!F53=0,AND(przepływy!H53=0,przepływy!J53=0)),"ukryj","odkryj")</f>
        <v>ukryj</v>
      </c>
      <c r="L53" s="8"/>
      <c r="M53" s="8"/>
      <c r="N53" s="8"/>
      <c r="U53" s="56" t="s">
        <v>9215</v>
      </c>
      <c r="W53" s="56" t="s">
        <v>9216</v>
      </c>
    </row>
    <row r="54" spans="1:23" ht="27" customHeight="1" x14ac:dyDescent="0.3">
      <c r="A54" s="162" t="s">
        <v>9217</v>
      </c>
      <c r="B54" s="162" t="s">
        <v>9218</v>
      </c>
      <c r="C54" s="1079"/>
      <c r="D54" s="1080" t="str">
        <f t="shared" si="0"/>
        <v/>
      </c>
      <c r="E54" s="33"/>
      <c r="F54" s="5"/>
      <c r="G54" s="147"/>
      <c r="H54" s="782"/>
      <c r="J54" s="782"/>
      <c r="K54" s="986" t="str">
        <f>IF(AND(przepływy!F54=0,AND(przepływy!H54=0,przepływy!J54=0)),"ukryj","odkryj")</f>
        <v>ukryj</v>
      </c>
      <c r="L54" s="8"/>
      <c r="M54" s="8"/>
      <c r="N54" s="8"/>
      <c r="U54" s="56" t="s">
        <v>9219</v>
      </c>
      <c r="W54" s="56" t="s">
        <v>9220</v>
      </c>
    </row>
    <row r="55" spans="1:23" ht="15.75" customHeight="1" x14ac:dyDescent="0.3">
      <c r="A55" s="137" t="s">
        <v>9221</v>
      </c>
      <c r="B55" s="137" t="s">
        <v>9222</v>
      </c>
      <c r="C55" s="1079"/>
      <c r="D55" s="1080" t="str">
        <f t="shared" si="0"/>
        <v/>
      </c>
      <c r="E55" s="32"/>
      <c r="F55" s="5"/>
      <c r="G55" s="147"/>
      <c r="H55" s="782"/>
      <c r="J55" s="782"/>
      <c r="K55" s="986" t="str">
        <f>IF(AND(przepływy!F55=0,AND(przepływy!H55=0,przepływy!J55=0)),"ukryj","odkryj")</f>
        <v>ukryj</v>
      </c>
      <c r="L55" s="8"/>
      <c r="M55" s="8"/>
      <c r="N55" s="8"/>
      <c r="U55" s="56" t="s">
        <v>9223</v>
      </c>
      <c r="W55" s="56" t="s">
        <v>9224</v>
      </c>
    </row>
    <row r="56" spans="1:23" s="55" customFormat="1" ht="15.75" customHeight="1" x14ac:dyDescent="0.3">
      <c r="A56" s="137" t="s">
        <v>9225</v>
      </c>
      <c r="B56" s="137" t="s">
        <v>9226</v>
      </c>
      <c r="C56" s="1079"/>
      <c r="D56" s="1080" t="str">
        <f t="shared" si="0"/>
        <v/>
      </c>
      <c r="E56" s="34"/>
      <c r="F56" s="5"/>
      <c r="G56" s="147"/>
      <c r="H56" s="782"/>
      <c r="I56"/>
      <c r="J56" s="782"/>
      <c r="K56" s="986" t="str">
        <f>IF(AND(przepływy!F56=0,AND(przepływy!H56=0,przepływy!J56=0)),"ukryj","odkryj")</f>
        <v>ukryj</v>
      </c>
      <c r="L56" s="1029"/>
      <c r="M56" s="1029"/>
      <c r="N56" s="1029"/>
      <c r="U56" s="55" t="s">
        <v>9227</v>
      </c>
      <c r="W56" s="55" t="s">
        <v>9228</v>
      </c>
    </row>
    <row r="57" spans="1:23" ht="15.75" customHeight="1" x14ac:dyDescent="0.3">
      <c r="A57" s="137" t="s">
        <v>9229</v>
      </c>
      <c r="B57" s="137" t="s">
        <v>9230</v>
      </c>
      <c r="C57" s="1079"/>
      <c r="D57" s="1080" t="str">
        <f t="shared" si="0"/>
        <v/>
      </c>
      <c r="E57" s="32"/>
      <c r="F57" s="5"/>
      <c r="G57" s="147"/>
      <c r="H57" s="782"/>
      <c r="J57" s="782"/>
      <c r="K57" s="986" t="str">
        <f>IF(AND(przepływy!F57=0,AND(przepływy!H57=0,przepływy!J57=0)),"ukryj","odkryj")</f>
        <v>ukryj</v>
      </c>
      <c r="L57" s="8"/>
      <c r="M57" s="8"/>
      <c r="N57" s="8"/>
      <c r="U57" s="56" t="s">
        <v>9231</v>
      </c>
      <c r="W57" s="56" t="s">
        <v>9232</v>
      </c>
    </row>
    <row r="58" spans="1:23" ht="15.75" customHeight="1" x14ac:dyDescent="0.3">
      <c r="A58" s="137" t="s">
        <v>9233</v>
      </c>
      <c r="B58" s="137" t="s">
        <v>9234</v>
      </c>
      <c r="C58" s="1079"/>
      <c r="D58" s="1080" t="str">
        <f t="shared" si="0"/>
        <v/>
      </c>
      <c r="E58" s="32"/>
      <c r="F58" s="5"/>
      <c r="G58" s="147"/>
      <c r="H58" s="782"/>
      <c r="J58" s="782"/>
      <c r="K58" s="986" t="str">
        <f>IF(AND(przepływy!F58=0,AND(przepływy!H58=0,przepływy!J58=0)),"ukryj","odkryj")</f>
        <v>ukryj</v>
      </c>
      <c r="L58" s="8"/>
      <c r="M58" s="8"/>
      <c r="N58" s="8"/>
      <c r="U58" s="56" t="s">
        <v>9235</v>
      </c>
      <c r="W58" s="56" t="s">
        <v>9236</v>
      </c>
    </row>
    <row r="59" spans="1:23" ht="15.75" customHeight="1" x14ac:dyDescent="0.3">
      <c r="A59" s="137" t="s">
        <v>9237</v>
      </c>
      <c r="B59" s="137" t="s">
        <v>9238</v>
      </c>
      <c r="C59" s="1079"/>
      <c r="D59" s="1080" t="str">
        <f t="shared" si="0"/>
        <v/>
      </c>
      <c r="E59" s="32"/>
      <c r="F59" s="5"/>
      <c r="G59" s="147"/>
      <c r="H59" s="782"/>
      <c r="J59" s="782"/>
      <c r="K59" s="986" t="str">
        <f>IF(AND(przepływy!F59=0,AND(przepływy!H59=0,przepływy!J59=0)),"ukryj","odkryj")</f>
        <v>ukryj</v>
      </c>
      <c r="L59" s="8"/>
      <c r="M59" s="8"/>
      <c r="N59" s="8"/>
      <c r="U59" s="56" t="s">
        <v>9239</v>
      </c>
      <c r="W59" s="56" t="s">
        <v>9240</v>
      </c>
    </row>
    <row r="60" spans="1:23" ht="15.75" customHeight="1" x14ac:dyDescent="0.3">
      <c r="A60" s="137" t="s">
        <v>9241</v>
      </c>
      <c r="B60" s="137" t="s">
        <v>9242</v>
      </c>
      <c r="C60" s="1079"/>
      <c r="D60" s="1080" t="str">
        <f t="shared" si="0"/>
        <v/>
      </c>
      <c r="E60" s="32"/>
      <c r="F60" s="5"/>
      <c r="G60" s="147"/>
      <c r="H60" s="782"/>
      <c r="J60" s="782"/>
      <c r="K60" s="986" t="str">
        <f>IF(AND(przepływy!F60=0,AND(przepływy!H60=0,przepływy!J60=0)),"ukryj","odkryj")</f>
        <v>ukryj</v>
      </c>
      <c r="L60" s="8"/>
      <c r="M60" s="8"/>
      <c r="N60" s="8"/>
      <c r="U60" s="56" t="s">
        <v>9243</v>
      </c>
      <c r="W60" s="56" t="s">
        <v>9244</v>
      </c>
    </row>
    <row r="61" spans="1:23" ht="15.75" customHeight="1" x14ac:dyDescent="0.3">
      <c r="A61" s="134" t="s">
        <v>9245</v>
      </c>
      <c r="B61" s="134" t="s">
        <v>9246</v>
      </c>
      <c r="C61" s="1079"/>
      <c r="D61" s="1080" t="str">
        <f t="shared" si="0"/>
        <v/>
      </c>
      <c r="F61" s="90">
        <f>przepływy!F46-przepływy!F51</f>
        <v>0</v>
      </c>
      <c r="G61" s="147"/>
      <c r="H61" s="90">
        <f>przepływy!H46-przepływy!H51</f>
        <v>0</v>
      </c>
      <c r="J61" s="90">
        <f>przepływy!J46-przepływy!J51</f>
        <v>0</v>
      </c>
      <c r="K61" s="986" t="str">
        <f>IF(AND(przepływy!F61=0,AND(przepływy!H61=0,przepływy!J61=0)),"ukryj","odkryj")</f>
        <v>ukryj</v>
      </c>
      <c r="L61" s="8"/>
      <c r="M61" s="8"/>
      <c r="N61" s="8"/>
      <c r="U61" s="56" t="s">
        <v>9247</v>
      </c>
      <c r="W61" s="56" t="s">
        <v>9248</v>
      </c>
    </row>
    <row r="62" spans="1:23" ht="15.75" customHeight="1" x14ac:dyDescent="0.3">
      <c r="A62" s="134" t="s">
        <v>9249</v>
      </c>
      <c r="B62" s="134" t="s">
        <v>9250</v>
      </c>
      <c r="C62" s="1079"/>
      <c r="D62" s="1080" t="str">
        <f t="shared" si="0"/>
        <v/>
      </c>
      <c r="F62" s="90">
        <f>przepływy!F21+przepływy!F44+przepływy!F61</f>
        <v>0</v>
      </c>
      <c r="G62" s="147"/>
      <c r="H62" s="90">
        <f>przepływy!H21+przepływy!H44+przepływy!H61</f>
        <v>0</v>
      </c>
      <c r="J62" s="90">
        <f>przepływy!J21+przepływy!J44+przepływy!J61</f>
        <v>0</v>
      </c>
      <c r="K62" s="986" t="str">
        <f>IF(AND(przepływy!F62=0,AND(przepływy!H62=0,przepływy!J62=0)),"ukryj","odkryj")</f>
        <v>ukryj</v>
      </c>
      <c r="L62" s="142" t="str">
        <f>IF(F62&gt;=0,"zwiększenie","zmniejszenie")</f>
        <v>zwiększenie</v>
      </c>
      <c r="M62" s="56" t="str">
        <f>IF(CFPosr_D_KwotaA&gt;=0,"increase","decrease")</f>
        <v>increase</v>
      </c>
      <c r="U62" s="56" t="s">
        <v>9251</v>
      </c>
      <c r="W62" s="56" t="s">
        <v>9252</v>
      </c>
    </row>
    <row r="63" spans="1:23" ht="15.75" customHeight="1" x14ac:dyDescent="0.3">
      <c r="A63" s="134" t="s">
        <v>9253</v>
      </c>
      <c r="B63" s="134" t="s">
        <v>9254</v>
      </c>
      <c r="C63" s="1079"/>
      <c r="D63" s="1080" t="str">
        <f t="shared" si="0"/>
        <v/>
      </c>
      <c r="F63" s="83"/>
      <c r="G63" s="147"/>
      <c r="H63" s="83"/>
      <c r="J63" s="83"/>
      <c r="K63" s="986" t="str">
        <f>IF(AND(przepływy!F63=0,AND(przepływy!H63=0,przepływy!J63=0)),"ukryj","odkryj")</f>
        <v>ukryj</v>
      </c>
      <c r="U63" s="56" t="s">
        <v>9255</v>
      </c>
      <c r="W63" s="56" t="s">
        <v>9256</v>
      </c>
    </row>
    <row r="64" spans="1:23" ht="15.75" customHeight="1" x14ac:dyDescent="0.3">
      <c r="A64" s="137" t="s">
        <v>9257</v>
      </c>
      <c r="B64" s="137" t="s">
        <v>9258</v>
      </c>
      <c r="C64" s="1079"/>
      <c r="D64" s="1080" t="str">
        <f t="shared" si="0"/>
        <v/>
      </c>
      <c r="F64" s="5"/>
      <c r="G64" s="147"/>
      <c r="H64" s="782"/>
      <c r="J64" s="782"/>
      <c r="K64" s="986" t="str">
        <f>IF(AND(przepływy!F64=0,AND(przepływy!H64=0,przepływy!J64=0)),"ukryj","odkryj")</f>
        <v>ukryj</v>
      </c>
      <c r="U64" s="56" t="s">
        <v>9259</v>
      </c>
      <c r="W64" s="56" t="s">
        <v>9260</v>
      </c>
    </row>
    <row r="65" spans="1:23" ht="15.75" customHeight="1" x14ac:dyDescent="0.3">
      <c r="A65" s="134" t="s">
        <v>9261</v>
      </c>
      <c r="B65" s="134" t="s">
        <v>9262</v>
      </c>
      <c r="C65" s="1079"/>
      <c r="D65" s="1080" t="str">
        <f t="shared" si="0"/>
        <v/>
      </c>
      <c r="F65" s="89">
        <f>ROUND(_aktywa!H87,2)</f>
        <v>0</v>
      </c>
      <c r="G65" s="147"/>
      <c r="H65" s="782"/>
      <c r="J65" s="782"/>
      <c r="K65" s="986" t="str">
        <f>IF(AND(przepływy!F65=0,AND(przepływy!H65=0,przepływy!J65=0)),"ukryj","odkryj")</f>
        <v>ukryj</v>
      </c>
      <c r="U65" s="56" t="s">
        <v>9263</v>
      </c>
      <c r="W65" s="56" t="s">
        <v>9264</v>
      </c>
    </row>
    <row r="66" spans="1:23" ht="15.75" customHeight="1" thickBot="1" x14ac:dyDescent="0.35">
      <c r="A66" s="134" t="s">
        <v>9265</v>
      </c>
      <c r="B66" s="134" t="s">
        <v>9266</v>
      </c>
      <c r="C66" s="1079"/>
      <c r="D66" s="1080" t="str">
        <f t="shared" si="0"/>
        <v/>
      </c>
      <c r="F66" s="92">
        <f>ROUND(przepływy!F63,2)+ROUND(przepływy!F65,2)</f>
        <v>0</v>
      </c>
      <c r="G66" s="147"/>
      <c r="H66" s="92">
        <f>ROUND(przepływy!H63,2)+ROUND(przepływy!H65,2)</f>
        <v>0</v>
      </c>
      <c r="J66" s="92">
        <f>przepływy!J63+przepływy!J65</f>
        <v>0</v>
      </c>
      <c r="K66" s="986" t="str">
        <f>IF(AND(przepływy!F66=0,AND(przepływy!H66=0,przepływy!J66=0)),"ukryj","odkryj")</f>
        <v>ukryj</v>
      </c>
      <c r="U66" s="56" t="s">
        <v>9267</v>
      </c>
      <c r="W66" s="56" t="s">
        <v>9268</v>
      </c>
    </row>
    <row r="67" spans="1:23" ht="15.75" customHeight="1" thickTop="1" x14ac:dyDescent="0.3">
      <c r="A67" s="137" t="s">
        <v>9269</v>
      </c>
      <c r="B67" s="137" t="s">
        <v>9270</v>
      </c>
      <c r="C67" s="1079"/>
      <c r="D67" s="1080" t="str">
        <f t="shared" si="0"/>
        <v/>
      </c>
      <c r="F67" s="5"/>
      <c r="G67" s="147"/>
      <c r="H67" s="782"/>
      <c r="J67" s="782"/>
      <c r="K67" s="986" t="str">
        <f>IF(AND(przepływy!F67=0,AND(przepływy!H67=0,przepływy!J67=0)),"ukryj","odkryj")</f>
        <v>ukryj</v>
      </c>
      <c r="U67" s="56" t="s">
        <v>9271</v>
      </c>
      <c r="W67" s="56" t="s">
        <v>9272</v>
      </c>
    </row>
    <row r="68" spans="1:23" ht="15.75" customHeight="1" x14ac:dyDescent="0.3">
      <c r="A68" s="134"/>
      <c r="B68" s="134"/>
      <c r="C68" s="178"/>
      <c r="D68" s="489"/>
      <c r="F68" s="55"/>
      <c r="G68" s="122"/>
      <c r="H68" s="122"/>
      <c r="J68" s="122"/>
      <c r="K68" s="989"/>
    </row>
    <row r="69" spans="1:23" ht="15.75" customHeight="1" x14ac:dyDescent="0.3">
      <c r="A69" s="134"/>
      <c r="B69" s="134"/>
      <c r="C69" s="178"/>
      <c r="D69" s="489"/>
      <c r="F69" s="55"/>
      <c r="G69" s="122"/>
      <c r="H69" s="122"/>
      <c r="J69" s="122"/>
      <c r="K69" s="989"/>
    </row>
    <row r="70" spans="1:23" x14ac:dyDescent="0.3">
      <c r="A70" s="134"/>
      <c r="B70" s="134"/>
      <c r="C70" s="178"/>
      <c r="D70" s="489"/>
      <c r="F70" s="130"/>
      <c r="G70" s="130"/>
      <c r="H70" s="130"/>
      <c r="J70" s="130"/>
      <c r="K70" s="988"/>
    </row>
    <row r="71" spans="1:23" x14ac:dyDescent="0.3">
      <c r="A71" s="165" t="s">
        <v>9273</v>
      </c>
      <c r="B71" s="165"/>
      <c r="C71" s="1091"/>
      <c r="D71" s="489"/>
      <c r="E71" s="59"/>
      <c r="F71" s="67">
        <f>F62-F63</f>
        <v>0</v>
      </c>
      <c r="G71" s="67"/>
      <c r="H71" s="67">
        <f>H62-H63</f>
        <v>0</v>
      </c>
      <c r="K71" s="988"/>
    </row>
    <row r="72" spans="1:23" hidden="1" x14ac:dyDescent="0.3">
      <c r="A72" s="55"/>
      <c r="B72" s="55"/>
      <c r="D72" s="489"/>
    </row>
    <row r="73" spans="1:23" hidden="1" x14ac:dyDescent="0.3">
      <c r="A73" s="55"/>
      <c r="B73" s="55"/>
      <c r="D73" s="489"/>
    </row>
    <row r="74" spans="1:23" hidden="1" x14ac:dyDescent="0.3">
      <c r="A74" s="55"/>
      <c r="B74" s="55"/>
      <c r="D74" s="489"/>
    </row>
    <row r="75" spans="1:23" hidden="1" x14ac:dyDescent="0.3">
      <c r="A75" s="55"/>
      <c r="B75" s="55"/>
      <c r="D75" s="489"/>
    </row>
    <row r="76" spans="1:23" hidden="1" x14ac:dyDescent="0.3">
      <c r="A76" s="119"/>
      <c r="B76" s="119"/>
      <c r="C76" s="257"/>
      <c r="D76" s="489"/>
      <c r="E76" s="56"/>
      <c r="F76" s="56"/>
    </row>
    <row r="77" spans="1:23" hidden="1" x14ac:dyDescent="0.3">
      <c r="A77" s="55"/>
      <c r="B77" s="55"/>
      <c r="D77" s="489"/>
    </row>
    <row r="78" spans="1:23" hidden="1" x14ac:dyDescent="0.3">
      <c r="A78" s="55"/>
      <c r="B78" s="55"/>
      <c r="D78" s="489"/>
    </row>
    <row r="79" spans="1:23" hidden="1" x14ac:dyDescent="0.3">
      <c r="C79" s="257"/>
      <c r="D79" s="257"/>
      <c r="E79" s="56"/>
      <c r="F79" s="56"/>
      <c r="G79" s="56"/>
      <c r="H79" s="56"/>
      <c r="J79" s="67"/>
    </row>
    <row r="80" spans="1:23" hidden="1" x14ac:dyDescent="0.3">
      <c r="D80" s="489"/>
    </row>
    <row r="87" spans="4:4" hidden="1" x14ac:dyDescent="0.3">
      <c r="D87" s="1091"/>
    </row>
    <row r="94" spans="4:4" hidden="1" x14ac:dyDescent="0.3">
      <c r="D94" s="840"/>
    </row>
    <row r="96" spans="4:4"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sheetData>
  <sheetProtection formatCells="0" formatColumns="0" formatRows="0" sort="0" autoFilter="0"/>
  <protectedRanges>
    <protectedRange sqref="G8:J8 G22:J23 G26:J26 G28:J28 G35:J35 G38:J38 G40:J40 G45:J46 G51:J51 G66:J66 E2:J5 E6:I6 E7:J7 E9:J21 E8 E24:J25 E22:E23 E27:J27 E26 E29:J34 E28 E36:J37 E35 E39:J39 E38 E41:J44 E40 E47:J50 E45:E46 E52:J65 E51 E66 I70:J1048576 E80:H1048576 E70:H78 C80:C1048576 C2:C78 E67:J69" name="Range1"/>
    <protectedRange sqref="J6" name="Range1_1"/>
    <protectedRange sqref="F8" name="Range1_2"/>
    <protectedRange sqref="F22" name="Range1_3"/>
    <protectedRange sqref="F23" name="Range1_4"/>
    <protectedRange sqref="F26" name="Range1_5"/>
    <protectedRange sqref="F28" name="Range1_6"/>
    <protectedRange sqref="F35" name="Range1_7"/>
    <protectedRange sqref="F38" name="Range1_8"/>
    <protectedRange sqref="F40" name="Range1_9"/>
    <protectedRange sqref="F45" name="Range1_10"/>
    <protectedRange sqref="F46" name="Range1_11"/>
    <protectedRange sqref="F51" name="Range1_12"/>
    <protectedRange sqref="F66" name="Range1_13"/>
    <protectedRange sqref="D80:D1048576 D2:D78" name="Range1_16"/>
  </protectedRanges>
  <autoFilter ref="K2:K69" xr:uid="{00000000-0009-0000-0000-000011000000}"/>
  <conditionalFormatting sqref="D7:D160">
    <cfRule type="cellIs" dxfId="14" priority="3" stopIfTrue="1" operator="notEqual">
      <formula>""</formula>
    </cfRule>
  </conditionalFormatting>
  <conditionalFormatting sqref="C7:C160">
    <cfRule type="cellIs" dxfId="13" priority="2" stopIfTrue="1" operator="notEqual">
      <formula>""</formula>
    </cfRule>
  </conditionalFormatting>
  <conditionalFormatting sqref="A1:B1048576">
    <cfRule type="expression" dxfId="12" priority="1" stopIfTrue="1">
      <formula>$K1="ukryj"</formula>
    </cfRule>
  </conditionalFormatting>
  <printOptions horizontalCentered="1"/>
  <pageMargins left="0.70866141732283472" right="0.70866141732283472" top="0.74803149606299213" bottom="0.74803149606299213" header="0.31496062992125984" footer="0.31496062992125984"/>
  <pageSetup paperSize="9" scale="90" orientation="portrait" blackAndWhite="1" r:id="rId1"/>
  <headerFooter alignWithMargins="0">
    <oddFooter>&amp;C&amp;"Times New Roman.Normalny"&amp;10&amp;P</oddFooter>
  </headerFooter>
  <rowBreaks count="2" manualBreakCount="2">
    <brk id="36" max="8" man="1"/>
    <brk id="65"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90115" r:id="rId4" name="Dodaj pozycję użytkownika">
              <controlPr defaultSize="0" print="0" autoFill="0" autoPict="0" macro="[0]!Wezwij_Dodaj_PU">
                <anchor>
                  <from>
                    <xdr:col>0</xdr:col>
                    <xdr:colOff>41564</xdr:colOff>
                    <xdr:row>0</xdr:row>
                    <xdr:rowOff>41564</xdr:rowOff>
                  </from>
                  <to>
                    <xdr:col>0</xdr:col>
                    <xdr:colOff>1064029</xdr:colOff>
                    <xdr:row>0</xdr:row>
                    <xdr:rowOff>507076</xdr:rowOff>
                  </to>
                </anchor>
              </controlPr>
            </control>
          </mc:Choice>
        </mc:AlternateContent>
        <mc:AlternateContent xmlns:mc="http://schemas.openxmlformats.org/markup-compatibility/2006">
          <mc:Choice Requires="x14">
            <control shapeId="90116" r:id="rId5" name="Usuń pozycję użytkownika">
              <controlPr defaultSize="0" print="0" autoFill="0" autoPict="0" macro="[0]!Wezwij_Usun_PU">
                <anchor>
                  <from>
                    <xdr:col>0</xdr:col>
                    <xdr:colOff>1080655</xdr:colOff>
                    <xdr:row>0</xdr:row>
                    <xdr:rowOff>41564</xdr:rowOff>
                  </from>
                  <to>
                    <xdr:col>0</xdr:col>
                    <xdr:colOff>2094807</xdr:colOff>
                    <xdr:row>0</xdr:row>
                    <xdr:rowOff>507076</xdr:rowOff>
                  </to>
                </anchor>
              </controlPr>
            </control>
          </mc:Choice>
        </mc:AlternateContent>
        <mc:AlternateContent xmlns:mc="http://schemas.openxmlformats.org/markup-compatibility/2006">
          <mc:Choice Requires="x14">
            <control shapeId="90117" r:id="rId6" name="Odkryj wszystkie wiersze">
              <controlPr defaultSize="0" print="0" autoFill="0" autoPict="0" macro="[0]!filtr_Odkryj">
                <anchor moveWithCells="1">
                  <from>
                    <xdr:col>10</xdr:col>
                    <xdr:colOff>1039091</xdr:colOff>
                    <xdr:row>0</xdr:row>
                    <xdr:rowOff>41564</xdr:rowOff>
                  </from>
                  <to>
                    <xdr:col>12</xdr:col>
                    <xdr:colOff>191193</xdr:colOff>
                    <xdr:row>0</xdr:row>
                    <xdr:rowOff>507076</xdr:rowOff>
                  </to>
                </anchor>
              </controlPr>
            </control>
          </mc:Choice>
        </mc:AlternateContent>
        <mc:AlternateContent xmlns:mc="http://schemas.openxmlformats.org/markup-compatibility/2006">
          <mc:Choice Requires="x14">
            <control shapeId="90118" r:id="rId7" name="Ukryj wszystkie wiersze">
              <controlPr defaultSize="0" print="0" autoFill="0" autoPict="0" macro="[0]!Formuly.filtr_Ukryj_Arkusz">
                <anchor moveWithCells="1">
                  <from>
                    <xdr:col>9</xdr:col>
                    <xdr:colOff>0</xdr:colOff>
                    <xdr:row>0</xdr:row>
                    <xdr:rowOff>41564</xdr:rowOff>
                  </from>
                  <to>
                    <xdr:col>10</xdr:col>
                    <xdr:colOff>1022465</xdr:colOff>
                    <xdr:row>0</xdr:row>
                    <xdr:rowOff>507076</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1:AF46"/>
  <sheetViews>
    <sheetView view="pageBreakPreview" zoomScaleNormal="100" zoomScaleSheetLayoutView="100" workbookViewId="0">
      <pane ySplit="1" topLeftCell="A8" activePane="bottomLeft" state="frozen"/>
      <selection pane="bottomLeft"/>
    </sheetView>
  </sheetViews>
  <sheetFormatPr defaultColWidth="0" defaultRowHeight="12.45" zeroHeight="1" x14ac:dyDescent="0.2"/>
  <cols>
    <col min="1" max="2" width="42.88671875" style="26" customWidth="1"/>
    <col min="3" max="3" width="11.5546875" style="26" customWidth="1"/>
    <col min="4" max="4" width="13.33203125" style="26" customWidth="1"/>
    <col min="5" max="5" width="13.44140625" style="26" customWidth="1"/>
    <col min="6" max="6" width="5.6640625" style="26" customWidth="1"/>
    <col min="7" max="7" width="4.88671875" style="26" customWidth="1"/>
    <col min="8" max="8" width="6.109375" style="26" customWidth="1"/>
    <col min="9" max="9" width="5.88671875" style="26" customWidth="1"/>
    <col min="10" max="10" width="11.6640625" style="26" customWidth="1"/>
    <col min="11" max="11" width="14.109375" style="26" customWidth="1"/>
    <col min="12" max="12" width="13.109375" style="26" customWidth="1"/>
    <col min="13" max="13" width="9.109375" style="26" customWidth="1"/>
    <col min="14" max="14" width="109.44140625" style="26" customWidth="1"/>
    <col min="15" max="17" width="9.109375" style="26" customWidth="1"/>
    <col min="18" max="19" width="21.6640625" style="26" hidden="1" customWidth="1"/>
    <col min="20" max="20" width="22.6640625" style="26" hidden="1" customWidth="1"/>
    <col min="21" max="21" width="9.109375" style="26" hidden="1" customWidth="1"/>
    <col min="22" max="22" width="20.6640625" style="26" hidden="1" customWidth="1"/>
    <col min="23" max="23" width="3.88671875" style="26" hidden="1" customWidth="1"/>
    <col min="24" max="24" width="9.109375" style="26" hidden="1" customWidth="1"/>
    <col min="25" max="26" width="22.109375" style="26" hidden="1" customWidth="1"/>
    <col min="27" max="27" width="23.109375" style="26" hidden="1" customWidth="1"/>
    <col min="28" max="16384" width="9.109375" style="26" hidden="1"/>
  </cols>
  <sheetData>
    <row r="1" spans="1:32" ht="47.95" customHeight="1" x14ac:dyDescent="0.2"/>
    <row r="2" spans="1:32" x14ac:dyDescent="0.2">
      <c r="A2" s="275" t="str">
        <f>UPPER(Input!C2)</f>
        <v>TESTOWA 185 SP. Z O.O.</v>
      </c>
      <c r="B2" s="275" t="str">
        <f>UPPER(Input!C2)</f>
        <v>TESTOWA 185 SP. Z O.O.</v>
      </c>
      <c r="C2" s="355"/>
      <c r="D2" s="355"/>
      <c r="E2" s="355"/>
      <c r="F2" s="355"/>
      <c r="G2" s="355"/>
      <c r="H2" s="355"/>
      <c r="I2" s="355"/>
      <c r="J2" s="355"/>
      <c r="K2" s="355"/>
      <c r="L2" s="355"/>
    </row>
    <row r="3" spans="1:32" x14ac:dyDescent="0.2">
      <c r="A3" s="275" t="s">
        <v>9274</v>
      </c>
      <c r="B3" s="275" t="s">
        <v>9275</v>
      </c>
      <c r="C3" s="355"/>
      <c r="D3" s="355"/>
      <c r="E3" s="355"/>
      <c r="F3" s="355"/>
      <c r="G3" s="355"/>
      <c r="H3" s="355"/>
      <c r="I3" s="355"/>
      <c r="J3" s="355"/>
      <c r="K3" s="355"/>
      <c r="L3" s="355"/>
    </row>
    <row r="4" spans="1:32" ht="13.1" x14ac:dyDescent="0.2">
      <c r="A4" s="799" t="str">
        <f>_aktywa!A4</f>
        <v>(wszystkie dane liczbowe przedstawiono w złotych polskich)</v>
      </c>
      <c r="B4" s="799" t="str">
        <f>_aktywa!B4</f>
        <v>(All amounts are stated in PLN)</v>
      </c>
      <c r="C4" s="355"/>
      <c r="D4" s="355"/>
      <c r="E4" s="355"/>
      <c r="F4" s="355"/>
      <c r="G4" s="355"/>
      <c r="H4" s="355"/>
      <c r="I4" s="355"/>
      <c r="J4" s="355"/>
      <c r="K4" s="355"/>
      <c r="L4" s="355"/>
    </row>
    <row r="5" spans="1:32" x14ac:dyDescent="0.2">
      <c r="A5" s="355"/>
      <c r="B5" s="355"/>
      <c r="C5" s="355"/>
      <c r="D5" s="355"/>
      <c r="E5" s="355"/>
      <c r="F5" s="355"/>
      <c r="G5" s="355"/>
      <c r="H5" s="355"/>
      <c r="I5" s="355"/>
      <c r="J5" s="355"/>
      <c r="K5" s="355"/>
      <c r="L5" s="355"/>
    </row>
    <row r="6" spans="1:32" s="901" customFormat="1" ht="15.05" thickBot="1" x14ac:dyDescent="0.3">
      <c r="A6" s="900"/>
      <c r="B6" s="900"/>
      <c r="C6" s="900"/>
      <c r="D6" s="170"/>
      <c r="E6" s="170"/>
      <c r="F6" s="170"/>
      <c r="G6" s="170"/>
      <c r="H6" s="170"/>
      <c r="I6" s="170"/>
      <c r="J6" s="156"/>
      <c r="K6" s="156"/>
      <c r="L6" s="156"/>
      <c r="O6" s="902"/>
      <c r="U6" s="153"/>
      <c r="V6" s="153"/>
      <c r="W6" s="153"/>
      <c r="X6" s="153"/>
      <c r="Y6" s="153"/>
      <c r="Z6" s="153"/>
      <c r="AA6" s="153"/>
    </row>
    <row r="7" spans="1:32" s="901" customFormat="1" ht="25.55" thickBot="1" x14ac:dyDescent="0.3">
      <c r="A7" s="903" t="s">
        <v>9276</v>
      </c>
      <c r="B7" s="903" t="s">
        <v>9277</v>
      </c>
      <c r="C7" s="900"/>
      <c r="D7" s="156"/>
      <c r="E7" s="904" t="str">
        <f>CONCATENATE(Input!$P$6," -",Input!$P$7)</f>
        <v>01.01.2020 -31.12.2020</v>
      </c>
      <c r="F7" s="156"/>
      <c r="G7" s="156"/>
      <c r="H7" s="156"/>
      <c r="I7" s="156"/>
      <c r="J7" s="156"/>
      <c r="K7" s="156"/>
      <c r="L7" s="904" t="str">
        <f>CONCATENATE(Input!$P$10," -",Input!$P$11)</f>
        <v>01.01.2019 -31.12.2019</v>
      </c>
      <c r="M7" s="1100" t="str">
        <f>IF(NotaPodatkowa!N7="n/a","ukryj","odkryj")</f>
        <v>odkryj</v>
      </c>
      <c r="N7" s="1212" t="str">
        <f>IF(Input!C67=2,"n/a"," ")</f>
        <v xml:space="preserve"> </v>
      </c>
      <c r="O7" s="905"/>
      <c r="U7" s="153"/>
      <c r="V7" s="153"/>
      <c r="W7" s="153"/>
      <c r="X7" s="153"/>
      <c r="Y7" s="153"/>
      <c r="Z7" s="153"/>
      <c r="AA7" s="153"/>
    </row>
    <row r="8" spans="1:32" s="901" customFormat="1" ht="31.6" customHeight="1" x14ac:dyDescent="0.25">
      <c r="A8" s="906"/>
      <c r="B8" s="906"/>
      <c r="C8" s="910" t="s">
        <v>9278</v>
      </c>
      <c r="D8" s="354" t="s">
        <v>9279</v>
      </c>
      <c r="E8" s="907" t="s">
        <v>9280</v>
      </c>
      <c r="F8" s="354" t="s">
        <v>9281</v>
      </c>
      <c r="G8" s="354" t="s">
        <v>9282</v>
      </c>
      <c r="H8" s="354" t="s">
        <v>9283</v>
      </c>
      <c r="I8" s="354" t="s">
        <v>9284</v>
      </c>
      <c r="J8" s="910" t="s">
        <v>9278</v>
      </c>
      <c r="K8" s="354" t="s">
        <v>9279</v>
      </c>
      <c r="L8" s="907" t="s">
        <v>9280</v>
      </c>
      <c r="M8" s="990" t="str">
        <f>IF(OR(Jezyk=1,Jezyk=3),"odkryj","ukryj")</f>
        <v>odkryj</v>
      </c>
      <c r="N8" s="908"/>
      <c r="O8" s="908"/>
      <c r="U8" s="153"/>
      <c r="V8" s="153"/>
      <c r="W8" s="153"/>
      <c r="X8" s="153"/>
      <c r="Y8" s="153"/>
      <c r="Z8" s="153"/>
      <c r="AA8" s="153"/>
    </row>
    <row r="9" spans="1:32" s="901" customFormat="1" ht="26.2" x14ac:dyDescent="0.25">
      <c r="A9" s="906"/>
      <c r="B9" s="906"/>
      <c r="C9" s="910" t="s">
        <v>9285</v>
      </c>
      <c r="D9" s="354" t="s">
        <v>9286</v>
      </c>
      <c r="E9" s="907" t="s">
        <v>9287</v>
      </c>
      <c r="F9" s="354" t="s">
        <v>9281</v>
      </c>
      <c r="G9" s="354" t="s">
        <v>9288</v>
      </c>
      <c r="H9" s="354" t="s">
        <v>9289</v>
      </c>
      <c r="I9" s="354" t="s">
        <v>9290</v>
      </c>
      <c r="J9" s="910" t="s">
        <v>9285</v>
      </c>
      <c r="K9" s="354" t="s">
        <v>9286</v>
      </c>
      <c r="L9" s="907" t="s">
        <v>9287</v>
      </c>
      <c r="M9" s="990" t="str">
        <f>IF(OR(Jezyk=2,Jezyk=3),"odkryj","ukryj")</f>
        <v>odkryj</v>
      </c>
      <c r="N9" s="908"/>
      <c r="O9" s="908"/>
      <c r="U9" s="153"/>
      <c r="V9" s="153"/>
      <c r="W9" s="153"/>
      <c r="X9" s="153"/>
      <c r="Y9" s="153"/>
      <c r="Z9" s="153"/>
      <c r="AA9" s="153"/>
    </row>
    <row r="10" spans="1:32" s="901" customFormat="1" ht="13.1" x14ac:dyDescent="0.25">
      <c r="A10" s="134" t="s">
        <v>9291</v>
      </c>
      <c r="B10" s="134" t="s">
        <v>9292</v>
      </c>
      <c r="C10" s="83"/>
      <c r="D10" s="83"/>
      <c r="E10" s="1174">
        <f>NotaPodatkowa!C10+NotaPodatkowa!D10</f>
        <v>0</v>
      </c>
      <c r="F10" s="143"/>
      <c r="G10" s="143"/>
      <c r="H10" s="143"/>
      <c r="I10" s="143"/>
      <c r="J10" s="83"/>
      <c r="K10" s="83"/>
      <c r="L10" s="1175">
        <f>NotaPodatkowa!J10+NotaPodatkowa!K10</f>
        <v>0</v>
      </c>
      <c r="M10" s="1177" t="s">
        <v>5070</v>
      </c>
      <c r="N10" s="908"/>
      <c r="O10" s="908"/>
      <c r="R10" s="26" t="s">
        <v>9293</v>
      </c>
      <c r="S10" s="26" t="s">
        <v>9294</v>
      </c>
      <c r="T10" s="26" t="s">
        <v>9295</v>
      </c>
      <c r="U10" s="153"/>
      <c r="V10" s="153"/>
      <c r="W10" s="153"/>
      <c r="X10" s="153"/>
      <c r="Y10" s="26" t="s">
        <v>9296</v>
      </c>
      <c r="Z10" s="26" t="s">
        <v>9297</v>
      </c>
      <c r="AA10" s="26" t="s">
        <v>9298</v>
      </c>
    </row>
    <row r="11" spans="1:32" s="901" customFormat="1" ht="37.35" x14ac:dyDescent="0.25">
      <c r="A11" s="911" t="s">
        <v>9299</v>
      </c>
      <c r="B11" s="911" t="s">
        <v>9300</v>
      </c>
      <c r="C11" s="69">
        <v>0</v>
      </c>
      <c r="D11" s="69">
        <v>0</v>
      </c>
      <c r="E11" s="1175">
        <f>NotaPodatkowa!C11+NotaPodatkowa!D11</f>
        <v>0</v>
      </c>
      <c r="F11" s="912"/>
      <c r="G11" s="913"/>
      <c r="H11" s="913"/>
      <c r="I11" s="913"/>
      <c r="J11" s="69">
        <v>0</v>
      </c>
      <c r="K11" s="69">
        <v>0</v>
      </c>
      <c r="L11" s="1175">
        <f>NotaPodatkowa!J11+NotaPodatkowa!K11</f>
        <v>0</v>
      </c>
      <c r="M11" s="1177" t="s">
        <v>5070</v>
      </c>
      <c r="N11" s="26"/>
      <c r="O11" s="26"/>
      <c r="P11" s="26"/>
      <c r="Q11" s="26"/>
      <c r="R11" s="26" t="s">
        <v>9301</v>
      </c>
      <c r="S11" s="26" t="s">
        <v>9302</v>
      </c>
      <c r="T11" s="26" t="s">
        <v>9303</v>
      </c>
      <c r="U11" s="26"/>
      <c r="V11" s="26"/>
      <c r="W11" s="26"/>
      <c r="X11" s="26"/>
      <c r="Y11" s="26" t="s">
        <v>9304</v>
      </c>
      <c r="Z11" s="26" t="s">
        <v>9305</v>
      </c>
      <c r="AA11" s="26" t="s">
        <v>9306</v>
      </c>
      <c r="AB11" s="26"/>
      <c r="AC11" s="26"/>
      <c r="AD11" s="26"/>
      <c r="AE11" s="26"/>
    </row>
    <row r="12" spans="1:32" s="901" customFormat="1" ht="27" customHeight="1" x14ac:dyDescent="0.3">
      <c r="A12" s="914" t="s">
        <v>9307</v>
      </c>
      <c r="B12" s="914" t="s">
        <v>9308</v>
      </c>
      <c r="C12" s="69">
        <v>0</v>
      </c>
      <c r="D12" s="69">
        <v>0</v>
      </c>
      <c r="E12" s="1175">
        <f>NotaPodatkowa!C12+NotaPodatkowa!D12</f>
        <v>0</v>
      </c>
      <c r="F12" s="253"/>
      <c r="G12" s="253"/>
      <c r="H12" s="253"/>
      <c r="I12" s="253"/>
      <c r="J12" s="69">
        <v>0</v>
      </c>
      <c r="K12" s="69">
        <v>0</v>
      </c>
      <c r="L12" s="1175">
        <f>NotaPodatkowa!J12+NotaPodatkowa!K12</f>
        <v>0</v>
      </c>
      <c r="M12" s="1177" t="s">
        <v>5070</v>
      </c>
      <c r="N12" s="26"/>
      <c r="O12" s="26"/>
      <c r="P12" s="26"/>
      <c r="Q12" s="26"/>
      <c r="R12" s="26" t="s">
        <v>9309</v>
      </c>
      <c r="S12" s="26" t="s">
        <v>9310</v>
      </c>
      <c r="T12" s="26" t="s">
        <v>9311</v>
      </c>
      <c r="U12" s="26"/>
      <c r="V12" s="26"/>
      <c r="W12" s="26"/>
      <c r="X12" s="26"/>
      <c r="Y12" s="26" t="s">
        <v>9312</v>
      </c>
      <c r="Z12" s="26" t="s">
        <v>9313</v>
      </c>
      <c r="AA12" s="26" t="s">
        <v>9314</v>
      </c>
      <c r="AB12" s="26"/>
      <c r="AC12" s="26"/>
      <c r="AD12" s="26"/>
      <c r="AE12" s="26"/>
      <c r="AF12" s="26"/>
    </row>
    <row r="13" spans="1:32" s="901" customFormat="1" ht="37.35" x14ac:dyDescent="0.3">
      <c r="A13" s="914" t="s">
        <v>9315</v>
      </c>
      <c r="B13" s="914" t="s">
        <v>9316</v>
      </c>
      <c r="C13" s="69">
        <v>0</v>
      </c>
      <c r="D13" s="69">
        <v>0</v>
      </c>
      <c r="E13" s="1175">
        <f>NotaPodatkowa!C13+NotaPodatkowa!D13</f>
        <v>0</v>
      </c>
      <c r="F13" s="253"/>
      <c r="G13" s="253"/>
      <c r="H13" s="253"/>
      <c r="I13" s="253"/>
      <c r="J13" s="69">
        <v>0</v>
      </c>
      <c r="K13" s="69">
        <v>0</v>
      </c>
      <c r="L13" s="1175">
        <f>NotaPodatkowa!J13+NotaPodatkowa!K13</f>
        <v>0</v>
      </c>
      <c r="M13" s="1177" t="s">
        <v>5070</v>
      </c>
      <c r="N13" s="26"/>
      <c r="O13" s="26"/>
      <c r="P13" s="26"/>
      <c r="Q13" s="26"/>
      <c r="R13" s="26" t="s">
        <v>9317</v>
      </c>
      <c r="S13" s="26" t="s">
        <v>9318</v>
      </c>
      <c r="T13" s="26" t="s">
        <v>9319</v>
      </c>
      <c r="U13" s="26"/>
      <c r="V13" s="26"/>
      <c r="W13" s="26"/>
      <c r="X13" s="26"/>
      <c r="Y13" s="26" t="s">
        <v>9320</v>
      </c>
      <c r="Z13" s="26" t="s">
        <v>9321</v>
      </c>
      <c r="AA13" s="26" t="s">
        <v>9322</v>
      </c>
      <c r="AB13" s="26"/>
      <c r="AC13" s="26"/>
      <c r="AD13" s="26"/>
      <c r="AE13" s="26"/>
      <c r="AF13" s="26"/>
    </row>
    <row r="14" spans="1:32" s="901" customFormat="1" ht="56.3" customHeight="1" x14ac:dyDescent="0.3">
      <c r="A14" s="911" t="s">
        <v>9323</v>
      </c>
      <c r="B14" s="911" t="s">
        <v>9324</v>
      </c>
      <c r="C14" s="69">
        <v>0</v>
      </c>
      <c r="D14" s="69">
        <v>0</v>
      </c>
      <c r="E14" s="1175">
        <f>NotaPodatkowa!C14+NotaPodatkowa!D14</f>
        <v>0</v>
      </c>
      <c r="F14" s="253"/>
      <c r="G14" s="253"/>
      <c r="H14" s="253"/>
      <c r="I14" s="253"/>
      <c r="J14" s="69">
        <v>0</v>
      </c>
      <c r="K14" s="69">
        <v>0</v>
      </c>
      <c r="L14" s="1175">
        <f>NotaPodatkowa!J14+NotaPodatkowa!K14</f>
        <v>0</v>
      </c>
      <c r="M14" s="1177" t="s">
        <v>5070</v>
      </c>
      <c r="N14" s="26"/>
      <c r="O14" s="26"/>
      <c r="P14" s="26"/>
      <c r="Q14" s="26"/>
      <c r="R14" s="26" t="s">
        <v>9325</v>
      </c>
      <c r="S14" s="26" t="s">
        <v>9326</v>
      </c>
      <c r="T14" s="26" t="s">
        <v>9327</v>
      </c>
      <c r="U14" s="26"/>
      <c r="V14" s="26"/>
      <c r="W14" s="26"/>
      <c r="X14" s="26"/>
      <c r="Y14" s="26" t="s">
        <v>9328</v>
      </c>
      <c r="Z14" s="26" t="s">
        <v>9329</v>
      </c>
      <c r="AA14" s="26" t="s">
        <v>9330</v>
      </c>
      <c r="AB14" s="26"/>
      <c r="AC14" s="26"/>
      <c r="AD14" s="26"/>
      <c r="AE14" s="26"/>
      <c r="AF14" s="26"/>
    </row>
    <row r="15" spans="1:32" s="901" customFormat="1" ht="29.3" customHeight="1" x14ac:dyDescent="0.3">
      <c r="A15" s="914" t="s">
        <v>9331</v>
      </c>
      <c r="B15" s="914" t="s">
        <v>9332</v>
      </c>
      <c r="C15" s="69">
        <v>0</v>
      </c>
      <c r="D15" s="69">
        <v>0</v>
      </c>
      <c r="E15" s="1175">
        <f>NotaPodatkowa!C15+NotaPodatkowa!D15</f>
        <v>0</v>
      </c>
      <c r="F15" s="253"/>
      <c r="G15" s="253"/>
      <c r="H15" s="253"/>
      <c r="I15" s="253"/>
      <c r="J15" s="69">
        <v>0</v>
      </c>
      <c r="K15" s="69">
        <v>0</v>
      </c>
      <c r="L15" s="1175">
        <f>NotaPodatkowa!J15+NotaPodatkowa!K15</f>
        <v>0</v>
      </c>
      <c r="M15" s="1177" t="s">
        <v>5070</v>
      </c>
      <c r="N15" s="26"/>
      <c r="O15" s="26"/>
      <c r="P15" s="26"/>
      <c r="Q15" s="26"/>
      <c r="R15" s="26" t="s">
        <v>9333</v>
      </c>
      <c r="S15" s="26" t="s">
        <v>9334</v>
      </c>
      <c r="T15" s="26" t="s">
        <v>9335</v>
      </c>
      <c r="U15" s="26"/>
      <c r="V15" s="26"/>
      <c r="W15" s="26"/>
      <c r="X15" s="26"/>
      <c r="Y15" s="26" t="s">
        <v>9336</v>
      </c>
      <c r="Z15" s="26" t="s">
        <v>9337</v>
      </c>
      <c r="AA15" s="26" t="s">
        <v>9338</v>
      </c>
      <c r="AB15" s="26"/>
      <c r="AC15" s="26"/>
      <c r="AD15" s="26"/>
      <c r="AE15" s="26"/>
      <c r="AF15" s="26"/>
    </row>
    <row r="16" spans="1:32" s="901" customFormat="1" ht="40.6" customHeight="1" x14ac:dyDescent="0.3">
      <c r="A16" s="914" t="s">
        <v>9339</v>
      </c>
      <c r="B16" s="914" t="s">
        <v>9340</v>
      </c>
      <c r="C16" s="69">
        <v>0</v>
      </c>
      <c r="D16" s="69">
        <v>0</v>
      </c>
      <c r="E16" s="1175">
        <f>NotaPodatkowa!C16+NotaPodatkowa!D16</f>
        <v>0</v>
      </c>
      <c r="F16" s="253"/>
      <c r="G16" s="253"/>
      <c r="H16" s="253"/>
      <c r="I16" s="253"/>
      <c r="J16" s="69">
        <v>0</v>
      </c>
      <c r="K16" s="69">
        <v>0</v>
      </c>
      <c r="L16" s="1175">
        <f>NotaPodatkowa!J16+NotaPodatkowa!K16</f>
        <v>0</v>
      </c>
      <c r="M16" s="1177" t="s">
        <v>5070</v>
      </c>
      <c r="N16" s="26"/>
      <c r="O16" s="26"/>
      <c r="P16" s="26"/>
      <c r="Q16" s="26"/>
      <c r="R16" s="26" t="s">
        <v>9341</v>
      </c>
      <c r="S16" s="26" t="s">
        <v>9342</v>
      </c>
      <c r="T16" s="26" t="s">
        <v>9343</v>
      </c>
      <c r="U16" s="26"/>
      <c r="V16" s="26"/>
      <c r="W16" s="26"/>
      <c r="X16" s="26"/>
      <c r="Y16" s="26" t="s">
        <v>9344</v>
      </c>
      <c r="Z16" s="26" t="s">
        <v>9345</v>
      </c>
      <c r="AA16" s="26" t="s">
        <v>9346</v>
      </c>
      <c r="AB16" s="26"/>
      <c r="AC16" s="26"/>
      <c r="AD16" s="26"/>
      <c r="AE16" s="26"/>
      <c r="AF16" s="26"/>
    </row>
    <row r="17" spans="1:32" s="901" customFormat="1" ht="13.6" customHeight="1" x14ac:dyDescent="0.25">
      <c r="A17" s="915" t="s">
        <v>9347</v>
      </c>
      <c r="B17" s="915" t="s">
        <v>9348</v>
      </c>
      <c r="C17" s="5">
        <v>0</v>
      </c>
      <c r="D17" s="5">
        <v>0</v>
      </c>
      <c r="E17" s="1176">
        <f>NotaPodatkowa!C17+NotaPodatkowa!D17</f>
        <v>0</v>
      </c>
      <c r="F17" s="916"/>
      <c r="G17" s="916"/>
      <c r="H17" s="916"/>
      <c r="I17" s="916"/>
      <c r="J17" s="5">
        <v>0</v>
      </c>
      <c r="K17" s="5">
        <v>0</v>
      </c>
      <c r="L17" s="1175">
        <f>NotaPodatkowa!J17+NotaPodatkowa!K17</f>
        <v>0</v>
      </c>
      <c r="M17" s="1177" t="s">
        <v>5070</v>
      </c>
      <c r="N17" s="26"/>
      <c r="O17" s="26"/>
      <c r="P17" s="26"/>
      <c r="Q17" s="26"/>
      <c r="R17" s="26" t="s">
        <v>9349</v>
      </c>
      <c r="S17" s="26" t="s">
        <v>9350</v>
      </c>
      <c r="T17" s="26" t="s">
        <v>9351</v>
      </c>
      <c r="U17" s="26"/>
      <c r="V17" s="26"/>
      <c r="W17" s="26"/>
      <c r="X17" s="26"/>
      <c r="Y17" s="26" t="s">
        <v>9352</v>
      </c>
      <c r="Z17" s="26" t="s">
        <v>9353</v>
      </c>
      <c r="AA17" s="26" t="s">
        <v>9354</v>
      </c>
      <c r="AB17" s="26"/>
      <c r="AC17" s="26"/>
      <c r="AD17" s="26"/>
      <c r="AE17" s="26"/>
    </row>
    <row r="18" spans="1:32" s="901" customFormat="1" ht="15.05" x14ac:dyDescent="0.3">
      <c r="A18" s="917" t="s">
        <v>9355</v>
      </c>
      <c r="B18" s="917" t="s">
        <v>9356</v>
      </c>
      <c r="C18" s="69">
        <v>0</v>
      </c>
      <c r="D18" s="69">
        <v>0</v>
      </c>
      <c r="E18" s="1175">
        <f>NotaPodatkowa!C18+NotaPodatkowa!D18</f>
        <v>0</v>
      </c>
      <c r="F18" s="253"/>
      <c r="G18" s="253"/>
      <c r="H18" s="253"/>
      <c r="I18" s="253"/>
      <c r="J18" s="69">
        <v>0</v>
      </c>
      <c r="K18" s="69">
        <v>0</v>
      </c>
      <c r="L18" s="1175">
        <f>NotaPodatkowa!J18+NotaPodatkowa!K18</f>
        <v>0</v>
      </c>
      <c r="M18" s="1177" t="s">
        <v>5070</v>
      </c>
      <c r="N18" s="26"/>
      <c r="O18" s="26"/>
      <c r="P18" s="26"/>
      <c r="Q18" s="26"/>
      <c r="R18" s="26" t="s">
        <v>9357</v>
      </c>
      <c r="S18" s="26" t="s">
        <v>9358</v>
      </c>
      <c r="T18" s="26" t="s">
        <v>9359</v>
      </c>
      <c r="U18" s="26"/>
      <c r="V18" s="26"/>
      <c r="W18" s="26"/>
      <c r="X18" s="26"/>
      <c r="Y18" s="26" t="s">
        <v>9360</v>
      </c>
      <c r="Z18" s="26" t="s">
        <v>9361</v>
      </c>
      <c r="AA18" s="26" t="s">
        <v>9362</v>
      </c>
      <c r="AB18" s="26"/>
      <c r="AC18" s="26"/>
      <c r="AD18" s="26"/>
      <c r="AE18" s="26"/>
      <c r="AF18" s="26"/>
    </row>
    <row r="19" spans="1:32" s="901" customFormat="1" ht="13.6" customHeight="1" x14ac:dyDescent="0.25">
      <c r="A19" s="207" t="s">
        <v>9363</v>
      </c>
      <c r="B19" s="207" t="s">
        <v>9364</v>
      </c>
      <c r="C19" s="918">
        <f>SUM(C10,C17,C11,C12,C13,C14,C15,C16,C18)</f>
        <v>0</v>
      </c>
      <c r="D19" s="918">
        <f>SUM(D10,D17,D11,D12,D13,D14,D15,D16,D18)</f>
        <v>0</v>
      </c>
      <c r="E19" s="90">
        <f>SUM(E10,E17,E11,E12,E13,E14,E15,E16,E18)</f>
        <v>0</v>
      </c>
      <c r="F19" s="143"/>
      <c r="G19" s="143"/>
      <c r="H19" s="143"/>
      <c r="I19" s="143"/>
      <c r="J19" s="918">
        <f>SUM(J10,J17,J11,J12,J13,J14,J15,J16,J18)</f>
        <v>0</v>
      </c>
      <c r="K19" s="918">
        <f>SUM(K10,K17,K11,K12,K13,K14,K15,K16,K18)</f>
        <v>0</v>
      </c>
      <c r="L19" s="918">
        <f>SUM(L10,L11,L12,L13,L14,L15,L16,L17,L18)</f>
        <v>0</v>
      </c>
      <c r="M19" s="990" t="str">
        <f>IF(AND(C19=0,D19=0,J19=0,K19=0,E19=0,L19=0),"ukryj","odkryj")</f>
        <v>ukryj</v>
      </c>
      <c r="N19" s="26"/>
      <c r="O19" s="26"/>
      <c r="P19" s="26"/>
      <c r="Q19" s="26"/>
      <c r="R19" s="26"/>
      <c r="S19" s="26"/>
      <c r="T19" s="26"/>
      <c r="U19" s="26"/>
      <c r="V19" s="26"/>
      <c r="W19" s="26"/>
      <c r="X19" s="26"/>
      <c r="Y19" s="26"/>
      <c r="Z19" s="26"/>
      <c r="AA19" s="26"/>
      <c r="AB19" s="26"/>
      <c r="AC19" s="26"/>
      <c r="AD19" s="26"/>
      <c r="AE19" s="26"/>
      <c r="AF19" s="26"/>
    </row>
    <row r="20" spans="1:32" s="901" customFormat="1" ht="13.6" customHeight="1" x14ac:dyDescent="0.25">
      <c r="A20" s="207" t="s">
        <v>9365</v>
      </c>
      <c r="B20" s="207" t="s">
        <v>8609</v>
      </c>
      <c r="C20" s="5"/>
      <c r="D20" s="5"/>
      <c r="E20" s="5"/>
      <c r="F20" s="145"/>
      <c r="G20" s="145"/>
      <c r="H20" s="145"/>
      <c r="I20" s="145"/>
      <c r="J20" s="5"/>
      <c r="K20" s="5"/>
      <c r="L20" s="5"/>
      <c r="M20" s="990" t="str">
        <f>IF(AND(C20=0,D20=0,J20=0,K20=0,E20=0,L20=0),"ukryj","odkryj")</f>
        <v>ukryj</v>
      </c>
      <c r="N20" s="26"/>
      <c r="O20" s="26"/>
      <c r="P20" s="26"/>
      <c r="Q20" s="26"/>
      <c r="R20" s="26"/>
      <c r="S20" s="26"/>
      <c r="T20" s="26"/>
      <c r="U20" s="26"/>
      <c r="V20" s="26"/>
      <c r="W20" s="26"/>
      <c r="X20" s="26"/>
      <c r="Y20" s="26"/>
      <c r="Z20" s="26"/>
      <c r="AA20" s="26"/>
      <c r="AB20" s="26"/>
      <c r="AC20" s="26"/>
      <c r="AD20" s="26"/>
      <c r="AE20" s="26"/>
    </row>
    <row r="21" spans="1:32" s="901" customFormat="1" ht="13.6" customHeight="1" x14ac:dyDescent="0.25">
      <c r="A21" s="207" t="str">
        <f>IF(P_ID_10_RB_KwotaA&gt;=0,"X. Podstawa opodatkowania"&amp;IF(P_ID_10_RP_KwotaA&lt;0,"/ Tax loss",""), "X. Tax loss"&amp;IF(P_ID_10_RP_KwotaA&gt;=0,"/ Podstawa opodatkowania",""))</f>
        <v>X. Podstawa opodatkowania</v>
      </c>
      <c r="B21" s="207" t="str">
        <f>IF(P_ID_10_RB_KwotaA&gt;=0,"X. Tax base"&amp;IF(P_ID_10_RP_KwotaA&lt;0,"/ Tax loss",""), "X. Tax loss"&amp;IF(P_ID_10_RP_KwotaA&gt;=0,"/ Tax base",""))</f>
        <v>X. Tax base</v>
      </c>
      <c r="C21" s="918">
        <f>IF(NotaPodatkowa!C19&lt;0,SUM(NotaPodatkowa!C19:'NotaPodatkowa'!C20),ROUND(SUM(NotaPodatkowa!C19:'NotaPodatkowa'!C20),0))</f>
        <v>0</v>
      </c>
      <c r="D21" s="918">
        <f>IF(NotaPodatkowa!D19&lt;0,SUM(NotaPodatkowa!D19:'NotaPodatkowa'!D20),ROUND(SUM(NotaPodatkowa!D19:'NotaPodatkowa'!D20),0))</f>
        <v>0</v>
      </c>
      <c r="E21" s="90">
        <f>NotaPodatkowa!C26+NotaPodatkowa!D26</f>
        <v>0</v>
      </c>
      <c r="F21" s="143"/>
      <c r="G21" s="143"/>
      <c r="H21" s="143"/>
      <c r="I21" s="143"/>
      <c r="J21" s="918">
        <f>IF(NotaPodatkowa!J19&lt;0,SUM(NotaPodatkowa!J19:'NotaPodatkowa'!J20),ROUND(SUM(NotaPodatkowa!J19:'NotaPodatkowa'!J20),0))</f>
        <v>0</v>
      </c>
      <c r="K21" s="918">
        <f>IF(NotaPodatkowa!K19&lt;0,SUM(NotaPodatkowa!K19:'NotaPodatkowa'!K20),ROUND(SUM(NotaPodatkowa!K19:'NotaPodatkowa'!K20),0))</f>
        <v>0</v>
      </c>
      <c r="L21" s="90">
        <f>NotaPodatkowa!J26+NotaPodatkowa!K26</f>
        <v>0</v>
      </c>
      <c r="M21" s="990" t="s">
        <v>5070</v>
      </c>
      <c r="N21" s="905"/>
      <c r="O21" s="905"/>
      <c r="R21" s="26" t="s">
        <v>9366</v>
      </c>
      <c r="S21" s="26" t="s">
        <v>9367</v>
      </c>
      <c r="T21" s="26" t="s">
        <v>9368</v>
      </c>
      <c r="U21" s="153"/>
      <c r="V21" s="153"/>
      <c r="W21" s="153"/>
      <c r="X21" s="153"/>
      <c r="Y21" s="26" t="s">
        <v>9369</v>
      </c>
      <c r="Z21" s="26" t="s">
        <v>9370</v>
      </c>
      <c r="AA21" s="26" t="s">
        <v>9371</v>
      </c>
    </row>
    <row r="22" spans="1:32" s="901" customFormat="1" ht="12.8" customHeight="1" x14ac:dyDescent="0.25">
      <c r="A22" s="207" t="str">
        <f>"XI. Podatek dochodowy  ("&amp;IF(Input!$C$55=Input!$C$56,TEXT(Input!$C$55,"##%"&amp;")"),YEAR(Input!$R$6)&amp;" - "&amp;TEXT(Input!$C$55,"##%")&amp;", "&amp;YEAR(Input!$R$10)&amp;" - "&amp;TEXT(Input!$C$56,"##%"&amp;")"))</f>
        <v>XI. Podatek dochodowy  (19%)</v>
      </c>
      <c r="B22" s="207" t="str">
        <f>"XI. Current tax  ("&amp;IF(Input!$C$55=Input!$C$56,TEXT(Input!$C$55,"##%"&amp;")"),YEAR(Input!$R$6)&amp;" - "&amp;TEXT(Input!$C$55,"##%")&amp;", "&amp;YEAR(Input!$R$10)&amp;" - "&amp;TEXT(Input!$C$56,"##%"&amp;")"))</f>
        <v>XI. Current tax  (19%)</v>
      </c>
      <c r="C22" s="918">
        <f>IF(C21&gt;0,ROUND(C21*Input!C55,0),0)</f>
        <v>0</v>
      </c>
      <c r="D22" s="918">
        <f>IF(NotaPodatkowa!D21&gt;0,ROUND(NotaPodatkowa!D21*Input!C55,0),0)</f>
        <v>0</v>
      </c>
      <c r="E22" s="90">
        <f>NotaPodatkowa!C28+NotaPodatkowa!D28</f>
        <v>0</v>
      </c>
      <c r="F22" s="143"/>
      <c r="G22" s="143"/>
      <c r="H22" s="143"/>
      <c r="I22" s="143"/>
      <c r="J22" s="918">
        <f>IF(NotaPodatkowa!J21&gt;0,ROUND(NotaPodatkowa!J21*Input!C56,0),0)</f>
        <v>0</v>
      </c>
      <c r="K22" s="918">
        <f>IF(NotaPodatkowa!K21&gt;0,ROUND(NotaPodatkowa!K21*Input!C56,0),0)</f>
        <v>0</v>
      </c>
      <c r="L22" s="90">
        <f>NotaPodatkowa!J28+NotaPodatkowa!K28</f>
        <v>0</v>
      </c>
      <c r="M22" s="990" t="s">
        <v>5070</v>
      </c>
      <c r="N22" s="905"/>
      <c r="O22" s="905"/>
      <c r="R22" s="26" t="s">
        <v>9372</v>
      </c>
      <c r="S22" s="26" t="s">
        <v>9373</v>
      </c>
      <c r="T22" s="26" t="s">
        <v>9374</v>
      </c>
      <c r="U22" s="153"/>
      <c r="V22" s="153"/>
      <c r="W22" s="153"/>
      <c r="X22" s="153"/>
      <c r="Y22" s="26" t="s">
        <v>9375</v>
      </c>
      <c r="Z22" s="26" t="s">
        <v>9376</v>
      </c>
      <c r="AA22" s="26" t="s">
        <v>9377</v>
      </c>
    </row>
    <row r="23" spans="1:32" s="901" customFormat="1" ht="13.1" x14ac:dyDescent="0.25">
      <c r="A23" s="909"/>
      <c r="B23" s="909"/>
      <c r="C23" s="26"/>
      <c r="D23" s="26"/>
      <c r="E23" s="26"/>
      <c r="F23" s="26"/>
      <c r="G23" s="26"/>
      <c r="H23" s="26"/>
      <c r="I23" s="26"/>
      <c r="J23" s="26"/>
      <c r="K23" s="26"/>
      <c r="L23" s="26"/>
      <c r="M23" s="990"/>
      <c r="N23" s="905"/>
      <c r="O23" s="905"/>
      <c r="U23" s="153"/>
      <c r="V23" s="153"/>
      <c r="W23" s="153"/>
      <c r="X23" s="153"/>
      <c r="Y23" s="153"/>
      <c r="Z23" s="153"/>
      <c r="AA23" s="153"/>
    </row>
    <row r="24" spans="1:32" x14ac:dyDescent="0.2">
      <c r="M24" s="85" t="s">
        <v>5070</v>
      </c>
    </row>
    <row r="25" spans="1:32" x14ac:dyDescent="0.2">
      <c r="M25" s="85"/>
    </row>
    <row r="26" spans="1:32" x14ac:dyDescent="0.2"/>
    <row r="27" spans="1:32" x14ac:dyDescent="0.2"/>
    <row r="28" spans="1:32" x14ac:dyDescent="0.2"/>
    <row r="29" spans="1:32" x14ac:dyDescent="0.2"/>
    <row r="30" spans="1:32" x14ac:dyDescent="0.2"/>
    <row r="31" spans="1:32" x14ac:dyDescent="0.2"/>
    <row r="32" spans="1: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sheetData>
  <sheetProtection formatCells="0" formatColumns="0" formatRows="0" sort="0" autoFilter="0"/>
  <protectedRanges>
    <protectedRange sqref="L20 E20 E17" name="Range2"/>
  </protectedRanges>
  <autoFilter ref="M7:M22" xr:uid="{00000000-0009-0000-0000-000012000000}"/>
  <conditionalFormatting sqref="A1:B1048576">
    <cfRule type="expression" dxfId="11" priority="25">
      <formula>$M1="ukryj"</formula>
    </cfRule>
  </conditionalFormatting>
  <printOptions horizontalCentered="1"/>
  <pageMargins left="0.74803149606299213" right="0.74803149606299213" top="0.70866141732283472" bottom="0.70866141732283472" header="0.31496062992125989" footer="0.31496062992125989"/>
  <pageSetup paperSize="9" scale="90" orientation="landscape"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Dodaj pozycję użytkownika">
              <controlPr defaultSize="0" print="0" autoFill="0" autoPict="0" macro="[0]!Wezwij_Dodaj_Nota24">
                <anchor>
                  <from>
                    <xdr:col>0</xdr:col>
                    <xdr:colOff>41564</xdr:colOff>
                    <xdr:row>0</xdr:row>
                    <xdr:rowOff>41564</xdr:rowOff>
                  </from>
                  <to>
                    <xdr:col>0</xdr:col>
                    <xdr:colOff>1064029</xdr:colOff>
                    <xdr:row>0</xdr:row>
                    <xdr:rowOff>507076</xdr:rowOff>
                  </to>
                </anchor>
              </controlPr>
            </control>
          </mc:Choice>
        </mc:AlternateContent>
        <mc:AlternateContent xmlns:mc="http://schemas.openxmlformats.org/markup-compatibility/2006">
          <mc:Choice Requires="x14">
            <control shapeId="117762" r:id="rId5" name="Usuń pozycję użytkownika">
              <controlPr defaultSize="0" print="0" autoFill="0" autoPict="0" macro="[0]!Wezwij_Usun_Nota24">
                <anchor>
                  <from>
                    <xdr:col>0</xdr:col>
                    <xdr:colOff>1080655</xdr:colOff>
                    <xdr:row>0</xdr:row>
                    <xdr:rowOff>41564</xdr:rowOff>
                  </from>
                  <to>
                    <xdr:col>0</xdr:col>
                    <xdr:colOff>2094807</xdr:colOff>
                    <xdr:row>0</xdr:row>
                    <xdr:rowOff>507076</xdr:rowOff>
                  </to>
                </anchor>
              </controlPr>
            </control>
          </mc:Choice>
        </mc:AlternateContent>
        <mc:AlternateContent xmlns:mc="http://schemas.openxmlformats.org/markup-compatibility/2006">
          <mc:Choice Requires="x14">
            <control shapeId="117763" r:id="rId6" name="Odkryj wszystkie wiersze">
              <controlPr defaultSize="0" print="0" autoFill="0" autoPict="0" macro="[0]!filtr_Odkryj">
                <anchor moveWithCells="1">
                  <from>
                    <xdr:col>13</xdr:col>
                    <xdr:colOff>432262</xdr:colOff>
                    <xdr:row>0</xdr:row>
                    <xdr:rowOff>41564</xdr:rowOff>
                  </from>
                  <to>
                    <xdr:col>13</xdr:col>
                    <xdr:colOff>1446415</xdr:colOff>
                    <xdr:row>0</xdr:row>
                    <xdr:rowOff>507076</xdr:rowOff>
                  </to>
                </anchor>
              </controlPr>
            </control>
          </mc:Choice>
        </mc:AlternateContent>
        <mc:AlternateContent xmlns:mc="http://schemas.openxmlformats.org/markup-compatibility/2006">
          <mc:Choice Requires="x14">
            <control shapeId="117764" r:id="rId7" name="Ukryj wszystkie wiersze">
              <controlPr defaultSize="0" print="0" autoFill="0" autoPict="0" macro="[0]!Formuly.filtr_Ukryj_Arkusz">
                <anchor moveWithCells="1">
                  <from>
                    <xdr:col>12</xdr:col>
                    <xdr:colOff>0</xdr:colOff>
                    <xdr:row>0</xdr:row>
                    <xdr:rowOff>41564</xdr:rowOff>
                  </from>
                  <to>
                    <xdr:col>13</xdr:col>
                    <xdr:colOff>415636</xdr:colOff>
                    <xdr:row>0</xdr:row>
                    <xdr:rowOff>507076</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CV1818"/>
  <sheetViews>
    <sheetView view="pageBreakPreview" zoomScaleNormal="100" zoomScaleSheetLayoutView="100" workbookViewId="0">
      <pane ySplit="1" topLeftCell="A1685" activePane="bottomLeft" state="frozen"/>
      <selection pane="bottomLeft"/>
    </sheetView>
  </sheetViews>
  <sheetFormatPr defaultColWidth="0" defaultRowHeight="13.1" zeroHeight="1" x14ac:dyDescent="0.25"/>
  <cols>
    <col min="1" max="1" width="3.88671875" style="489" customWidth="1"/>
    <col min="2" max="2" width="2.88671875" style="489" customWidth="1"/>
    <col min="3" max="3" width="17.109375" style="489" customWidth="1"/>
    <col min="4" max="9" width="12.33203125" style="581" customWidth="1"/>
    <col min="10" max="11" width="11.44140625" style="489" customWidth="1"/>
    <col min="12" max="12" width="5.33203125" style="489" customWidth="1"/>
    <col min="13" max="13" width="13.6640625" style="489" customWidth="1"/>
    <col min="14" max="14" width="26.6640625" style="489" customWidth="1"/>
    <col min="15" max="15" width="4.5546875" style="489" hidden="1" customWidth="1"/>
    <col min="16" max="16" width="8.33203125" style="489" hidden="1" customWidth="1"/>
    <col min="17" max="17" width="7.88671875" style="489" hidden="1" customWidth="1"/>
    <col min="18" max="26" width="9.109375" style="489" hidden="1" customWidth="1"/>
    <col min="27" max="27" width="32.109375" style="489" hidden="1" customWidth="1"/>
    <col min="28" max="28" width="33.44140625" style="489" hidden="1" customWidth="1"/>
    <col min="29" max="29" width="50.6640625" style="489" hidden="1" customWidth="1"/>
    <col min="30" max="30" width="50.88671875" style="489" hidden="1" customWidth="1"/>
    <col min="31" max="31" width="46.6640625" style="489" hidden="1" customWidth="1"/>
    <col min="32" max="32" width="46.88671875" style="489" hidden="1" customWidth="1"/>
    <col min="33" max="33" width="9.109375" style="489" hidden="1" customWidth="1"/>
    <col min="34" max="100" width="0" style="489" hidden="1" customWidth="1"/>
    <col min="101" max="16384" width="9.109375" style="489" hidden="1"/>
  </cols>
  <sheetData>
    <row r="1" spans="1:32" ht="48.8" customHeight="1" x14ac:dyDescent="0.25"/>
    <row r="2" spans="1:32" s="257" customFormat="1" x14ac:dyDescent="0.25">
      <c r="A2" s="171" t="str">
        <f>UPPER(Input!C2)</f>
        <v>TESTOWA 185 SP. Z O.O.</v>
      </c>
      <c r="D2" s="202"/>
      <c r="E2" s="202"/>
      <c r="F2" s="202"/>
      <c r="G2" s="202"/>
      <c r="H2" s="202"/>
      <c r="I2" s="202"/>
      <c r="J2" s="499" t="s">
        <v>5070</v>
      </c>
      <c r="L2" s="488"/>
      <c r="N2" s="172"/>
    </row>
    <row r="3" spans="1:32" s="257" customFormat="1" x14ac:dyDescent="0.25">
      <c r="A3" s="171" t="s">
        <v>9274</v>
      </c>
      <c r="D3" s="202"/>
      <c r="E3" s="202"/>
      <c r="F3" s="202"/>
      <c r="G3" s="202"/>
      <c r="H3" s="202"/>
      <c r="I3" s="608"/>
      <c r="J3" s="499" t="str">
        <f>Noty!J2</f>
        <v>odkryj</v>
      </c>
      <c r="N3" s="172"/>
    </row>
    <row r="4" spans="1:32" s="257" customFormat="1" x14ac:dyDescent="0.25">
      <c r="A4" s="257" t="str">
        <f>_aktywa!A4</f>
        <v>(wszystkie dane liczbowe przedstawiono w złotych polskich)</v>
      </c>
      <c r="D4" s="202"/>
      <c r="E4" s="202"/>
      <c r="F4" s="202"/>
      <c r="G4" s="202"/>
      <c r="H4" s="202"/>
      <c r="I4" s="608"/>
      <c r="J4" s="499" t="str">
        <f>Noty!J3</f>
        <v>odkryj</v>
      </c>
      <c r="N4" s="172"/>
    </row>
    <row r="5" spans="1:32" s="257" customFormat="1" ht="13.75" thickBot="1" x14ac:dyDescent="0.3">
      <c r="A5" s="171"/>
      <c r="D5" s="202"/>
      <c r="E5" s="202"/>
      <c r="F5" s="202"/>
      <c r="G5" s="202"/>
      <c r="H5" s="202"/>
      <c r="I5" s="608"/>
      <c r="J5" s="499" t="str">
        <f>Noty!J4</f>
        <v>odkryj</v>
      </c>
      <c r="N5" s="172"/>
    </row>
    <row r="6" spans="1:32" s="257" customFormat="1" ht="15.75" thickBot="1" x14ac:dyDescent="0.35">
      <c r="A6" s="1180">
        <f>IF(K6="n/a",0,1)</f>
        <v>0</v>
      </c>
      <c r="B6" s="1181"/>
      <c r="C6" s="1280" t="s">
        <v>7551</v>
      </c>
      <c r="D6" s="1280"/>
      <c r="E6" s="1280"/>
      <c r="F6" s="1280"/>
      <c r="G6" s="1280"/>
      <c r="H6" s="1280"/>
      <c r="I6" s="1280"/>
      <c r="J6" s="499" t="str">
        <f>IF(Noty!K6="n/a","ukryj","odkryj")</f>
        <v>ukryj</v>
      </c>
      <c r="K6" s="1213" t="str">
        <f>IF(AND(K8="n/a",K59="n/a",K66="n/a",K70="n/a"),"n/a","")</f>
        <v>n/a</v>
      </c>
      <c r="L6" s="488" t="str">
        <f>A6&amp;"."&amp;B6</f>
        <v>0.</v>
      </c>
      <c r="N6" s="1101" t="s">
        <v>9378</v>
      </c>
      <c r="O6" s="489" t="str">
        <f>A6&amp;"."&amp;B6</f>
        <v>0.</v>
      </c>
    </row>
    <row r="7" spans="1:32" s="257" customFormat="1" ht="13.75" thickBot="1" x14ac:dyDescent="0.3">
      <c r="A7" s="171"/>
      <c r="B7" s="244"/>
      <c r="C7" s="504"/>
      <c r="D7" s="185"/>
      <c r="E7" s="185"/>
      <c r="F7" s="185"/>
      <c r="G7" s="185"/>
      <c r="H7" s="185"/>
      <c r="I7" s="608"/>
      <c r="J7" s="499" t="str">
        <f>Noty!J6</f>
        <v>ukryj</v>
      </c>
      <c r="L7" s="174"/>
      <c r="N7" s="172"/>
    </row>
    <row r="8" spans="1:32" s="164" customFormat="1" ht="15.75" thickBot="1" x14ac:dyDescent="0.35">
      <c r="A8" s="1183">
        <f>A6</f>
        <v>0</v>
      </c>
      <c r="B8" s="1184">
        <f>IF(K8="n/a",0,1)</f>
        <v>0</v>
      </c>
      <c r="C8" s="1235" t="s">
        <v>9379</v>
      </c>
      <c r="D8" s="1235"/>
      <c r="E8" s="1235"/>
      <c r="F8" s="1235"/>
      <c r="G8" s="1235"/>
      <c r="H8" s="1235"/>
      <c r="I8" s="1235"/>
      <c r="J8" s="499" t="str">
        <f>IF(Noty!K8="n/a","ukryj","odkryj")</f>
        <v>ukryj</v>
      </c>
      <c r="K8" s="1213" t="str">
        <f>IF(Input!D84="nie","n/a","")</f>
        <v>n/a</v>
      </c>
      <c r="L8" s="489" t="str">
        <f>A8&amp;"."&amp;B8</f>
        <v>0.0</v>
      </c>
      <c r="M8" s="176"/>
      <c r="N8" s="1101" t="s">
        <v>9378</v>
      </c>
      <c r="O8" s="489" t="str">
        <f>A8&amp;"."&amp;B8</f>
        <v>0.0</v>
      </c>
    </row>
    <row r="9" spans="1:32" s="164" customFormat="1" x14ac:dyDescent="0.25">
      <c r="A9" s="509"/>
      <c r="B9" s="520"/>
      <c r="C9" s="175"/>
      <c r="D9" s="218"/>
      <c r="E9" s="218"/>
      <c r="F9" s="218"/>
      <c r="G9" s="218"/>
      <c r="H9" s="218"/>
      <c r="I9" s="218"/>
      <c r="J9" s="499" t="str">
        <f>Noty!J8</f>
        <v>ukryj</v>
      </c>
      <c r="K9" s="489"/>
      <c r="L9" s="174"/>
      <c r="M9" s="176"/>
      <c r="N9" s="177"/>
    </row>
    <row r="10" spans="1:32" s="164" customFormat="1" ht="50.4" x14ac:dyDescent="0.25">
      <c r="A10" s="509"/>
      <c r="B10" s="520"/>
      <c r="C10" s="175"/>
      <c r="D10" s="1297" t="s">
        <v>7554</v>
      </c>
      <c r="E10" s="1297"/>
      <c r="F10" s="801" t="s">
        <v>7955</v>
      </c>
      <c r="G10" s="801" t="s">
        <v>7959</v>
      </c>
      <c r="H10" s="801" t="s">
        <v>7964</v>
      </c>
      <c r="I10" s="801" t="s">
        <v>9280</v>
      </c>
      <c r="J10" s="499" t="str">
        <f>Noty!J11</f>
        <v>ukryj</v>
      </c>
      <c r="K10" s="489"/>
      <c r="L10" s="174"/>
      <c r="M10" s="176"/>
      <c r="N10" s="177"/>
    </row>
    <row r="11" spans="1:32" s="257" customFormat="1" x14ac:dyDescent="0.25">
      <c r="A11" s="171"/>
      <c r="C11" s="244" t="s">
        <v>9380</v>
      </c>
      <c r="D11" s="202"/>
      <c r="E11" s="609"/>
      <c r="F11" s="609"/>
      <c r="G11" s="609"/>
      <c r="H11" s="609"/>
      <c r="I11" s="609"/>
      <c r="J11" s="499" t="str">
        <f>IF(COUNT(Noty!I13:'Noty'!I27)-COUNTIF(Noty!I13:'Noty'!I27,0)=0,"ukryj","odkryj")</f>
        <v>ukryj</v>
      </c>
      <c r="K11" s="489"/>
      <c r="L11" s="174"/>
      <c r="M11" s="178"/>
      <c r="N11" s="172"/>
    </row>
    <row r="12" spans="1:32" s="257" customFormat="1" x14ac:dyDescent="0.25">
      <c r="A12" s="171"/>
      <c r="D12" s="202"/>
      <c r="E12" s="609"/>
      <c r="F12" s="609"/>
      <c r="G12" s="609"/>
      <c r="H12" s="609"/>
      <c r="I12" s="609"/>
      <c r="J12" s="499" t="str">
        <f>Noty!J11</f>
        <v>ukryj</v>
      </c>
      <c r="K12" s="489"/>
      <c r="L12" s="174"/>
      <c r="M12" s="178"/>
      <c r="N12" s="172"/>
    </row>
    <row r="13" spans="1:32" s="257" customFormat="1" x14ac:dyDescent="0.25">
      <c r="A13" s="171"/>
      <c r="C13" s="821" t="str">
        <f>CONCATENATE("B.O. ",Input!$P$6)</f>
        <v>B.O. 01.01.2020</v>
      </c>
      <c r="D13" s="1295"/>
      <c r="E13" s="1295"/>
      <c r="F13" s="639"/>
      <c r="G13" s="639"/>
      <c r="H13" s="639"/>
      <c r="I13" s="800">
        <f>SUM(E13:H13)</f>
        <v>0</v>
      </c>
      <c r="J13" s="499" t="str">
        <f>IF(Noty!I13=0,"ukryj","odkryj")</f>
        <v>ukryj</v>
      </c>
      <c r="K13" s="489"/>
      <c r="L13" s="174"/>
      <c r="M13" s="178"/>
      <c r="N13" s="172"/>
      <c r="AA13" s="257" t="s">
        <v>9381</v>
      </c>
      <c r="AC13" s="257" t="s">
        <v>9382</v>
      </c>
      <c r="AD13" s="257" t="s">
        <v>9383</v>
      </c>
      <c r="AE13" s="257" t="s">
        <v>9384</v>
      </c>
      <c r="AF13" s="257" t="s">
        <v>9385</v>
      </c>
    </row>
    <row r="14" spans="1:32" s="257" customFormat="1" x14ac:dyDescent="0.25">
      <c r="A14" s="171"/>
      <c r="C14" s="821" t="s">
        <v>9386</v>
      </c>
      <c r="D14" s="1296">
        <f>SUBTOTAL(9,D15:E19)</f>
        <v>0</v>
      </c>
      <c r="E14" s="1296"/>
      <c r="F14" s="800">
        <f>SUBTOTAL(9,F15:F19)</f>
        <v>0</v>
      </c>
      <c r="G14" s="800">
        <f>SUBTOTAL(9,G15:G19)</f>
        <v>0</v>
      </c>
      <c r="H14" s="800">
        <f>SUBTOTAL(9,H15:H19)</f>
        <v>0</v>
      </c>
      <c r="I14" s="800">
        <f>SUM(D14:H14)</f>
        <v>0</v>
      </c>
      <c r="J14" s="499" t="str">
        <f>IF(Noty!I14=0,"ukryj","odkryj")</f>
        <v>ukryj</v>
      </c>
      <c r="K14" s="489"/>
      <c r="L14" s="174"/>
      <c r="M14" s="178"/>
      <c r="N14" s="172"/>
    </row>
    <row r="15" spans="1:32" s="257" customFormat="1" x14ac:dyDescent="0.25">
      <c r="A15" s="171"/>
      <c r="C15" s="179" t="s">
        <v>9387</v>
      </c>
      <c r="D15" s="1295"/>
      <c r="E15" s="1295"/>
      <c r="F15" s="639"/>
      <c r="G15" s="639"/>
      <c r="H15" s="639"/>
      <c r="I15" s="800">
        <f>SUBTOTAL(9,E15:H15)</f>
        <v>0</v>
      </c>
      <c r="J15" s="499" t="str">
        <f>IF(Noty!I15=0,"ukryj","odkryj")</f>
        <v>ukryj</v>
      </c>
      <c r="K15" s="489"/>
      <c r="L15" s="174"/>
      <c r="M15" s="178"/>
      <c r="N15" s="172"/>
    </row>
    <row r="16" spans="1:32" s="257" customFormat="1" ht="52.4" x14ac:dyDescent="0.25">
      <c r="A16" s="171"/>
      <c r="C16" s="180" t="s">
        <v>9388</v>
      </c>
      <c r="D16" s="1295"/>
      <c r="E16" s="1295"/>
      <c r="F16" s="639"/>
      <c r="G16" s="639"/>
      <c r="H16" s="639"/>
      <c r="I16" s="800">
        <f>SUBTOTAL(9,E16:H16)</f>
        <v>0</v>
      </c>
      <c r="J16" s="499" t="str">
        <f>IF(Noty!I16=0,"ukryj","odkryj")</f>
        <v>ukryj</v>
      </c>
      <c r="K16" s="489"/>
      <c r="L16" s="174"/>
      <c r="M16" s="178"/>
      <c r="N16" s="172"/>
    </row>
    <row r="17" spans="1:32" s="257" customFormat="1" x14ac:dyDescent="0.25">
      <c r="A17" s="171"/>
      <c r="C17" s="179" t="s">
        <v>9389</v>
      </c>
      <c r="D17" s="1295"/>
      <c r="E17" s="1295"/>
      <c r="F17" s="639"/>
      <c r="G17" s="639"/>
      <c r="H17" s="639"/>
      <c r="I17" s="800">
        <f>SUBTOTAL(9,E17:H17)</f>
        <v>0</v>
      </c>
      <c r="J17" s="499" t="str">
        <f>IF(Noty!I17=0,"ukryj","odkryj")</f>
        <v>ukryj</v>
      </c>
      <c r="K17" s="489"/>
      <c r="L17" s="174"/>
      <c r="M17" s="178"/>
      <c r="N17" s="172"/>
    </row>
    <row r="18" spans="1:32" s="257" customFormat="1" x14ac:dyDescent="0.25">
      <c r="A18" s="171"/>
      <c r="C18" s="179" t="s">
        <v>9390</v>
      </c>
      <c r="D18" s="1295"/>
      <c r="E18" s="1295"/>
      <c r="F18" s="639"/>
      <c r="G18" s="639"/>
      <c r="H18" s="639"/>
      <c r="I18" s="800">
        <f>SUBTOTAL(9,E18:H18)</f>
        <v>0</v>
      </c>
      <c r="J18" s="499" t="str">
        <f>IF(Noty!I18=0,"ukryj","odkryj")</f>
        <v>ukryj</v>
      </c>
      <c r="K18" s="489"/>
      <c r="L18" s="174"/>
      <c r="M18" s="178"/>
      <c r="N18" s="172"/>
    </row>
    <row r="19" spans="1:32" s="257" customFormat="1" x14ac:dyDescent="0.25">
      <c r="A19" s="171"/>
      <c r="C19" s="181" t="s">
        <v>8161</v>
      </c>
      <c r="D19" s="1295"/>
      <c r="E19" s="1295"/>
      <c r="F19" s="639"/>
      <c r="G19" s="639"/>
      <c r="H19" s="639"/>
      <c r="I19" s="800">
        <f>SUBTOTAL(9,E19:H19)</f>
        <v>0</v>
      </c>
      <c r="J19" s="499" t="str">
        <f>IF(Noty!I19=0,"ukryj","odkryj")</f>
        <v>ukryj</v>
      </c>
      <c r="K19" s="489"/>
      <c r="L19" s="174"/>
      <c r="M19" s="178"/>
      <c r="N19" s="172"/>
    </row>
    <row r="20" spans="1:32" s="257" customFormat="1" x14ac:dyDescent="0.25">
      <c r="A20" s="171"/>
      <c r="C20" s="821" t="s">
        <v>9391</v>
      </c>
      <c r="D20" s="1296">
        <f>SUBTOTAL(9,D21:E25)</f>
        <v>0</v>
      </c>
      <c r="E20" s="1296"/>
      <c r="F20" s="800">
        <f>SUBTOTAL(9,F21:F25)</f>
        <v>0</v>
      </c>
      <c r="G20" s="800">
        <f>SUBTOTAL(9,G21:G25)</f>
        <v>0</v>
      </c>
      <c r="H20" s="800">
        <f>SUBTOTAL(9,H21:H25)</f>
        <v>0</v>
      </c>
      <c r="I20" s="800">
        <f>SUBTOTAL(9,D20:H20)</f>
        <v>0</v>
      </c>
      <c r="J20" s="499" t="str">
        <f>IF(Noty!I20=0,"ukryj","odkryj")</f>
        <v>ukryj</v>
      </c>
      <c r="K20" s="489"/>
      <c r="L20" s="174"/>
      <c r="M20" s="178"/>
      <c r="N20" s="172"/>
    </row>
    <row r="21" spans="1:32" s="257" customFormat="1" x14ac:dyDescent="0.25">
      <c r="A21" s="171"/>
      <c r="C21" s="182" t="s">
        <v>9392</v>
      </c>
      <c r="D21" s="1295"/>
      <c r="E21" s="1295"/>
      <c r="F21" s="639"/>
      <c r="G21" s="639"/>
      <c r="H21" s="639"/>
      <c r="I21" s="800">
        <f t="shared" ref="I21:I26" si="0">SUBTOTAL(9,E21:H21)</f>
        <v>0</v>
      </c>
      <c r="J21" s="499" t="str">
        <f>IF(Noty!I21=0,"ukryj","odkryj")</f>
        <v>ukryj</v>
      </c>
      <c r="K21" s="489"/>
      <c r="L21" s="174"/>
      <c r="M21" s="178"/>
      <c r="N21" s="172"/>
    </row>
    <row r="22" spans="1:32" s="257" customFormat="1" x14ac:dyDescent="0.25">
      <c r="A22" s="171"/>
      <c r="C22" s="182" t="s">
        <v>9393</v>
      </c>
      <c r="D22" s="1295"/>
      <c r="E22" s="1295"/>
      <c r="F22" s="639"/>
      <c r="G22" s="639"/>
      <c r="H22" s="639"/>
      <c r="I22" s="800">
        <f t="shared" si="0"/>
        <v>0</v>
      </c>
      <c r="J22" s="499" t="str">
        <f>IF(Noty!I22=0,"ukryj","odkryj")</f>
        <v>ukryj</v>
      </c>
      <c r="K22" s="489"/>
      <c r="L22" s="174"/>
      <c r="M22" s="178"/>
      <c r="N22" s="172"/>
    </row>
    <row r="23" spans="1:32" s="257" customFormat="1" x14ac:dyDescent="0.25">
      <c r="A23" s="171"/>
      <c r="C23" s="182" t="s">
        <v>9389</v>
      </c>
      <c r="D23" s="1295"/>
      <c r="E23" s="1295"/>
      <c r="F23" s="639"/>
      <c r="G23" s="639"/>
      <c r="H23" s="639"/>
      <c r="I23" s="800">
        <f t="shared" si="0"/>
        <v>0</v>
      </c>
      <c r="J23" s="499" t="str">
        <f>IF(Noty!I23=0,"ukryj","odkryj")</f>
        <v>ukryj</v>
      </c>
      <c r="K23" s="489"/>
      <c r="L23" s="174"/>
      <c r="M23" s="178"/>
      <c r="N23" s="172"/>
    </row>
    <row r="24" spans="1:32" s="257" customFormat="1" x14ac:dyDescent="0.25">
      <c r="A24" s="171"/>
      <c r="C24" s="182" t="s">
        <v>9390</v>
      </c>
      <c r="D24" s="1295"/>
      <c r="E24" s="1295"/>
      <c r="F24" s="639"/>
      <c r="G24" s="639"/>
      <c r="H24" s="639"/>
      <c r="I24" s="800">
        <f t="shared" si="0"/>
        <v>0</v>
      </c>
      <c r="J24" s="499" t="str">
        <f>IF(Noty!I24=0,"ukryj","odkryj")</f>
        <v>ukryj</v>
      </c>
      <c r="K24" s="489"/>
      <c r="L24" s="174"/>
      <c r="M24" s="178"/>
      <c r="N24" s="172"/>
    </row>
    <row r="25" spans="1:32" s="257" customFormat="1" x14ac:dyDescent="0.25">
      <c r="A25" s="171"/>
      <c r="C25" s="181" t="s">
        <v>8161</v>
      </c>
      <c r="D25" s="1295"/>
      <c r="E25" s="1295"/>
      <c r="F25" s="639"/>
      <c r="G25" s="639"/>
      <c r="H25" s="639"/>
      <c r="I25" s="800">
        <f t="shared" si="0"/>
        <v>0</v>
      </c>
      <c r="J25" s="499" t="str">
        <f>IF(Noty!I25=0,"ukryj","odkryj")</f>
        <v>ukryj</v>
      </c>
      <c r="K25" s="489"/>
      <c r="L25" s="174"/>
      <c r="M25" s="178"/>
      <c r="N25" s="172"/>
    </row>
    <row r="26" spans="1:32" s="257" customFormat="1" ht="25.55" x14ac:dyDescent="0.25">
      <c r="A26" s="509"/>
      <c r="B26" s="520"/>
      <c r="C26" s="821" t="s">
        <v>9394</v>
      </c>
      <c r="D26" s="1299"/>
      <c r="E26" s="1299"/>
      <c r="F26" s="639"/>
      <c r="G26" s="639"/>
      <c r="H26" s="639"/>
      <c r="I26" s="800">
        <f t="shared" si="0"/>
        <v>0</v>
      </c>
      <c r="J26" s="499" t="str">
        <f>IF(Noty!I26=0,"ukryj","odkryj")</f>
        <v>ukryj</v>
      </c>
      <c r="K26" s="489"/>
      <c r="L26" s="174"/>
      <c r="N26" s="172"/>
    </row>
    <row r="27" spans="1:32" s="257" customFormat="1" x14ac:dyDescent="0.25">
      <c r="A27" s="171"/>
      <c r="C27" s="821" t="str">
        <f>CONCATENATE("B.Z. ",Input!$P$7)</f>
        <v>B.Z. 31.12.2020</v>
      </c>
      <c r="D27" s="1300">
        <f>D13+D14+D26+D20</f>
        <v>0</v>
      </c>
      <c r="E27" s="1300"/>
      <c r="F27" s="803">
        <f>F13+F14+F26+F20</f>
        <v>0</v>
      </c>
      <c r="G27" s="803">
        <f>G13+G14+G26+G20</f>
        <v>0</v>
      </c>
      <c r="H27" s="803">
        <f>H13+H14+H26+H20</f>
        <v>0</v>
      </c>
      <c r="I27" s="803">
        <f>I13+I14+I26+I20</f>
        <v>0</v>
      </c>
      <c r="J27" s="499" t="str">
        <f>IF(Noty!I27=0,"ukryj","odkryj")</f>
        <v>ukryj</v>
      </c>
      <c r="K27" s="489"/>
      <c r="L27" s="174"/>
      <c r="M27" s="178"/>
      <c r="N27" s="172"/>
      <c r="AA27" s="257" t="s">
        <v>9395</v>
      </c>
      <c r="AC27" s="257" t="s">
        <v>9396</v>
      </c>
      <c r="AD27" s="257" t="s">
        <v>9397</v>
      </c>
      <c r="AE27" s="257" t="s">
        <v>9398</v>
      </c>
      <c r="AF27" s="257" t="s">
        <v>9399</v>
      </c>
    </row>
    <row r="28" spans="1:32" s="257" customFormat="1" x14ac:dyDescent="0.25">
      <c r="A28" s="171"/>
      <c r="D28" s="202"/>
      <c r="E28" s="183"/>
      <c r="F28" s="183"/>
      <c r="G28" s="183"/>
      <c r="H28" s="183"/>
      <c r="I28" s="184"/>
      <c r="J28" s="499" t="str">
        <f>Noty!J27</f>
        <v>ukryj</v>
      </c>
      <c r="K28" s="489"/>
      <c r="L28" s="174"/>
      <c r="M28" s="178"/>
      <c r="N28" s="172"/>
    </row>
    <row r="29" spans="1:32" s="257" customFormat="1" x14ac:dyDescent="0.25">
      <c r="A29" s="171"/>
      <c r="C29" s="821" t="s">
        <v>9400</v>
      </c>
      <c r="D29" s="202"/>
      <c r="E29" s="183"/>
      <c r="F29" s="183"/>
      <c r="G29" s="183"/>
      <c r="H29" s="183"/>
      <c r="I29" s="184"/>
      <c r="J29" s="499" t="str">
        <f>IF(COUNT(Noty!I31:'Noty'!I42)-COUNTIF(Noty!I31:'Noty'!I42,0)=0,"ukryj","odkryj")</f>
        <v>ukryj</v>
      </c>
      <c r="K29" s="489"/>
      <c r="L29" s="174"/>
      <c r="M29" s="178"/>
      <c r="N29" s="172"/>
    </row>
    <row r="30" spans="1:32" s="257" customFormat="1" x14ac:dyDescent="0.25">
      <c r="A30" s="171"/>
      <c r="D30" s="202"/>
      <c r="E30" s="183"/>
      <c r="F30" s="183"/>
      <c r="G30" s="183"/>
      <c r="H30" s="183"/>
      <c r="I30" s="184"/>
      <c r="J30" s="499" t="str">
        <f>Noty!J29</f>
        <v>ukryj</v>
      </c>
      <c r="K30" s="489"/>
      <c r="L30" s="174"/>
      <c r="M30" s="178"/>
      <c r="N30" s="172"/>
    </row>
    <row r="31" spans="1:32" s="257" customFormat="1" x14ac:dyDescent="0.25">
      <c r="A31" s="171"/>
      <c r="C31" s="821" t="str">
        <f>CONCATENATE("B.O. ",Input!$P$6)</f>
        <v>B.O. 01.01.2020</v>
      </c>
      <c r="D31" s="1298"/>
      <c r="E31" s="1298"/>
      <c r="F31" s="802"/>
      <c r="G31" s="802"/>
      <c r="H31" s="802"/>
      <c r="I31" s="800">
        <f>IF(AND(D31&lt;=0,F31&lt;=0,G31&lt;=0,H31&lt;=0),SUM(D31:H31),"Błąd - wpisano wartość dodatnią")</f>
        <v>0</v>
      </c>
      <c r="J31" s="499" t="str">
        <f>IF(Noty!I31=0,"ukryj","odkryj")</f>
        <v>ukryj</v>
      </c>
      <c r="K31" s="489"/>
      <c r="L31" s="174"/>
      <c r="M31" s="178"/>
      <c r="N31" s="172"/>
      <c r="AA31" s="257" t="s">
        <v>9401</v>
      </c>
      <c r="AC31" s="257" t="s">
        <v>9402</v>
      </c>
      <c r="AD31" s="257" t="s">
        <v>9403</v>
      </c>
      <c r="AE31" s="257" t="s">
        <v>9404</v>
      </c>
      <c r="AF31" s="257" t="s">
        <v>9405</v>
      </c>
    </row>
    <row r="32" spans="1:32" s="257" customFormat="1" x14ac:dyDescent="0.25">
      <c r="A32" s="171"/>
      <c r="C32" s="821" t="s">
        <v>9406</v>
      </c>
      <c r="D32" s="1296">
        <f>SUBTOTAL(9,D33:E34)</f>
        <v>0</v>
      </c>
      <c r="E32" s="1296"/>
      <c r="F32" s="800">
        <f>SUBTOTAL(9,F33:F34)</f>
        <v>0</v>
      </c>
      <c r="G32" s="800">
        <f>SUBTOTAL(9,G33:G34)</f>
        <v>0</v>
      </c>
      <c r="H32" s="800">
        <f>SUBTOTAL(9,H33:H34)</f>
        <v>0</v>
      </c>
      <c r="I32" s="800">
        <f>IF(AND(D32&lt;=0,F32&lt;=0,G32&lt;=0,H32&lt;=0),SUM(D32:H32),"Błąd - wpisano wartość dodatnią")</f>
        <v>0</v>
      </c>
      <c r="J32" s="499" t="str">
        <f>IF(Noty!I32=0,"ukryj","odkryj")</f>
        <v>ukryj</v>
      </c>
      <c r="K32" s="489"/>
      <c r="L32" s="174"/>
      <c r="M32" s="178"/>
      <c r="N32" s="172"/>
    </row>
    <row r="33" spans="1:32" s="257" customFormat="1" x14ac:dyDescent="0.25">
      <c r="A33" s="171"/>
      <c r="C33" s="180" t="s">
        <v>9407</v>
      </c>
      <c r="D33" s="1298"/>
      <c r="E33" s="1298"/>
      <c r="F33" s="802"/>
      <c r="G33" s="802"/>
      <c r="H33" s="802"/>
      <c r="I33" s="800">
        <f>IF(AND(D33&lt;=0,F33&lt;=0,G33&lt;=0,H33&lt;=0),SUM(D33:H33),"Błąd - wpisano wartość dodatnią")</f>
        <v>0</v>
      </c>
      <c r="J33" s="499" t="str">
        <f>IF(Noty!I33=0,"ukryj","odkryj")</f>
        <v>ukryj</v>
      </c>
      <c r="K33" s="489"/>
      <c r="L33" s="174"/>
      <c r="M33" s="178"/>
      <c r="N33" s="172"/>
    </row>
    <row r="34" spans="1:32" s="257" customFormat="1" x14ac:dyDescent="0.25">
      <c r="A34" s="171"/>
      <c r="C34" s="181" t="s">
        <v>8161</v>
      </c>
      <c r="D34" s="1298"/>
      <c r="E34" s="1298"/>
      <c r="F34" s="802"/>
      <c r="G34" s="802"/>
      <c r="H34" s="802"/>
      <c r="I34" s="800">
        <f>IF(AND(D34&lt;=0,F34&lt;=0,G34&lt;=0,H34&lt;=0),SUM(D34:H34),"Błąd - wpisano wartość dodatnią")</f>
        <v>0</v>
      </c>
      <c r="J34" s="499" t="str">
        <f>IF(Noty!I34=0,"ukryj","odkryj")</f>
        <v>ukryj</v>
      </c>
      <c r="K34" s="489"/>
      <c r="L34" s="174"/>
      <c r="M34" s="178"/>
      <c r="N34" s="172"/>
    </row>
    <row r="35" spans="1:32" s="257" customFormat="1" x14ac:dyDescent="0.25">
      <c r="A35" s="509"/>
      <c r="B35" s="520"/>
      <c r="C35" s="821" t="s">
        <v>9408</v>
      </c>
      <c r="D35" s="1296">
        <f>SUBTOTAL(9,D36:E40)</f>
        <v>0</v>
      </c>
      <c r="E35" s="1296"/>
      <c r="F35" s="800">
        <f>SUBTOTAL(9,F36:F40)</f>
        <v>0</v>
      </c>
      <c r="G35" s="800">
        <f>SUBTOTAL(9,G36:G40)</f>
        <v>0</v>
      </c>
      <c r="H35" s="800">
        <f>SUBTOTAL(9,H36:H40)</f>
        <v>0</v>
      </c>
      <c r="I35" s="800">
        <f>SUM(D35:H35)</f>
        <v>0</v>
      </c>
      <c r="J35" s="499" t="str">
        <f>IF(Noty!I35=0,"ukryj","odkryj")</f>
        <v>ukryj</v>
      </c>
      <c r="K35" s="489"/>
      <c r="L35" s="174"/>
      <c r="N35" s="172"/>
    </row>
    <row r="36" spans="1:32" s="257" customFormat="1" x14ac:dyDescent="0.25">
      <c r="A36" s="509"/>
      <c r="B36" s="520"/>
      <c r="C36" s="182" t="s">
        <v>9392</v>
      </c>
      <c r="D36" s="1298"/>
      <c r="E36" s="1298"/>
      <c r="F36" s="802"/>
      <c r="G36" s="802"/>
      <c r="H36" s="802"/>
      <c r="I36" s="800">
        <f>SUM(E36:H36)</f>
        <v>0</v>
      </c>
      <c r="J36" s="499" t="str">
        <f>IF(Noty!I36=0,"ukryj","odkryj")</f>
        <v>ukryj</v>
      </c>
      <c r="K36" s="489"/>
      <c r="L36" s="174"/>
      <c r="N36" s="172"/>
    </row>
    <row r="37" spans="1:32" s="257" customFormat="1" x14ac:dyDescent="0.25">
      <c r="A37" s="509"/>
      <c r="B37" s="520"/>
      <c r="C37" s="182" t="s">
        <v>9393</v>
      </c>
      <c r="D37" s="1298"/>
      <c r="E37" s="1298"/>
      <c r="F37" s="802"/>
      <c r="G37" s="802"/>
      <c r="H37" s="802"/>
      <c r="I37" s="800">
        <f>SUM(E37:H37)</f>
        <v>0</v>
      </c>
      <c r="J37" s="499" t="str">
        <f>IF(Noty!I37=0,"ukryj","odkryj")</f>
        <v>ukryj</v>
      </c>
      <c r="K37" s="489"/>
      <c r="L37" s="174"/>
      <c r="N37" s="172"/>
    </row>
    <row r="38" spans="1:32" s="257" customFormat="1" x14ac:dyDescent="0.25">
      <c r="A38" s="509"/>
      <c r="B38" s="520"/>
      <c r="C38" s="182" t="s">
        <v>9389</v>
      </c>
      <c r="D38" s="1298"/>
      <c r="E38" s="1298"/>
      <c r="F38" s="802"/>
      <c r="G38" s="802"/>
      <c r="H38" s="802"/>
      <c r="I38" s="800">
        <f>SUM(E38:H38)</f>
        <v>0</v>
      </c>
      <c r="J38" s="499" t="str">
        <f>IF(Noty!I38=0,"ukryj","odkryj")</f>
        <v>ukryj</v>
      </c>
      <c r="K38" s="489"/>
      <c r="L38" s="174"/>
      <c r="N38" s="172"/>
    </row>
    <row r="39" spans="1:32" s="257" customFormat="1" x14ac:dyDescent="0.25">
      <c r="A39" s="509"/>
      <c r="B39" s="520"/>
      <c r="C39" s="182" t="s">
        <v>9390</v>
      </c>
      <c r="D39" s="1298"/>
      <c r="E39" s="1298"/>
      <c r="F39" s="802"/>
      <c r="G39" s="802"/>
      <c r="H39" s="802"/>
      <c r="I39" s="800">
        <f>SUM(E39:H39)</f>
        <v>0</v>
      </c>
      <c r="J39" s="499" t="str">
        <f>IF(Noty!I39=0,"ukryj","odkryj")</f>
        <v>ukryj</v>
      </c>
      <c r="K39" s="489"/>
      <c r="L39" s="174"/>
      <c r="N39" s="172"/>
    </row>
    <row r="40" spans="1:32" s="257" customFormat="1" x14ac:dyDescent="0.25">
      <c r="A40" s="171"/>
      <c r="C40" s="181" t="s">
        <v>8161</v>
      </c>
      <c r="D40" s="1298"/>
      <c r="E40" s="1298"/>
      <c r="F40" s="802"/>
      <c r="G40" s="802"/>
      <c r="H40" s="802"/>
      <c r="I40" s="800">
        <f>SUM(E40:H40)</f>
        <v>0</v>
      </c>
      <c r="J40" s="499" t="str">
        <f>IF(Noty!I40=0,"ukryj","odkryj")</f>
        <v>ukryj</v>
      </c>
      <c r="K40" s="489"/>
      <c r="L40" s="174"/>
      <c r="M40" s="178"/>
      <c r="N40" s="172"/>
    </row>
    <row r="41" spans="1:32" s="257" customFormat="1" ht="25.55" x14ac:dyDescent="0.25">
      <c r="A41" s="509"/>
      <c r="B41" s="520"/>
      <c r="C41" s="821" t="s">
        <v>9394</v>
      </c>
      <c r="D41" s="1301"/>
      <c r="E41" s="1301"/>
      <c r="F41" s="802"/>
      <c r="G41" s="802"/>
      <c r="H41" s="638"/>
      <c r="I41" s="800">
        <f>IF(SUM(E41:H41)=0,0,"Błąd - ta pozycja powinna się zerować")</f>
        <v>0</v>
      </c>
      <c r="J41" s="499" t="str">
        <f>IF(Noty!I41=0,"ukryj","odkryj")</f>
        <v>ukryj</v>
      </c>
      <c r="K41" s="489"/>
      <c r="L41" s="174"/>
      <c r="N41" s="172"/>
    </row>
    <row r="42" spans="1:32" s="257" customFormat="1" x14ac:dyDescent="0.25">
      <c r="A42" s="171"/>
      <c r="C42" s="821" t="str">
        <f>CONCATENATE("B.Z. ",Input!$P$7)</f>
        <v>B.Z. 31.12.2020</v>
      </c>
      <c r="D42" s="1300">
        <f>D31+D32+D41+D35</f>
        <v>0</v>
      </c>
      <c r="E42" s="1300"/>
      <c r="F42" s="803">
        <f>F31+F32+F41+F35</f>
        <v>0</v>
      </c>
      <c r="G42" s="803">
        <f>G31+G32+G41+G35</f>
        <v>0</v>
      </c>
      <c r="H42" s="803">
        <f>H31+H32+H41+H35</f>
        <v>0</v>
      </c>
      <c r="I42" s="803">
        <f>I31+I32+I41+I35</f>
        <v>0</v>
      </c>
      <c r="J42" s="499" t="str">
        <f>IF(Noty!I42=0,"ukryj","odkryj")</f>
        <v>ukryj</v>
      </c>
      <c r="K42" s="489"/>
      <c r="L42" s="174"/>
      <c r="M42" s="178"/>
      <c r="N42" s="172"/>
      <c r="AA42" s="257" t="s">
        <v>9409</v>
      </c>
      <c r="AC42" s="257" t="s">
        <v>9410</v>
      </c>
      <c r="AD42" s="257" t="s">
        <v>9411</v>
      </c>
      <c r="AE42" s="257" t="s">
        <v>9412</v>
      </c>
      <c r="AF42" s="257" t="s">
        <v>9413</v>
      </c>
    </row>
    <row r="43" spans="1:32" s="257" customFormat="1" x14ac:dyDescent="0.25">
      <c r="A43" s="171"/>
      <c r="D43" s="202"/>
      <c r="E43" s="184"/>
      <c r="F43" s="184"/>
      <c r="G43" s="184"/>
      <c r="H43" s="184"/>
      <c r="I43" s="184"/>
      <c r="J43" s="499" t="str">
        <f>Noty!J42</f>
        <v>ukryj</v>
      </c>
      <c r="K43" s="489"/>
      <c r="L43" s="174"/>
      <c r="M43" s="178"/>
      <c r="N43" s="172"/>
    </row>
    <row r="44" spans="1:32" s="257" customFormat="1" x14ac:dyDescent="0.25">
      <c r="A44" s="171"/>
      <c r="C44" s="185" t="s">
        <v>9414</v>
      </c>
      <c r="D44" s="202"/>
      <c r="E44" s="183"/>
      <c r="F44" s="183"/>
      <c r="G44" s="183"/>
      <c r="H44" s="183"/>
      <c r="I44" s="184"/>
      <c r="J44" s="499" t="str">
        <f>IF(COUNT(Noty!I46:'Noty'!I52)-COUNTIF(Noty!I46:'Noty'!I52,0)=0,"ukryj","odkryj")</f>
        <v>ukryj</v>
      </c>
      <c r="K44" s="489"/>
      <c r="L44" s="174"/>
      <c r="M44" s="178"/>
      <c r="N44" s="172"/>
    </row>
    <row r="45" spans="1:32" s="257" customFormat="1" x14ac:dyDescent="0.25">
      <c r="A45" s="171"/>
      <c r="D45" s="202"/>
      <c r="E45" s="183"/>
      <c r="F45" s="183"/>
      <c r="G45" s="183"/>
      <c r="H45" s="183"/>
      <c r="I45" s="184"/>
      <c r="J45" s="499" t="str">
        <f>Noty!J44</f>
        <v>ukryj</v>
      </c>
      <c r="K45" s="489"/>
      <c r="L45" s="174"/>
      <c r="M45" s="178"/>
      <c r="N45" s="172"/>
    </row>
    <row r="46" spans="1:32" s="257" customFormat="1" x14ac:dyDescent="0.25">
      <c r="A46" s="171"/>
      <c r="C46" s="821" t="str">
        <f>CONCATENATE("B.O. ",Input!$P$6)</f>
        <v>B.O. 01.01.2020</v>
      </c>
      <c r="D46" s="1298"/>
      <c r="E46" s="1298"/>
      <c r="F46" s="802"/>
      <c r="G46" s="802"/>
      <c r="H46" s="638"/>
      <c r="I46" s="800">
        <f>IF(AND(E46&lt;=0,F46&lt;=0,G46&lt;=0,H46&lt;=0),SUM(E46:H46),"Błąd - wpisano wartość dodatnią")</f>
        <v>0</v>
      </c>
      <c r="J46" s="499" t="str">
        <f>IF(Noty!I46=0,"ukryj","odkryj")</f>
        <v>ukryj</v>
      </c>
      <c r="K46" s="489"/>
      <c r="L46" s="174"/>
      <c r="M46" s="178"/>
      <c r="N46" s="172"/>
      <c r="AA46" s="257" t="s">
        <v>9415</v>
      </c>
      <c r="AC46" s="257" t="s">
        <v>9416</v>
      </c>
      <c r="AD46" s="257" t="s">
        <v>9417</v>
      </c>
      <c r="AE46" s="257" t="s">
        <v>9418</v>
      </c>
      <c r="AF46" s="257" t="s">
        <v>9419</v>
      </c>
    </row>
    <row r="47" spans="1:32" s="257" customFormat="1" x14ac:dyDescent="0.25">
      <c r="A47" s="171"/>
      <c r="C47" s="821" t="s">
        <v>9406</v>
      </c>
      <c r="D47" s="1298"/>
      <c r="E47" s="1298"/>
      <c r="F47" s="802"/>
      <c r="G47" s="802"/>
      <c r="H47" s="802"/>
      <c r="I47" s="800">
        <f>IF(AND(E47&lt;=0,F47&lt;=0,G47&lt;=0,H47&lt;=0),SUM(E47:H47),"Błąd - wpisano wartość dodatnią")</f>
        <v>0</v>
      </c>
      <c r="J47" s="499" t="str">
        <f>IF(Noty!I47=0,"ukryj","odkryj")</f>
        <v>ukryj</v>
      </c>
      <c r="K47" s="489"/>
      <c r="L47" s="174"/>
      <c r="M47" s="178"/>
      <c r="N47" s="172"/>
    </row>
    <row r="48" spans="1:32" s="257" customFormat="1" x14ac:dyDescent="0.25">
      <c r="A48" s="171"/>
      <c r="C48" s="821" t="s">
        <v>9408</v>
      </c>
      <c r="D48" s="1296">
        <f>SUM(D49:E50)</f>
        <v>0</v>
      </c>
      <c r="E48" s="1296"/>
      <c r="F48" s="800">
        <f>SUM(F49:F50)</f>
        <v>0</v>
      </c>
      <c r="G48" s="800">
        <f>SUM(G49:G50)</f>
        <v>0</v>
      </c>
      <c r="H48" s="800">
        <f>SUM(H49:H50)</f>
        <v>0</v>
      </c>
      <c r="I48" s="800">
        <f>SUM(D48:H48)</f>
        <v>0</v>
      </c>
      <c r="J48" s="499" t="str">
        <f>IF(Noty!I48=0,"ukryj","odkryj")</f>
        <v>ukryj</v>
      </c>
      <c r="K48" s="489"/>
      <c r="L48" s="174"/>
      <c r="M48" s="178"/>
      <c r="N48" s="172"/>
    </row>
    <row r="49" spans="1:32" s="257" customFormat="1" x14ac:dyDescent="0.25">
      <c r="A49" s="171"/>
      <c r="C49" s="181" t="s">
        <v>9420</v>
      </c>
      <c r="D49" s="1298"/>
      <c r="E49" s="1298"/>
      <c r="F49" s="639"/>
      <c r="G49" s="639"/>
      <c r="H49" s="639"/>
      <c r="I49" s="800">
        <f>SUM(E49:H49)</f>
        <v>0</v>
      </c>
      <c r="J49" s="499" t="str">
        <f>IF(Noty!I49=0,"ukryj","odkryj")</f>
        <v>ukryj</v>
      </c>
      <c r="K49" s="489"/>
      <c r="L49" s="174"/>
      <c r="M49" s="178"/>
      <c r="N49" s="172"/>
    </row>
    <row r="50" spans="1:32" s="257" customFormat="1" x14ac:dyDescent="0.25">
      <c r="A50" s="171"/>
      <c r="C50" s="181" t="s">
        <v>9421</v>
      </c>
      <c r="D50" s="1298"/>
      <c r="E50" s="1298"/>
      <c r="F50" s="639"/>
      <c r="G50" s="639"/>
      <c r="H50" s="639"/>
      <c r="I50" s="800">
        <f>SUM(E50:H50)</f>
        <v>0</v>
      </c>
      <c r="J50" s="499" t="str">
        <f>IF(Noty!I50=0,"ukryj","odkryj")</f>
        <v>ukryj</v>
      </c>
      <c r="K50" s="489"/>
      <c r="L50" s="174"/>
      <c r="M50" s="178"/>
      <c r="N50" s="172"/>
    </row>
    <row r="51" spans="1:32" s="257" customFormat="1" ht="26.2" x14ac:dyDescent="0.25">
      <c r="A51" s="509"/>
      <c r="B51" s="520"/>
      <c r="C51" s="805" t="s">
        <v>9394</v>
      </c>
      <c r="D51" s="1301"/>
      <c r="E51" s="1301"/>
      <c r="F51" s="802"/>
      <c r="G51" s="802"/>
      <c r="H51" s="638"/>
      <c r="I51" s="800">
        <f>IF(SUM(E51:H51)=0,0,"Błąd - ta pozycja powinna się zerować")</f>
        <v>0</v>
      </c>
      <c r="J51" s="499" t="str">
        <f>IF(Noty!I51=0,"ukryj","odkryj")</f>
        <v>ukryj</v>
      </c>
      <c r="K51" s="489"/>
      <c r="L51" s="174"/>
      <c r="N51" s="172"/>
    </row>
    <row r="52" spans="1:32" s="257" customFormat="1" x14ac:dyDescent="0.25">
      <c r="A52" s="171"/>
      <c r="C52" s="821" t="str">
        <f>CONCATENATE("B.Z. ",Input!$P$7)</f>
        <v>B.Z. 31.12.2020</v>
      </c>
      <c r="D52" s="1300">
        <f>SUM(D46:E48)+D51</f>
        <v>0</v>
      </c>
      <c r="E52" s="1300"/>
      <c r="F52" s="803">
        <f>SUM(F46:F48)+F51</f>
        <v>0</v>
      </c>
      <c r="G52" s="803">
        <f>SUM(G46:G48)+G51</f>
        <v>0</v>
      </c>
      <c r="H52" s="803">
        <f>SUM(H46:H48)+H51</f>
        <v>0</v>
      </c>
      <c r="I52" s="803">
        <f>SUM(I46:I48)+I51</f>
        <v>0</v>
      </c>
      <c r="J52" s="499" t="str">
        <f>IF(Noty!I52=0,"ukryj","odkryj")</f>
        <v>ukryj</v>
      </c>
      <c r="K52" s="489"/>
      <c r="L52" s="174"/>
      <c r="M52" s="178"/>
      <c r="N52" s="172"/>
      <c r="AA52" s="257" t="s">
        <v>9422</v>
      </c>
      <c r="AC52" s="257" t="s">
        <v>9423</v>
      </c>
      <c r="AD52" s="257" t="s">
        <v>9424</v>
      </c>
      <c r="AE52" s="257" t="s">
        <v>9425</v>
      </c>
      <c r="AF52" s="257" t="s">
        <v>9426</v>
      </c>
    </row>
    <row r="53" spans="1:32" s="257" customFormat="1" x14ac:dyDescent="0.25">
      <c r="A53" s="171"/>
      <c r="D53" s="202"/>
      <c r="E53" s="184"/>
      <c r="F53" s="184"/>
      <c r="G53" s="184"/>
      <c r="H53" s="184"/>
      <c r="I53" s="184"/>
      <c r="J53" s="499" t="str">
        <f>Noty!J52</f>
        <v>ukryj</v>
      </c>
      <c r="K53" s="489"/>
      <c r="L53" s="174"/>
      <c r="M53" s="178"/>
      <c r="N53" s="172"/>
    </row>
    <row r="54" spans="1:32" s="257" customFormat="1" x14ac:dyDescent="0.25">
      <c r="A54" s="171"/>
      <c r="C54" s="244" t="s">
        <v>9427</v>
      </c>
      <c r="D54" s="202"/>
      <c r="E54" s="184"/>
      <c r="F54" s="184"/>
      <c r="G54" s="184"/>
      <c r="H54" s="184"/>
      <c r="I54" s="184"/>
      <c r="J54" s="499" t="str">
        <f>IF(COUNT(Noty!I56:'Noty'!I57)-COUNTIF(Noty!I56:'Noty'!I57,0)=0,"ukryj","odkryj")</f>
        <v>ukryj</v>
      </c>
      <c r="K54" s="489"/>
      <c r="L54" s="174"/>
      <c r="M54" s="178"/>
      <c r="N54" s="172"/>
    </row>
    <row r="55" spans="1:32" s="257" customFormat="1" x14ac:dyDescent="0.25">
      <c r="A55" s="171"/>
      <c r="C55" s="244"/>
      <c r="D55" s="202"/>
      <c r="E55" s="184"/>
      <c r="F55" s="184"/>
      <c r="G55" s="184"/>
      <c r="H55" s="184"/>
      <c r="I55" s="184"/>
      <c r="J55" s="499" t="str">
        <f>Noty!J54</f>
        <v>ukryj</v>
      </c>
      <c r="K55" s="489"/>
      <c r="L55" s="174"/>
      <c r="M55" s="178"/>
      <c r="N55" s="172"/>
    </row>
    <row r="56" spans="1:32" s="257" customFormat="1" x14ac:dyDescent="0.25">
      <c r="A56" s="171"/>
      <c r="C56" s="821" t="str">
        <f>CONCATENATE("B.O. ",Input!$P$6)</f>
        <v>B.O. 01.01.2020</v>
      </c>
      <c r="D56" s="1302">
        <f>E13+D31+E46</f>
        <v>0</v>
      </c>
      <c r="E56" s="1302"/>
      <c r="F56" s="1127">
        <f>F13+F31+F46</f>
        <v>0</v>
      </c>
      <c r="G56" s="1127">
        <f>G13+G31+G46</f>
        <v>0</v>
      </c>
      <c r="H56" s="1127">
        <f>H13+H31+H46</f>
        <v>0</v>
      </c>
      <c r="I56" s="1127">
        <f>I13+I31+I46</f>
        <v>0</v>
      </c>
      <c r="J56" s="499" t="str">
        <f>IF(Noty!I56=0,"ukryj","odkryj")</f>
        <v>ukryj</v>
      </c>
      <c r="K56" s="489"/>
      <c r="L56" s="174"/>
      <c r="M56" s="178"/>
      <c r="N56" s="172"/>
    </row>
    <row r="57" spans="1:32" s="257" customFormat="1" x14ac:dyDescent="0.25">
      <c r="A57" s="171"/>
      <c r="C57" s="821" t="str">
        <f>CONCATENATE("B.Z. ",Input!$P$7)</f>
        <v>B.Z. 31.12.2020</v>
      </c>
      <c r="D57" s="1302">
        <f>D27+D42+D52</f>
        <v>0</v>
      </c>
      <c r="E57" s="1302"/>
      <c r="F57" s="1127">
        <f>F27+F42+F52</f>
        <v>0</v>
      </c>
      <c r="G57" s="1127">
        <f>G27+G42+G52</f>
        <v>0</v>
      </c>
      <c r="H57" s="1127">
        <f>H27+H42+H52</f>
        <v>0</v>
      </c>
      <c r="I57" s="1127">
        <f>I27+I42+I52</f>
        <v>0</v>
      </c>
      <c r="J57" s="499" t="str">
        <f>IF(Noty!I57=0,"ukryj","odkryj")</f>
        <v>ukryj</v>
      </c>
      <c r="K57" s="489"/>
      <c r="L57" s="174"/>
      <c r="M57" s="178"/>
      <c r="N57" s="172"/>
    </row>
    <row r="58" spans="1:32" s="257" customFormat="1" ht="13.75" thickBot="1" x14ac:dyDescent="0.3">
      <c r="A58" s="171"/>
      <c r="D58" s="183"/>
      <c r="E58" s="183"/>
      <c r="F58" s="183"/>
      <c r="G58" s="183"/>
      <c r="H58" s="183"/>
      <c r="I58" s="608"/>
      <c r="J58" s="499" t="str">
        <f>Noty!J57</f>
        <v>ukryj</v>
      </c>
      <c r="K58" s="489"/>
      <c r="L58" s="178"/>
      <c r="M58" s="178"/>
      <c r="N58" s="186"/>
    </row>
    <row r="59" spans="1:32" s="490" customFormat="1" ht="15.75" thickBot="1" x14ac:dyDescent="0.35">
      <c r="A59" s="1183">
        <f>A8</f>
        <v>0</v>
      </c>
      <c r="B59" s="1184">
        <f>IF(K59="n/a",B8,B8+1)</f>
        <v>0</v>
      </c>
      <c r="C59" s="1235" t="s">
        <v>7554</v>
      </c>
      <c r="D59" s="1235"/>
      <c r="E59" s="1235"/>
      <c r="F59" s="1235"/>
      <c r="G59" s="1235"/>
      <c r="H59" s="1235"/>
      <c r="I59" s="1235"/>
      <c r="J59" s="499" t="str">
        <f>IF(Noty!K59="n/a","ukryj","odkryj")</f>
        <v>ukryj</v>
      </c>
      <c r="K59" s="1213" t="str">
        <f>IF(Input!D85="nie","n/a","")</f>
        <v>n/a</v>
      </c>
      <c r="L59" s="200" t="str">
        <f>A59&amp;"."&amp;B59</f>
        <v>0.0</v>
      </c>
      <c r="M59" s="491"/>
      <c r="N59" s="1101" t="s">
        <v>9378</v>
      </c>
      <c r="O59" s="489" t="str">
        <f>A59&amp;"."&amp;B59</f>
        <v>0.0</v>
      </c>
    </row>
    <row r="60" spans="1:32" s="257" customFormat="1" x14ac:dyDescent="0.25">
      <c r="A60" s="171"/>
      <c r="D60" s="202"/>
      <c r="E60" s="202"/>
      <c r="F60" s="202"/>
      <c r="G60" s="202"/>
      <c r="H60" s="581"/>
      <c r="I60" s="581"/>
      <c r="J60" s="499" t="str">
        <f>Noty!J59</f>
        <v>ukryj</v>
      </c>
      <c r="K60" s="489"/>
      <c r="N60" s="172"/>
    </row>
    <row r="61" spans="1:32" s="257" customFormat="1" x14ac:dyDescent="0.25">
      <c r="A61" s="171"/>
      <c r="C61" s="257" t="s">
        <v>9428</v>
      </c>
      <c r="D61" s="209"/>
      <c r="E61" s="209"/>
      <c r="F61" s="209"/>
      <c r="G61" s="209"/>
      <c r="H61" s="1459"/>
      <c r="I61" s="1459"/>
      <c r="J61" s="499" t="str">
        <f>IF(Noty!H61=0,"ukryj","odkryj")</f>
        <v>ukryj</v>
      </c>
      <c r="K61" s="489"/>
      <c r="N61" s="172"/>
    </row>
    <row r="62" spans="1:32" s="257" customFormat="1" x14ac:dyDescent="0.25">
      <c r="A62" s="171"/>
      <c r="C62" s="187" t="s">
        <v>7724</v>
      </c>
      <c r="D62" s="834"/>
      <c r="E62" s="834"/>
      <c r="F62" s="834"/>
      <c r="G62" s="834"/>
      <c r="H62" s="834"/>
      <c r="I62" s="608"/>
      <c r="J62" s="499" t="s">
        <v>5125</v>
      </c>
      <c r="K62" s="489"/>
      <c r="N62" s="172"/>
    </row>
    <row r="63" spans="1:32" s="257" customFormat="1" x14ac:dyDescent="0.25">
      <c r="A63" s="171"/>
      <c r="C63" s="1460" t="s">
        <v>9429</v>
      </c>
      <c r="D63" s="1460"/>
      <c r="E63" s="1460"/>
      <c r="F63" s="1460"/>
      <c r="G63" s="1460"/>
      <c r="H63" s="1460"/>
      <c r="I63" s="972"/>
      <c r="J63" s="499" t="str">
        <f>IF(Noty!I63=0,"ukryj","odkryj")</f>
        <v>ukryj</v>
      </c>
      <c r="K63" s="489"/>
      <c r="N63" s="172"/>
    </row>
    <row r="64" spans="1:32" s="257" customFormat="1" x14ac:dyDescent="0.25">
      <c r="A64" s="171"/>
      <c r="C64" s="1460" t="s">
        <v>9430</v>
      </c>
      <c r="D64" s="1460"/>
      <c r="E64" s="1461"/>
      <c r="F64" s="1461"/>
      <c r="G64" s="1461"/>
      <c r="H64" s="1461"/>
      <c r="I64" s="1461"/>
      <c r="J64" s="499" t="str">
        <f>IF(Noty!I64=0,"ukryj","odkryj")</f>
        <v>ukryj</v>
      </c>
      <c r="K64" s="489"/>
      <c r="N64" s="172"/>
    </row>
    <row r="65" spans="1:32" s="257" customFormat="1" ht="13.75" thickBot="1" x14ac:dyDescent="0.3">
      <c r="A65" s="171"/>
      <c r="D65" s="202"/>
      <c r="E65" s="202"/>
      <c r="F65" s="202"/>
      <c r="G65" s="202"/>
      <c r="H65" s="202"/>
      <c r="I65" s="608"/>
      <c r="J65" s="499" t="str">
        <f>Noty!J63</f>
        <v>ukryj</v>
      </c>
      <c r="K65" s="489"/>
      <c r="L65" s="188"/>
      <c r="N65" s="172"/>
    </row>
    <row r="66" spans="1:32" s="490" customFormat="1" ht="15.75" thickBot="1" x14ac:dyDescent="0.35">
      <c r="A66" s="1183">
        <f>A59</f>
        <v>0</v>
      </c>
      <c r="B66" s="1184">
        <f>IF(K66="n/a",B59,B59+1)</f>
        <v>0</v>
      </c>
      <c r="C66" s="1235" t="s">
        <v>7955</v>
      </c>
      <c r="D66" s="1235"/>
      <c r="E66" s="1235"/>
      <c r="F66" s="1235"/>
      <c r="G66" s="1235"/>
      <c r="H66" s="1235"/>
      <c r="I66" s="1235"/>
      <c r="J66" s="499" t="str">
        <f>IF(Noty!K66="n/a","ukryj","odkryj")</f>
        <v>ukryj</v>
      </c>
      <c r="K66" s="1213" t="str">
        <f>IF(Input!D86="nie","n/a","")</f>
        <v>n/a</v>
      </c>
      <c r="L66" s="200" t="str">
        <f>A66&amp;"."&amp;B66</f>
        <v>0.0</v>
      </c>
      <c r="M66" s="491"/>
      <c r="N66" s="1101" t="s">
        <v>9378</v>
      </c>
      <c r="O66" s="489" t="str">
        <f>A66&amp;"."&amp;B66</f>
        <v>0.0</v>
      </c>
    </row>
    <row r="67" spans="1:32" s="257" customFormat="1" x14ac:dyDescent="0.25">
      <c r="A67" s="171"/>
      <c r="D67" s="202"/>
      <c r="E67" s="202"/>
      <c r="F67" s="202"/>
      <c r="G67" s="202"/>
      <c r="H67" s="202"/>
      <c r="I67" s="608"/>
      <c r="J67" s="499" t="str">
        <f>Noty!J66</f>
        <v>ukryj</v>
      </c>
      <c r="N67" s="172"/>
    </row>
    <row r="68" spans="1:32" s="257" customFormat="1" x14ac:dyDescent="0.25">
      <c r="A68" s="171"/>
      <c r="C68" s="1458" t="s">
        <v>9431</v>
      </c>
      <c r="D68" s="1458"/>
      <c r="E68" s="1458"/>
      <c r="F68" s="1458"/>
      <c r="G68" s="1458"/>
      <c r="H68" s="1458"/>
      <c r="I68" s="1458"/>
      <c r="J68" s="499" t="str">
        <f>Noty!J67</f>
        <v>ukryj</v>
      </c>
      <c r="N68" s="172"/>
    </row>
    <row r="69" spans="1:32" s="257" customFormat="1" ht="13.75" thickBot="1" x14ac:dyDescent="0.3">
      <c r="A69" s="171"/>
      <c r="D69" s="202"/>
      <c r="E69" s="202"/>
      <c r="F69" s="202"/>
      <c r="G69" s="202"/>
      <c r="H69" s="202"/>
      <c r="I69" s="608"/>
      <c r="J69" s="499" t="str">
        <f>Noty!J68</f>
        <v>ukryj</v>
      </c>
      <c r="L69" s="188"/>
      <c r="N69" s="172"/>
    </row>
    <row r="70" spans="1:32" s="490" customFormat="1" ht="15.75" thickBot="1" x14ac:dyDescent="0.35">
      <c r="A70" s="1183">
        <f>A66</f>
        <v>0</v>
      </c>
      <c r="B70" s="1184">
        <f>IF(K70="n/a",B66,B66+1)</f>
        <v>0</v>
      </c>
      <c r="C70" s="1235" t="s">
        <v>9432</v>
      </c>
      <c r="D70" s="1235"/>
      <c r="E70" s="1235"/>
      <c r="F70" s="1235"/>
      <c r="G70" s="1235"/>
      <c r="H70" s="1235"/>
      <c r="I70" s="1235"/>
      <c r="J70" s="499" t="str">
        <f>IF(Noty!K70="n/a","ukryj","odkryj")</f>
        <v>ukryj</v>
      </c>
      <c r="K70" s="1213" t="str">
        <f>IF(Input!D87="nie","n/a","")</f>
        <v>n/a</v>
      </c>
      <c r="L70" s="200" t="str">
        <f>A70&amp;"."&amp;B70</f>
        <v>0.0</v>
      </c>
      <c r="M70" s="491"/>
      <c r="N70" s="1101" t="s">
        <v>9378</v>
      </c>
      <c r="O70" s="489" t="str">
        <f>A70&amp;"."&amp;B70</f>
        <v>0.0</v>
      </c>
    </row>
    <row r="71" spans="1:32" s="490" customFormat="1" x14ac:dyDescent="0.25">
      <c r="A71" s="489"/>
      <c r="B71" s="520"/>
      <c r="C71" s="356"/>
      <c r="D71" s="218"/>
      <c r="E71" s="218"/>
      <c r="F71" s="218"/>
      <c r="G71" s="218"/>
      <c r="H71" s="218"/>
      <c r="I71" s="218"/>
      <c r="J71" s="499" t="str">
        <f>Noty!J70</f>
        <v>ukryj</v>
      </c>
      <c r="K71" s="174"/>
      <c r="L71" s="200"/>
      <c r="M71" s="491"/>
      <c r="N71" s="488"/>
      <c r="O71" s="489"/>
    </row>
    <row r="72" spans="1:32" s="257" customFormat="1" x14ac:dyDescent="0.25">
      <c r="A72" s="171"/>
      <c r="D72" s="202"/>
      <c r="E72" s="202"/>
      <c r="F72" s="202"/>
      <c r="G72" s="610"/>
      <c r="H72" s="999" t="str">
        <f>+Input!$P$7</f>
        <v>31.12.2020</v>
      </c>
      <c r="I72" s="1000" t="str">
        <f>+Input!$P$11</f>
        <v>31.12.2019</v>
      </c>
      <c r="J72" s="499" t="str">
        <f>Noty!J71</f>
        <v>ukryj</v>
      </c>
      <c r="N72" s="172"/>
    </row>
    <row r="73" spans="1:32" s="257" customFormat="1" ht="42.75" customHeight="1" x14ac:dyDescent="0.25">
      <c r="A73" s="171"/>
      <c r="C73" s="1308" t="s">
        <v>9433</v>
      </c>
      <c r="D73" s="1308"/>
      <c r="E73" s="1308"/>
      <c r="F73" s="1308"/>
      <c r="G73" s="995"/>
      <c r="H73" s="807"/>
      <c r="I73" s="807"/>
      <c r="J73" s="499" t="str">
        <f>Noty!J72</f>
        <v>ukryj</v>
      </c>
      <c r="N73" s="172"/>
      <c r="AE73" s="257" t="s">
        <v>9434</v>
      </c>
      <c r="AF73" s="257" t="s">
        <v>9435</v>
      </c>
    </row>
    <row r="74" spans="1:32" s="257" customFormat="1" x14ac:dyDescent="0.25">
      <c r="A74" s="171"/>
      <c r="D74" s="202"/>
      <c r="E74" s="202"/>
      <c r="F74" s="202"/>
      <c r="G74" s="202"/>
      <c r="H74" s="202"/>
      <c r="I74" s="608"/>
      <c r="J74" s="499" t="str">
        <f>Noty!J73</f>
        <v>ukryj</v>
      </c>
      <c r="N74" s="172"/>
    </row>
    <row r="75" spans="1:32" s="257" customFormat="1" x14ac:dyDescent="0.25">
      <c r="A75" s="171"/>
      <c r="C75" s="1458" t="s">
        <v>9436</v>
      </c>
      <c r="D75" s="1458"/>
      <c r="E75" s="1458"/>
      <c r="F75" s="1458"/>
      <c r="G75" s="1458"/>
      <c r="H75" s="1458"/>
      <c r="I75" s="1458"/>
      <c r="J75" s="499" t="str">
        <f>Noty!J74</f>
        <v>ukryj</v>
      </c>
      <c r="N75" s="172"/>
    </row>
    <row r="76" spans="1:32" s="257" customFormat="1" ht="13.75" thickBot="1" x14ac:dyDescent="0.3">
      <c r="A76" s="171"/>
      <c r="D76" s="202"/>
      <c r="E76" s="202"/>
      <c r="F76" s="202"/>
      <c r="G76" s="202"/>
      <c r="H76" s="202"/>
      <c r="I76" s="608"/>
      <c r="J76" s="499" t="str">
        <f>Noty!J75</f>
        <v>ukryj</v>
      </c>
      <c r="K76" s="489"/>
      <c r="L76" s="188"/>
      <c r="N76" s="172"/>
    </row>
    <row r="77" spans="1:32" s="257" customFormat="1" ht="15.75" thickBot="1" x14ac:dyDescent="0.35">
      <c r="A77" s="1180">
        <f>IF(K77="n/a",A70,A70+1)</f>
        <v>0</v>
      </c>
      <c r="B77" s="1182"/>
      <c r="C77" s="1280" t="s">
        <v>7969</v>
      </c>
      <c r="D77" s="1280"/>
      <c r="E77" s="1280"/>
      <c r="F77" s="1280"/>
      <c r="G77" s="1280"/>
      <c r="H77" s="1280"/>
      <c r="I77" s="1280"/>
      <c r="J77" s="499" t="str">
        <f>IF(Noty!K77="n/a","ukryj","odkryj")</f>
        <v>ukryj</v>
      </c>
      <c r="K77" s="1213" t="str">
        <f>IF(AND(K79="n/a",K131="n/a",K145="n/a",K154="n/a",K162="n/a"),"n/a","")</f>
        <v>n/a</v>
      </c>
      <c r="L77" s="488" t="str">
        <f>A77&amp;"."&amp;B77</f>
        <v>0.</v>
      </c>
      <c r="N77" s="1101" t="s">
        <v>9378</v>
      </c>
      <c r="O77" s="489" t="str">
        <f>A77&amp;"."&amp;B77</f>
        <v>0.</v>
      </c>
    </row>
    <row r="78" spans="1:32" s="257" customFormat="1" ht="13.75" thickBot="1" x14ac:dyDescent="0.3">
      <c r="A78" s="510"/>
      <c r="B78" s="520"/>
      <c r="D78" s="609"/>
      <c r="E78" s="609"/>
      <c r="F78" s="609"/>
      <c r="G78" s="609"/>
      <c r="H78" s="609"/>
      <c r="I78" s="609"/>
      <c r="J78" s="499" t="str">
        <f>Noty!J77</f>
        <v>ukryj</v>
      </c>
      <c r="N78" s="172"/>
    </row>
    <row r="79" spans="1:32" s="257" customFormat="1" ht="15.75" thickBot="1" x14ac:dyDescent="0.35">
      <c r="A79" s="1183">
        <f>A77</f>
        <v>0</v>
      </c>
      <c r="B79" s="1184">
        <f>IF(K79="n/a",0,1)</f>
        <v>0</v>
      </c>
      <c r="C79" s="1235" t="s">
        <v>9437</v>
      </c>
      <c r="D79" s="1235"/>
      <c r="E79" s="1235"/>
      <c r="F79" s="1235"/>
      <c r="G79" s="1235"/>
      <c r="H79" s="1235"/>
      <c r="I79" s="1235"/>
      <c r="J79" s="499" t="str">
        <f>IF(Noty!K79="n/a","ukryj","odkryj")</f>
        <v>ukryj</v>
      </c>
      <c r="K79" s="1213" t="str">
        <f>IF(Input!D89="nie","n/a","")</f>
        <v>n/a</v>
      </c>
      <c r="L79" s="200" t="str">
        <f>A79&amp;"."&amp;B79</f>
        <v>0.0</v>
      </c>
      <c r="N79" s="1101" t="s">
        <v>9378</v>
      </c>
      <c r="O79" s="489" t="str">
        <f>A79&amp;"."&amp;B79</f>
        <v>0.0</v>
      </c>
    </row>
    <row r="80" spans="1:32" s="257" customFormat="1" ht="87.75" x14ac:dyDescent="0.25">
      <c r="A80" s="509"/>
      <c r="B80" s="520"/>
      <c r="D80" s="801" t="s">
        <v>9438</v>
      </c>
      <c r="E80" s="801" t="s">
        <v>9439</v>
      </c>
      <c r="F80" s="801" t="s">
        <v>7577</v>
      </c>
      <c r="G80" s="801" t="s">
        <v>7579</v>
      </c>
      <c r="H80" s="801" t="s">
        <v>9440</v>
      </c>
      <c r="I80" s="801" t="s">
        <v>9280</v>
      </c>
      <c r="J80" s="499" t="str">
        <f>Noty!J79</f>
        <v>ukryj</v>
      </c>
      <c r="N80" s="172"/>
    </row>
    <row r="81" spans="1:32" s="257" customFormat="1" x14ac:dyDescent="0.25">
      <c r="A81" s="509"/>
      <c r="B81" s="520"/>
      <c r="D81" s="609"/>
      <c r="E81" s="609"/>
      <c r="F81" s="609"/>
      <c r="G81" s="609"/>
      <c r="H81" s="609"/>
      <c r="I81" s="609"/>
      <c r="J81" s="499" t="str">
        <f>Noty!J80</f>
        <v>ukryj</v>
      </c>
      <c r="N81" s="172"/>
    </row>
    <row r="82" spans="1:32" s="257" customFormat="1" x14ac:dyDescent="0.25">
      <c r="A82" s="509"/>
      <c r="B82" s="520"/>
      <c r="C82" s="821" t="s">
        <v>9380</v>
      </c>
      <c r="D82" s="609"/>
      <c r="E82" s="609"/>
      <c r="F82" s="609"/>
      <c r="G82" s="609"/>
      <c r="H82" s="609"/>
      <c r="I82" s="609"/>
      <c r="J82" s="499" t="str">
        <f>IF(COUNT(Noty!I84:'Noty'!I99)-COUNTIF(Noty!I84:'Noty'!I99,0)=0,"ukryj","odkryj")</f>
        <v>ukryj</v>
      </c>
      <c r="N82" s="172"/>
    </row>
    <row r="83" spans="1:32" s="257" customFormat="1" x14ac:dyDescent="0.25">
      <c r="A83" s="509"/>
      <c r="B83" s="520"/>
      <c r="D83" s="609"/>
      <c r="E83" s="609"/>
      <c r="F83" s="609"/>
      <c r="G83" s="609"/>
      <c r="H83" s="609"/>
      <c r="I83" s="609"/>
      <c r="J83" s="499" t="str">
        <f>Noty!J82</f>
        <v>ukryj</v>
      </c>
      <c r="N83" s="172"/>
    </row>
    <row r="84" spans="1:32" s="257" customFormat="1" x14ac:dyDescent="0.25">
      <c r="A84" s="509"/>
      <c r="B84" s="520"/>
      <c r="C84" s="821" t="str">
        <f>CONCATENATE("B.O. ",Input!$P$6)</f>
        <v>B.O. 01.01.2020</v>
      </c>
      <c r="D84" s="639"/>
      <c r="E84" s="639"/>
      <c r="F84" s="639"/>
      <c r="G84" s="639"/>
      <c r="H84" s="639"/>
      <c r="I84" s="800">
        <f t="shared" ref="I84:I91" si="1">SUM(D84:H84)</f>
        <v>0</v>
      </c>
      <c r="J84" s="499" t="str">
        <f>IF(Noty!I84=0,"ukryj","odkryj")</f>
        <v>ukryj</v>
      </c>
      <c r="K84" s="189"/>
      <c r="N84" s="172"/>
      <c r="AA84" s="257" t="s">
        <v>9441</v>
      </c>
      <c r="AB84" s="257" t="s">
        <v>9442</v>
      </c>
      <c r="AC84" s="257" t="s">
        <v>9443</v>
      </c>
      <c r="AD84" s="257" t="s">
        <v>9444</v>
      </c>
      <c r="AE84" s="257" t="s">
        <v>9445</v>
      </c>
      <c r="AF84" s="257" t="s">
        <v>9446</v>
      </c>
    </row>
    <row r="85" spans="1:32" s="257" customFormat="1" x14ac:dyDescent="0.25">
      <c r="A85" s="509"/>
      <c r="B85" s="520"/>
      <c r="C85" s="821" t="s">
        <v>9386</v>
      </c>
      <c r="D85" s="800">
        <f>SUBTOTAL(9,D86:D91)</f>
        <v>0</v>
      </c>
      <c r="E85" s="800">
        <f>SUBTOTAL(9,E86:E91)</f>
        <v>0</v>
      </c>
      <c r="F85" s="800">
        <f>SUBTOTAL(9,F86:F91)</f>
        <v>0</v>
      </c>
      <c r="G85" s="800">
        <f>SUBTOTAL(9,G86:G91)</f>
        <v>0</v>
      </c>
      <c r="H85" s="800">
        <f>SUBTOTAL(9,H86:H91)</f>
        <v>0</v>
      </c>
      <c r="I85" s="800">
        <f t="shared" si="1"/>
        <v>0</v>
      </c>
      <c r="J85" s="499" t="str">
        <f>IF(Noty!I85=0,"ukryj","odkryj")</f>
        <v>ukryj</v>
      </c>
      <c r="K85" s="189"/>
      <c r="N85" s="172"/>
    </row>
    <row r="86" spans="1:32" s="257" customFormat="1" ht="26.2" x14ac:dyDescent="0.25">
      <c r="B86" s="520"/>
      <c r="C86" s="190" t="s">
        <v>9447</v>
      </c>
      <c r="D86" s="639"/>
      <c r="E86" s="639"/>
      <c r="F86" s="639"/>
      <c r="G86" s="639"/>
      <c r="H86" s="639"/>
      <c r="I86" s="800">
        <f t="shared" si="1"/>
        <v>0</v>
      </c>
      <c r="J86" s="499" t="str">
        <f>IF(Noty!I86=0,"ukryj","odkryj")</f>
        <v>ukryj</v>
      </c>
      <c r="K86" s="189"/>
      <c r="N86" s="172"/>
    </row>
    <row r="87" spans="1:32" s="257" customFormat="1" ht="26.2" x14ac:dyDescent="0.25">
      <c r="B87" s="520"/>
      <c r="C87" s="190" t="s">
        <v>9448</v>
      </c>
      <c r="D87" s="639"/>
      <c r="E87" s="639"/>
      <c r="F87" s="639"/>
      <c r="G87" s="639"/>
      <c r="H87" s="639"/>
      <c r="I87" s="800">
        <f t="shared" si="1"/>
        <v>0</v>
      </c>
      <c r="J87" s="499" t="str">
        <f>IF(Noty!I87=0,"ukryj","odkryj")</f>
        <v>ukryj</v>
      </c>
      <c r="K87" s="189"/>
      <c r="N87" s="172"/>
    </row>
    <row r="88" spans="1:32" s="257" customFormat="1" x14ac:dyDescent="0.25">
      <c r="B88" s="520"/>
      <c r="C88" s="190" t="s">
        <v>9449</v>
      </c>
      <c r="D88" s="639"/>
      <c r="E88" s="639"/>
      <c r="F88" s="639"/>
      <c r="G88" s="639"/>
      <c r="H88" s="639"/>
      <c r="I88" s="800">
        <f t="shared" si="1"/>
        <v>0</v>
      </c>
      <c r="J88" s="499" t="str">
        <f>IF(Noty!I88=0,"ukryj","odkryj")</f>
        <v>ukryj</v>
      </c>
      <c r="K88" s="189"/>
      <c r="N88" s="172"/>
    </row>
    <row r="89" spans="1:32" s="257" customFormat="1" ht="26.2" x14ac:dyDescent="0.25">
      <c r="B89" s="520"/>
      <c r="C89" s="190" t="s">
        <v>9450</v>
      </c>
      <c r="D89" s="639"/>
      <c r="E89" s="639"/>
      <c r="F89" s="639"/>
      <c r="G89" s="639"/>
      <c r="H89" s="639"/>
      <c r="I89" s="800">
        <f t="shared" si="1"/>
        <v>0</v>
      </c>
      <c r="J89" s="499" t="str">
        <f>IF(Noty!I89=0,"ukryj","odkryj")</f>
        <v>ukryj</v>
      </c>
      <c r="K89" s="189"/>
      <c r="N89" s="172"/>
    </row>
    <row r="90" spans="1:32" s="257" customFormat="1" ht="78.55" x14ac:dyDescent="0.25">
      <c r="B90" s="520"/>
      <c r="C90" s="182" t="s">
        <v>9451</v>
      </c>
      <c r="D90" s="639"/>
      <c r="E90" s="639"/>
      <c r="F90" s="639"/>
      <c r="G90" s="639"/>
      <c r="H90" s="639"/>
      <c r="I90" s="800">
        <f t="shared" si="1"/>
        <v>0</v>
      </c>
      <c r="J90" s="499" t="str">
        <f>IF(Noty!I90=0,"ukryj","odkryj")</f>
        <v>ukryj</v>
      </c>
      <c r="K90" s="189"/>
      <c r="N90" s="172"/>
    </row>
    <row r="91" spans="1:32" s="257" customFormat="1" x14ac:dyDescent="0.25">
      <c r="B91" s="520"/>
      <c r="C91" s="190" t="s">
        <v>9452</v>
      </c>
      <c r="D91" s="639"/>
      <c r="E91" s="639"/>
      <c r="F91" s="639"/>
      <c r="G91" s="639"/>
      <c r="H91" s="639"/>
      <c r="I91" s="800">
        <f t="shared" si="1"/>
        <v>0</v>
      </c>
      <c r="J91" s="499" t="str">
        <f>IF(Noty!I91=0,"ukryj","odkryj")</f>
        <v>ukryj</v>
      </c>
      <c r="K91" s="189"/>
      <c r="N91" s="172"/>
    </row>
    <row r="92" spans="1:32" s="257" customFormat="1" x14ac:dyDescent="0.25">
      <c r="A92" s="509"/>
      <c r="B92" s="520"/>
      <c r="C92" s="821" t="s">
        <v>9391</v>
      </c>
      <c r="D92" s="800">
        <f>SUBTOTAL(9,D93:D97)</f>
        <v>0</v>
      </c>
      <c r="E92" s="800">
        <f>SUBTOTAL(9,E93:E97)</f>
        <v>0</v>
      </c>
      <c r="F92" s="800">
        <f>SUBTOTAL(9,F93:F97)</f>
        <v>0</v>
      </c>
      <c r="G92" s="800">
        <f>SUBTOTAL(9,G93:G97)</f>
        <v>0</v>
      </c>
      <c r="H92" s="800">
        <f>SUBTOTAL(9,H93:H97)</f>
        <v>0</v>
      </c>
      <c r="I92" s="800">
        <f t="shared" ref="I92:I97" si="2">IF(AND(D92&lt;=0,E92&lt;=0,F92&lt;=0,G92&lt;=0,H92&lt;=0),SUM(D92:H92),"Błąd - wpisano wartość dodatnią")</f>
        <v>0</v>
      </c>
      <c r="J92" s="499" t="str">
        <f>IF(Noty!I92=0,"ukryj","odkryj")</f>
        <v>ukryj</v>
      </c>
      <c r="N92" s="172"/>
    </row>
    <row r="93" spans="1:32" s="257" customFormat="1" x14ac:dyDescent="0.25">
      <c r="A93" s="509"/>
      <c r="B93" s="520"/>
      <c r="C93" s="190" t="s">
        <v>9392</v>
      </c>
      <c r="D93" s="802"/>
      <c r="E93" s="802"/>
      <c r="F93" s="802"/>
      <c r="G93" s="802"/>
      <c r="H93" s="802"/>
      <c r="I93" s="800">
        <f t="shared" si="2"/>
        <v>0</v>
      </c>
      <c r="J93" s="499" t="str">
        <f>IF(Noty!I93=0,"ukryj","odkryj")</f>
        <v>ukryj</v>
      </c>
      <c r="N93" s="172"/>
    </row>
    <row r="94" spans="1:32" s="257" customFormat="1" x14ac:dyDescent="0.25">
      <c r="A94" s="509"/>
      <c r="B94" s="520"/>
      <c r="C94" s="190" t="s">
        <v>9393</v>
      </c>
      <c r="D94" s="802"/>
      <c r="E94" s="802"/>
      <c r="F94" s="802"/>
      <c r="G94" s="802"/>
      <c r="H94" s="802"/>
      <c r="I94" s="800">
        <f t="shared" si="2"/>
        <v>0</v>
      </c>
      <c r="J94" s="499" t="str">
        <f>IF(Noty!I94=0,"ukryj","odkryj")</f>
        <v>ukryj</v>
      </c>
      <c r="N94" s="172"/>
    </row>
    <row r="95" spans="1:32" s="257" customFormat="1" x14ac:dyDescent="0.25">
      <c r="A95" s="509"/>
      <c r="B95" s="520"/>
      <c r="C95" s="190" t="s">
        <v>9390</v>
      </c>
      <c r="D95" s="802"/>
      <c r="E95" s="802"/>
      <c r="F95" s="802"/>
      <c r="G95" s="802"/>
      <c r="H95" s="802"/>
      <c r="I95" s="800">
        <f t="shared" si="2"/>
        <v>0</v>
      </c>
      <c r="J95" s="499" t="str">
        <f>IF(Noty!I95=0,"ukryj","odkryj")</f>
        <v>ukryj</v>
      </c>
      <c r="N95" s="172"/>
    </row>
    <row r="96" spans="1:32" s="257" customFormat="1" x14ac:dyDescent="0.25">
      <c r="A96" s="509"/>
      <c r="B96" s="520"/>
      <c r="C96" s="190" t="s">
        <v>9453</v>
      </c>
      <c r="D96" s="802"/>
      <c r="E96" s="802"/>
      <c r="F96" s="802"/>
      <c r="G96" s="802"/>
      <c r="H96" s="802"/>
      <c r="I96" s="800">
        <f t="shared" si="2"/>
        <v>0</v>
      </c>
      <c r="J96" s="499" t="str">
        <f>IF(Noty!I96=0,"ukryj","odkryj")</f>
        <v>ukryj</v>
      </c>
      <c r="N96" s="172"/>
    </row>
    <row r="97" spans="1:32" s="257" customFormat="1" x14ac:dyDescent="0.25">
      <c r="A97" s="509"/>
      <c r="B97" s="520"/>
      <c r="C97" s="190" t="s">
        <v>9452</v>
      </c>
      <c r="D97" s="802"/>
      <c r="E97" s="802"/>
      <c r="F97" s="802"/>
      <c r="G97" s="802"/>
      <c r="H97" s="802"/>
      <c r="I97" s="800">
        <f t="shared" si="2"/>
        <v>0</v>
      </c>
      <c r="J97" s="499" t="str">
        <f>IF(Noty!I97=0,"ukryj","odkryj")</f>
        <v>ukryj</v>
      </c>
      <c r="N97" s="172"/>
    </row>
    <row r="98" spans="1:32" s="257" customFormat="1" ht="25.55" x14ac:dyDescent="0.25">
      <c r="A98" s="509"/>
      <c r="B98" s="520"/>
      <c r="C98" s="821" t="s">
        <v>9394</v>
      </c>
      <c r="D98" s="802"/>
      <c r="E98" s="802"/>
      <c r="F98" s="802"/>
      <c r="G98" s="802"/>
      <c r="H98" s="802"/>
      <c r="I98" s="800">
        <f>IF(SUM(D98:H98)=0,0,"Błąd - ta pozycja powinna się zerować")</f>
        <v>0</v>
      </c>
      <c r="J98" s="499" t="str">
        <f>IF(Noty!I98=0,"ukryj","odkryj")</f>
        <v>ukryj</v>
      </c>
      <c r="K98" s="189"/>
      <c r="N98" s="172"/>
    </row>
    <row r="99" spans="1:32" s="257" customFormat="1" x14ac:dyDescent="0.25">
      <c r="A99" s="509"/>
      <c r="B99" s="520"/>
      <c r="C99" s="821" t="str">
        <f>CONCATENATE("B.Z. ",Input!$P$7)</f>
        <v>B.Z. 31.12.2020</v>
      </c>
      <c r="D99" s="803">
        <f t="shared" ref="D99:I99" si="3">D84+D85+D98+D92</f>
        <v>0</v>
      </c>
      <c r="E99" s="803">
        <f t="shared" si="3"/>
        <v>0</v>
      </c>
      <c r="F99" s="803">
        <f t="shared" si="3"/>
        <v>0</v>
      </c>
      <c r="G99" s="803">
        <f t="shared" si="3"/>
        <v>0</v>
      </c>
      <c r="H99" s="803">
        <f t="shared" si="3"/>
        <v>0</v>
      </c>
      <c r="I99" s="803">
        <f t="shared" si="3"/>
        <v>0</v>
      </c>
      <c r="J99" s="499" t="str">
        <f>IF(Noty!I99=0,"ukryj","odkryj")</f>
        <v>ukryj</v>
      </c>
      <c r="N99" s="172"/>
      <c r="AA99" s="257" t="s">
        <v>9454</v>
      </c>
      <c r="AB99" s="257" t="s">
        <v>9455</v>
      </c>
      <c r="AC99" s="257" t="s">
        <v>9456</v>
      </c>
      <c r="AD99" s="257" t="s">
        <v>9457</v>
      </c>
      <c r="AE99" s="257" t="s">
        <v>9458</v>
      </c>
      <c r="AF99" s="257" t="s">
        <v>9459</v>
      </c>
    </row>
    <row r="100" spans="1:32" s="257" customFormat="1" x14ac:dyDescent="0.25">
      <c r="A100" s="509"/>
      <c r="B100" s="520"/>
      <c r="D100" s="183"/>
      <c r="E100" s="183"/>
      <c r="F100" s="183"/>
      <c r="G100" s="183"/>
      <c r="H100" s="183"/>
      <c r="I100" s="184"/>
      <c r="J100" s="499" t="str">
        <f>Noty!J99</f>
        <v>ukryj</v>
      </c>
      <c r="N100" s="172"/>
    </row>
    <row r="101" spans="1:32" s="257" customFormat="1" x14ac:dyDescent="0.25">
      <c r="A101" s="509"/>
      <c r="B101" s="520"/>
      <c r="C101" s="821" t="s">
        <v>9400</v>
      </c>
      <c r="D101" s="183"/>
      <c r="E101" s="183"/>
      <c r="F101" s="183"/>
      <c r="G101" s="183"/>
      <c r="H101" s="183"/>
      <c r="I101" s="184"/>
      <c r="J101" s="499" t="str">
        <f>IF(COUNT(Noty!I103:'Noty'!I114)-COUNTIF(Noty!I103:'Noty'!I114,0)=0,"ukryj","odkryj")</f>
        <v>ukryj</v>
      </c>
      <c r="N101" s="172"/>
    </row>
    <row r="102" spans="1:32" s="257" customFormat="1" x14ac:dyDescent="0.25">
      <c r="A102" s="509"/>
      <c r="B102" s="520"/>
      <c r="D102" s="183"/>
      <c r="E102" s="183"/>
      <c r="F102" s="183"/>
      <c r="G102" s="183"/>
      <c r="H102" s="183"/>
      <c r="I102" s="184"/>
      <c r="J102" s="499" t="str">
        <f>Noty!J101</f>
        <v>ukryj</v>
      </c>
      <c r="N102" s="172"/>
    </row>
    <row r="103" spans="1:32" s="257" customFormat="1" x14ac:dyDescent="0.25">
      <c r="A103" s="509"/>
      <c r="B103" s="520"/>
      <c r="C103" s="821" t="str">
        <f>CONCATENATE("B.O. ",Input!$P$6)</f>
        <v>B.O. 01.01.2020</v>
      </c>
      <c r="D103" s="802"/>
      <c r="E103" s="802"/>
      <c r="F103" s="802"/>
      <c r="G103" s="802"/>
      <c r="H103" s="802"/>
      <c r="I103" s="800">
        <f>IF(AND(D103&lt;=0,E103&lt;=0,F103&lt;=0,G103&lt;=0,H103&lt;=0),SUM(D103:H103),"Błąd - wpisano wartość dodatnią")</f>
        <v>0</v>
      </c>
      <c r="J103" s="499" t="str">
        <f>IF(Noty!I103=0,"ukryj","odkryj")</f>
        <v>ukryj</v>
      </c>
      <c r="N103" s="172"/>
      <c r="AA103" s="257" t="s">
        <v>9460</v>
      </c>
      <c r="AB103" s="257" t="s">
        <v>9461</v>
      </c>
      <c r="AC103" s="257" t="s">
        <v>9462</v>
      </c>
      <c r="AD103" s="257" t="s">
        <v>9463</v>
      </c>
      <c r="AE103" s="257" t="s">
        <v>9464</v>
      </c>
      <c r="AF103" s="257" t="s">
        <v>9465</v>
      </c>
    </row>
    <row r="104" spans="1:32" s="257" customFormat="1" x14ac:dyDescent="0.25">
      <c r="A104" s="509"/>
      <c r="B104" s="520"/>
      <c r="C104" s="821" t="s">
        <v>9406</v>
      </c>
      <c r="D104" s="800">
        <f>SUM(D105:D106)</f>
        <v>0</v>
      </c>
      <c r="E104" s="800">
        <f>SUM(E105:E106)</f>
        <v>0</v>
      </c>
      <c r="F104" s="800">
        <f>SUM(F105:F106)</f>
        <v>0</v>
      </c>
      <c r="G104" s="800">
        <f>SUM(G105:G106)</f>
        <v>0</v>
      </c>
      <c r="H104" s="800">
        <f>SUM(H105:H106)</f>
        <v>0</v>
      </c>
      <c r="I104" s="800">
        <f>IF(AND(D104&lt;=0,E104&lt;=0,F104&lt;=0,G104&lt;=0,H104&lt;=0),SUM(D104:H104),"Błąd - wpisano wartość dodatnią")</f>
        <v>0</v>
      </c>
      <c r="J104" s="499" t="str">
        <f>IF(Noty!I104=0,"ukryj","odkryj")</f>
        <v>ukryj</v>
      </c>
      <c r="N104" s="172"/>
    </row>
    <row r="105" spans="1:32" s="257" customFormat="1" x14ac:dyDescent="0.25">
      <c r="A105" s="509"/>
      <c r="B105" s="520"/>
      <c r="C105" s="182" t="s">
        <v>9407</v>
      </c>
      <c r="D105" s="802"/>
      <c r="E105" s="802"/>
      <c r="F105" s="802"/>
      <c r="G105" s="802"/>
      <c r="H105" s="802"/>
      <c r="I105" s="800">
        <f>IF(AND(D105&lt;=0,E105&lt;=0,F105&lt;=0,G105&lt;=0,H105&lt;=0),SUM(D105:H105),"Błąd - wpisano wartość dodatnią")</f>
        <v>0</v>
      </c>
      <c r="J105" s="499" t="str">
        <f>IF(Noty!I105=0,"ukryj","odkryj")</f>
        <v>ukryj</v>
      </c>
      <c r="N105" s="172"/>
    </row>
    <row r="106" spans="1:32" s="257" customFormat="1" x14ac:dyDescent="0.25">
      <c r="A106" s="509"/>
      <c r="B106" s="520"/>
      <c r="C106" s="190" t="s">
        <v>9452</v>
      </c>
      <c r="D106" s="802"/>
      <c r="E106" s="802"/>
      <c r="F106" s="802"/>
      <c r="G106" s="802"/>
      <c r="H106" s="802"/>
      <c r="I106" s="800">
        <f>IF(AND(D106&lt;=0,E106&lt;=0,F106&lt;=0,G106&lt;=0,H106&lt;=0),SUM(D106:H106),"Błąd - wpisano wartość dodatnią")</f>
        <v>0</v>
      </c>
      <c r="J106" s="499" t="str">
        <f>IF(Noty!I106=0,"ukryj","odkryj")</f>
        <v>ukryj</v>
      </c>
      <c r="N106" s="172"/>
    </row>
    <row r="107" spans="1:32" s="257" customFormat="1" x14ac:dyDescent="0.25">
      <c r="A107" s="509"/>
      <c r="B107" s="520"/>
      <c r="C107" s="821" t="s">
        <v>9408</v>
      </c>
      <c r="D107" s="800">
        <f>SUM(D108:D112)</f>
        <v>0</v>
      </c>
      <c r="E107" s="800">
        <f>SUM(E108:E112)</f>
        <v>0</v>
      </c>
      <c r="F107" s="800">
        <f>SUM(F108:F112)</f>
        <v>0</v>
      </c>
      <c r="G107" s="800">
        <f>SUM(G108:G112)</f>
        <v>0</v>
      </c>
      <c r="H107" s="800">
        <f>SUM(H108:H112)</f>
        <v>0</v>
      </c>
      <c r="I107" s="800">
        <f t="shared" ref="I107:I112" si="4">SUM(D107:H107)</f>
        <v>0</v>
      </c>
      <c r="J107" s="499" t="str">
        <f>IF(Noty!I107=0,"ukryj","odkryj")</f>
        <v>ukryj</v>
      </c>
      <c r="N107" s="172"/>
    </row>
    <row r="108" spans="1:32" s="257" customFormat="1" x14ac:dyDescent="0.25">
      <c r="A108" s="509"/>
      <c r="B108" s="520"/>
      <c r="C108" s="190" t="s">
        <v>9392</v>
      </c>
      <c r="D108" s="639"/>
      <c r="E108" s="639"/>
      <c r="F108" s="639"/>
      <c r="G108" s="639"/>
      <c r="H108" s="639"/>
      <c r="I108" s="800">
        <f t="shared" si="4"/>
        <v>0</v>
      </c>
      <c r="J108" s="499" t="str">
        <f>IF(Noty!I108=0,"ukryj","odkryj")</f>
        <v>ukryj</v>
      </c>
      <c r="N108" s="172"/>
    </row>
    <row r="109" spans="1:32" s="257" customFormat="1" x14ac:dyDescent="0.25">
      <c r="A109" s="509"/>
      <c r="B109" s="520"/>
      <c r="C109" s="190" t="s">
        <v>9393</v>
      </c>
      <c r="D109" s="639"/>
      <c r="E109" s="639"/>
      <c r="F109" s="639"/>
      <c r="G109" s="639"/>
      <c r="H109" s="639"/>
      <c r="I109" s="800">
        <f t="shared" si="4"/>
        <v>0</v>
      </c>
      <c r="J109" s="499" t="str">
        <f>IF(Noty!I109=0,"ukryj","odkryj")</f>
        <v>ukryj</v>
      </c>
      <c r="N109" s="172"/>
    </row>
    <row r="110" spans="1:32" s="257" customFormat="1" x14ac:dyDescent="0.25">
      <c r="A110" s="509"/>
      <c r="B110" s="520"/>
      <c r="C110" s="190" t="s">
        <v>9390</v>
      </c>
      <c r="D110" s="639"/>
      <c r="E110" s="639"/>
      <c r="F110" s="639"/>
      <c r="G110" s="639"/>
      <c r="H110" s="639"/>
      <c r="I110" s="800">
        <f t="shared" si="4"/>
        <v>0</v>
      </c>
      <c r="J110" s="499" t="str">
        <f>IF(Noty!I110=0,"ukryj","odkryj")</f>
        <v>ukryj</v>
      </c>
      <c r="N110" s="172"/>
    </row>
    <row r="111" spans="1:32" s="257" customFormat="1" x14ac:dyDescent="0.25">
      <c r="A111" s="509"/>
      <c r="B111" s="520"/>
      <c r="C111" s="190" t="s">
        <v>9453</v>
      </c>
      <c r="D111" s="639"/>
      <c r="E111" s="639"/>
      <c r="F111" s="639"/>
      <c r="G111" s="639"/>
      <c r="H111" s="639"/>
      <c r="I111" s="800">
        <f t="shared" si="4"/>
        <v>0</v>
      </c>
      <c r="J111" s="499" t="str">
        <f>IF(Noty!I111=0,"ukryj","odkryj")</f>
        <v>ukryj</v>
      </c>
      <c r="N111" s="172"/>
    </row>
    <row r="112" spans="1:32" s="257" customFormat="1" x14ac:dyDescent="0.25">
      <c r="A112" s="509"/>
      <c r="B112" s="520"/>
      <c r="C112" s="190" t="s">
        <v>9452</v>
      </c>
      <c r="D112" s="639"/>
      <c r="E112" s="639"/>
      <c r="F112" s="639"/>
      <c r="G112" s="639"/>
      <c r="H112" s="639"/>
      <c r="I112" s="800">
        <f t="shared" si="4"/>
        <v>0</v>
      </c>
      <c r="J112" s="499" t="str">
        <f>IF(Noty!I112=0,"ukryj","odkryj")</f>
        <v>ukryj</v>
      </c>
      <c r="N112" s="172"/>
    </row>
    <row r="113" spans="1:32" s="257" customFormat="1" ht="25.55" x14ac:dyDescent="0.25">
      <c r="A113" s="509"/>
      <c r="B113" s="520"/>
      <c r="C113" s="821" t="s">
        <v>9394</v>
      </c>
      <c r="D113" s="802"/>
      <c r="E113" s="802"/>
      <c r="F113" s="802"/>
      <c r="G113" s="802"/>
      <c r="H113" s="802"/>
      <c r="I113" s="800">
        <f>IF(SUM(D113:H113)=0,0,"Błąd - ta pozycja powinna się zerować")</f>
        <v>0</v>
      </c>
      <c r="J113" s="499" t="str">
        <f>IF(Noty!I113=0,"ukryj","odkryj")</f>
        <v>ukryj</v>
      </c>
      <c r="N113" s="172"/>
    </row>
    <row r="114" spans="1:32" s="257" customFormat="1" x14ac:dyDescent="0.25">
      <c r="A114" s="509"/>
      <c r="B114" s="520"/>
      <c r="C114" s="821" t="str">
        <f>CONCATENATE("B.Z. ",Input!$P$7)</f>
        <v>B.Z. 31.12.2020</v>
      </c>
      <c r="D114" s="803">
        <f t="shared" ref="D114:I114" si="5">D103+D104+D107+D113</f>
        <v>0</v>
      </c>
      <c r="E114" s="803">
        <f t="shared" si="5"/>
        <v>0</v>
      </c>
      <c r="F114" s="803">
        <f t="shared" si="5"/>
        <v>0</v>
      </c>
      <c r="G114" s="803">
        <f t="shared" si="5"/>
        <v>0</v>
      </c>
      <c r="H114" s="803">
        <f t="shared" si="5"/>
        <v>0</v>
      </c>
      <c r="I114" s="803">
        <f t="shared" si="5"/>
        <v>0</v>
      </c>
      <c r="J114" s="499" t="str">
        <f>IF(Noty!I114=0,"ukryj","odkryj")</f>
        <v>ukryj</v>
      </c>
      <c r="N114" s="172"/>
      <c r="AA114" s="257" t="s">
        <v>9466</v>
      </c>
      <c r="AB114" s="257" t="s">
        <v>9467</v>
      </c>
      <c r="AC114" s="257" t="s">
        <v>9468</v>
      </c>
      <c r="AD114" s="257" t="s">
        <v>9469</v>
      </c>
      <c r="AE114" s="257" t="s">
        <v>9470</v>
      </c>
      <c r="AF114" s="257" t="s">
        <v>9471</v>
      </c>
    </row>
    <row r="115" spans="1:32" s="257" customFormat="1" x14ac:dyDescent="0.25">
      <c r="A115" s="509"/>
      <c r="B115" s="520"/>
      <c r="D115" s="191"/>
      <c r="E115" s="191"/>
      <c r="F115" s="191"/>
      <c r="G115" s="191"/>
      <c r="H115" s="191"/>
      <c r="I115" s="191"/>
      <c r="J115" s="499" t="str">
        <f>Noty!J114</f>
        <v>ukryj</v>
      </c>
      <c r="N115" s="172"/>
    </row>
    <row r="116" spans="1:32" s="257" customFormat="1" x14ac:dyDescent="0.25">
      <c r="A116" s="509"/>
      <c r="B116" s="520"/>
      <c r="C116" s="821" t="s">
        <v>9414</v>
      </c>
      <c r="D116" s="446"/>
      <c r="E116" s="192"/>
      <c r="F116" s="192"/>
      <c r="G116" s="192"/>
      <c r="H116" s="192"/>
      <c r="I116" s="191"/>
      <c r="J116" s="499" t="str">
        <f>IF(COUNT(Noty!I118:'Noty'!I124)-COUNTIF(Noty!I118:'Noty'!I124,0)=0,"ukryj","odkryj")</f>
        <v>ukryj</v>
      </c>
      <c r="N116" s="172"/>
    </row>
    <row r="117" spans="1:32" s="257" customFormat="1" x14ac:dyDescent="0.25">
      <c r="A117" s="509"/>
      <c r="B117" s="520"/>
      <c r="D117" s="192"/>
      <c r="E117" s="192"/>
      <c r="F117" s="192"/>
      <c r="G117" s="192"/>
      <c r="H117" s="192"/>
      <c r="I117" s="191"/>
      <c r="J117" s="499" t="str">
        <f>Noty!J116</f>
        <v>ukryj</v>
      </c>
      <c r="N117" s="172"/>
    </row>
    <row r="118" spans="1:32" s="257" customFormat="1" x14ac:dyDescent="0.25">
      <c r="A118" s="509"/>
      <c r="B118" s="520"/>
      <c r="C118" s="821" t="str">
        <f>CONCATENATE("B.O. ",Input!$P$6)</f>
        <v>B.O. 01.01.2020</v>
      </c>
      <c r="D118" s="802"/>
      <c r="E118" s="802"/>
      <c r="F118" s="802"/>
      <c r="G118" s="802"/>
      <c r="H118" s="802"/>
      <c r="I118" s="800">
        <f>IF(AND(D118&lt;=0,E118&lt;=0,F118&lt;=0,G118&lt;=0,H118&lt;=0),SUM(D118:H118),"Błąd - wpisano wartość dodatnią")</f>
        <v>0</v>
      </c>
      <c r="J118" s="499" t="str">
        <f>IF(Noty!I118=0,"ukryj","odkryj")</f>
        <v>ukryj</v>
      </c>
      <c r="N118" s="172"/>
      <c r="AA118" s="257" t="s">
        <v>9472</v>
      </c>
      <c r="AB118" s="257" t="s">
        <v>9473</v>
      </c>
      <c r="AC118" s="257" t="s">
        <v>9474</v>
      </c>
      <c r="AD118" s="257" t="s">
        <v>9475</v>
      </c>
      <c r="AE118" s="257" t="s">
        <v>9476</v>
      </c>
      <c r="AF118" s="257" t="s">
        <v>9477</v>
      </c>
    </row>
    <row r="119" spans="1:32" s="257" customFormat="1" x14ac:dyDescent="0.25">
      <c r="A119" s="509"/>
      <c r="B119" s="520"/>
      <c r="C119" s="821" t="s">
        <v>9406</v>
      </c>
      <c r="D119" s="802"/>
      <c r="E119" s="802"/>
      <c r="F119" s="802"/>
      <c r="G119" s="802"/>
      <c r="H119" s="802"/>
      <c r="I119" s="800">
        <f>IF(AND(D119&lt;=0,E119&lt;=0,F119&lt;=0,G119&lt;=0,H119&lt;=0),SUM(D119:H119),"Błąd - wpisano wartość dodatnią")</f>
        <v>0</v>
      </c>
      <c r="J119" s="499" t="str">
        <f>IF(Noty!I119=0,"ukryj","odkryj")</f>
        <v>ukryj</v>
      </c>
      <c r="N119" s="172"/>
    </row>
    <row r="120" spans="1:32" s="257" customFormat="1" x14ac:dyDescent="0.25">
      <c r="A120" s="509"/>
      <c r="B120" s="520"/>
      <c r="C120" s="821" t="s">
        <v>9408</v>
      </c>
      <c r="D120" s="800">
        <f>SUM(D121:D122)</f>
        <v>0</v>
      </c>
      <c r="E120" s="800">
        <f>SUM(E121:E122)</f>
        <v>0</v>
      </c>
      <c r="F120" s="800">
        <f>SUM(F121:F122)</f>
        <v>0</v>
      </c>
      <c r="G120" s="800">
        <f>SUM(G121:G122)</f>
        <v>0</v>
      </c>
      <c r="H120" s="800">
        <f>SUM(H121:H122)</f>
        <v>0</v>
      </c>
      <c r="I120" s="800">
        <f>SUM(D120:H120)</f>
        <v>0</v>
      </c>
      <c r="J120" s="499" t="str">
        <f>IF(Noty!I120=0,"ukryj","odkryj")</f>
        <v>ukryj</v>
      </c>
      <c r="N120" s="172"/>
    </row>
    <row r="121" spans="1:32" s="257" customFormat="1" x14ac:dyDescent="0.25">
      <c r="A121" s="509"/>
      <c r="B121" s="520"/>
      <c r="C121" s="181" t="s">
        <v>9420</v>
      </c>
      <c r="D121" s="639"/>
      <c r="E121" s="639"/>
      <c r="F121" s="639"/>
      <c r="G121" s="639"/>
      <c r="H121" s="639"/>
      <c r="I121" s="800">
        <f>SUM(D121:H121)</f>
        <v>0</v>
      </c>
      <c r="J121" s="499" t="str">
        <f>IF(Noty!I121=0,"ukryj","odkryj")</f>
        <v>ukryj</v>
      </c>
      <c r="N121" s="172"/>
    </row>
    <row r="122" spans="1:32" s="257" customFormat="1" x14ac:dyDescent="0.25">
      <c r="A122" s="509"/>
      <c r="B122" s="520"/>
      <c r="C122" s="181" t="s">
        <v>9421</v>
      </c>
      <c r="D122" s="639"/>
      <c r="E122" s="639"/>
      <c r="F122" s="639"/>
      <c r="G122" s="639"/>
      <c r="H122" s="639"/>
      <c r="I122" s="800">
        <f>SUM(D122:H122)</f>
        <v>0</v>
      </c>
      <c r="J122" s="499" t="str">
        <f>IF(Noty!I122=0,"ukryj","odkryj")</f>
        <v>ukryj</v>
      </c>
      <c r="N122" s="172"/>
    </row>
    <row r="123" spans="1:32" s="257" customFormat="1" ht="25.55" x14ac:dyDescent="0.25">
      <c r="A123" s="509"/>
      <c r="B123" s="520"/>
      <c r="C123" s="821" t="s">
        <v>9394</v>
      </c>
      <c r="D123" s="802"/>
      <c r="E123" s="802"/>
      <c r="F123" s="802"/>
      <c r="G123" s="802"/>
      <c r="H123" s="802"/>
      <c r="I123" s="800">
        <f>IF(SUM(D123:H123)=0,0,"Błąd - ta pozycja powinna się zerować")</f>
        <v>0</v>
      </c>
      <c r="J123" s="499" t="str">
        <f>IF(Noty!I123=0,"ukryj","odkryj")</f>
        <v>ukryj</v>
      </c>
      <c r="N123" s="172"/>
    </row>
    <row r="124" spans="1:32" s="257" customFormat="1" x14ac:dyDescent="0.25">
      <c r="A124" s="509"/>
      <c r="B124" s="520"/>
      <c r="C124" s="821" t="str">
        <f>CONCATENATE("B.Z. ",Input!$P$7)</f>
        <v>B.Z. 31.12.2020</v>
      </c>
      <c r="D124" s="803">
        <f t="shared" ref="D124:I124" si="6">SUM(D118:D120)+D123</f>
        <v>0</v>
      </c>
      <c r="E124" s="803">
        <f t="shared" si="6"/>
        <v>0</v>
      </c>
      <c r="F124" s="803">
        <f t="shared" si="6"/>
        <v>0</v>
      </c>
      <c r="G124" s="803">
        <f t="shared" si="6"/>
        <v>0</v>
      </c>
      <c r="H124" s="803">
        <f t="shared" si="6"/>
        <v>0</v>
      </c>
      <c r="I124" s="803">
        <f t="shared" si="6"/>
        <v>0</v>
      </c>
      <c r="J124" s="499" t="str">
        <f>IF(Noty!I124=0,"ukryj","odkryj")</f>
        <v>ukryj</v>
      </c>
      <c r="N124" s="172"/>
      <c r="AA124" s="257" t="s">
        <v>9478</v>
      </c>
      <c r="AB124" s="257" t="s">
        <v>9479</v>
      </c>
      <c r="AC124" s="257" t="s">
        <v>9480</v>
      </c>
      <c r="AD124" s="257" t="s">
        <v>9481</v>
      </c>
      <c r="AE124" s="257" t="s">
        <v>9482</v>
      </c>
      <c r="AF124" s="257" t="s">
        <v>9483</v>
      </c>
    </row>
    <row r="125" spans="1:32" s="257" customFormat="1" x14ac:dyDescent="0.25">
      <c r="A125" s="509"/>
      <c r="B125" s="520"/>
      <c r="C125" s="805"/>
      <c r="D125" s="191"/>
      <c r="E125" s="191"/>
      <c r="F125" s="191"/>
      <c r="G125" s="191"/>
      <c r="H125" s="191"/>
      <c r="I125" s="191"/>
      <c r="J125" s="499" t="str">
        <f>Noty!J124</f>
        <v>ukryj</v>
      </c>
      <c r="N125" s="172"/>
    </row>
    <row r="126" spans="1:32" s="257" customFormat="1" x14ac:dyDescent="0.25">
      <c r="A126" s="509"/>
      <c r="B126" s="520"/>
      <c r="C126" s="244" t="s">
        <v>9427</v>
      </c>
      <c r="D126" s="191"/>
      <c r="E126" s="191"/>
      <c r="F126" s="191"/>
      <c r="G126" s="191"/>
      <c r="H126" s="191"/>
      <c r="I126" s="191"/>
      <c r="J126" s="499" t="str">
        <f>IF(COUNT(Noty!I128:'Noty'!I129)-COUNTIF(Noty!I128:'Noty'!I129,0)=0,"ukryj","odkryj")</f>
        <v>ukryj</v>
      </c>
      <c r="N126" s="172"/>
    </row>
    <row r="127" spans="1:32" s="257" customFormat="1" x14ac:dyDescent="0.25">
      <c r="A127" s="509"/>
      <c r="B127" s="520"/>
      <c r="D127" s="192"/>
      <c r="E127" s="192"/>
      <c r="F127" s="192"/>
      <c r="G127" s="192"/>
      <c r="H127" s="192"/>
      <c r="I127" s="192"/>
      <c r="J127" s="499" t="str">
        <f>Noty!J126</f>
        <v>ukryj</v>
      </c>
      <c r="N127" s="172"/>
    </row>
    <row r="128" spans="1:32" s="257" customFormat="1" x14ac:dyDescent="0.25">
      <c r="A128" s="509"/>
      <c r="B128" s="520"/>
      <c r="C128" s="821" t="str">
        <f>CONCATENATE("B.O. ",Input!$P$6)</f>
        <v>B.O. 01.01.2020</v>
      </c>
      <c r="D128" s="1127">
        <f t="shared" ref="D128:I128" si="7">D84+D103+D118</f>
        <v>0</v>
      </c>
      <c r="E128" s="1127">
        <f t="shared" si="7"/>
        <v>0</v>
      </c>
      <c r="F128" s="1127">
        <f t="shared" si="7"/>
        <v>0</v>
      </c>
      <c r="G128" s="1127">
        <f t="shared" si="7"/>
        <v>0</v>
      </c>
      <c r="H128" s="1127">
        <f t="shared" si="7"/>
        <v>0</v>
      </c>
      <c r="I128" s="1127">
        <f t="shared" si="7"/>
        <v>0</v>
      </c>
      <c r="J128" s="499" t="str">
        <f>IF(Noty!I128=0,"ukryj","odkryj")</f>
        <v>ukryj</v>
      </c>
      <c r="N128" s="172"/>
    </row>
    <row r="129" spans="1:32" s="257" customFormat="1" x14ac:dyDescent="0.25">
      <c r="A129" s="509"/>
      <c r="B129" s="520"/>
      <c r="C129" s="821" t="str">
        <f>CONCATENATE("B.Z. ",Input!$P$7)</f>
        <v>B.Z. 31.12.2020</v>
      </c>
      <c r="D129" s="1127">
        <f t="shared" ref="D129:I129" si="8">D99+D114+D124</f>
        <v>0</v>
      </c>
      <c r="E129" s="1127">
        <f t="shared" si="8"/>
        <v>0</v>
      </c>
      <c r="F129" s="1127">
        <f t="shared" si="8"/>
        <v>0</v>
      </c>
      <c r="G129" s="1127">
        <f t="shared" si="8"/>
        <v>0</v>
      </c>
      <c r="H129" s="1127">
        <f t="shared" si="8"/>
        <v>0</v>
      </c>
      <c r="I129" s="1127">
        <f t="shared" si="8"/>
        <v>0</v>
      </c>
      <c r="J129" s="499" t="str">
        <f>IF(Noty!I129=0,"ukryj","odkryj")</f>
        <v>ukryj</v>
      </c>
      <c r="N129" s="172"/>
    </row>
    <row r="130" spans="1:32" s="257" customFormat="1" ht="13.75" thickBot="1" x14ac:dyDescent="0.3">
      <c r="A130" s="171"/>
      <c r="D130" s="202"/>
      <c r="E130" s="202"/>
      <c r="F130" s="202"/>
      <c r="G130" s="202"/>
      <c r="H130" s="202"/>
      <c r="I130" s="608"/>
      <c r="J130" s="499" t="str">
        <f>Noty!J129</f>
        <v>ukryj</v>
      </c>
      <c r="L130" s="188"/>
      <c r="N130" s="172"/>
    </row>
    <row r="131" spans="1:32" s="257" customFormat="1" ht="15.75" thickBot="1" x14ac:dyDescent="0.35">
      <c r="A131" s="1183">
        <f>A77</f>
        <v>0</v>
      </c>
      <c r="B131" s="1184">
        <f>IF(K131="n/a",B79,B79+1)</f>
        <v>0</v>
      </c>
      <c r="C131" s="1235" t="s">
        <v>9484</v>
      </c>
      <c r="D131" s="1235"/>
      <c r="E131" s="1235"/>
      <c r="F131" s="1235"/>
      <c r="G131" s="1235"/>
      <c r="H131" s="1235"/>
      <c r="I131" s="1235"/>
      <c r="J131" s="499" t="str">
        <f>IF(Noty!K131="n/a","ukryj","odkryj")</f>
        <v>ukryj</v>
      </c>
      <c r="K131" s="1213" t="str">
        <f>IF(AND(K133="n/a",K143="n/a"),"n/a","")</f>
        <v>n/a</v>
      </c>
      <c r="L131" s="200" t="str">
        <f>A131&amp;"."&amp;B131</f>
        <v>0.0</v>
      </c>
      <c r="N131" s="1101" t="s">
        <v>9378</v>
      </c>
      <c r="O131" s="489" t="str">
        <f>A131&amp;"."&amp;B131</f>
        <v>0.0</v>
      </c>
    </row>
    <row r="132" spans="1:32" s="257" customFormat="1" ht="13.75" thickBot="1" x14ac:dyDescent="0.3">
      <c r="A132" s="509"/>
      <c r="B132" s="520"/>
      <c r="C132" s="356"/>
      <c r="D132" s="202"/>
      <c r="E132" s="202"/>
      <c r="F132" s="202"/>
      <c r="G132" s="202"/>
      <c r="H132" s="202"/>
      <c r="I132" s="202"/>
      <c r="J132" s="499" t="str">
        <f>Noty!J131</f>
        <v>ukryj</v>
      </c>
      <c r="K132" s="806"/>
      <c r="L132" s="806"/>
      <c r="N132" s="172"/>
    </row>
    <row r="133" spans="1:32" s="257" customFormat="1" ht="13.75" thickBot="1" x14ac:dyDescent="0.3">
      <c r="A133" s="509"/>
      <c r="B133" s="521"/>
      <c r="C133" s="811" t="s">
        <v>9485</v>
      </c>
      <c r="D133" s="202"/>
      <c r="E133" s="202"/>
      <c r="F133" s="202"/>
      <c r="G133" s="610"/>
      <c r="H133" s="999" t="str">
        <f>+Input!$P$7</f>
        <v>31.12.2020</v>
      </c>
      <c r="I133" s="1000" t="str">
        <f>+Input!$P$11</f>
        <v>31.12.2019</v>
      </c>
      <c r="J133" s="499" t="str">
        <f>IF(Noty!K133="n/a","ukryj","odkryj")</f>
        <v>ukryj</v>
      </c>
      <c r="K133" s="1213" t="str">
        <f>IF(Input!D90="nie","n/a","")</f>
        <v>n/a</v>
      </c>
      <c r="L133" s="806"/>
      <c r="N133" s="172"/>
    </row>
    <row r="134" spans="1:32" s="257" customFormat="1" x14ac:dyDescent="0.25">
      <c r="A134" s="509"/>
      <c r="B134" s="522"/>
      <c r="C134" s="1457"/>
      <c r="D134" s="1457"/>
      <c r="E134" s="1457"/>
      <c r="F134" s="1457"/>
      <c r="G134" s="1001"/>
      <c r="H134" s="802"/>
      <c r="I134" s="802"/>
      <c r="J134" s="499" t="str">
        <f>IF(AND(Noty!I134=0,Noty!H134=0),"ukryj","odkryj")</f>
        <v>ukryj</v>
      </c>
      <c r="K134" s="806"/>
      <c r="L134" s="806"/>
      <c r="N134" s="172"/>
      <c r="AE134" s="257" t="s">
        <v>9486</v>
      </c>
      <c r="AF134" s="257" t="s">
        <v>9487</v>
      </c>
    </row>
    <row r="135" spans="1:32" s="257" customFormat="1" x14ac:dyDescent="0.25">
      <c r="A135" s="509"/>
      <c r="B135" s="522"/>
      <c r="C135" s="1457"/>
      <c r="D135" s="1457"/>
      <c r="E135" s="1457"/>
      <c r="F135" s="1457"/>
      <c r="G135" s="1001"/>
      <c r="H135" s="802"/>
      <c r="I135" s="802"/>
      <c r="J135" s="499" t="str">
        <f>IF(AND(Noty!I135=0,Noty!H135=0),"ukryj","odkryj")</f>
        <v>ukryj</v>
      </c>
      <c r="K135" s="806"/>
      <c r="L135" s="806"/>
      <c r="N135" s="172"/>
      <c r="AE135" s="257" t="s">
        <v>9488</v>
      </c>
      <c r="AF135" s="257" t="s">
        <v>9489</v>
      </c>
    </row>
    <row r="136" spans="1:32" s="257" customFormat="1" x14ac:dyDescent="0.25">
      <c r="A136" s="509"/>
      <c r="B136" s="522"/>
      <c r="C136" s="1457"/>
      <c r="D136" s="1457"/>
      <c r="E136" s="1457"/>
      <c r="F136" s="1457"/>
      <c r="G136" s="1001"/>
      <c r="H136" s="802"/>
      <c r="I136" s="802"/>
      <c r="J136" s="499" t="str">
        <f>IF(AND(Noty!I136=0,Noty!H136=0),"ukryj","odkryj")</f>
        <v>ukryj</v>
      </c>
      <c r="K136" s="806"/>
      <c r="L136" s="806"/>
      <c r="N136" s="172"/>
      <c r="AE136" s="257" t="s">
        <v>9490</v>
      </c>
      <c r="AF136" s="257" t="s">
        <v>9491</v>
      </c>
    </row>
    <row r="137" spans="1:32" s="257" customFormat="1" x14ac:dyDescent="0.25">
      <c r="A137" s="509"/>
      <c r="B137" s="357"/>
      <c r="C137" s="841"/>
      <c r="D137" s="202"/>
      <c r="E137" s="202"/>
      <c r="F137" s="202"/>
      <c r="G137" s="610"/>
      <c r="H137" s="803">
        <f>SUM(H134:H136)</f>
        <v>0</v>
      </c>
      <c r="I137" s="803">
        <f>SUM(I134:I136)</f>
        <v>0</v>
      </c>
      <c r="J137" s="499" t="str">
        <f>IF(AND(Noty!I137=0,Noty!H137=0),"ukryj","odkryj")</f>
        <v>ukryj</v>
      </c>
      <c r="K137" s="806"/>
      <c r="L137" s="806"/>
      <c r="N137" s="172"/>
    </row>
    <row r="138" spans="1:32" s="257" customFormat="1" x14ac:dyDescent="0.25">
      <c r="A138" s="489"/>
      <c r="B138" s="357"/>
      <c r="C138" s="841"/>
      <c r="D138" s="202"/>
      <c r="E138" s="202"/>
      <c r="F138" s="202"/>
      <c r="G138" s="202"/>
      <c r="H138" s="581"/>
      <c r="I138" s="581"/>
      <c r="J138" s="499" t="str">
        <f>IF(AND(Noty!I138=0,Noty!H138=0),"ukryj","odkryj")</f>
        <v>ukryj</v>
      </c>
      <c r="K138" s="806"/>
      <c r="L138" s="806"/>
      <c r="N138" s="172"/>
    </row>
    <row r="139" spans="1:32" s="257" customFormat="1" x14ac:dyDescent="0.25">
      <c r="A139" s="509"/>
      <c r="B139" s="520"/>
      <c r="C139" s="356"/>
      <c r="D139" s="202"/>
      <c r="E139" s="202"/>
      <c r="F139" s="202"/>
      <c r="G139" s="610"/>
      <c r="H139" s="999" t="str">
        <f>+Input!$P$7</f>
        <v>31.12.2020</v>
      </c>
      <c r="I139" s="1000" t="str">
        <f>+Input!$P$11</f>
        <v>31.12.2019</v>
      </c>
      <c r="J139" s="499" t="str">
        <f>Noty!J137</f>
        <v>ukryj</v>
      </c>
      <c r="K139" s="806"/>
      <c r="L139" s="806"/>
      <c r="N139" s="358"/>
    </row>
    <row r="140" spans="1:32" s="257" customFormat="1" ht="41.25" customHeight="1" x14ac:dyDescent="0.25">
      <c r="A140" s="509"/>
      <c r="B140" s="520"/>
      <c r="C140" s="1308" t="s">
        <v>9492</v>
      </c>
      <c r="D140" s="1308"/>
      <c r="E140" s="1308"/>
      <c r="F140" s="1308"/>
      <c r="G140" s="995"/>
      <c r="H140" s="807"/>
      <c r="I140" s="807"/>
      <c r="J140" s="499" t="str">
        <f>IF(AND(Noty!I140=0,Noty!H140=0),"ukryj","odkryj")</f>
        <v>ukryj</v>
      </c>
      <c r="K140" s="806"/>
      <c r="L140" s="806"/>
      <c r="N140" s="359" t="s">
        <v>7860</v>
      </c>
      <c r="AE140" s="257" t="s">
        <v>9493</v>
      </c>
      <c r="AF140" s="257" t="s">
        <v>9494</v>
      </c>
    </row>
    <row r="141" spans="1:32" s="257" customFormat="1" x14ac:dyDescent="0.25">
      <c r="A141" s="509"/>
      <c r="B141" s="520"/>
      <c r="C141" s="808"/>
      <c r="D141" s="834"/>
      <c r="E141" s="834"/>
      <c r="F141" s="834"/>
      <c r="G141" s="834"/>
      <c r="H141" s="834"/>
      <c r="I141" s="834"/>
      <c r="J141" s="499" t="str">
        <f>Noty!J140</f>
        <v>ukryj</v>
      </c>
      <c r="K141" s="806"/>
      <c r="L141" s="806"/>
      <c r="N141" s="172"/>
    </row>
    <row r="142" spans="1:32" s="257" customFormat="1" ht="13.75" thickBot="1" x14ac:dyDescent="0.3">
      <c r="A142" s="509"/>
      <c r="B142" s="520"/>
      <c r="C142" s="219" t="s">
        <v>7685</v>
      </c>
      <c r="D142" s="834"/>
      <c r="E142" s="834"/>
      <c r="F142" s="834"/>
      <c r="G142" s="834"/>
      <c r="H142" s="834"/>
      <c r="I142" s="834"/>
      <c r="J142" s="499" t="s">
        <v>5125</v>
      </c>
      <c r="K142" s="806"/>
      <c r="L142" s="806"/>
      <c r="N142" s="172"/>
    </row>
    <row r="143" spans="1:32" s="257" customFormat="1" ht="13.75" thickBot="1" x14ac:dyDescent="0.3">
      <c r="A143" s="509"/>
      <c r="B143" s="520"/>
      <c r="C143" s="1303" t="s">
        <v>9495</v>
      </c>
      <c r="D143" s="1303"/>
      <c r="E143" s="1303"/>
      <c r="F143" s="1303"/>
      <c r="G143" s="1303"/>
      <c r="H143" s="1303"/>
      <c r="I143" s="1303"/>
      <c r="J143" s="499" t="str">
        <f>IF(Noty!K143="n/a","ukryj","odkryj")</f>
        <v>ukryj</v>
      </c>
      <c r="K143" s="1214" t="str">
        <f>IF(K133="","n/a",IF(AND(K147="n/a",K156="n/a"),"n/a",""))</f>
        <v>n/a</v>
      </c>
      <c r="L143" s="806"/>
      <c r="N143" s="172"/>
    </row>
    <row r="144" spans="1:32" s="257" customFormat="1" ht="13.75" thickBot="1" x14ac:dyDescent="0.3">
      <c r="A144" s="509"/>
      <c r="B144" s="520"/>
      <c r="C144" s="808"/>
      <c r="D144" s="834"/>
      <c r="E144" s="834"/>
      <c r="F144" s="834"/>
      <c r="G144" s="834"/>
      <c r="H144" s="834"/>
      <c r="I144" s="834"/>
      <c r="J144" s="499" t="str">
        <f>Noty!J143</f>
        <v>ukryj</v>
      </c>
      <c r="K144" s="806"/>
      <c r="L144" s="970"/>
      <c r="N144" s="172"/>
    </row>
    <row r="145" spans="1:32" s="257" customFormat="1" ht="15.75" thickBot="1" x14ac:dyDescent="0.35">
      <c r="A145" s="1183">
        <f>A77</f>
        <v>0</v>
      </c>
      <c r="B145" s="1184">
        <f>IF(K145="n/a",B131,B131+1)</f>
        <v>0</v>
      </c>
      <c r="C145" s="1235" t="s">
        <v>9496</v>
      </c>
      <c r="D145" s="1235"/>
      <c r="E145" s="1235"/>
      <c r="F145" s="1235"/>
      <c r="G145" s="1235"/>
      <c r="H145" s="1235"/>
      <c r="I145" s="1235"/>
      <c r="J145" s="499" t="str">
        <f>IF(Noty!K145="n/a","ukryj","odkryj")</f>
        <v>ukryj</v>
      </c>
      <c r="K145" s="1213" t="str">
        <f>IF(AND(K147="n/a",K152="n/a"),"n/a","")</f>
        <v>n/a</v>
      </c>
      <c r="L145" s="200" t="str">
        <f>A145&amp;"."&amp;B145</f>
        <v>0.0</v>
      </c>
      <c r="N145" s="1101" t="s">
        <v>9378</v>
      </c>
      <c r="O145" s="489" t="str">
        <f>A145&amp;"."&amp;B145</f>
        <v>0.0</v>
      </c>
    </row>
    <row r="146" spans="1:32" s="257" customFormat="1" ht="13.75" thickBot="1" x14ac:dyDescent="0.3">
      <c r="A146" s="489"/>
      <c r="B146" s="520"/>
      <c r="C146" s="356"/>
      <c r="D146" s="202"/>
      <c r="E146" s="202"/>
      <c r="F146" s="202"/>
      <c r="G146" s="202"/>
      <c r="H146" s="202"/>
      <c r="I146" s="202"/>
      <c r="J146" s="499" t="str">
        <f>Noty!J145</f>
        <v>ukryj</v>
      </c>
      <c r="K146" s="174"/>
      <c r="L146" s="200"/>
      <c r="N146" s="488"/>
      <c r="O146" s="489"/>
    </row>
    <row r="147" spans="1:32" s="257" customFormat="1" ht="13.75" thickBot="1" x14ac:dyDescent="0.3">
      <c r="A147" s="509"/>
      <c r="B147" s="520"/>
      <c r="C147" s="175"/>
      <c r="D147" s="202"/>
      <c r="E147" s="202"/>
      <c r="F147" s="202"/>
      <c r="G147" s="610"/>
      <c r="H147" s="999" t="str">
        <f>+Input!$P$7</f>
        <v>31.12.2020</v>
      </c>
      <c r="I147" s="1000" t="str">
        <f>+Input!$P$11</f>
        <v>31.12.2019</v>
      </c>
      <c r="J147" s="499" t="str">
        <f>IF(Noty!K147="n/a","ukryj","odkryj")</f>
        <v>ukryj</v>
      </c>
      <c r="K147" s="1213" t="str">
        <f>IF(Input!D91="nie","n/a","")</f>
        <v>n/a</v>
      </c>
      <c r="L147" s="806"/>
      <c r="N147" s="172"/>
    </row>
    <row r="148" spans="1:32" s="257" customFormat="1" ht="43.55" customHeight="1" x14ac:dyDescent="0.25">
      <c r="A148" s="509"/>
      <c r="B148" s="520"/>
      <c r="C148" s="1308" t="s">
        <v>9497</v>
      </c>
      <c r="D148" s="1308"/>
      <c r="E148" s="1308"/>
      <c r="F148" s="1308"/>
      <c r="G148" s="995"/>
      <c r="H148" s="807"/>
      <c r="I148" s="807"/>
      <c r="J148" s="499" t="str">
        <f>IF(AND(Noty!I148=0,Noty!H148=0),"ukryj","odkryj")</f>
        <v>ukryj</v>
      </c>
      <c r="K148" s="489"/>
      <c r="L148" s="806"/>
      <c r="N148" s="172"/>
      <c r="AE148" s="257" t="s">
        <v>9498</v>
      </c>
      <c r="AF148" s="257" t="s">
        <v>9499</v>
      </c>
    </row>
    <row r="149" spans="1:32" s="257" customFormat="1" x14ac:dyDescent="0.25">
      <c r="A149" s="489"/>
      <c r="B149" s="520"/>
      <c r="C149" s="1307" t="s">
        <v>9500</v>
      </c>
      <c r="D149" s="1307"/>
      <c r="E149" s="1307"/>
      <c r="F149" s="1307"/>
      <c r="G149" s="1307"/>
      <c r="H149" s="1307"/>
      <c r="I149" s="1307"/>
      <c r="J149" s="499" t="str">
        <f>Noty!J148</f>
        <v>ukryj</v>
      </c>
      <c r="K149" s="174"/>
      <c r="L149" s="806"/>
      <c r="N149" s="172"/>
    </row>
    <row r="150" spans="1:32" s="257" customFormat="1" x14ac:dyDescent="0.25">
      <c r="A150" s="509"/>
      <c r="B150" s="520"/>
      <c r="C150" s="1308"/>
      <c r="D150" s="1308"/>
      <c r="E150" s="1308"/>
      <c r="F150" s="1308"/>
      <c r="G150" s="1308"/>
      <c r="H150" s="1308"/>
      <c r="I150" s="1308"/>
      <c r="J150" s="499" t="str">
        <f>Noty!J148</f>
        <v>ukryj</v>
      </c>
      <c r="K150" s="806"/>
      <c r="L150" s="806"/>
      <c r="N150" s="172"/>
    </row>
    <row r="151" spans="1:32" s="257" customFormat="1" ht="13.75" thickBot="1" x14ac:dyDescent="0.3">
      <c r="A151" s="509"/>
      <c r="B151" s="520"/>
      <c r="C151" s="219" t="s">
        <v>7685</v>
      </c>
      <c r="D151" s="202"/>
      <c r="E151" s="202"/>
      <c r="F151" s="202"/>
      <c r="G151" s="202"/>
      <c r="H151" s="202"/>
      <c r="I151" s="202"/>
      <c r="J151" s="499" t="s">
        <v>5125</v>
      </c>
      <c r="K151" s="806"/>
      <c r="L151" s="806"/>
      <c r="N151" s="172"/>
    </row>
    <row r="152" spans="1:32" s="257" customFormat="1" ht="29.95" customHeight="1" thickBot="1" x14ac:dyDescent="0.3">
      <c r="A152" s="509"/>
      <c r="B152" s="520"/>
      <c r="C152" s="1303" t="s">
        <v>9501</v>
      </c>
      <c r="D152" s="1303"/>
      <c r="E152" s="1303"/>
      <c r="F152" s="1303"/>
      <c r="G152" s="1303"/>
      <c r="H152" s="1303"/>
      <c r="I152" s="1303"/>
      <c r="J152" s="499" t="str">
        <f>IF(Noty!K152="n/a","ukryj","odkryj")</f>
        <v>ukryj</v>
      </c>
      <c r="K152" s="1214" t="str">
        <f>IF(K147="","n/a",IF(AND(K156="n/a",K133="n/a"),"n/a",""))</f>
        <v>n/a</v>
      </c>
      <c r="L152" s="806"/>
      <c r="N152" s="172"/>
    </row>
    <row r="153" spans="1:32" s="257" customFormat="1" ht="13.75" thickBot="1" x14ac:dyDescent="0.3">
      <c r="A153" s="509"/>
      <c r="B153" s="520"/>
      <c r="C153" s="175"/>
      <c r="D153" s="202"/>
      <c r="E153" s="202"/>
      <c r="F153" s="202"/>
      <c r="G153" s="202"/>
      <c r="H153" s="202"/>
      <c r="I153" s="202"/>
      <c r="J153" s="499" t="str">
        <f>Noty!J152</f>
        <v>ukryj</v>
      </c>
      <c r="K153" s="806"/>
      <c r="L153" s="970"/>
      <c r="M153" s="360"/>
      <c r="N153" s="172"/>
    </row>
    <row r="154" spans="1:32" s="257" customFormat="1" ht="15.75" thickBot="1" x14ac:dyDescent="0.35">
      <c r="A154" s="1183">
        <f>A77</f>
        <v>0</v>
      </c>
      <c r="B154" s="1184">
        <f>IF(K154="n/a",B145,B145+1)</f>
        <v>0</v>
      </c>
      <c r="C154" s="1235" t="s">
        <v>9502</v>
      </c>
      <c r="D154" s="1235"/>
      <c r="E154" s="1235"/>
      <c r="F154" s="1235"/>
      <c r="G154" s="1235"/>
      <c r="H154" s="1235"/>
      <c r="I154" s="1235"/>
      <c r="J154" s="499" t="str">
        <f>IF(Noty!K154="n/a","ukryj","odkryj")</f>
        <v>ukryj</v>
      </c>
      <c r="K154" s="1213" t="str">
        <f>IF(AND(K156="n/a",K160="n/a"),"n/a","")</f>
        <v>n/a</v>
      </c>
      <c r="L154" s="200" t="str">
        <f>A154&amp;"."&amp;B154</f>
        <v>0.0</v>
      </c>
      <c r="N154" s="1101" t="s">
        <v>9378</v>
      </c>
      <c r="O154" s="489" t="str">
        <f>A154&amp;"."&amp;B154</f>
        <v>0.0</v>
      </c>
    </row>
    <row r="155" spans="1:32" s="257" customFormat="1" ht="13.75" thickBot="1" x14ac:dyDescent="0.3">
      <c r="A155" s="489"/>
      <c r="B155" s="520"/>
      <c r="C155" s="356"/>
      <c r="D155" s="202"/>
      <c r="E155" s="202"/>
      <c r="F155" s="202"/>
      <c r="G155" s="202"/>
      <c r="H155" s="202"/>
      <c r="I155" s="202"/>
      <c r="J155" s="499" t="str">
        <f>Noty!J154</f>
        <v>ukryj</v>
      </c>
      <c r="K155" s="174"/>
      <c r="L155" s="200"/>
      <c r="N155" s="488"/>
      <c r="O155" s="489"/>
    </row>
    <row r="156" spans="1:32" s="257" customFormat="1" ht="13.75" thickBot="1" x14ac:dyDescent="0.3">
      <c r="A156" s="509"/>
      <c r="B156" s="520"/>
      <c r="C156" s="175"/>
      <c r="D156" s="202"/>
      <c r="E156" s="202"/>
      <c r="F156" s="202"/>
      <c r="G156" s="610"/>
      <c r="H156" s="999" t="str">
        <f>+Input!$P$7</f>
        <v>31.12.2020</v>
      </c>
      <c r="I156" s="1000" t="str">
        <f>+Input!$P$11</f>
        <v>31.12.2019</v>
      </c>
      <c r="J156" s="499" t="str">
        <f>IF(Noty!K156="n/a","ukryj","odkryj")</f>
        <v>ukryj</v>
      </c>
      <c r="K156" s="1213" t="str">
        <f>IF(Input!D92="nie","n/a","")</f>
        <v>n/a</v>
      </c>
      <c r="L156" s="806"/>
      <c r="N156" s="172"/>
    </row>
    <row r="157" spans="1:32" s="257" customFormat="1" ht="13.6" customHeight="1" x14ac:dyDescent="0.25">
      <c r="A157" s="509"/>
      <c r="B157" s="520"/>
      <c r="C157" s="1308" t="s">
        <v>9503</v>
      </c>
      <c r="D157" s="1308"/>
      <c r="E157" s="1308"/>
      <c r="F157" s="1308"/>
      <c r="G157" s="995"/>
      <c r="H157" s="807"/>
      <c r="I157" s="807"/>
      <c r="J157" s="499" t="str">
        <f>IF(AND(Noty!I157=0,Noty!H157=0),"ukryj","odkryj")</f>
        <v>ukryj</v>
      </c>
      <c r="K157" s="489"/>
      <c r="L157" s="806"/>
      <c r="N157" s="172"/>
      <c r="AE157" s="257" t="s">
        <v>9504</v>
      </c>
      <c r="AF157" s="257" t="s">
        <v>9505</v>
      </c>
    </row>
    <row r="158" spans="1:32" s="257" customFormat="1" x14ac:dyDescent="0.25">
      <c r="A158" s="509"/>
      <c r="B158" s="520"/>
      <c r="D158" s="822"/>
      <c r="E158" s="822"/>
      <c r="F158" s="822"/>
      <c r="G158" s="822"/>
      <c r="H158" s="822"/>
      <c r="I158" s="822"/>
      <c r="J158" s="499" t="str">
        <f>Noty!J157</f>
        <v>ukryj</v>
      </c>
      <c r="K158" s="806"/>
      <c r="L158" s="806"/>
      <c r="N158" s="172"/>
    </row>
    <row r="159" spans="1:32" s="257" customFormat="1" ht="13.75" thickBot="1" x14ac:dyDescent="0.3">
      <c r="A159" s="509"/>
      <c r="B159" s="520"/>
      <c r="C159" s="219" t="s">
        <v>7685</v>
      </c>
      <c r="D159" s="202"/>
      <c r="E159" s="202"/>
      <c r="F159" s="202"/>
      <c r="G159" s="202"/>
      <c r="H159" s="202"/>
      <c r="I159" s="202"/>
      <c r="J159" s="499" t="s">
        <v>5125</v>
      </c>
      <c r="K159" s="806"/>
      <c r="L159" s="806"/>
      <c r="N159" s="172"/>
    </row>
    <row r="160" spans="1:32" s="257" customFormat="1" ht="13.75" thickBot="1" x14ac:dyDescent="0.3">
      <c r="A160" s="509"/>
      <c r="B160" s="520"/>
      <c r="C160" s="1303" t="s">
        <v>9506</v>
      </c>
      <c r="D160" s="1303"/>
      <c r="E160" s="1303"/>
      <c r="F160" s="1303"/>
      <c r="G160" s="1303"/>
      <c r="H160" s="1303"/>
      <c r="I160" s="1303"/>
      <c r="J160" s="499" t="str">
        <f>IF(Noty!K160="n/a","ukryj","odkryj")</f>
        <v>ukryj</v>
      </c>
      <c r="K160" s="1214" t="s">
        <v>9507</v>
      </c>
      <c r="L160" s="806"/>
      <c r="N160" s="172"/>
    </row>
    <row r="161" spans="1:32" s="257" customFormat="1" ht="13.75" thickBot="1" x14ac:dyDescent="0.3">
      <c r="A161" s="509"/>
      <c r="B161" s="520"/>
      <c r="D161" s="202"/>
      <c r="E161" s="202"/>
      <c r="F161" s="202"/>
      <c r="G161" s="202"/>
      <c r="H161" s="202"/>
      <c r="I161" s="202"/>
      <c r="J161" s="499" t="str">
        <f>Noty!J160</f>
        <v>ukryj</v>
      </c>
      <c r="K161" s="806"/>
      <c r="L161" s="970"/>
      <c r="N161" s="172"/>
    </row>
    <row r="162" spans="1:32" s="257" customFormat="1" ht="15.75" thickBot="1" x14ac:dyDescent="0.35">
      <c r="A162" s="1183">
        <f>A77</f>
        <v>0</v>
      </c>
      <c r="B162" s="1184">
        <f>IF(K162="n/a",B154,B154+1)</f>
        <v>0</v>
      </c>
      <c r="C162" s="1235" t="s">
        <v>9508</v>
      </c>
      <c r="D162" s="1235"/>
      <c r="E162" s="1235"/>
      <c r="F162" s="1235"/>
      <c r="G162" s="1235"/>
      <c r="H162" s="1235"/>
      <c r="I162" s="1235"/>
      <c r="J162" s="499" t="str">
        <f>IF(Noty!K162="n/a","ukryj","odkryj")</f>
        <v>ukryj</v>
      </c>
      <c r="K162" s="1213" t="str">
        <f>IF(Input!D93="nie","n/a","")</f>
        <v>n/a</v>
      </c>
      <c r="L162" s="200" t="str">
        <f>A162&amp;"."&amp;B162</f>
        <v>0.0</v>
      </c>
      <c r="N162" s="1101" t="s">
        <v>9378</v>
      </c>
      <c r="O162" s="489" t="str">
        <f>A162&amp;"."&amp;B162</f>
        <v>0.0</v>
      </c>
    </row>
    <row r="163" spans="1:32" s="257" customFormat="1" x14ac:dyDescent="0.25">
      <c r="A163" s="509"/>
      <c r="B163" s="520"/>
      <c r="C163" s="175"/>
      <c r="D163" s="202"/>
      <c r="E163" s="202"/>
      <c r="F163" s="202"/>
      <c r="G163" s="202"/>
      <c r="H163" s="202"/>
      <c r="I163" s="202"/>
      <c r="J163" s="499" t="str">
        <f>Noty!J162</f>
        <v>ukryj</v>
      </c>
      <c r="K163" s="154"/>
      <c r="L163" s="806"/>
      <c r="N163" s="172"/>
    </row>
    <row r="164" spans="1:32" s="257" customFormat="1" x14ac:dyDescent="0.25">
      <c r="A164" s="509"/>
      <c r="B164" s="520"/>
      <c r="C164" s="1304" t="s">
        <v>9509</v>
      </c>
      <c r="D164" s="1304"/>
      <c r="E164" s="1304"/>
      <c r="F164" s="1304"/>
      <c r="G164" s="1304"/>
      <c r="H164" s="1304"/>
      <c r="I164" s="1304"/>
      <c r="J164" s="499" t="str">
        <f>Noty!J163</f>
        <v>ukryj</v>
      </c>
      <c r="K164" s="154"/>
      <c r="L164" s="806"/>
      <c r="N164" s="172"/>
    </row>
    <row r="165" spans="1:32" s="257" customFormat="1" ht="13.75" thickBot="1" x14ac:dyDescent="0.3">
      <c r="A165" s="509"/>
      <c r="B165" s="520"/>
      <c r="C165" s="361"/>
      <c r="D165" s="611"/>
      <c r="E165" s="611"/>
      <c r="F165" s="611"/>
      <c r="G165" s="611"/>
      <c r="H165" s="611"/>
      <c r="I165" s="611"/>
      <c r="J165" s="499" t="str">
        <f>Noty!J164</f>
        <v>ukryj</v>
      </c>
      <c r="K165" s="154"/>
      <c r="L165" s="970"/>
      <c r="N165" s="172"/>
    </row>
    <row r="166" spans="1:32" s="257" customFormat="1" ht="15.75" thickBot="1" x14ac:dyDescent="0.35">
      <c r="A166" s="1180">
        <f>IF(K166="n/a",A162,A162+1)</f>
        <v>0</v>
      </c>
      <c r="B166" s="1182"/>
      <c r="C166" s="1280" t="s">
        <v>7584</v>
      </c>
      <c r="D166" s="1280"/>
      <c r="E166" s="1280"/>
      <c r="F166" s="1280"/>
      <c r="G166" s="1280"/>
      <c r="H166" s="1280"/>
      <c r="I166" s="1280"/>
      <c r="J166" s="499" t="str">
        <f>IF(Noty!K166="n/a","ukryj","odkryj")</f>
        <v>ukryj</v>
      </c>
      <c r="K166" s="1213" t="str">
        <f>IF(Input!D94="nie","n/a","")</f>
        <v>n/a</v>
      </c>
      <c r="L166" s="492" t="str">
        <f>A166&amp;"."&amp;B166</f>
        <v>0.</v>
      </c>
      <c r="N166" s="1101" t="s">
        <v>9378</v>
      </c>
      <c r="O166" s="489" t="str">
        <f>A166&amp;"."&amp;B166</f>
        <v>0.</v>
      </c>
    </row>
    <row r="167" spans="1:32" s="257" customFormat="1" ht="25.55" x14ac:dyDescent="0.25">
      <c r="A167" s="509"/>
      <c r="B167" s="520"/>
      <c r="C167" s="175"/>
      <c r="D167" s="202"/>
      <c r="E167" s="202"/>
      <c r="F167" s="202"/>
      <c r="G167" s="202"/>
      <c r="H167" s="202"/>
      <c r="I167" s="801" t="s">
        <v>7584</v>
      </c>
      <c r="J167" s="499" t="str">
        <f>Noty!J166</f>
        <v>ukryj</v>
      </c>
      <c r="K167" s="806"/>
      <c r="L167" s="806"/>
      <c r="N167" s="172"/>
    </row>
    <row r="168" spans="1:32" s="257" customFormat="1" x14ac:dyDescent="0.25">
      <c r="A168" s="509"/>
      <c r="B168" s="520"/>
      <c r="C168" s="821" t="s">
        <v>9380</v>
      </c>
      <c r="D168" s="202"/>
      <c r="E168" s="202"/>
      <c r="F168" s="202"/>
      <c r="G168" s="202"/>
      <c r="H168" s="202"/>
      <c r="I168" s="362"/>
      <c r="J168" s="499" t="str">
        <f>IF(COUNT(Noty!I169:'Noty'!I181)-COUNTIF(Noty!I169:'Noty'!I181,0)=0,"ukryj","odkryj")</f>
        <v>ukryj</v>
      </c>
      <c r="K168" s="806"/>
      <c r="L168" s="806"/>
      <c r="N168" s="172"/>
    </row>
    <row r="169" spans="1:32" s="257" customFormat="1" x14ac:dyDescent="0.25">
      <c r="A169" s="509"/>
      <c r="B169" s="520"/>
      <c r="C169" s="821" t="str">
        <f>CONCATENATE("B.O. ",Input!$P$6)</f>
        <v>B.O. 01.01.2020</v>
      </c>
      <c r="D169" s="202"/>
      <c r="E169" s="202"/>
      <c r="F169" s="202"/>
      <c r="G169" s="202"/>
      <c r="H169" s="610"/>
      <c r="I169" s="639"/>
      <c r="J169" s="499" t="str">
        <f>IF(Noty!I169=0,"ukryj","odkryj")</f>
        <v>ukryj</v>
      </c>
      <c r="K169" s="806"/>
      <c r="L169" s="806"/>
      <c r="N169" s="172"/>
      <c r="AF169" s="257" t="s">
        <v>9510</v>
      </c>
    </row>
    <row r="170" spans="1:32" s="257" customFormat="1" x14ac:dyDescent="0.25">
      <c r="A170" s="509"/>
      <c r="B170" s="520"/>
      <c r="C170" s="810" t="s">
        <v>9406</v>
      </c>
      <c r="D170" s="202"/>
      <c r="E170" s="202"/>
      <c r="F170" s="202"/>
      <c r="G170" s="202"/>
      <c r="H170" s="610"/>
      <c r="I170" s="800">
        <f>SUM(I171:I174)</f>
        <v>0</v>
      </c>
      <c r="J170" s="499" t="str">
        <f>IF(Noty!I170=0,"ukryj","odkryj")</f>
        <v>ukryj</v>
      </c>
      <c r="K170" s="806"/>
      <c r="L170" s="806"/>
      <c r="N170" s="172"/>
    </row>
    <row r="171" spans="1:32" s="257" customFormat="1" x14ac:dyDescent="0.25">
      <c r="A171" s="509"/>
      <c r="B171" s="520"/>
      <c r="C171" s="1305" t="s">
        <v>9511</v>
      </c>
      <c r="D171" s="1305"/>
      <c r="E171" s="202"/>
      <c r="F171" s="202"/>
      <c r="G171" s="202"/>
      <c r="H171" s="610"/>
      <c r="I171" s="639"/>
      <c r="J171" s="499" t="str">
        <f>IF(Noty!I171=0,"ukryj","odkryj")</f>
        <v>ukryj</v>
      </c>
      <c r="K171" s="363"/>
      <c r="L171" s="363"/>
      <c r="M171" s="228"/>
      <c r="N171" s="172"/>
    </row>
    <row r="172" spans="1:32" s="257" customFormat="1" x14ac:dyDescent="0.25">
      <c r="A172" s="509"/>
      <c r="B172" s="520"/>
      <c r="C172" s="1305" t="s">
        <v>9512</v>
      </c>
      <c r="D172" s="1305"/>
      <c r="E172" s="202"/>
      <c r="F172" s="202"/>
      <c r="G172" s="202"/>
      <c r="H172" s="610"/>
      <c r="I172" s="639"/>
      <c r="J172" s="499" t="str">
        <f>IF(Noty!I172=0,"ukryj","odkryj")</f>
        <v>ukryj</v>
      </c>
      <c r="K172" s="364"/>
      <c r="L172" s="364"/>
      <c r="M172" s="365"/>
      <c r="N172" s="172"/>
    </row>
    <row r="173" spans="1:32" s="257" customFormat="1" x14ac:dyDescent="0.25">
      <c r="A173" s="509"/>
      <c r="B173" s="520"/>
      <c r="C173" s="366" t="s">
        <v>9513</v>
      </c>
      <c r="D173" s="612"/>
      <c r="E173" s="202"/>
      <c r="F173" s="202"/>
      <c r="G173" s="202"/>
      <c r="H173" s="610"/>
      <c r="I173" s="639"/>
      <c r="J173" s="499" t="str">
        <f>IF(Noty!I173=0,"ukryj","odkryj")</f>
        <v>ukryj</v>
      </c>
      <c r="K173" s="364"/>
      <c r="L173" s="364"/>
      <c r="M173" s="365"/>
      <c r="N173" s="172"/>
    </row>
    <row r="174" spans="1:32" s="257" customFormat="1" x14ac:dyDescent="0.25">
      <c r="A174" s="509"/>
      <c r="B174" s="520"/>
      <c r="C174" s="1305" t="s">
        <v>8161</v>
      </c>
      <c r="D174" s="1305"/>
      <c r="E174" s="202"/>
      <c r="F174" s="202"/>
      <c r="G174" s="202"/>
      <c r="H174" s="610"/>
      <c r="I174" s="639"/>
      <c r="J174" s="499" t="str">
        <f>IF(Noty!I174=0,"ukryj","odkryj")</f>
        <v>ukryj</v>
      </c>
      <c r="K174" s="364"/>
      <c r="L174" s="364"/>
      <c r="M174" s="228"/>
      <c r="N174" s="172"/>
    </row>
    <row r="175" spans="1:32" s="257" customFormat="1" x14ac:dyDescent="0.25">
      <c r="A175" s="509"/>
      <c r="B175" s="520"/>
      <c r="C175" s="1306" t="s">
        <v>9408</v>
      </c>
      <c r="D175" s="1306"/>
      <c r="E175" s="202"/>
      <c r="F175" s="202"/>
      <c r="G175" s="202"/>
      <c r="H175" s="610"/>
      <c r="I175" s="800">
        <f>SUM(I176:I180)</f>
        <v>0</v>
      </c>
      <c r="J175" s="499" t="str">
        <f>IF(Noty!I175=0,"ukryj","odkryj")</f>
        <v>ukryj</v>
      </c>
      <c r="K175" s="367"/>
      <c r="L175" s="364"/>
      <c r="M175" s="365"/>
      <c r="N175" s="172"/>
    </row>
    <row r="176" spans="1:32" s="257" customFormat="1" x14ac:dyDescent="0.25">
      <c r="A176" s="509"/>
      <c r="B176" s="520"/>
      <c r="C176" s="1305" t="s">
        <v>9514</v>
      </c>
      <c r="D176" s="1305"/>
      <c r="E176" s="202"/>
      <c r="F176" s="202"/>
      <c r="G176" s="202"/>
      <c r="H176" s="610"/>
      <c r="I176" s="639"/>
      <c r="J176" s="499" t="str">
        <f>IF(Noty!I176=0,"ukryj","odkryj")</f>
        <v>ukryj</v>
      </c>
      <c r="K176" s="367"/>
      <c r="L176" s="364"/>
      <c r="M176" s="365"/>
      <c r="N176" s="172"/>
    </row>
    <row r="177" spans="1:32" s="257" customFormat="1" x14ac:dyDescent="0.25">
      <c r="A177" s="509"/>
      <c r="B177" s="520"/>
      <c r="C177" s="1305" t="s">
        <v>9515</v>
      </c>
      <c r="D177" s="1305"/>
      <c r="E177" s="202"/>
      <c r="F177" s="202"/>
      <c r="G177" s="202"/>
      <c r="H177" s="610"/>
      <c r="I177" s="802"/>
      <c r="J177" s="499" t="str">
        <f>IF(Noty!I177=0,"ukryj","odkryj")</f>
        <v>ukryj</v>
      </c>
      <c r="K177" s="367"/>
      <c r="L177" s="364"/>
      <c r="M177" s="228"/>
      <c r="N177" s="172"/>
    </row>
    <row r="178" spans="1:32" s="257" customFormat="1" x14ac:dyDescent="0.25">
      <c r="A178" s="509"/>
      <c r="B178" s="520"/>
      <c r="C178" s="366" t="s">
        <v>9516</v>
      </c>
      <c r="D178" s="612"/>
      <c r="E178" s="202"/>
      <c r="F178" s="202"/>
      <c r="G178" s="202"/>
      <c r="H178" s="610"/>
      <c r="I178" s="802"/>
      <c r="J178" s="499" t="str">
        <f>IF(Noty!I178=0,"ukryj","odkryj")</f>
        <v>ukryj</v>
      </c>
      <c r="K178" s="806"/>
      <c r="L178" s="806"/>
      <c r="N178" s="172"/>
    </row>
    <row r="179" spans="1:32" s="257" customFormat="1" x14ac:dyDescent="0.25">
      <c r="A179" s="509"/>
      <c r="B179" s="520"/>
      <c r="C179" s="366" t="s">
        <v>9517</v>
      </c>
      <c r="D179" s="612"/>
      <c r="E179" s="202"/>
      <c r="F179" s="202"/>
      <c r="G179" s="202"/>
      <c r="H179" s="610"/>
      <c r="I179" s="802"/>
      <c r="J179" s="499" t="str">
        <f>IF(Noty!I179=0,"ukryj","odkryj")</f>
        <v>ukryj</v>
      </c>
      <c r="K179" s="806"/>
      <c r="L179" s="806"/>
      <c r="N179" s="172"/>
    </row>
    <row r="180" spans="1:32" s="257" customFormat="1" x14ac:dyDescent="0.25">
      <c r="A180" s="509"/>
      <c r="B180" s="520"/>
      <c r="C180" s="809" t="s">
        <v>8161</v>
      </c>
      <c r="D180" s="202"/>
      <c r="E180" s="202"/>
      <c r="F180" s="202"/>
      <c r="G180" s="202"/>
      <c r="H180" s="610"/>
      <c r="I180" s="802"/>
      <c r="J180" s="499" t="str">
        <f>IF(Noty!I180=0,"ukryj","odkryj")</f>
        <v>ukryj</v>
      </c>
      <c r="K180" s="806"/>
      <c r="L180" s="806"/>
      <c r="N180" s="172"/>
    </row>
    <row r="181" spans="1:32" s="257" customFormat="1" x14ac:dyDescent="0.25">
      <c r="A181" s="509"/>
      <c r="B181" s="520"/>
      <c r="C181" s="821" t="str">
        <f>CONCATENATE("B.Z. ",Input!$P$7)</f>
        <v>B.Z. 31.12.2020</v>
      </c>
      <c r="D181" s="202"/>
      <c r="E181" s="202"/>
      <c r="F181" s="202"/>
      <c r="G181" s="202"/>
      <c r="H181" s="610"/>
      <c r="I181" s="803">
        <f>I169+I170+I175</f>
        <v>0</v>
      </c>
      <c r="J181" s="499" t="str">
        <f>IF(Noty!I181=0,"ukryj","odkryj")</f>
        <v>ukryj</v>
      </c>
      <c r="K181" s="806"/>
      <c r="L181" s="806"/>
      <c r="N181" s="172"/>
      <c r="AF181" s="257" t="s">
        <v>9518</v>
      </c>
    </row>
    <row r="182" spans="1:32" s="257" customFormat="1" x14ac:dyDescent="0.25">
      <c r="A182" s="509"/>
      <c r="B182" s="520"/>
      <c r="C182" s="809"/>
      <c r="D182" s="202"/>
      <c r="E182" s="202"/>
      <c r="F182" s="202"/>
      <c r="G182" s="202"/>
      <c r="H182" s="202"/>
      <c r="I182" s="561"/>
      <c r="J182" s="499" t="str">
        <f>Noty!J181</f>
        <v>ukryj</v>
      </c>
      <c r="K182" s="806"/>
      <c r="L182" s="806"/>
      <c r="N182" s="172"/>
    </row>
    <row r="183" spans="1:32" s="257" customFormat="1" x14ac:dyDescent="0.25">
      <c r="A183" s="509"/>
      <c r="B183" s="520"/>
      <c r="C183" s="821" t="s">
        <v>9414</v>
      </c>
      <c r="D183" s="202"/>
      <c r="E183" s="202"/>
      <c r="F183" s="202"/>
      <c r="G183" s="202"/>
      <c r="H183" s="202"/>
      <c r="I183" s="561"/>
      <c r="J183" s="499" t="str">
        <f>IF(COUNT(Noty!I184:'Noty'!I189)-COUNTIF(Noty!I184:'Noty'!I189,0)=0,"ukryj","odkryj")</f>
        <v>ukryj</v>
      </c>
      <c r="K183" s="806"/>
      <c r="L183" s="806"/>
      <c r="N183" s="172"/>
    </row>
    <row r="184" spans="1:32" s="257" customFormat="1" x14ac:dyDescent="0.25">
      <c r="A184" s="509"/>
      <c r="B184" s="520"/>
      <c r="C184" s="821" t="str">
        <f>CONCATENATE("B.O. ",Input!$P$6)</f>
        <v>B.O. 01.01.2020</v>
      </c>
      <c r="D184" s="202"/>
      <c r="E184" s="202"/>
      <c r="F184" s="202"/>
      <c r="G184" s="202"/>
      <c r="H184" s="610"/>
      <c r="I184" s="639"/>
      <c r="J184" s="499" t="str">
        <f>IF(Noty!I184=0,"ukryj","odkryj")</f>
        <v>ukryj</v>
      </c>
      <c r="K184" s="806"/>
      <c r="L184" s="806"/>
      <c r="N184" s="172"/>
      <c r="AF184" s="257" t="s">
        <v>9519</v>
      </c>
    </row>
    <row r="185" spans="1:32" s="257" customFormat="1" x14ac:dyDescent="0.25">
      <c r="A185" s="509"/>
      <c r="B185" s="520"/>
      <c r="C185" s="821" t="s">
        <v>9406</v>
      </c>
      <c r="D185" s="202"/>
      <c r="E185" s="202"/>
      <c r="F185" s="202"/>
      <c r="G185" s="202"/>
      <c r="H185" s="610"/>
      <c r="I185" s="802"/>
      <c r="J185" s="499" t="str">
        <f>IF(Noty!I185=0,"ukryj","odkryj")</f>
        <v>ukryj</v>
      </c>
      <c r="K185" s="806"/>
      <c r="L185" s="806"/>
      <c r="N185" s="172"/>
    </row>
    <row r="186" spans="1:32" s="257" customFormat="1" x14ac:dyDescent="0.25">
      <c r="A186" s="509"/>
      <c r="B186" s="520"/>
      <c r="C186" s="821" t="s">
        <v>9408</v>
      </c>
      <c r="D186" s="202"/>
      <c r="E186" s="202"/>
      <c r="F186" s="202"/>
      <c r="G186" s="202"/>
      <c r="H186" s="610"/>
      <c r="I186" s="800">
        <f>I187+I188</f>
        <v>0</v>
      </c>
      <c r="J186" s="499" t="str">
        <f>IF(Noty!I186=0,"ukryj","odkryj")</f>
        <v>ukryj</v>
      </c>
      <c r="K186" s="806"/>
      <c r="L186" s="806"/>
      <c r="N186" s="172"/>
    </row>
    <row r="187" spans="1:32" s="257" customFormat="1" x14ac:dyDescent="0.25">
      <c r="A187" s="509"/>
      <c r="B187" s="520"/>
      <c r="C187" s="181" t="s">
        <v>9420</v>
      </c>
      <c r="D187" s="202"/>
      <c r="E187" s="202"/>
      <c r="F187" s="202"/>
      <c r="G187" s="202"/>
      <c r="H187" s="610"/>
      <c r="I187" s="802"/>
      <c r="J187" s="499" t="str">
        <f>IF(Noty!I187=0,"ukryj","odkryj")</f>
        <v>ukryj</v>
      </c>
      <c r="K187" s="806"/>
      <c r="L187" s="806"/>
      <c r="N187" s="172"/>
    </row>
    <row r="188" spans="1:32" s="257" customFormat="1" x14ac:dyDescent="0.25">
      <c r="A188" s="509"/>
      <c r="B188" s="520"/>
      <c r="C188" s="181" t="s">
        <v>9421</v>
      </c>
      <c r="D188" s="202"/>
      <c r="E188" s="202"/>
      <c r="F188" s="202"/>
      <c r="G188" s="202"/>
      <c r="H188" s="610"/>
      <c r="I188" s="802"/>
      <c r="J188" s="499" t="str">
        <f>IF(Noty!I188=0,"ukryj","odkryj")</f>
        <v>ukryj</v>
      </c>
      <c r="K188" s="806"/>
      <c r="L188" s="806"/>
      <c r="N188" s="172"/>
    </row>
    <row r="189" spans="1:32" s="257" customFormat="1" x14ac:dyDescent="0.25">
      <c r="A189" s="509"/>
      <c r="B189" s="520"/>
      <c r="C189" s="821" t="str">
        <f>CONCATENATE("B.Z. ",Input!$P$7)</f>
        <v>B.Z. 31.12.2020</v>
      </c>
      <c r="D189" s="202"/>
      <c r="E189" s="202"/>
      <c r="F189" s="202"/>
      <c r="G189" s="202"/>
      <c r="H189" s="610"/>
      <c r="I189" s="803">
        <f>SUM(I184:I186)</f>
        <v>0</v>
      </c>
      <c r="J189" s="499" t="str">
        <f>IF(Noty!I189=0,"ukryj","odkryj")</f>
        <v>ukryj</v>
      </c>
      <c r="K189" s="806"/>
      <c r="L189" s="806"/>
      <c r="N189" s="172"/>
      <c r="AF189" s="257" t="s">
        <v>9520</v>
      </c>
    </row>
    <row r="190" spans="1:32" s="257" customFormat="1" x14ac:dyDescent="0.25">
      <c r="A190" s="509"/>
      <c r="B190" s="520"/>
      <c r="C190" s="809"/>
      <c r="D190" s="202"/>
      <c r="E190" s="202"/>
      <c r="F190" s="202"/>
      <c r="G190" s="202"/>
      <c r="H190" s="202"/>
      <c r="I190" s="561"/>
      <c r="J190" s="499" t="str">
        <f>Noty!J189</f>
        <v>ukryj</v>
      </c>
      <c r="K190" s="806"/>
      <c r="L190" s="806"/>
      <c r="N190" s="172"/>
    </row>
    <row r="191" spans="1:32" s="257" customFormat="1" x14ac:dyDescent="0.25">
      <c r="A191" s="509"/>
      <c r="B191" s="520"/>
      <c r="C191" s="244" t="s">
        <v>9427</v>
      </c>
      <c r="D191" s="202"/>
      <c r="E191" s="202"/>
      <c r="F191" s="202"/>
      <c r="G191" s="202"/>
      <c r="H191" s="202"/>
      <c r="I191" s="561"/>
      <c r="J191" s="499" t="str">
        <f>IF(COUNT(Noty!I192:'Noty'!I193)-COUNTIF(Noty!I192:'Noty'!I193,0)=0,"ukryj","odkryj")</f>
        <v>ukryj</v>
      </c>
      <c r="K191" s="806"/>
      <c r="L191" s="806"/>
      <c r="N191" s="172"/>
    </row>
    <row r="192" spans="1:32" s="257" customFormat="1" x14ac:dyDescent="0.25">
      <c r="A192" s="509"/>
      <c r="B192" s="520"/>
      <c r="C192" s="821" t="str">
        <f>CONCATENATE("B.O. ",Input!$P$6)</f>
        <v>B.O. 01.01.2020</v>
      </c>
      <c r="D192" s="202"/>
      <c r="E192" s="202"/>
      <c r="F192" s="202"/>
      <c r="G192" s="202"/>
      <c r="H192" s="610"/>
      <c r="I192" s="803">
        <f>I169+I184</f>
        <v>0</v>
      </c>
      <c r="J192" s="499" t="str">
        <f>IF(Noty!I192=0,"ukryj","odkryj")</f>
        <v>ukryj</v>
      </c>
      <c r="K192" s="806"/>
      <c r="L192" s="806"/>
      <c r="N192" s="172"/>
    </row>
    <row r="193" spans="1:15" s="257" customFormat="1" x14ac:dyDescent="0.25">
      <c r="A193" s="509"/>
      <c r="B193" s="520"/>
      <c r="C193" s="821" t="str">
        <f>CONCATENATE("B.Z. ",Input!$P$7)</f>
        <v>B.Z. 31.12.2020</v>
      </c>
      <c r="D193" s="202"/>
      <c r="E193" s="202"/>
      <c r="F193" s="202"/>
      <c r="G193" s="202"/>
      <c r="H193" s="610"/>
      <c r="I193" s="803">
        <f>I181+I189</f>
        <v>0</v>
      </c>
      <c r="J193" s="499" t="str">
        <f>IF(Noty!I193=0,"ukryj","odkryj")</f>
        <v>ukryj</v>
      </c>
      <c r="K193" s="806"/>
      <c r="L193" s="806"/>
      <c r="N193" s="172"/>
    </row>
    <row r="194" spans="1:15" s="257" customFormat="1" ht="13.75" thickBot="1" x14ac:dyDescent="0.3">
      <c r="A194" s="509"/>
      <c r="B194" s="520"/>
      <c r="C194" s="810"/>
      <c r="D194" s="202"/>
      <c r="E194" s="184"/>
      <c r="F194" s="202"/>
      <c r="G194" s="202"/>
      <c r="H194" s="202"/>
      <c r="I194" s="202"/>
      <c r="J194" s="499" t="str">
        <f>Noty!J193</f>
        <v>ukryj</v>
      </c>
      <c r="K194" s="806"/>
      <c r="L194" s="492"/>
      <c r="N194" s="172"/>
    </row>
    <row r="195" spans="1:15" s="257" customFormat="1" ht="15.75" thickBot="1" x14ac:dyDescent="0.35">
      <c r="A195" s="1180">
        <f>+IF(K195="n/a",A166,A166+1)</f>
        <v>0</v>
      </c>
      <c r="B195" s="1182"/>
      <c r="C195" s="1280" t="s">
        <v>8010</v>
      </c>
      <c r="D195" s="1280"/>
      <c r="E195" s="1280"/>
      <c r="F195" s="1280"/>
      <c r="G195" s="1280"/>
      <c r="H195" s="1280"/>
      <c r="I195" s="1280"/>
      <c r="J195" s="499" t="str">
        <f>IF(Noty!K195="n/a","ukryj","odkryj")</f>
        <v>ukryj</v>
      </c>
      <c r="K195" s="1213" t="str">
        <f>IF(AND(K197="n/a",K205="n/a",K218="n/a"),"n/a","")</f>
        <v>n/a</v>
      </c>
      <c r="L195" s="492" t="str">
        <f>A195&amp;"."&amp;B195</f>
        <v>0.</v>
      </c>
      <c r="N195" s="1101" t="s">
        <v>9378</v>
      </c>
      <c r="O195" s="489" t="str">
        <f>A195&amp;"."&amp;B195</f>
        <v>0.</v>
      </c>
    </row>
    <row r="196" spans="1:15" s="257" customFormat="1" ht="13.75" thickBot="1" x14ac:dyDescent="0.3">
      <c r="A196" s="511"/>
      <c r="B196" s="520"/>
      <c r="D196" s="609"/>
      <c r="E196" s="609"/>
      <c r="F196" s="609"/>
      <c r="G196" s="609"/>
      <c r="H196" s="609"/>
      <c r="I196" s="609"/>
      <c r="J196" s="499" t="str">
        <f>Noty!J195</f>
        <v>ukryj</v>
      </c>
      <c r="K196" s="806"/>
      <c r="L196" s="806"/>
      <c r="N196" s="172"/>
    </row>
    <row r="197" spans="1:15" s="257" customFormat="1" ht="15.75" thickBot="1" x14ac:dyDescent="0.35">
      <c r="A197" s="1183">
        <f>A195</f>
        <v>0</v>
      </c>
      <c r="B197" s="1184">
        <f>IF(K197="n/a",0,1)</f>
        <v>0</v>
      </c>
      <c r="C197" s="1235" t="s">
        <v>9521</v>
      </c>
      <c r="D197" s="1235"/>
      <c r="E197" s="1235"/>
      <c r="F197" s="1235"/>
      <c r="G197" s="1235"/>
      <c r="H197" s="1235"/>
      <c r="I197" s="1235"/>
      <c r="J197" s="499" t="str">
        <f>IF(Noty!K197="n/a","ukryj","odkryj")</f>
        <v>ukryj</v>
      </c>
      <c r="K197" s="1213" t="str">
        <f>IF(Input!D96="nie","n/a","")</f>
        <v>n/a</v>
      </c>
      <c r="L197" s="971" t="str">
        <f>A197&amp;"."&amp;B197</f>
        <v>0.0</v>
      </c>
      <c r="N197" s="1101" t="s">
        <v>9378</v>
      </c>
      <c r="O197" s="489" t="str">
        <f>A197&amp;"."&amp;B197</f>
        <v>0.0</v>
      </c>
    </row>
    <row r="198" spans="1:15" s="257" customFormat="1" ht="50.4" x14ac:dyDescent="0.25">
      <c r="A198" s="509"/>
      <c r="B198" s="520"/>
      <c r="D198" s="202"/>
      <c r="E198" s="202"/>
      <c r="F198" s="202"/>
      <c r="G198" s="801" t="s">
        <v>9380</v>
      </c>
      <c r="H198" s="801" t="s">
        <v>9522</v>
      </c>
      <c r="I198" s="801" t="s">
        <v>9427</v>
      </c>
      <c r="J198" s="499" t="str">
        <f>Noty!J197</f>
        <v>ukryj</v>
      </c>
      <c r="K198" s="806"/>
      <c r="L198" s="806"/>
      <c r="N198" s="172"/>
    </row>
    <row r="199" spans="1:15" s="257" customFormat="1" x14ac:dyDescent="0.25">
      <c r="A199" s="509"/>
      <c r="B199" s="520"/>
      <c r="D199" s="202"/>
      <c r="E199" s="202"/>
      <c r="F199" s="202"/>
      <c r="G199" s="609"/>
      <c r="H199" s="609"/>
      <c r="I199" s="609"/>
      <c r="J199" s="499" t="str">
        <f>Noty!J198</f>
        <v>ukryj</v>
      </c>
      <c r="K199" s="806"/>
      <c r="L199" s="806"/>
      <c r="N199" s="172"/>
    </row>
    <row r="200" spans="1:15" s="257" customFormat="1" x14ac:dyDescent="0.25">
      <c r="A200" s="509"/>
      <c r="B200" s="520"/>
      <c r="C200" s="202" t="s">
        <v>8014</v>
      </c>
      <c r="D200" s="202"/>
      <c r="E200" s="202"/>
      <c r="F200" s="202"/>
      <c r="G200" s="639"/>
      <c r="H200" s="800">
        <f>D213</f>
        <v>0</v>
      </c>
      <c r="I200" s="800">
        <f>SUM(G200:H200)</f>
        <v>0</v>
      </c>
      <c r="J200" s="499" t="str">
        <f>IF(Noty!I200=0,"ukryj","odkryj")</f>
        <v>ukryj</v>
      </c>
      <c r="K200" s="806"/>
      <c r="L200" s="806"/>
      <c r="N200" s="172"/>
    </row>
    <row r="201" spans="1:15" s="257" customFormat="1" x14ac:dyDescent="0.25">
      <c r="A201" s="509"/>
      <c r="B201" s="520"/>
      <c r="C201" s="1308" t="s">
        <v>8019</v>
      </c>
      <c r="D201" s="1308"/>
      <c r="E201" s="1308"/>
      <c r="F201" s="1308"/>
      <c r="G201" s="639"/>
      <c r="H201" s="800">
        <f>F213</f>
        <v>0</v>
      </c>
      <c r="I201" s="800">
        <f>SUM(G201:H201)</f>
        <v>0</v>
      </c>
      <c r="J201" s="499" t="str">
        <f>IF(Noty!I201=0,"ukryj","odkryj")</f>
        <v>ukryj</v>
      </c>
      <c r="K201" s="806"/>
      <c r="L201" s="806"/>
      <c r="N201" s="172"/>
    </row>
    <row r="202" spans="1:15" s="257" customFormat="1" x14ac:dyDescent="0.25">
      <c r="A202" s="509"/>
      <c r="B202" s="520"/>
      <c r="C202" s="202" t="s">
        <v>8023</v>
      </c>
      <c r="D202" s="202"/>
      <c r="E202" s="202"/>
      <c r="F202" s="202"/>
      <c r="G202" s="639"/>
      <c r="H202" s="800">
        <f>H213</f>
        <v>0</v>
      </c>
      <c r="I202" s="800">
        <f>SUM(G202:H202)</f>
        <v>0</v>
      </c>
      <c r="J202" s="499" t="str">
        <f>IF(Noty!I202=0,"ukryj","odkryj")</f>
        <v>ukryj</v>
      </c>
      <c r="K202" s="806"/>
      <c r="L202" s="806"/>
      <c r="N202" s="172"/>
    </row>
    <row r="203" spans="1:15" s="257" customFormat="1" x14ac:dyDescent="0.25">
      <c r="A203" s="509"/>
      <c r="B203" s="520"/>
      <c r="C203" s="841"/>
      <c r="D203" s="202"/>
      <c r="E203" s="202"/>
      <c r="F203" s="202"/>
      <c r="G203" s="803">
        <f>SUM(G200:G202)</f>
        <v>0</v>
      </c>
      <c r="H203" s="803">
        <f>SUM(H200:H202)</f>
        <v>0</v>
      </c>
      <c r="I203" s="803">
        <f>SUM(I200:I202)</f>
        <v>0</v>
      </c>
      <c r="J203" s="499" t="str">
        <f>IF(Noty!I203=0,"ukryj","odkryj")</f>
        <v>ukryj</v>
      </c>
      <c r="K203" s="806"/>
      <c r="L203" s="806"/>
      <c r="N203" s="172"/>
    </row>
    <row r="204" spans="1:15" s="257" customFormat="1" ht="13.75" thickBot="1" x14ac:dyDescent="0.3">
      <c r="A204" s="509"/>
      <c r="B204" s="520"/>
      <c r="C204" s="841"/>
      <c r="D204" s="202"/>
      <c r="E204" s="202"/>
      <c r="F204" s="377"/>
      <c r="G204" s="613"/>
      <c r="H204" s="613"/>
      <c r="I204" s="613"/>
      <c r="J204" s="499" t="str">
        <f>Noty!J203</f>
        <v>ukryj</v>
      </c>
      <c r="K204" s="806"/>
      <c r="L204" s="970"/>
      <c r="N204" s="172"/>
    </row>
    <row r="205" spans="1:15" s="257" customFormat="1" ht="15.75" thickBot="1" x14ac:dyDescent="0.35">
      <c r="A205" s="1183">
        <f>A195</f>
        <v>0</v>
      </c>
      <c r="B205" s="1184">
        <f>IF(K205="n/a",B197,B197+1)</f>
        <v>0</v>
      </c>
      <c r="C205" s="1235" t="s">
        <v>9523</v>
      </c>
      <c r="D205" s="1235"/>
      <c r="E205" s="1235"/>
      <c r="F205" s="1235"/>
      <c r="G205" s="1235"/>
      <c r="H205" s="1235"/>
      <c r="I205" s="1235"/>
      <c r="J205" s="499" t="str">
        <f>IF(Noty!K205="n/a","ukryj","odkryj")</f>
        <v>ukryj</v>
      </c>
      <c r="K205" s="1213" t="str">
        <f>IF(Input!D97="nie","n/a","")</f>
        <v>n/a</v>
      </c>
      <c r="L205" s="971" t="str">
        <f>A205&amp;"."&amp;B205</f>
        <v>0.0</v>
      </c>
      <c r="N205" s="1101" t="s">
        <v>9378</v>
      </c>
      <c r="O205" s="489" t="str">
        <f>A205&amp;"."&amp;B205</f>
        <v>0.0</v>
      </c>
    </row>
    <row r="206" spans="1:15" s="257" customFormat="1" x14ac:dyDescent="0.25">
      <c r="A206" s="509"/>
      <c r="B206" s="520"/>
      <c r="C206" s="175"/>
      <c r="D206" s="183"/>
      <c r="E206" s="192"/>
      <c r="F206" s="192"/>
      <c r="G206" s="191"/>
      <c r="H206" s="191"/>
      <c r="I206" s="446"/>
      <c r="J206" s="499" t="str">
        <f>Noty!J205</f>
        <v>ukryj</v>
      </c>
      <c r="K206" s="806"/>
      <c r="L206" s="806"/>
      <c r="N206" s="172"/>
    </row>
    <row r="207" spans="1:15" s="257" customFormat="1" ht="66.8" customHeight="1" x14ac:dyDescent="0.25">
      <c r="A207" s="509"/>
      <c r="B207" s="520"/>
      <c r="C207" s="175"/>
      <c r="D207" s="1310" t="s">
        <v>9524</v>
      </c>
      <c r="E207" s="1310"/>
      <c r="F207" s="1310" t="s">
        <v>9525</v>
      </c>
      <c r="G207" s="1310"/>
      <c r="H207" s="1310" t="s">
        <v>9526</v>
      </c>
      <c r="I207" s="1310"/>
      <c r="J207" s="499" t="str">
        <f>Noty!J206</f>
        <v>ukryj</v>
      </c>
      <c r="K207" s="806"/>
      <c r="L207" s="806"/>
      <c r="N207" s="172"/>
    </row>
    <row r="208" spans="1:15" s="257" customFormat="1" x14ac:dyDescent="0.25">
      <c r="A208" s="509"/>
      <c r="B208" s="520"/>
      <c r="D208" s="183"/>
      <c r="E208" s="192"/>
      <c r="F208" s="446"/>
      <c r="G208" s="192"/>
      <c r="H208" s="192"/>
      <c r="I208" s="446"/>
      <c r="J208" s="499" t="str">
        <f>Noty!J207</f>
        <v>ukryj</v>
      </c>
      <c r="K208" s="806"/>
      <c r="L208" s="806"/>
      <c r="N208" s="172"/>
    </row>
    <row r="209" spans="1:31" s="257" customFormat="1" x14ac:dyDescent="0.25">
      <c r="A209" s="509"/>
      <c r="B209" s="520"/>
      <c r="C209" s="821" t="str">
        <f>CONCATENATE("B.O. ",Input!$P$6)</f>
        <v>B.O. 01.01.2020</v>
      </c>
      <c r="D209" s="1309"/>
      <c r="E209" s="1309"/>
      <c r="F209" s="1309"/>
      <c r="G209" s="1309"/>
      <c r="H209" s="1309"/>
      <c r="I209" s="1309"/>
      <c r="J209" s="499" t="str">
        <f>IF(AND(Noty!D209=0,Noty!F209=0,Noty!H209=0),"ukryj","odkryj")</f>
        <v>ukryj</v>
      </c>
      <c r="K209" s="806"/>
      <c r="L209" s="806"/>
      <c r="N209" s="172"/>
      <c r="AA209" s="257" t="s">
        <v>8017</v>
      </c>
      <c r="AC209" s="257" t="s">
        <v>8022</v>
      </c>
      <c r="AE209" s="257" t="s">
        <v>8026</v>
      </c>
    </row>
    <row r="210" spans="1:31" s="257" customFormat="1" x14ac:dyDescent="0.25">
      <c r="A210" s="509"/>
      <c r="B210" s="520"/>
      <c r="C210" s="822" t="s">
        <v>9406</v>
      </c>
      <c r="D210" s="1309"/>
      <c r="E210" s="1309"/>
      <c r="F210" s="1309"/>
      <c r="G210" s="1309"/>
      <c r="H210" s="1309"/>
      <c r="I210" s="1309"/>
      <c r="J210" s="499" t="str">
        <f>IF(AND(Noty!D210=0,Noty!F210=0,Noty!H210=0),"ukryj","odkryj")</f>
        <v>ukryj</v>
      </c>
      <c r="K210" s="806"/>
      <c r="L210" s="806"/>
      <c r="N210" s="172"/>
    </row>
    <row r="211" spans="1:31" s="257" customFormat="1" x14ac:dyDescent="0.25">
      <c r="A211" s="509"/>
      <c r="B211" s="520"/>
      <c r="C211" s="822" t="s">
        <v>9527</v>
      </c>
      <c r="D211" s="1309"/>
      <c r="E211" s="1309"/>
      <c r="F211" s="1309"/>
      <c r="G211" s="1309"/>
      <c r="H211" s="1309"/>
      <c r="I211" s="1309"/>
      <c r="J211" s="499" t="str">
        <f>IF(AND(Noty!D211=0,Noty!F211=0,Noty!H211=0),"ukryj","odkryj")</f>
        <v>ukryj</v>
      </c>
      <c r="K211" s="806"/>
      <c r="L211" s="806"/>
      <c r="N211" s="172"/>
    </row>
    <row r="212" spans="1:31" s="257" customFormat="1" x14ac:dyDescent="0.25">
      <c r="A212" s="509"/>
      <c r="B212" s="520"/>
      <c r="C212" s="822" t="s">
        <v>9528</v>
      </c>
      <c r="D212" s="1312"/>
      <c r="E212" s="1312"/>
      <c r="F212" s="1312"/>
      <c r="G212" s="1312"/>
      <c r="H212" s="1312"/>
      <c r="I212" s="1312"/>
      <c r="J212" s="499" t="str">
        <f>IF(AND(Noty!D212=0,Noty!F212=0,Noty!H212=0),"ukryj","odkryj")</f>
        <v>ukryj</v>
      </c>
      <c r="K212" s="806"/>
      <c r="L212" s="806"/>
      <c r="N212" s="172"/>
    </row>
    <row r="213" spans="1:31" s="257" customFormat="1" x14ac:dyDescent="0.25">
      <c r="A213" s="509"/>
      <c r="B213" s="520"/>
      <c r="C213" s="821" t="str">
        <f>CONCATENATE("B.Z. ",Input!$P$7)</f>
        <v>B.Z. 31.12.2020</v>
      </c>
      <c r="D213" s="1300">
        <f>SUM(D209:E212)</f>
        <v>0</v>
      </c>
      <c r="E213" s="1300"/>
      <c r="F213" s="1300">
        <f>SUM(F209:G212)</f>
        <v>0</v>
      </c>
      <c r="G213" s="1300"/>
      <c r="H213" s="1300">
        <f>SUM(H209:I212)</f>
        <v>0</v>
      </c>
      <c r="I213" s="1300"/>
      <c r="J213" s="499" t="str">
        <f>IF(AND(Noty!D213=0,Noty!F213=0,Noty!H213=0),"ukryj","odkryj")</f>
        <v>ukryj</v>
      </c>
      <c r="K213" s="806"/>
      <c r="L213" s="806"/>
      <c r="N213" s="172"/>
      <c r="AA213" s="257" t="s">
        <v>8016</v>
      </c>
      <c r="AC213" s="257" t="s">
        <v>8021</v>
      </c>
      <c r="AE213" s="257" t="s">
        <v>8025</v>
      </c>
    </row>
    <row r="214" spans="1:31" s="257" customFormat="1" x14ac:dyDescent="0.25">
      <c r="A214" s="509"/>
      <c r="B214" s="520"/>
      <c r="C214" s="821"/>
      <c r="D214" s="614"/>
      <c r="E214" s="614"/>
      <c r="F214" s="614"/>
      <c r="G214" s="614"/>
      <c r="H214" s="614"/>
      <c r="I214" s="614"/>
      <c r="J214" s="499" t="str">
        <f>Noty!J213</f>
        <v>ukryj</v>
      </c>
      <c r="K214" s="806"/>
      <c r="L214" s="806"/>
      <c r="N214" s="172"/>
    </row>
    <row r="215" spans="1:31" s="257" customFormat="1" x14ac:dyDescent="0.25">
      <c r="A215" s="509"/>
      <c r="B215" s="520"/>
      <c r="C215" s="368" t="s">
        <v>7724</v>
      </c>
      <c r="D215" s="615"/>
      <c r="E215" s="615"/>
      <c r="F215" s="615"/>
      <c r="G215" s="615"/>
      <c r="H215" s="615"/>
      <c r="I215" s="615"/>
      <c r="J215" s="499" t="s">
        <v>5125</v>
      </c>
      <c r="K215" s="806"/>
      <c r="L215" s="806"/>
      <c r="N215" s="172"/>
    </row>
    <row r="216" spans="1:31" s="257" customFormat="1" ht="28.5" customHeight="1" x14ac:dyDescent="0.25">
      <c r="A216" s="509"/>
      <c r="B216" s="520"/>
      <c r="C216" s="1307" t="s">
        <v>9529</v>
      </c>
      <c r="D216" s="1307"/>
      <c r="E216" s="1307"/>
      <c r="F216" s="1307"/>
      <c r="G216" s="1307"/>
      <c r="H216" s="1307"/>
      <c r="I216" s="1307"/>
      <c r="J216" s="499" t="str">
        <f>Noty!J215</f>
        <v>ukryj</v>
      </c>
      <c r="K216" s="806"/>
      <c r="L216" s="806"/>
      <c r="N216" s="172"/>
    </row>
    <row r="217" spans="1:31" s="257" customFormat="1" ht="13.75" thickBot="1" x14ac:dyDescent="0.3">
      <c r="A217" s="509"/>
      <c r="B217" s="520"/>
      <c r="C217" s="369"/>
      <c r="D217" s="831"/>
      <c r="E217" s="831"/>
      <c r="F217" s="831"/>
      <c r="G217" s="831"/>
      <c r="H217" s="831"/>
      <c r="I217" s="831"/>
      <c r="J217" s="499" t="str">
        <f>Noty!J216</f>
        <v>ukryj</v>
      </c>
      <c r="K217" s="806"/>
      <c r="L217" s="970"/>
      <c r="N217" s="172"/>
    </row>
    <row r="218" spans="1:31" s="257" customFormat="1" ht="15.75" thickBot="1" x14ac:dyDescent="0.35">
      <c r="A218" s="1183">
        <f>A195</f>
        <v>0</v>
      </c>
      <c r="B218" s="1184">
        <f>IF(K218="n/a",B205,B205+1)</f>
        <v>0</v>
      </c>
      <c r="C218" s="1313" t="s">
        <v>9530</v>
      </c>
      <c r="D218" s="1313"/>
      <c r="E218" s="1313"/>
      <c r="F218" s="1313"/>
      <c r="G218" s="1313"/>
      <c r="H218" s="1313"/>
      <c r="I218" s="1313"/>
      <c r="J218" s="499" t="str">
        <f>IF(Noty!K218="n/a","ukryj","odkryj")</f>
        <v>ukryj</v>
      </c>
      <c r="K218" s="1213" t="str">
        <f>IF(Input!D98="nie","n/a","")</f>
        <v>n/a</v>
      </c>
      <c r="L218" s="200" t="str">
        <f>A218&amp;"."&amp;B218</f>
        <v>0.0</v>
      </c>
      <c r="N218" s="1101" t="s">
        <v>9378</v>
      </c>
      <c r="O218" s="489" t="str">
        <f>A218&amp;"."&amp;B218</f>
        <v>0.0</v>
      </c>
    </row>
    <row r="219" spans="1:31" s="257" customFormat="1" x14ac:dyDescent="0.25">
      <c r="A219" s="509"/>
      <c r="B219" s="520"/>
      <c r="C219" s="1311" t="s">
        <v>9531</v>
      </c>
      <c r="D219" s="1311"/>
      <c r="E219" s="1311"/>
      <c r="F219" s="801" t="s">
        <v>9380</v>
      </c>
      <c r="G219" s="1297" t="s">
        <v>9522</v>
      </c>
      <c r="H219" s="1297"/>
      <c r="I219" s="801" t="s">
        <v>9427</v>
      </c>
      <c r="J219" s="499" t="str">
        <f>Noty!J218</f>
        <v>ukryj</v>
      </c>
      <c r="K219" s="806"/>
      <c r="L219" s="806"/>
      <c r="N219" s="172"/>
    </row>
    <row r="220" spans="1:31" s="257" customFormat="1" x14ac:dyDescent="0.25">
      <c r="A220" s="509"/>
      <c r="B220" s="520"/>
      <c r="D220" s="202"/>
      <c r="E220" s="202"/>
      <c r="F220" s="609"/>
      <c r="G220" s="609"/>
      <c r="H220" s="609"/>
      <c r="I220" s="609"/>
      <c r="J220" s="499" t="str">
        <f>Noty!J219</f>
        <v>ukryj</v>
      </c>
      <c r="K220" s="806"/>
      <c r="L220" s="806"/>
      <c r="N220" s="172"/>
    </row>
    <row r="221" spans="1:31" s="257" customFormat="1" x14ac:dyDescent="0.25">
      <c r="A221" s="509"/>
      <c r="B221" s="520"/>
      <c r="C221" s="1314" t="s">
        <v>8014</v>
      </c>
      <c r="D221" s="1314"/>
      <c r="E221" s="202"/>
      <c r="F221" s="639"/>
      <c r="G221" s="1298"/>
      <c r="H221" s="1298"/>
      <c r="I221" s="800">
        <f>SUM(F221:G221)</f>
        <v>0</v>
      </c>
      <c r="J221" s="499" t="str">
        <f>IF(Noty!F221=0,"ukryj","odkryj")</f>
        <v>ukryj</v>
      </c>
      <c r="K221" s="806"/>
      <c r="L221" s="806"/>
      <c r="N221" s="172"/>
    </row>
    <row r="222" spans="1:31" s="257" customFormat="1" x14ac:dyDescent="0.25">
      <c r="A222" s="509"/>
      <c r="B222" s="520"/>
      <c r="C222" s="1303" t="s">
        <v>8019</v>
      </c>
      <c r="D222" s="1303"/>
      <c r="E222" s="1303"/>
      <c r="F222" s="639"/>
      <c r="G222" s="1298"/>
      <c r="H222" s="1298"/>
      <c r="I222" s="800">
        <f>SUM(F222:G222)</f>
        <v>0</v>
      </c>
      <c r="J222" s="499" t="str">
        <f>IF(Noty!F222=0,"ukryj","odkryj")</f>
        <v>ukryj</v>
      </c>
      <c r="K222" s="806"/>
      <c r="L222" s="806"/>
      <c r="N222" s="172"/>
    </row>
    <row r="223" spans="1:31" s="257" customFormat="1" x14ac:dyDescent="0.25">
      <c r="A223" s="509"/>
      <c r="B223" s="520"/>
      <c r="C223" s="1314" t="s">
        <v>8023</v>
      </c>
      <c r="D223" s="1314"/>
      <c r="E223" s="202"/>
      <c r="F223" s="639"/>
      <c r="G223" s="1301"/>
      <c r="H223" s="1301"/>
      <c r="I223" s="800">
        <f>SUM(F223:G223)</f>
        <v>0</v>
      </c>
      <c r="J223" s="499" t="str">
        <f>IF(Noty!F223=0,"ukryj","odkryj")</f>
        <v>ukryj</v>
      </c>
      <c r="K223" s="806"/>
      <c r="L223" s="806"/>
      <c r="N223" s="172"/>
    </row>
    <row r="224" spans="1:31" s="257" customFormat="1" x14ac:dyDescent="0.25">
      <c r="A224" s="509"/>
      <c r="B224" s="520"/>
      <c r="C224" s="370"/>
      <c r="D224" s="202"/>
      <c r="E224" s="202"/>
      <c r="F224" s="803">
        <f>SUM(F221:F223)</f>
        <v>0</v>
      </c>
      <c r="G224" s="1300">
        <f>SUM(G221:G223)</f>
        <v>0</v>
      </c>
      <c r="H224" s="1300"/>
      <c r="I224" s="803">
        <f>SUM(I221:I223)</f>
        <v>0</v>
      </c>
      <c r="J224" s="499" t="str">
        <f>IF(Noty!F224=0,"ukryj","odkryj")</f>
        <v>ukryj</v>
      </c>
      <c r="K224" s="806"/>
      <c r="L224" s="806"/>
      <c r="N224" s="172"/>
    </row>
    <row r="225" spans="1:32" s="257" customFormat="1" x14ac:dyDescent="0.25">
      <c r="A225" s="509"/>
      <c r="B225" s="520"/>
      <c r="C225" s="370"/>
      <c r="D225" s="202"/>
      <c r="E225" s="202"/>
      <c r="F225" s="377"/>
      <c r="G225" s="613"/>
      <c r="H225" s="613"/>
      <c r="I225" s="613"/>
      <c r="J225" s="499" t="str">
        <f>Noty!J224</f>
        <v>ukryj</v>
      </c>
      <c r="K225" s="806"/>
      <c r="L225" s="806"/>
      <c r="N225" s="172"/>
    </row>
    <row r="226" spans="1:32" s="257" customFormat="1" x14ac:dyDescent="0.25">
      <c r="A226" s="509"/>
      <c r="B226" s="520"/>
      <c r="C226" s="534" t="s">
        <v>9532</v>
      </c>
      <c r="D226" s="202"/>
      <c r="E226" s="202"/>
      <c r="F226" s="377"/>
      <c r="G226" s="613"/>
      <c r="H226" s="613"/>
      <c r="I226" s="613"/>
      <c r="J226" s="499" t="str">
        <f>Noty!J225</f>
        <v>ukryj</v>
      </c>
      <c r="K226" s="806"/>
      <c r="L226" s="806"/>
      <c r="N226" s="172"/>
    </row>
    <row r="227" spans="1:32" s="257" customFormat="1" x14ac:dyDescent="0.25">
      <c r="A227" s="509"/>
      <c r="B227" s="520"/>
      <c r="C227" s="1314" t="s">
        <v>8014</v>
      </c>
      <c r="D227" s="1314"/>
      <c r="E227" s="616"/>
      <c r="F227" s="639"/>
      <c r="G227" s="1298"/>
      <c r="H227" s="1298"/>
      <c r="I227" s="800">
        <f>SUM(F227:G227)</f>
        <v>0</v>
      </c>
      <c r="J227" s="499" t="str">
        <f>IF(Noty!F227=0,"ukryj","odkryj")</f>
        <v>ukryj</v>
      </c>
      <c r="K227" s="806"/>
      <c r="L227" s="806"/>
      <c r="N227" s="172"/>
    </row>
    <row r="228" spans="1:32" s="257" customFormat="1" x14ac:dyDescent="0.25">
      <c r="A228" s="509"/>
      <c r="B228" s="520"/>
      <c r="C228" s="1303" t="s">
        <v>8019</v>
      </c>
      <c r="D228" s="1303"/>
      <c r="E228" s="1303"/>
      <c r="F228" s="639"/>
      <c r="G228" s="1298"/>
      <c r="H228" s="1298"/>
      <c r="I228" s="800">
        <f>SUM(F228:G228)</f>
        <v>0</v>
      </c>
      <c r="J228" s="499" t="str">
        <f>IF(Noty!F228=0,"ukryj","odkryj")</f>
        <v>ukryj</v>
      </c>
      <c r="K228" s="806"/>
      <c r="L228" s="806"/>
      <c r="N228" s="172"/>
    </row>
    <row r="229" spans="1:32" s="257" customFormat="1" x14ac:dyDescent="0.25">
      <c r="A229" s="509"/>
      <c r="B229" s="520"/>
      <c r="C229" s="1314" t="s">
        <v>8023</v>
      </c>
      <c r="D229" s="1314"/>
      <c r="E229" s="616"/>
      <c r="F229" s="804"/>
      <c r="G229" s="1301"/>
      <c r="H229" s="1301"/>
      <c r="I229" s="800">
        <f>SUM(F229:G229)</f>
        <v>0</v>
      </c>
      <c r="J229" s="499" t="str">
        <f>IF(Noty!F229=0,"ukryj","odkryj")</f>
        <v>ukryj</v>
      </c>
      <c r="K229" s="806"/>
      <c r="L229" s="806"/>
      <c r="N229" s="172"/>
    </row>
    <row r="230" spans="1:32" s="257" customFormat="1" x14ac:dyDescent="0.25">
      <c r="A230" s="509"/>
      <c r="B230" s="520"/>
      <c r="C230" s="370"/>
      <c r="D230" s="202"/>
      <c r="E230" s="202"/>
      <c r="F230" s="803">
        <f>SUM(F227:F229)</f>
        <v>0</v>
      </c>
      <c r="G230" s="1300">
        <f>SUM(G227:G229)</f>
        <v>0</v>
      </c>
      <c r="H230" s="1300"/>
      <c r="I230" s="803">
        <f>SUM(I227:I229)</f>
        <v>0</v>
      </c>
      <c r="J230" s="499" t="str">
        <f>IF(Noty!F230=0,"ukryj","odkryj")</f>
        <v>ukryj</v>
      </c>
      <c r="K230" s="806"/>
      <c r="L230" s="806"/>
      <c r="N230" s="172"/>
    </row>
    <row r="231" spans="1:32" s="257" customFormat="1" ht="13.75" thickBot="1" x14ac:dyDescent="0.3">
      <c r="A231" s="509"/>
      <c r="B231" s="520"/>
      <c r="C231" s="369"/>
      <c r="D231" s="831"/>
      <c r="E231" s="831"/>
      <c r="F231" s="831"/>
      <c r="G231" s="831"/>
      <c r="H231" s="831"/>
      <c r="I231" s="831"/>
      <c r="J231" s="499" t="str">
        <f>Noty!J230</f>
        <v>ukryj</v>
      </c>
      <c r="K231" s="806"/>
      <c r="L231" s="970"/>
      <c r="N231" s="172"/>
    </row>
    <row r="232" spans="1:32" s="171" customFormat="1" ht="15.75" thickBot="1" x14ac:dyDescent="0.35">
      <c r="A232" s="1180">
        <f>IF(K232="n/a",A218,A218+1)</f>
        <v>0</v>
      </c>
      <c r="B232" s="1182"/>
      <c r="C232" s="1280" t="s">
        <v>7588</v>
      </c>
      <c r="D232" s="1280"/>
      <c r="E232" s="1280"/>
      <c r="F232" s="1280"/>
      <c r="G232" s="1280"/>
      <c r="H232" s="1280"/>
      <c r="I232" s="1280"/>
      <c r="J232" s="499" t="str">
        <f>IF(Noty!K232="n/a","ukryj","odkryj")</f>
        <v>ukryj</v>
      </c>
      <c r="K232" s="1213" t="str">
        <f>IF(AND(K234="n/a",K296="n/a",K318="n/a",K334="n/a",K350="n/a",K366="n/a",K382="n/a"),"n/a","")</f>
        <v>n/a</v>
      </c>
      <c r="L232" s="492" t="str">
        <f>A232&amp;"."&amp;B232</f>
        <v>0.</v>
      </c>
      <c r="N232" s="1101" t="s">
        <v>9378</v>
      </c>
      <c r="O232" s="489" t="str">
        <f>A232&amp;"."&amp;B232</f>
        <v>0.</v>
      </c>
    </row>
    <row r="233" spans="1:32" s="171" customFormat="1" ht="13.75" thickBot="1" x14ac:dyDescent="0.3">
      <c r="A233" s="508"/>
      <c r="B233" s="520"/>
      <c r="C233" s="173"/>
      <c r="D233" s="185"/>
      <c r="E233" s="185"/>
      <c r="F233" s="185"/>
      <c r="G233" s="185"/>
      <c r="H233" s="185"/>
      <c r="I233" s="185"/>
      <c r="J233" s="499" t="str">
        <f>Noty!J232</f>
        <v>ukryj</v>
      </c>
      <c r="K233" s="244"/>
      <c r="L233" s="154"/>
      <c r="N233" s="371"/>
    </row>
    <row r="234" spans="1:32" s="171" customFormat="1" ht="15.75" thickBot="1" x14ac:dyDescent="0.35">
      <c r="A234" s="1183">
        <f>A232</f>
        <v>0</v>
      </c>
      <c r="B234" s="1184">
        <f>IF(K234="n/a",0,1)</f>
        <v>0</v>
      </c>
      <c r="C234" s="1235" t="s">
        <v>9533</v>
      </c>
      <c r="D234" s="1235"/>
      <c r="E234" s="1235"/>
      <c r="F234" s="1235"/>
      <c r="G234" s="1235"/>
      <c r="H234" s="1235"/>
      <c r="I234" s="1235"/>
      <c r="J234" s="499" t="str">
        <f>IF(Noty!K234="n/a","ukryj","odkryj")</f>
        <v>ukryj</v>
      </c>
      <c r="K234" s="1213" t="str">
        <f>IF(Input!D100="nie","n/a","")</f>
        <v>n/a</v>
      </c>
      <c r="L234" s="971" t="str">
        <f>A234&amp;"."&amp;B234</f>
        <v>0.0</v>
      </c>
      <c r="N234" s="1101" t="s">
        <v>9378</v>
      </c>
      <c r="O234" s="489" t="str">
        <f>A234&amp;"."&amp;B234</f>
        <v>0.0</v>
      </c>
    </row>
    <row r="235" spans="1:32" s="171" customFormat="1" ht="13.75" thickBot="1" x14ac:dyDescent="0.3">
      <c r="A235" s="509"/>
      <c r="B235" s="520"/>
      <c r="C235" s="535" t="s">
        <v>9534</v>
      </c>
      <c r="D235" s="185"/>
      <c r="E235" s="185"/>
      <c r="F235" s="185"/>
      <c r="G235" s="185"/>
      <c r="H235" s="185"/>
      <c r="I235" s="185"/>
      <c r="J235" s="499" t="s">
        <v>5125</v>
      </c>
      <c r="K235" s="372"/>
      <c r="L235" s="154"/>
      <c r="N235" s="371"/>
    </row>
    <row r="236" spans="1:32" s="171" customFormat="1" ht="13.75" thickBot="1" x14ac:dyDescent="0.3">
      <c r="A236" s="509"/>
      <c r="B236" s="520"/>
      <c r="C236" s="257"/>
      <c r="D236" s="185"/>
      <c r="E236" s="185"/>
      <c r="F236" s="185"/>
      <c r="G236" s="185"/>
      <c r="H236" s="185"/>
      <c r="I236" s="185"/>
      <c r="J236" s="499" t="str">
        <f>IF(Noty!K236="n/a","ukryj","odkryj")</f>
        <v>ukryj</v>
      </c>
      <c r="K236" s="1215" t="str">
        <f>IF(AND(I239=0,I240=0,I245=0,I252=0),"n/a","")</f>
        <v>n/a</v>
      </c>
      <c r="L236" s="154"/>
      <c r="N236" s="371"/>
    </row>
    <row r="237" spans="1:32" s="171" customFormat="1" ht="50.4" x14ac:dyDescent="0.25">
      <c r="B237" s="520"/>
      <c r="C237" s="257"/>
      <c r="D237" s="558"/>
      <c r="E237" s="1026" t="s">
        <v>9535</v>
      </c>
      <c r="F237" s="1026" t="s">
        <v>7551</v>
      </c>
      <c r="G237" s="1026" t="s">
        <v>9536</v>
      </c>
      <c r="H237" s="1026" t="s">
        <v>8092</v>
      </c>
      <c r="I237" s="801" t="s">
        <v>9280</v>
      </c>
      <c r="J237" s="499" t="str">
        <f>Noty!J236</f>
        <v>ukryj</v>
      </c>
      <c r="K237" s="372"/>
      <c r="L237" s="154"/>
      <c r="N237" s="371"/>
    </row>
    <row r="238" spans="1:32" s="171" customFormat="1" x14ac:dyDescent="0.25">
      <c r="B238" s="520"/>
      <c r="C238" s="257"/>
      <c r="D238" s="558"/>
      <c r="E238" s="609"/>
      <c r="F238" s="609"/>
      <c r="G238" s="609"/>
      <c r="H238" s="609"/>
      <c r="I238" s="609"/>
      <c r="J238" s="499" t="str">
        <f>Noty!J236</f>
        <v>ukryj</v>
      </c>
      <c r="K238" s="164"/>
      <c r="L238" s="154"/>
      <c r="N238" s="371"/>
    </row>
    <row r="239" spans="1:32" s="171" customFormat="1" x14ac:dyDescent="0.25">
      <c r="B239" s="520"/>
      <c r="C239" s="821" t="str">
        <f>CONCATENATE("B.O. ",Input!$P$6)</f>
        <v>B.O. 01.01.2020</v>
      </c>
      <c r="D239" s="558"/>
      <c r="E239" s="639"/>
      <c r="F239" s="639"/>
      <c r="G239" s="639"/>
      <c r="H239" s="639"/>
      <c r="I239" s="800">
        <f>SUM(E239:H239)</f>
        <v>0</v>
      </c>
      <c r="J239" s="499" t="str">
        <f>IF(Noty!I239=0,"ukryj","odkryj")</f>
        <v>ukryj</v>
      </c>
      <c r="K239" s="176"/>
      <c r="L239" s="154"/>
      <c r="N239" s="371"/>
      <c r="AA239" s="257"/>
      <c r="AB239" s="257" t="s">
        <v>9537</v>
      </c>
      <c r="AC239" s="257" t="s">
        <v>9538</v>
      </c>
      <c r="AD239" s="257" t="s">
        <v>9539</v>
      </c>
      <c r="AE239" s="257" t="s">
        <v>9540</v>
      </c>
      <c r="AF239" s="257" t="s">
        <v>9541</v>
      </c>
    </row>
    <row r="240" spans="1:32" s="171" customFormat="1" x14ac:dyDescent="0.25">
      <c r="B240" s="520"/>
      <c r="C240" s="821" t="s">
        <v>9386</v>
      </c>
      <c r="D240" s="558"/>
      <c r="E240" s="800">
        <f>SUM(E241:E244)</f>
        <v>0</v>
      </c>
      <c r="F240" s="800">
        <f>SUM(F241:F244)</f>
        <v>0</v>
      </c>
      <c r="G240" s="800">
        <f>SUM(G241:G244)</f>
        <v>0</v>
      </c>
      <c r="H240" s="800">
        <f>SUM(H241:H244)</f>
        <v>0</v>
      </c>
      <c r="I240" s="800">
        <f>SUM(I241:I244)</f>
        <v>0</v>
      </c>
      <c r="J240" s="499" t="str">
        <f>IF(Noty!I240=0,"ukryj","odkryj")</f>
        <v>ukryj</v>
      </c>
      <c r="K240" s="178"/>
      <c r="L240" s="154"/>
      <c r="N240" s="371"/>
      <c r="AA240" s="257"/>
      <c r="AB240" s="257"/>
      <c r="AC240" s="257"/>
      <c r="AD240" s="257"/>
      <c r="AE240" s="257"/>
      <c r="AF240" s="257"/>
    </row>
    <row r="241" spans="1:32" s="171" customFormat="1" x14ac:dyDescent="0.25">
      <c r="B241" s="520"/>
      <c r="C241" s="1317" t="s">
        <v>9542</v>
      </c>
      <c r="D241" s="1317"/>
      <c r="E241" s="639"/>
      <c r="F241" s="639"/>
      <c r="G241" s="639"/>
      <c r="H241" s="639"/>
      <c r="I241" s="800">
        <f>SUM(E241:H241)</f>
        <v>0</v>
      </c>
      <c r="J241" s="499" t="str">
        <f>IF(Noty!I241=0,"ukryj","odkryj")</f>
        <v>ukryj</v>
      </c>
      <c r="K241" s="178"/>
      <c r="L241" s="154"/>
      <c r="N241" s="371"/>
      <c r="AA241" s="257"/>
      <c r="AB241" s="257"/>
      <c r="AC241" s="257"/>
      <c r="AD241" s="257"/>
      <c r="AE241" s="257"/>
      <c r="AF241" s="257"/>
    </row>
    <row r="242" spans="1:32" s="171" customFormat="1" x14ac:dyDescent="0.25">
      <c r="B242" s="520"/>
      <c r="C242" s="1315" t="s">
        <v>9389</v>
      </c>
      <c r="D242" s="1315"/>
      <c r="E242" s="639"/>
      <c r="F242" s="639"/>
      <c r="G242" s="639"/>
      <c r="H242" s="639"/>
      <c r="I242" s="800">
        <f>SUM(E242:H242)</f>
        <v>0</v>
      </c>
      <c r="J242" s="499" t="str">
        <f>IF(Noty!I242=0,"ukryj","odkryj")</f>
        <v>ukryj</v>
      </c>
      <c r="K242" s="178"/>
      <c r="L242" s="154"/>
      <c r="N242" s="371"/>
      <c r="AA242" s="257"/>
      <c r="AB242" s="257"/>
      <c r="AC242" s="257"/>
      <c r="AD242" s="257"/>
      <c r="AE242" s="257"/>
      <c r="AF242" s="257"/>
    </row>
    <row r="243" spans="1:32" s="154" customFormat="1" x14ac:dyDescent="0.25">
      <c r="A243" s="171"/>
      <c r="B243" s="520"/>
      <c r="C243" s="1315" t="s">
        <v>9543</v>
      </c>
      <c r="D243" s="1315"/>
      <c r="E243" s="639"/>
      <c r="F243" s="639"/>
      <c r="G243" s="639"/>
      <c r="H243" s="639"/>
      <c r="I243" s="800">
        <f>SUM(E243:H243)</f>
        <v>0</v>
      </c>
      <c r="J243" s="499" t="str">
        <f>IF(Noty!I243=0,"ukryj","odkryj")</f>
        <v>ukryj</v>
      </c>
      <c r="K243" s="178"/>
      <c r="M243" s="171"/>
      <c r="N243" s="371"/>
      <c r="AA243" s="257"/>
      <c r="AB243" s="257"/>
      <c r="AC243" s="257"/>
      <c r="AD243" s="257"/>
      <c r="AE243" s="257"/>
      <c r="AF243" s="257"/>
    </row>
    <row r="244" spans="1:32" s="154" customFormat="1" x14ac:dyDescent="0.25">
      <c r="A244" s="171"/>
      <c r="B244" s="520"/>
      <c r="C244" s="1315" t="s">
        <v>9544</v>
      </c>
      <c r="D244" s="1315"/>
      <c r="E244" s="639"/>
      <c r="F244" s="639"/>
      <c r="G244" s="639"/>
      <c r="H244" s="639"/>
      <c r="I244" s="800">
        <f>SUM(E244:H244)</f>
        <v>0</v>
      </c>
      <c r="J244" s="499" t="str">
        <f>IF(Noty!I244=0,"ukryj","odkryj")</f>
        <v>ukryj</v>
      </c>
      <c r="K244" s="178"/>
      <c r="M244" s="171"/>
      <c r="N244" s="371"/>
      <c r="AA244" s="257"/>
      <c r="AB244" s="257"/>
      <c r="AC244" s="257"/>
      <c r="AD244" s="257"/>
      <c r="AE244" s="257"/>
      <c r="AF244" s="257"/>
    </row>
    <row r="245" spans="1:32" s="154" customFormat="1" x14ac:dyDescent="0.25">
      <c r="A245" s="171"/>
      <c r="B245" s="520"/>
      <c r="C245" s="821" t="s">
        <v>9408</v>
      </c>
      <c r="D245" s="608"/>
      <c r="E245" s="800">
        <f>SUM(E246:E251)</f>
        <v>0</v>
      </c>
      <c r="F245" s="800">
        <f>SUM(F246:F251)</f>
        <v>0</v>
      </c>
      <c r="G245" s="800">
        <f>SUM(G246:G251)</f>
        <v>0</v>
      </c>
      <c r="H245" s="800">
        <f>SUM(H246:H251)</f>
        <v>0</v>
      </c>
      <c r="I245" s="800">
        <f>SUM(I246:I251)</f>
        <v>0</v>
      </c>
      <c r="J245" s="499" t="str">
        <f>IF(Noty!I245=0,"ukryj","odkryj")</f>
        <v>ukryj</v>
      </c>
      <c r="K245" s="178"/>
      <c r="M245" s="171"/>
      <c r="N245" s="371"/>
      <c r="AA245" s="257"/>
      <c r="AB245" s="257"/>
      <c r="AC245" s="257"/>
      <c r="AD245" s="257"/>
      <c r="AE245" s="257"/>
      <c r="AF245" s="257"/>
    </row>
    <row r="246" spans="1:32" s="154" customFormat="1" x14ac:dyDescent="0.25">
      <c r="A246" s="171"/>
      <c r="B246" s="520"/>
      <c r="C246" s="1315" t="s">
        <v>9545</v>
      </c>
      <c r="D246" s="1315"/>
      <c r="E246" s="639"/>
      <c r="F246" s="639"/>
      <c r="G246" s="639"/>
      <c r="H246" s="639"/>
      <c r="I246" s="800">
        <f t="shared" ref="I246:I251" si="9">SUM(E246:H246)</f>
        <v>0</v>
      </c>
      <c r="J246" s="499" t="str">
        <f>IF(Noty!I246=0,"ukryj","odkryj")</f>
        <v>ukryj</v>
      </c>
      <c r="K246" s="178"/>
      <c r="M246" s="171"/>
      <c r="N246" s="371"/>
    </row>
    <row r="247" spans="1:32" s="154" customFormat="1" x14ac:dyDescent="0.25">
      <c r="A247" s="171"/>
      <c r="B247" s="520"/>
      <c r="C247" s="1315" t="s">
        <v>9393</v>
      </c>
      <c r="D247" s="1315"/>
      <c r="E247" s="639"/>
      <c r="F247" s="639"/>
      <c r="G247" s="639"/>
      <c r="H247" s="639"/>
      <c r="I247" s="800">
        <f t="shared" si="9"/>
        <v>0</v>
      </c>
      <c r="J247" s="499" t="str">
        <f>IF(Noty!I247=0,"ukryj","odkryj")</f>
        <v>ukryj</v>
      </c>
      <c r="K247" s="178"/>
      <c r="M247" s="171"/>
      <c r="N247" s="371"/>
    </row>
    <row r="248" spans="1:32" s="154" customFormat="1" x14ac:dyDescent="0.25">
      <c r="A248" s="171"/>
      <c r="B248" s="520"/>
      <c r="C248" s="1315" t="s">
        <v>9390</v>
      </c>
      <c r="D248" s="1315"/>
      <c r="E248" s="639"/>
      <c r="F248" s="639"/>
      <c r="G248" s="639"/>
      <c r="H248" s="639"/>
      <c r="I248" s="800">
        <f t="shared" si="9"/>
        <v>0</v>
      </c>
      <c r="J248" s="499" t="str">
        <f>IF(Noty!I248=0,"ukryj","odkryj")</f>
        <v>ukryj</v>
      </c>
      <c r="K248" s="178"/>
      <c r="M248" s="171"/>
      <c r="N248" s="371"/>
    </row>
    <row r="249" spans="1:32" s="154" customFormat="1" x14ac:dyDescent="0.25">
      <c r="A249" s="171"/>
      <c r="B249" s="520"/>
      <c r="C249" s="1315" t="s">
        <v>9546</v>
      </c>
      <c r="D249" s="1315"/>
      <c r="E249" s="639"/>
      <c r="F249" s="639"/>
      <c r="G249" s="639"/>
      <c r="H249" s="639"/>
      <c r="I249" s="800">
        <f t="shared" si="9"/>
        <v>0</v>
      </c>
      <c r="J249" s="499" t="str">
        <f>IF(Noty!I249=0,"ukryj","odkryj")</f>
        <v>ukryj</v>
      </c>
      <c r="K249" s="178"/>
      <c r="M249" s="171"/>
      <c r="N249" s="371"/>
    </row>
    <row r="250" spans="1:32" s="154" customFormat="1" x14ac:dyDescent="0.25">
      <c r="A250" s="171"/>
      <c r="B250" s="520"/>
      <c r="C250" s="1315" t="s">
        <v>9547</v>
      </c>
      <c r="D250" s="1315"/>
      <c r="E250" s="802"/>
      <c r="F250" s="802"/>
      <c r="G250" s="802"/>
      <c r="H250" s="802"/>
      <c r="I250" s="800">
        <f t="shared" si="9"/>
        <v>0</v>
      </c>
      <c r="J250" s="499" t="str">
        <f>IF(Noty!I250=0,"ukryj","odkryj")</f>
        <v>ukryj</v>
      </c>
      <c r="K250" s="178"/>
      <c r="M250" s="171"/>
      <c r="N250" s="371"/>
    </row>
    <row r="251" spans="1:32" s="154" customFormat="1" x14ac:dyDescent="0.25">
      <c r="A251" s="171"/>
      <c r="B251" s="520"/>
      <c r="C251" s="1315" t="s">
        <v>9544</v>
      </c>
      <c r="D251" s="1315"/>
      <c r="E251" s="802"/>
      <c r="F251" s="802"/>
      <c r="G251" s="802"/>
      <c r="H251" s="802"/>
      <c r="I251" s="800">
        <f t="shared" si="9"/>
        <v>0</v>
      </c>
      <c r="J251" s="499" t="str">
        <f>IF(Noty!I251=0,"ukryj","odkryj")</f>
        <v>ukryj</v>
      </c>
      <c r="K251" s="178"/>
      <c r="M251" s="171"/>
      <c r="N251" s="371"/>
    </row>
    <row r="252" spans="1:32" s="154" customFormat="1" x14ac:dyDescent="0.25">
      <c r="A252" s="171"/>
      <c r="B252" s="520"/>
      <c r="C252" s="821" t="str">
        <f>CONCATENATE("B.Z. ",Input!$P$7)</f>
        <v>B.Z. 31.12.2020</v>
      </c>
      <c r="D252" s="608"/>
      <c r="E252" s="803">
        <f>E239+E240+E245</f>
        <v>0</v>
      </c>
      <c r="F252" s="803">
        <f>F239+F240+F245</f>
        <v>0</v>
      </c>
      <c r="G252" s="803">
        <f>G239+G240+G245</f>
        <v>0</v>
      </c>
      <c r="H252" s="803">
        <f>H239+H240+H245</f>
        <v>0</v>
      </c>
      <c r="I252" s="803">
        <f>I239+I240+I245</f>
        <v>0</v>
      </c>
      <c r="J252" s="499" t="str">
        <f>IF(Noty!I252=0,"ukryj","odkryj")</f>
        <v>ukryj</v>
      </c>
      <c r="K252" s="178"/>
      <c r="M252" s="171"/>
      <c r="N252" s="371"/>
      <c r="AB252" s="257" t="s">
        <v>9548</v>
      </c>
      <c r="AC252" s="257" t="s">
        <v>9549</v>
      </c>
      <c r="AD252" s="257" t="s">
        <v>9550</v>
      </c>
      <c r="AE252" s="257" t="s">
        <v>9551</v>
      </c>
      <c r="AF252" s="257" t="s">
        <v>9552</v>
      </c>
    </row>
    <row r="253" spans="1:32" s="154" customFormat="1" ht="13.75" thickBot="1" x14ac:dyDescent="0.3">
      <c r="A253" s="171"/>
      <c r="B253" s="520"/>
      <c r="C253" s="493" t="s">
        <v>9553</v>
      </c>
      <c r="D253" s="191"/>
      <c r="E253" s="191"/>
      <c r="F253" s="446"/>
      <c r="G253" s="192"/>
      <c r="H253" s="446"/>
      <c r="I253" s="191"/>
      <c r="J253" s="499" t="s">
        <v>5125</v>
      </c>
      <c r="K253" s="178"/>
      <c r="M253" s="171"/>
      <c r="N253" s="371"/>
    </row>
    <row r="254" spans="1:32" s="154" customFormat="1" ht="13.75" thickBot="1" x14ac:dyDescent="0.3">
      <c r="A254" s="171"/>
      <c r="B254" s="520"/>
      <c r="D254" s="191"/>
      <c r="E254" s="191"/>
      <c r="F254" s="446"/>
      <c r="G254" s="192"/>
      <c r="H254" s="446"/>
      <c r="I254" s="191"/>
      <c r="J254" s="499" t="str">
        <f>IF(Noty!K254="n/a","ukryj","odkryj")</f>
        <v>ukryj</v>
      </c>
      <c r="K254" s="1215" t="str">
        <f>IF(AND(I258=0,I259=0,I262=0,I266=0,I270=0,I271=0,I274=0,I280=0,I284=0,I285=0,I286=0,I289=0,I293=0,I294=0),"n/a","")</f>
        <v>n/a</v>
      </c>
      <c r="M254" s="171"/>
      <c r="N254" s="371"/>
    </row>
    <row r="255" spans="1:32" s="154" customFormat="1" ht="50.4" x14ac:dyDescent="0.25">
      <c r="A255" s="171"/>
      <c r="B255" s="520"/>
      <c r="C255" s="257"/>
      <c r="D255" s="608"/>
      <c r="E255" s="1026" t="s">
        <v>9535</v>
      </c>
      <c r="F255" s="1026" t="s">
        <v>7551</v>
      </c>
      <c r="G255" s="1026" t="s">
        <v>9536</v>
      </c>
      <c r="H255" s="1026" t="s">
        <v>8092</v>
      </c>
      <c r="I255" s="801" t="s">
        <v>9280</v>
      </c>
      <c r="J255" s="499" t="str">
        <f>Noty!J254</f>
        <v>ukryj</v>
      </c>
      <c r="K255" s="257"/>
      <c r="M255" s="171"/>
      <c r="N255" s="371"/>
    </row>
    <row r="256" spans="1:32" s="154" customFormat="1" x14ac:dyDescent="0.25">
      <c r="A256" s="171"/>
      <c r="B256" s="520"/>
      <c r="C256" s="244" t="s">
        <v>9380</v>
      </c>
      <c r="D256" s="608"/>
      <c r="E256" s="609"/>
      <c r="F256" s="609"/>
      <c r="G256" s="609"/>
      <c r="H256" s="609"/>
      <c r="I256" s="609"/>
      <c r="J256" s="499" t="str">
        <f>IF(COUNT(Noty!I258:'Noty'!I266)-COUNTIF(Noty!I258:'Noty'!I266,0)=0,"ukryj","odkryj")</f>
        <v>ukryj</v>
      </c>
      <c r="K256" s="257"/>
      <c r="M256" s="171"/>
      <c r="N256" s="371"/>
    </row>
    <row r="257" spans="1:32" s="154" customFormat="1" x14ac:dyDescent="0.25">
      <c r="A257" s="171"/>
      <c r="B257" s="520"/>
      <c r="C257" s="257"/>
      <c r="D257" s="608"/>
      <c r="E257" s="609"/>
      <c r="F257" s="609"/>
      <c r="G257" s="609"/>
      <c r="H257" s="609"/>
      <c r="I257" s="609"/>
      <c r="J257" s="499" t="str">
        <f>Noty!J256</f>
        <v>ukryj</v>
      </c>
      <c r="K257" s="164"/>
      <c r="M257" s="171"/>
      <c r="N257" s="371"/>
    </row>
    <row r="258" spans="1:32" s="154" customFormat="1" x14ac:dyDescent="0.25">
      <c r="A258" s="171"/>
      <c r="B258" s="520"/>
      <c r="C258" s="821" t="str">
        <f>CONCATENATE("B.O. ",Input!$P$6)</f>
        <v>B.O. 01.01.2020</v>
      </c>
      <c r="D258" s="608"/>
      <c r="E258" s="639"/>
      <c r="F258" s="639"/>
      <c r="G258" s="639"/>
      <c r="H258" s="639"/>
      <c r="I258" s="800">
        <f>SUM(E258:H258)</f>
        <v>0</v>
      </c>
      <c r="J258" s="499" t="str">
        <f>IF(Noty!I258=0,"ukryj","odkryj")</f>
        <v>ukryj</v>
      </c>
      <c r="K258" s="176"/>
      <c r="M258" s="171"/>
      <c r="N258" s="371"/>
      <c r="AB258" s="257" t="s">
        <v>9554</v>
      </c>
      <c r="AC258" s="257" t="s">
        <v>9555</v>
      </c>
      <c r="AD258" s="257" t="s">
        <v>9556</v>
      </c>
      <c r="AE258" s="257" t="s">
        <v>9557</v>
      </c>
      <c r="AF258" s="257" t="s">
        <v>9558</v>
      </c>
    </row>
    <row r="259" spans="1:32" s="154" customFormat="1" x14ac:dyDescent="0.25">
      <c r="A259" s="171"/>
      <c r="B259" s="520"/>
      <c r="C259" s="821" t="s">
        <v>9386</v>
      </c>
      <c r="D259" s="608"/>
      <c r="E259" s="800">
        <f>SUM(E260:E261)</f>
        <v>0</v>
      </c>
      <c r="F259" s="800">
        <f>SUM(F260:F261)</f>
        <v>0</v>
      </c>
      <c r="G259" s="800">
        <f>SUM(G260:G261)</f>
        <v>0</v>
      </c>
      <c r="H259" s="800">
        <f>SUM(H260:H261)</f>
        <v>0</v>
      </c>
      <c r="I259" s="800">
        <f>SUM(E259:H259)</f>
        <v>0</v>
      </c>
      <c r="J259" s="499" t="str">
        <f>IF(Noty!I259=0,"ukryj","odkryj")</f>
        <v>ukryj</v>
      </c>
      <c r="K259" s="178"/>
      <c r="M259" s="171"/>
      <c r="N259" s="371"/>
    </row>
    <row r="260" spans="1:32" s="154" customFormat="1" ht="26.2" x14ac:dyDescent="0.25">
      <c r="A260" s="171"/>
      <c r="B260" s="520"/>
      <c r="C260" s="813" t="s">
        <v>9542</v>
      </c>
      <c r="D260" s="608"/>
      <c r="E260" s="639"/>
      <c r="F260" s="639"/>
      <c r="G260" s="639"/>
      <c r="H260" s="639"/>
      <c r="I260" s="800">
        <f>SUM(E260:H260)</f>
        <v>0</v>
      </c>
      <c r="J260" s="499" t="str">
        <f>IF(Noty!I260=0,"ukryj","odkryj")</f>
        <v>ukryj</v>
      </c>
      <c r="K260" s="178"/>
      <c r="M260" s="171"/>
      <c r="N260" s="371"/>
    </row>
    <row r="261" spans="1:32" s="154" customFormat="1" x14ac:dyDescent="0.25">
      <c r="A261" s="171"/>
      <c r="B261" s="520"/>
      <c r="C261" s="813" t="s">
        <v>9389</v>
      </c>
      <c r="D261" s="608"/>
      <c r="E261" s="639"/>
      <c r="F261" s="639"/>
      <c r="G261" s="639"/>
      <c r="H261" s="639"/>
      <c r="I261" s="800">
        <f>SUM(E261:H261)</f>
        <v>0</v>
      </c>
      <c r="J261" s="499" t="str">
        <f>IF(Noty!I261=0,"ukryj","odkryj")</f>
        <v>ukryj</v>
      </c>
      <c r="K261" s="178"/>
      <c r="M261" s="171"/>
      <c r="N261" s="371"/>
    </row>
    <row r="262" spans="1:32" s="154" customFormat="1" x14ac:dyDescent="0.25">
      <c r="A262" s="171"/>
      <c r="B262" s="520"/>
      <c r="C262" s="821" t="s">
        <v>9408</v>
      </c>
      <c r="D262" s="608"/>
      <c r="E262" s="800">
        <f>SUM(E263:E265)</f>
        <v>0</v>
      </c>
      <c r="F262" s="800">
        <f>SUM(F263:F265)</f>
        <v>0</v>
      </c>
      <c r="G262" s="800">
        <f>SUM(G263:G265)</f>
        <v>0</v>
      </c>
      <c r="H262" s="800">
        <f>SUM(H263:H265)</f>
        <v>0</v>
      </c>
      <c r="I262" s="800">
        <f>IF(AND(E262&lt;=0,F262&lt;=0,G262&lt;=0),SUM(E262:H262),"Błąd - wpisano wartość dodatnią")</f>
        <v>0</v>
      </c>
      <c r="J262" s="499" t="str">
        <f>IF(Noty!I262=0,"ukryj","odkryj")</f>
        <v>ukryj</v>
      </c>
      <c r="K262" s="178"/>
      <c r="M262" s="171"/>
      <c r="N262" s="371"/>
    </row>
    <row r="263" spans="1:32" s="154" customFormat="1" ht="26.2" x14ac:dyDescent="0.25">
      <c r="A263" s="171"/>
      <c r="B263" s="520"/>
      <c r="C263" s="813" t="s">
        <v>9545</v>
      </c>
      <c r="D263" s="608"/>
      <c r="E263" s="802"/>
      <c r="F263" s="802"/>
      <c r="G263" s="802"/>
      <c r="H263" s="802"/>
      <c r="I263" s="800">
        <f>IF(AND(E263&lt;=0,F263&lt;=0,G263&lt;=0),SUM(E263:H263),"Błąd - wpisano wartość dodatnią")</f>
        <v>0</v>
      </c>
      <c r="J263" s="499" t="str">
        <f>IF(Noty!I263=0,"ukryj","odkryj")</f>
        <v>ukryj</v>
      </c>
      <c r="K263" s="178"/>
      <c r="M263" s="171"/>
      <c r="N263" s="371"/>
    </row>
    <row r="264" spans="1:32" s="154" customFormat="1" x14ac:dyDescent="0.25">
      <c r="A264" s="171"/>
      <c r="B264" s="520"/>
      <c r="C264" s="813" t="s">
        <v>9393</v>
      </c>
      <c r="D264" s="608"/>
      <c r="E264" s="802"/>
      <c r="F264" s="802"/>
      <c r="G264" s="802"/>
      <c r="H264" s="802"/>
      <c r="I264" s="800">
        <f>IF(AND(E264&lt;=0,F264&lt;=0,G264&lt;=0),SUM(E264:H264),"Błąd - wpisano wartość dodatnią")</f>
        <v>0</v>
      </c>
      <c r="J264" s="499" t="str">
        <f>IF(Noty!I264=0,"ukryj","odkryj")</f>
        <v>ukryj</v>
      </c>
      <c r="K264" s="178"/>
      <c r="M264" s="171"/>
      <c r="N264" s="371"/>
    </row>
    <row r="265" spans="1:32" s="154" customFormat="1" x14ac:dyDescent="0.25">
      <c r="A265" s="171"/>
      <c r="B265" s="520"/>
      <c r="C265" s="813" t="s">
        <v>9390</v>
      </c>
      <c r="D265" s="608"/>
      <c r="E265" s="802"/>
      <c r="F265" s="802"/>
      <c r="G265" s="802"/>
      <c r="H265" s="802"/>
      <c r="I265" s="800">
        <f>IF(AND(E265&lt;=0,F265&lt;=0,G265&lt;=0),SUM(E265:H265),"Błąd - wpisano wartość dodatnią")</f>
        <v>0</v>
      </c>
      <c r="J265" s="499" t="str">
        <f>IF(Noty!I265=0,"ukryj","odkryj")</f>
        <v>ukryj</v>
      </c>
      <c r="K265" s="178"/>
      <c r="M265" s="171"/>
      <c r="N265" s="371"/>
    </row>
    <row r="266" spans="1:32" s="154" customFormat="1" x14ac:dyDescent="0.25">
      <c r="A266" s="171"/>
      <c r="B266" s="520"/>
      <c r="C266" s="821" t="str">
        <f>CONCATENATE("B.Z. ",Input!$P$7)</f>
        <v>B.Z. 31.12.2020</v>
      </c>
      <c r="D266" s="608"/>
      <c r="E266" s="803">
        <f>E258+E259+E262</f>
        <v>0</v>
      </c>
      <c r="F266" s="803">
        <f>F258+F259+F262</f>
        <v>0</v>
      </c>
      <c r="G266" s="803">
        <f>G258+G259+G262</f>
        <v>0</v>
      </c>
      <c r="H266" s="803">
        <f>H258+H259+H262</f>
        <v>0</v>
      </c>
      <c r="I266" s="803">
        <f>I258+I259+I262</f>
        <v>0</v>
      </c>
      <c r="J266" s="499" t="str">
        <f>IF(Noty!I266=0,"ukryj","odkryj")</f>
        <v>ukryj</v>
      </c>
      <c r="K266" s="178"/>
      <c r="M266" s="171"/>
      <c r="N266" s="371"/>
      <c r="AB266" s="257" t="s">
        <v>9559</v>
      </c>
      <c r="AC266" s="257" t="s">
        <v>9560</v>
      </c>
      <c r="AD266" s="257" t="s">
        <v>9561</v>
      </c>
      <c r="AE266" s="257" t="s">
        <v>9562</v>
      </c>
      <c r="AF266" s="257" t="s">
        <v>9563</v>
      </c>
    </row>
    <row r="267" spans="1:32" s="154" customFormat="1" x14ac:dyDescent="0.25">
      <c r="A267" s="171"/>
      <c r="B267" s="520"/>
      <c r="C267" s="821"/>
      <c r="D267" s="191"/>
      <c r="E267" s="191"/>
      <c r="F267" s="446"/>
      <c r="G267" s="192"/>
      <c r="H267" s="446"/>
      <c r="I267" s="191"/>
      <c r="J267" s="499" t="str">
        <f>Noty!J266</f>
        <v>ukryj</v>
      </c>
      <c r="K267" s="178"/>
      <c r="M267" s="171"/>
      <c r="N267" s="371"/>
    </row>
    <row r="268" spans="1:32" s="154" customFormat="1" x14ac:dyDescent="0.25">
      <c r="A268" s="171"/>
      <c r="B268" s="520"/>
      <c r="C268" s="821" t="s">
        <v>9400</v>
      </c>
      <c r="D268" s="183"/>
      <c r="E268" s="183"/>
      <c r="F268" s="183"/>
      <c r="G268" s="183"/>
      <c r="H268" s="183"/>
      <c r="I268" s="184"/>
      <c r="J268" s="499" t="str">
        <f>IF(COUNT(Noty!I270:'Noty'!I280)-COUNTIF(Noty!I270:'Noty'!I280,0)=0,"ukryj","odkryj")</f>
        <v>ukryj</v>
      </c>
      <c r="K268" s="178"/>
      <c r="M268" s="171"/>
      <c r="N268" s="371"/>
    </row>
    <row r="269" spans="1:32" s="154" customFormat="1" x14ac:dyDescent="0.25">
      <c r="A269" s="171"/>
      <c r="B269" s="520"/>
      <c r="C269" s="257"/>
      <c r="D269" s="183"/>
      <c r="E269" s="183"/>
      <c r="F269" s="183"/>
      <c r="G269" s="183"/>
      <c r="H269" s="183"/>
      <c r="I269" s="184"/>
      <c r="J269" s="499" t="str">
        <f>Noty!J268</f>
        <v>ukryj</v>
      </c>
      <c r="K269" s="178"/>
      <c r="M269" s="171"/>
      <c r="N269" s="371"/>
    </row>
    <row r="270" spans="1:32" s="154" customFormat="1" x14ac:dyDescent="0.25">
      <c r="A270" s="171"/>
      <c r="B270" s="520"/>
      <c r="C270" s="821" t="str">
        <f>CONCATENATE("B.O. ",Input!$P$6)</f>
        <v>B.O. 01.01.2020</v>
      </c>
      <c r="D270" s="608"/>
      <c r="E270" s="802"/>
      <c r="F270" s="802"/>
      <c r="G270" s="802"/>
      <c r="H270" s="802"/>
      <c r="I270" s="800">
        <f>IF(AND(E270&lt;=0,F270&lt;=0,H270&lt;=0),SUM(E270:H270),"Błąd - wpisano wartość dodatnią")</f>
        <v>0</v>
      </c>
      <c r="J270" s="499" t="str">
        <f>IF(Noty!I270=0,"ukryj","odkryj")</f>
        <v>ukryj</v>
      </c>
      <c r="K270" s="178"/>
      <c r="M270" s="171"/>
      <c r="N270" s="371"/>
      <c r="AB270" s="257" t="s">
        <v>9564</v>
      </c>
      <c r="AC270" s="257" t="s">
        <v>9565</v>
      </c>
      <c r="AD270" s="257" t="s">
        <v>9566</v>
      </c>
      <c r="AE270" s="257" t="s">
        <v>9567</v>
      </c>
      <c r="AF270" s="257" t="s">
        <v>9568</v>
      </c>
    </row>
    <row r="271" spans="1:32" s="154" customFormat="1" x14ac:dyDescent="0.25">
      <c r="A271" s="171"/>
      <c r="B271" s="520"/>
      <c r="C271" s="821" t="s">
        <v>9406</v>
      </c>
      <c r="D271" s="608"/>
      <c r="E271" s="800">
        <f>SUM(E272:E273)</f>
        <v>0</v>
      </c>
      <c r="F271" s="800">
        <f>SUM(F272:F273)</f>
        <v>0</v>
      </c>
      <c r="G271" s="800">
        <f>SUM(G272:G273)</f>
        <v>0</v>
      </c>
      <c r="H271" s="800">
        <f>SUM(H272:H273)</f>
        <v>0</v>
      </c>
      <c r="I271" s="800">
        <f>IF(AND(E271&lt;=0,F271&lt;=0,G271&lt;=0),SUM(E271:H271),"Błąd - wpisano wartość dodatnią")</f>
        <v>0</v>
      </c>
      <c r="J271" s="499" t="str">
        <f>IF(Noty!I271=0,"ukryj","odkryj")</f>
        <v>ukryj</v>
      </c>
      <c r="K271" s="178"/>
      <c r="M271" s="171"/>
      <c r="N271" s="371"/>
    </row>
    <row r="272" spans="1:32" s="154" customFormat="1" x14ac:dyDescent="0.25">
      <c r="A272" s="171"/>
      <c r="B272" s="520"/>
      <c r="C272" s="182" t="s">
        <v>9407</v>
      </c>
      <c r="D272" s="608"/>
      <c r="E272" s="802"/>
      <c r="F272" s="802"/>
      <c r="G272" s="802"/>
      <c r="H272" s="802"/>
      <c r="I272" s="800">
        <f>IF(AND(E272&lt;=0,F272&lt;=0,G272&lt;=0),SUM(E272:H272),"Błąd - wpisano wartość dodatnią")</f>
        <v>0</v>
      </c>
      <c r="J272" s="499" t="str">
        <f>IF(Noty!I272=0,"ukryj","odkryj")</f>
        <v>ukryj</v>
      </c>
      <c r="K272" s="178"/>
      <c r="M272" s="171"/>
      <c r="N272" s="371"/>
    </row>
    <row r="273" spans="1:32" s="154" customFormat="1" x14ac:dyDescent="0.25">
      <c r="A273" s="171"/>
      <c r="B273" s="520"/>
      <c r="C273" s="190" t="s">
        <v>9452</v>
      </c>
      <c r="D273" s="608"/>
      <c r="E273" s="802"/>
      <c r="F273" s="802"/>
      <c r="G273" s="802"/>
      <c r="H273" s="802"/>
      <c r="I273" s="800">
        <f>IF(AND(E273&lt;=0,F273&lt;=0,G273&lt;=0),SUM(E273:H273),"Błąd - wpisano wartość dodatnią")</f>
        <v>0</v>
      </c>
      <c r="J273" s="499" t="str">
        <f>IF(Noty!I273=0,"ukryj","odkryj")</f>
        <v>ukryj</v>
      </c>
      <c r="K273" s="178"/>
      <c r="M273" s="171"/>
      <c r="N273" s="371"/>
    </row>
    <row r="274" spans="1:32" s="154" customFormat="1" x14ac:dyDescent="0.25">
      <c r="A274" s="171"/>
      <c r="B274" s="520"/>
      <c r="C274" s="821" t="s">
        <v>9408</v>
      </c>
      <c r="D274" s="608"/>
      <c r="E274" s="800">
        <f>SUM(E275:E279)</f>
        <v>0</v>
      </c>
      <c r="F274" s="800">
        <f>SUM(F275:F279)</f>
        <v>0</v>
      </c>
      <c r="G274" s="800">
        <f>SUM(G275:G279)</f>
        <v>0</v>
      </c>
      <c r="H274" s="800">
        <f>SUM(H275:H279)</f>
        <v>0</v>
      </c>
      <c r="I274" s="800">
        <f t="shared" ref="I274:I279" si="10">SUM(E274:H274)</f>
        <v>0</v>
      </c>
      <c r="J274" s="499" t="str">
        <f>IF(Noty!I274=0,"ukryj","odkryj")</f>
        <v>ukryj</v>
      </c>
      <c r="K274" s="178"/>
      <c r="M274" s="171"/>
      <c r="N274" s="371"/>
    </row>
    <row r="275" spans="1:32" s="154" customFormat="1" x14ac:dyDescent="0.25">
      <c r="A275" s="171"/>
      <c r="B275" s="520"/>
      <c r="C275" s="190" t="s">
        <v>9392</v>
      </c>
      <c r="D275" s="608"/>
      <c r="E275" s="639"/>
      <c r="F275" s="639"/>
      <c r="G275" s="639"/>
      <c r="H275" s="639"/>
      <c r="I275" s="800">
        <f t="shared" si="10"/>
        <v>0</v>
      </c>
      <c r="J275" s="499" t="str">
        <f>IF(Noty!I275=0,"ukryj","odkryj")</f>
        <v>ukryj</v>
      </c>
      <c r="K275" s="178"/>
      <c r="M275" s="171"/>
      <c r="N275" s="371"/>
    </row>
    <row r="276" spans="1:32" s="154" customFormat="1" x14ac:dyDescent="0.25">
      <c r="A276" s="171"/>
      <c r="B276" s="520"/>
      <c r="C276" s="190" t="s">
        <v>9393</v>
      </c>
      <c r="D276" s="608"/>
      <c r="E276" s="639"/>
      <c r="F276" s="639"/>
      <c r="G276" s="639"/>
      <c r="H276" s="639"/>
      <c r="I276" s="800">
        <f t="shared" si="10"/>
        <v>0</v>
      </c>
      <c r="J276" s="499" t="str">
        <f>IF(Noty!I276=0,"ukryj","odkryj")</f>
        <v>ukryj</v>
      </c>
      <c r="K276" s="178"/>
      <c r="M276" s="171"/>
      <c r="N276" s="371"/>
    </row>
    <row r="277" spans="1:32" s="154" customFormat="1" x14ac:dyDescent="0.25">
      <c r="A277" s="171"/>
      <c r="B277" s="520"/>
      <c r="C277" s="190" t="s">
        <v>9390</v>
      </c>
      <c r="D277" s="608"/>
      <c r="E277" s="639"/>
      <c r="F277" s="639"/>
      <c r="G277" s="639"/>
      <c r="H277" s="639"/>
      <c r="I277" s="800">
        <f t="shared" si="10"/>
        <v>0</v>
      </c>
      <c r="J277" s="499" t="str">
        <f>IF(Noty!I277=0,"ukryj","odkryj")</f>
        <v>ukryj</v>
      </c>
      <c r="K277" s="178"/>
      <c r="M277" s="171"/>
      <c r="N277" s="371"/>
    </row>
    <row r="278" spans="1:32" s="154" customFormat="1" x14ac:dyDescent="0.25">
      <c r="A278" s="171"/>
      <c r="B278" s="520"/>
      <c r="C278" s="373" t="s">
        <v>9453</v>
      </c>
      <c r="D278" s="608"/>
      <c r="E278" s="639"/>
      <c r="F278" s="639"/>
      <c r="G278" s="639"/>
      <c r="H278" s="639"/>
      <c r="I278" s="800">
        <f t="shared" si="10"/>
        <v>0</v>
      </c>
      <c r="J278" s="499" t="str">
        <f>IF(Noty!I278=0,"ukryj","odkryj")</f>
        <v>ukryj</v>
      </c>
      <c r="K278" s="178"/>
      <c r="M278" s="171"/>
      <c r="N278" s="371"/>
    </row>
    <row r="279" spans="1:32" s="154" customFormat="1" x14ac:dyDescent="0.25">
      <c r="A279" s="171"/>
      <c r="B279" s="520"/>
      <c r="C279" s="190" t="s">
        <v>9452</v>
      </c>
      <c r="D279" s="608"/>
      <c r="E279" s="639"/>
      <c r="F279" s="639"/>
      <c r="G279" s="639"/>
      <c r="H279" s="639"/>
      <c r="I279" s="800">
        <f t="shared" si="10"/>
        <v>0</v>
      </c>
      <c r="J279" s="499" t="str">
        <f>IF(Noty!I279=0,"ukryj","odkryj")</f>
        <v>ukryj</v>
      </c>
      <c r="K279" s="178"/>
      <c r="M279" s="171"/>
      <c r="N279" s="371"/>
    </row>
    <row r="280" spans="1:32" s="154" customFormat="1" x14ac:dyDescent="0.25">
      <c r="A280" s="171"/>
      <c r="B280" s="520"/>
      <c r="C280" s="821" t="str">
        <f>CONCATENATE("B.Z. ",Input!$P$7)</f>
        <v>B.Z. 31.12.2020</v>
      </c>
      <c r="D280" s="608"/>
      <c r="E280" s="803">
        <f>E270+E271+E274</f>
        <v>0</v>
      </c>
      <c r="F280" s="803">
        <f>F270+F271+F274</f>
        <v>0</v>
      </c>
      <c r="G280" s="803">
        <f>G270+G271+G274</f>
        <v>0</v>
      </c>
      <c r="H280" s="803">
        <f>G270+H271+H274</f>
        <v>0</v>
      </c>
      <c r="I280" s="803">
        <f>I270+I271+I274</f>
        <v>0</v>
      </c>
      <c r="J280" s="499" t="str">
        <f>IF(Noty!I280=0,"ukryj","odkryj")</f>
        <v>ukryj</v>
      </c>
      <c r="K280" s="178"/>
      <c r="M280" s="171"/>
      <c r="N280" s="371"/>
      <c r="AB280" s="257" t="s">
        <v>9569</v>
      </c>
      <c r="AC280" s="257" t="s">
        <v>9570</v>
      </c>
      <c r="AD280" s="257" t="s">
        <v>9571</v>
      </c>
      <c r="AE280" s="257" t="s">
        <v>9572</v>
      </c>
      <c r="AF280" s="257" t="s">
        <v>9573</v>
      </c>
    </row>
    <row r="281" spans="1:32" s="154" customFormat="1" x14ac:dyDescent="0.25">
      <c r="A281" s="171"/>
      <c r="B281" s="520"/>
      <c r="C281" s="257"/>
      <c r="D281" s="184"/>
      <c r="E281" s="184"/>
      <c r="F281" s="184"/>
      <c r="G281" s="184"/>
      <c r="H281" s="184"/>
      <c r="I281" s="184"/>
      <c r="J281" s="499" t="str">
        <f>Noty!J280</f>
        <v>ukryj</v>
      </c>
      <c r="K281" s="178"/>
      <c r="M281" s="171"/>
      <c r="N281" s="371"/>
    </row>
    <row r="282" spans="1:32" s="154" customFormat="1" x14ac:dyDescent="0.25">
      <c r="A282" s="171"/>
      <c r="B282" s="520"/>
      <c r="C282" s="185" t="s">
        <v>9414</v>
      </c>
      <c r="D282" s="183"/>
      <c r="E282" s="183"/>
      <c r="F282" s="183"/>
      <c r="G282" s="183"/>
      <c r="H282" s="183"/>
      <c r="I282" s="184"/>
      <c r="J282" s="499" t="str">
        <f>IF(COUNT(Noty!I284:'Noty'!I289)-COUNTIF(Noty!I284:'Noty'!I289,0)=0,"ukryj","odkryj")</f>
        <v>ukryj</v>
      </c>
      <c r="K282" s="178"/>
      <c r="M282" s="171"/>
      <c r="N282" s="371"/>
    </row>
    <row r="283" spans="1:32" s="154" customFormat="1" x14ac:dyDescent="0.25">
      <c r="A283" s="171"/>
      <c r="B283" s="520"/>
      <c r="C283" s="257"/>
      <c r="D283" s="183"/>
      <c r="E283" s="183"/>
      <c r="F283" s="183"/>
      <c r="G283" s="183"/>
      <c r="H283" s="183"/>
      <c r="I283" s="184"/>
      <c r="J283" s="499" t="str">
        <f>Noty!J282</f>
        <v>ukryj</v>
      </c>
      <c r="K283" s="178"/>
      <c r="M283" s="171"/>
      <c r="N283" s="371"/>
    </row>
    <row r="284" spans="1:32" s="154" customFormat="1" x14ac:dyDescent="0.25">
      <c r="A284" s="171"/>
      <c r="B284" s="520"/>
      <c r="C284" s="821" t="str">
        <f>CONCATENATE("B.O. ",Input!$P$6)</f>
        <v>B.O. 01.01.2020</v>
      </c>
      <c r="D284" s="608"/>
      <c r="E284" s="802"/>
      <c r="F284" s="802"/>
      <c r="G284" s="802"/>
      <c r="H284" s="802"/>
      <c r="I284" s="800">
        <f>IF(AND(E284&lt;=0,F284&lt;=0,G284&lt;=0),SUM(E284:H284),"Błąd - wpisano wartość dodatnią")</f>
        <v>0</v>
      </c>
      <c r="J284" s="499" t="str">
        <f>IF(Noty!I284=0,"ukryj","odkryj")</f>
        <v>ukryj</v>
      </c>
      <c r="K284" s="178"/>
      <c r="M284" s="171"/>
      <c r="N284" s="371"/>
      <c r="AB284" s="257" t="s">
        <v>9574</v>
      </c>
      <c r="AC284" s="257" t="s">
        <v>9575</v>
      </c>
      <c r="AD284" s="257" t="s">
        <v>9576</v>
      </c>
      <c r="AE284" s="257" t="s">
        <v>9577</v>
      </c>
      <c r="AF284" s="257" t="s">
        <v>9578</v>
      </c>
    </row>
    <row r="285" spans="1:32" s="154" customFormat="1" x14ac:dyDescent="0.25">
      <c r="A285" s="171"/>
      <c r="B285" s="520"/>
      <c r="C285" s="821" t="s">
        <v>9406</v>
      </c>
      <c r="D285" s="608"/>
      <c r="E285" s="802"/>
      <c r="F285" s="802"/>
      <c r="G285" s="802"/>
      <c r="H285" s="802"/>
      <c r="I285" s="800">
        <f>IF(AND(E285&lt;=0,F285&lt;=0,G285&lt;=0),SUM(E285:H285),"Błąd - wpisano wartość dodatnią")</f>
        <v>0</v>
      </c>
      <c r="J285" s="499" t="str">
        <f>IF(Noty!I285=0,"ukryj","odkryj")</f>
        <v>ukryj</v>
      </c>
      <c r="K285" s="178"/>
      <c r="M285" s="171"/>
      <c r="N285" s="371"/>
    </row>
    <row r="286" spans="1:32" s="154" customFormat="1" x14ac:dyDescent="0.25">
      <c r="A286" s="171"/>
      <c r="B286" s="520"/>
      <c r="C286" s="821" t="s">
        <v>9408</v>
      </c>
      <c r="D286" s="608"/>
      <c r="E286" s="800">
        <f>SUM(E287:E288)</f>
        <v>0</v>
      </c>
      <c r="F286" s="800">
        <f>SUM(F287:F288)</f>
        <v>0</v>
      </c>
      <c r="G286" s="800">
        <f>SUM(G287:G288)</f>
        <v>0</v>
      </c>
      <c r="H286" s="800">
        <f>SUM(H287:H288)</f>
        <v>0</v>
      </c>
      <c r="I286" s="800">
        <f>SUM(E286:H286)</f>
        <v>0</v>
      </c>
      <c r="J286" s="499" t="str">
        <f>IF(Noty!I286=0,"ukryj","odkryj")</f>
        <v>ukryj</v>
      </c>
      <c r="K286" s="178"/>
      <c r="M286" s="171"/>
      <c r="N286" s="371"/>
    </row>
    <row r="287" spans="1:32" s="154" customFormat="1" x14ac:dyDescent="0.25">
      <c r="A287" s="171"/>
      <c r="B287" s="520"/>
      <c r="C287" s="181" t="s">
        <v>9420</v>
      </c>
      <c r="D287" s="608"/>
      <c r="E287" s="639"/>
      <c r="F287" s="639"/>
      <c r="G287" s="639"/>
      <c r="H287" s="639"/>
      <c r="I287" s="800">
        <f>SUM(E287:H287)</f>
        <v>0</v>
      </c>
      <c r="J287" s="499" t="str">
        <f>IF(Noty!I287=0,"ukryj","odkryj")</f>
        <v>ukryj</v>
      </c>
      <c r="K287" s="178"/>
      <c r="M287" s="171"/>
      <c r="N287" s="371"/>
    </row>
    <row r="288" spans="1:32" s="154" customFormat="1" x14ac:dyDescent="0.25">
      <c r="A288" s="171"/>
      <c r="B288" s="520"/>
      <c r="C288" s="374" t="s">
        <v>9421</v>
      </c>
      <c r="D288" s="608"/>
      <c r="E288" s="639"/>
      <c r="F288" s="639"/>
      <c r="G288" s="639"/>
      <c r="H288" s="639"/>
      <c r="I288" s="800">
        <f>SUM(E288:H288)</f>
        <v>0</v>
      </c>
      <c r="J288" s="499" t="str">
        <f>IF(Noty!I288=0,"ukryj","odkryj")</f>
        <v>ukryj</v>
      </c>
      <c r="K288" s="178"/>
      <c r="M288" s="171"/>
      <c r="N288" s="371"/>
    </row>
    <row r="289" spans="1:32" s="154" customFormat="1" x14ac:dyDescent="0.25">
      <c r="A289" s="171"/>
      <c r="B289" s="520"/>
      <c r="C289" s="821" t="str">
        <f>CONCATENATE("B.Z. ",Input!$P$7)</f>
        <v>B.Z. 31.12.2020</v>
      </c>
      <c r="D289" s="608"/>
      <c r="E289" s="803">
        <f>SUM(E284:E286)</f>
        <v>0</v>
      </c>
      <c r="F289" s="803">
        <f>SUM(F284:F286)</f>
        <v>0</v>
      </c>
      <c r="G289" s="803">
        <f>SUM(G284:G286)</f>
        <v>0</v>
      </c>
      <c r="H289" s="803">
        <f>SUM(H284:H286)</f>
        <v>0</v>
      </c>
      <c r="I289" s="803">
        <f>SUM(I284:I286)</f>
        <v>0</v>
      </c>
      <c r="J289" s="499" t="str">
        <f>IF(Noty!I289=0,"ukryj","odkryj")</f>
        <v>ukryj</v>
      </c>
      <c r="K289" s="178"/>
      <c r="M289" s="171"/>
      <c r="N289" s="371"/>
      <c r="AB289" s="257" t="s">
        <v>9579</v>
      </c>
      <c r="AC289" s="257" t="s">
        <v>9580</v>
      </c>
      <c r="AD289" s="257" t="s">
        <v>9581</v>
      </c>
      <c r="AE289" s="257" t="s">
        <v>9582</v>
      </c>
      <c r="AF289" s="257" t="s">
        <v>9583</v>
      </c>
    </row>
    <row r="290" spans="1:32" s="154" customFormat="1" x14ac:dyDescent="0.25">
      <c r="A290" s="171"/>
      <c r="B290" s="520"/>
      <c r="C290" s="805"/>
      <c r="D290" s="608"/>
      <c r="E290" s="184"/>
      <c r="F290" s="184"/>
      <c r="G290" s="202"/>
      <c r="H290" s="183"/>
      <c r="I290" s="183"/>
      <c r="J290" s="499" t="str">
        <f>Noty!J289</f>
        <v>ukryj</v>
      </c>
      <c r="K290" s="178"/>
      <c r="M290" s="171"/>
      <c r="N290" s="371"/>
    </row>
    <row r="291" spans="1:32" s="171" customFormat="1" x14ac:dyDescent="0.25">
      <c r="B291" s="520"/>
      <c r="C291" s="244" t="s">
        <v>9427</v>
      </c>
      <c r="D291" s="558"/>
      <c r="E291" s="184"/>
      <c r="F291" s="184"/>
      <c r="G291" s="184"/>
      <c r="H291" s="184"/>
      <c r="I291" s="184"/>
      <c r="J291" s="499" t="str">
        <f>IF(COUNT(Noty!I293:'Noty'!I294)-COUNTIF(Noty!I293:'Noty'!I294,0)=0,"ukryj","odkryj")</f>
        <v>ukryj</v>
      </c>
      <c r="K291" s="178"/>
      <c r="L291" s="154"/>
      <c r="N291" s="371"/>
    </row>
    <row r="292" spans="1:32" s="171" customFormat="1" x14ac:dyDescent="0.25">
      <c r="B292" s="520"/>
      <c r="C292" s="257"/>
      <c r="D292" s="558"/>
      <c r="E292" s="184"/>
      <c r="F292" s="184"/>
      <c r="G292" s="184"/>
      <c r="H292" s="184"/>
      <c r="I292" s="184"/>
      <c r="J292" s="499" t="str">
        <f>Noty!J291</f>
        <v>ukryj</v>
      </c>
      <c r="K292" s="178"/>
      <c r="L292" s="154"/>
      <c r="N292" s="371"/>
    </row>
    <row r="293" spans="1:32" s="171" customFormat="1" x14ac:dyDescent="0.25">
      <c r="B293" s="520"/>
      <c r="C293" s="821" t="str">
        <f>CONCATENATE("B.O. ",Input!$P$6)</f>
        <v>B.O. 01.01.2020</v>
      </c>
      <c r="D293" s="558"/>
      <c r="E293" s="803">
        <f>E258+E270+E284</f>
        <v>0</v>
      </c>
      <c r="F293" s="803">
        <f>F258+F270+F284</f>
        <v>0</v>
      </c>
      <c r="G293" s="803">
        <f>G258+G270+G284</f>
        <v>0</v>
      </c>
      <c r="H293" s="803">
        <f>H258+H270+H284</f>
        <v>0</v>
      </c>
      <c r="I293" s="803">
        <f>I258+I270+I284</f>
        <v>0</v>
      </c>
      <c r="J293" s="499" t="str">
        <f>IF(Noty!I293=0,"ukryj","odkryj")</f>
        <v>ukryj</v>
      </c>
      <c r="K293" s="178"/>
      <c r="L293" s="154"/>
      <c r="N293" s="371"/>
    </row>
    <row r="294" spans="1:32" s="171" customFormat="1" x14ac:dyDescent="0.25">
      <c r="B294" s="520"/>
      <c r="C294" s="821" t="str">
        <f>CONCATENATE("B.Z. ",Input!$P$7)</f>
        <v>B.Z. 31.12.2020</v>
      </c>
      <c r="D294" s="558"/>
      <c r="E294" s="803">
        <f>E266+E280+E289</f>
        <v>0</v>
      </c>
      <c r="F294" s="803">
        <f>F266+F280+F289</f>
        <v>0</v>
      </c>
      <c r="G294" s="803">
        <f>G266+G280+G289</f>
        <v>0</v>
      </c>
      <c r="H294" s="803">
        <f>H266+H280+H289</f>
        <v>0</v>
      </c>
      <c r="I294" s="803">
        <f>I266+I280+I289</f>
        <v>0</v>
      </c>
      <c r="J294" s="499" t="str">
        <f>IF(Noty!I294=0,"ukryj","odkryj")</f>
        <v>ukryj</v>
      </c>
      <c r="K294" s="178"/>
      <c r="L294" s="154"/>
      <c r="N294" s="371"/>
    </row>
    <row r="295" spans="1:32" s="171" customFormat="1" ht="13.75" thickBot="1" x14ac:dyDescent="0.3">
      <c r="B295" s="520"/>
      <c r="C295" s="257"/>
      <c r="D295" s="183"/>
      <c r="E295" s="183"/>
      <c r="F295" s="183"/>
      <c r="G295" s="183"/>
      <c r="H295" s="183"/>
      <c r="I295" s="183"/>
      <c r="J295" s="499" t="str">
        <f>Noty!J294</f>
        <v>ukryj</v>
      </c>
      <c r="K295" s="178"/>
      <c r="L295" s="375"/>
      <c r="N295" s="371"/>
    </row>
    <row r="296" spans="1:32" s="171" customFormat="1" ht="15.75" thickBot="1" x14ac:dyDescent="0.35">
      <c r="A296" s="1183">
        <f>A232</f>
        <v>0</v>
      </c>
      <c r="B296" s="1184">
        <f>IF(K296="n/a",B234,B234+1)</f>
        <v>0</v>
      </c>
      <c r="C296" s="1235" t="s">
        <v>9584</v>
      </c>
      <c r="D296" s="1235"/>
      <c r="E296" s="1235"/>
      <c r="F296" s="1235"/>
      <c r="G296" s="1235"/>
      <c r="H296" s="1235"/>
      <c r="I296" s="1235"/>
      <c r="J296" s="499" t="str">
        <f>IF(Noty!K296="n/a","ukryj","odkryj")</f>
        <v>ukryj</v>
      </c>
      <c r="K296" s="1213" t="str">
        <f>IF(Input!D101="nie","n/a","")</f>
        <v>n/a</v>
      </c>
      <c r="L296" s="971" t="str">
        <f>A296&amp;"."&amp;B296</f>
        <v>0.0</v>
      </c>
      <c r="N296" s="1101" t="s">
        <v>9378</v>
      </c>
      <c r="O296" s="489" t="str">
        <f>A296&amp;"."&amp;B296</f>
        <v>0.0</v>
      </c>
    </row>
    <row r="297" spans="1:32" s="171" customFormat="1" x14ac:dyDescent="0.25">
      <c r="A297" s="512"/>
      <c r="B297" s="523"/>
      <c r="C297" s="536"/>
      <c r="D297" s="538"/>
      <c r="E297" s="202"/>
      <c r="F297" s="202"/>
      <c r="G297" s="377"/>
      <c r="H297" s="617"/>
      <c r="I297" s="377"/>
      <c r="J297" s="499" t="str">
        <f>Noty!J296</f>
        <v>ukryj</v>
      </c>
      <c r="K297" s="376"/>
      <c r="L297" s="154"/>
      <c r="N297" s="371"/>
    </row>
    <row r="298" spans="1:32" s="171" customFormat="1" x14ac:dyDescent="0.25">
      <c r="A298" s="494"/>
      <c r="B298" s="523"/>
      <c r="C298" s="1124" t="str">
        <f>"Stan na " &amp; +Input!$P$7</f>
        <v>Stan na 31.12.2020</v>
      </c>
      <c r="D298" s="618"/>
      <c r="E298" s="202"/>
      <c r="F298" s="202"/>
      <c r="G298" s="377"/>
      <c r="H298" s="185"/>
      <c r="I298" s="377"/>
      <c r="J298" s="499" t="str">
        <f>Noty!J297</f>
        <v>ukryj</v>
      </c>
      <c r="K298" s="360"/>
      <c r="L298" s="154"/>
      <c r="N298" s="371"/>
    </row>
    <row r="299" spans="1:32" s="171" customFormat="1" x14ac:dyDescent="0.25">
      <c r="B299" s="520"/>
      <c r="C299" s="812"/>
      <c r="D299" s="538"/>
      <c r="E299" s="507" t="s">
        <v>9585</v>
      </c>
      <c r="F299" s="507" t="s">
        <v>1967</v>
      </c>
      <c r="G299" s="1316" t="s">
        <v>9586</v>
      </c>
      <c r="H299" s="1316"/>
      <c r="I299" s="1316"/>
      <c r="J299" s="499" t="str">
        <f>Noty!J298</f>
        <v>ukryj</v>
      </c>
      <c r="K299" s="257"/>
      <c r="L299" s="154"/>
      <c r="N299" s="371"/>
    </row>
    <row r="300" spans="1:32" s="171" customFormat="1" x14ac:dyDescent="0.25">
      <c r="B300" s="520"/>
      <c r="C300" s="257" t="s">
        <v>9587</v>
      </c>
      <c r="D300" s="538"/>
      <c r="E300" s="802"/>
      <c r="F300" s="639"/>
      <c r="G300" s="1318"/>
      <c r="H300" s="1318"/>
      <c r="I300" s="1318"/>
      <c r="J300" s="499" t="str">
        <f>IF(Noty!F300=0,"ukryj","odkryj")</f>
        <v>ukryj</v>
      </c>
      <c r="K300" s="257"/>
      <c r="L300" s="154"/>
      <c r="N300" s="371"/>
      <c r="AB300" s="257" t="s">
        <v>9588</v>
      </c>
      <c r="AC300" s="257" t="s">
        <v>9589</v>
      </c>
      <c r="AD300" s="257" t="s">
        <v>9590</v>
      </c>
      <c r="AE300" s="257"/>
      <c r="AF300" s="257"/>
    </row>
    <row r="301" spans="1:32" s="171" customFormat="1" x14ac:dyDescent="0.25">
      <c r="B301" s="520"/>
      <c r="C301" s="257" t="s">
        <v>9591</v>
      </c>
      <c r="D301" s="538"/>
      <c r="E301" s="802"/>
      <c r="F301" s="639"/>
      <c r="G301" s="1319"/>
      <c r="H301" s="1319"/>
      <c r="I301" s="1319"/>
      <c r="J301" s="499" t="str">
        <f>IF(Noty!F301=0,"ukryj","odkryj")</f>
        <v>ukryj</v>
      </c>
      <c r="K301" s="257"/>
      <c r="L301" s="154"/>
      <c r="N301" s="371"/>
      <c r="AB301" s="257" t="s">
        <v>9592</v>
      </c>
      <c r="AC301" s="257" t="s">
        <v>9593</v>
      </c>
      <c r="AD301" s="257" t="s">
        <v>9594</v>
      </c>
    </row>
    <row r="302" spans="1:32" s="171" customFormat="1" x14ac:dyDescent="0.25">
      <c r="B302" s="520"/>
      <c r="C302" s="257" t="s">
        <v>9595</v>
      </c>
      <c r="D302" s="538"/>
      <c r="E302" s="802"/>
      <c r="F302" s="639"/>
      <c r="G302" s="1319"/>
      <c r="H302" s="1319"/>
      <c r="I302" s="1319"/>
      <c r="J302" s="499" t="str">
        <f>IF(Noty!F302=0,"ukryj","odkryj")</f>
        <v>ukryj</v>
      </c>
      <c r="K302" s="257"/>
      <c r="L302" s="154"/>
      <c r="N302" s="371"/>
      <c r="AB302" s="257" t="s">
        <v>9596</v>
      </c>
      <c r="AC302" s="257" t="s">
        <v>9597</v>
      </c>
      <c r="AD302" s="257" t="s">
        <v>9598</v>
      </c>
    </row>
    <row r="303" spans="1:32" s="171" customFormat="1" x14ac:dyDescent="0.25">
      <c r="B303" s="520"/>
      <c r="C303" s="257" t="s">
        <v>9599</v>
      </c>
      <c r="D303" s="538"/>
      <c r="E303" s="802"/>
      <c r="F303" s="639"/>
      <c r="G303" s="1319"/>
      <c r="H303" s="1319"/>
      <c r="I303" s="1319"/>
      <c r="J303" s="499" t="str">
        <f>IF(Noty!F303=0,"ukryj","odkryj")</f>
        <v>ukryj</v>
      </c>
      <c r="K303" s="257"/>
      <c r="L303" s="154"/>
      <c r="N303" s="371"/>
      <c r="AB303" s="257" t="s">
        <v>9600</v>
      </c>
      <c r="AC303" s="257" t="s">
        <v>9601</v>
      </c>
      <c r="AD303" s="257" t="s">
        <v>9602</v>
      </c>
    </row>
    <row r="304" spans="1:32" s="171" customFormat="1" x14ac:dyDescent="0.25">
      <c r="B304" s="520"/>
      <c r="C304" s="257" t="s">
        <v>7558</v>
      </c>
      <c r="D304" s="538"/>
      <c r="E304" s="802"/>
      <c r="F304" s="639"/>
      <c r="G304" s="1320"/>
      <c r="H304" s="1320"/>
      <c r="I304" s="1320"/>
      <c r="J304" s="499" t="str">
        <f>IF(Noty!F304=0,"ukryj","odkryj")</f>
        <v>ukryj</v>
      </c>
      <c r="K304" s="257"/>
      <c r="L304" s="154"/>
      <c r="N304" s="371"/>
      <c r="AB304" s="257" t="s">
        <v>9603</v>
      </c>
      <c r="AC304" s="257" t="s">
        <v>9604</v>
      </c>
      <c r="AD304" s="257" t="s">
        <v>9605</v>
      </c>
    </row>
    <row r="305" spans="1:30" s="171" customFormat="1" x14ac:dyDescent="0.25">
      <c r="B305" s="520"/>
      <c r="C305" s="370"/>
      <c r="D305" s="378"/>
      <c r="E305" s="803">
        <f>SUM(E300:E304)</f>
        <v>0</v>
      </c>
      <c r="F305" s="803">
        <f>SUM(F300:F304)</f>
        <v>0</v>
      </c>
      <c r="G305" s="619"/>
      <c r="H305" s="619" t="s">
        <v>8730</v>
      </c>
      <c r="I305" s="619"/>
      <c r="J305" s="499" t="str">
        <f>IF(Noty!F305=0,"ukryj","odkryj")</f>
        <v>ukryj</v>
      </c>
      <c r="K305" s="257"/>
      <c r="L305" s="154"/>
      <c r="N305" s="371"/>
    </row>
    <row r="306" spans="1:30" s="171" customFormat="1" x14ac:dyDescent="0.25">
      <c r="B306" s="520"/>
      <c r="C306" s="370"/>
      <c r="D306" s="378"/>
      <c r="E306" s="377"/>
      <c r="F306" s="377"/>
      <c r="G306" s="377"/>
      <c r="H306" s="377"/>
      <c r="I306" s="377"/>
      <c r="J306" s="499" t="str">
        <f>Noty!J305</f>
        <v>ukryj</v>
      </c>
      <c r="K306" s="257"/>
      <c r="L306" s="154"/>
      <c r="N306" s="371"/>
    </row>
    <row r="307" spans="1:30" s="154" customFormat="1" x14ac:dyDescent="0.25">
      <c r="A307" s="171"/>
      <c r="B307" s="520"/>
      <c r="C307" s="1124" t="str">
        <f>"Stan na " &amp; +Input!$P$11</f>
        <v>Stan na 31.12.2019</v>
      </c>
      <c r="D307" s="618"/>
      <c r="E307" s="202"/>
      <c r="F307" s="202"/>
      <c r="G307" s="377"/>
      <c r="H307" s="185"/>
      <c r="I307" s="377"/>
      <c r="J307" s="499" t="str">
        <f>Noty!J306</f>
        <v>ukryj</v>
      </c>
      <c r="K307" s="257"/>
      <c r="M307" s="171"/>
      <c r="N307" s="371"/>
    </row>
    <row r="308" spans="1:30" s="154" customFormat="1" x14ac:dyDescent="0.25">
      <c r="A308" s="171"/>
      <c r="B308" s="520"/>
      <c r="C308" s="812"/>
      <c r="D308" s="538"/>
      <c r="E308" s="507" t="s">
        <v>9585</v>
      </c>
      <c r="F308" s="507" t="s">
        <v>1967</v>
      </c>
      <c r="G308" s="1316" t="s">
        <v>9586</v>
      </c>
      <c r="H308" s="1316"/>
      <c r="I308" s="1316"/>
      <c r="J308" s="499" t="str">
        <f>Noty!J307</f>
        <v>ukryj</v>
      </c>
      <c r="K308" s="257"/>
      <c r="M308" s="171"/>
      <c r="N308" s="371"/>
    </row>
    <row r="309" spans="1:30" s="154" customFormat="1" x14ac:dyDescent="0.25">
      <c r="A309" s="171"/>
      <c r="B309" s="520"/>
      <c r="C309" s="257" t="s">
        <v>9587</v>
      </c>
      <c r="D309" s="538"/>
      <c r="E309" s="802"/>
      <c r="F309" s="639"/>
      <c r="G309" s="1318"/>
      <c r="H309" s="1318"/>
      <c r="I309" s="1318"/>
      <c r="J309" s="499" t="str">
        <f>IF(Noty!F309=0,"ukryj","odkryj")</f>
        <v>ukryj</v>
      </c>
      <c r="K309" s="257"/>
      <c r="M309" s="171"/>
      <c r="N309" s="371"/>
      <c r="AB309" s="257" t="s">
        <v>9606</v>
      </c>
      <c r="AC309" s="257" t="s">
        <v>9607</v>
      </c>
      <c r="AD309" s="257" t="s">
        <v>9608</v>
      </c>
    </row>
    <row r="310" spans="1:30" s="154" customFormat="1" x14ac:dyDescent="0.25">
      <c r="A310" s="171"/>
      <c r="B310" s="520"/>
      <c r="C310" s="257" t="s">
        <v>9591</v>
      </c>
      <c r="D310" s="538"/>
      <c r="E310" s="802"/>
      <c r="F310" s="639"/>
      <c r="G310" s="1319"/>
      <c r="H310" s="1319"/>
      <c r="I310" s="1319"/>
      <c r="J310" s="499" t="str">
        <f>IF(Noty!F310=0,"ukryj","odkryj")</f>
        <v>ukryj</v>
      </c>
      <c r="K310" s="257"/>
      <c r="M310" s="171"/>
      <c r="N310" s="371"/>
      <c r="AB310" s="257" t="s">
        <v>9609</v>
      </c>
      <c r="AC310" s="257" t="s">
        <v>9610</v>
      </c>
      <c r="AD310" s="257" t="s">
        <v>9611</v>
      </c>
    </row>
    <row r="311" spans="1:30" s="154" customFormat="1" x14ac:dyDescent="0.25">
      <c r="A311" s="171"/>
      <c r="B311" s="520"/>
      <c r="C311" s="257" t="s">
        <v>9595</v>
      </c>
      <c r="D311" s="538"/>
      <c r="E311" s="802"/>
      <c r="F311" s="639"/>
      <c r="G311" s="1319"/>
      <c r="H311" s="1319"/>
      <c r="I311" s="1319"/>
      <c r="J311" s="499" t="str">
        <f>IF(Noty!F311=0,"ukryj","odkryj")</f>
        <v>ukryj</v>
      </c>
      <c r="K311" s="257"/>
      <c r="M311" s="171"/>
      <c r="N311" s="371"/>
      <c r="AB311" s="257" t="s">
        <v>9612</v>
      </c>
      <c r="AC311" s="257" t="s">
        <v>9613</v>
      </c>
      <c r="AD311" s="257" t="s">
        <v>9614</v>
      </c>
    </row>
    <row r="312" spans="1:30" s="154" customFormat="1" x14ac:dyDescent="0.25">
      <c r="A312" s="171"/>
      <c r="B312" s="520"/>
      <c r="C312" s="257" t="s">
        <v>9599</v>
      </c>
      <c r="D312" s="538"/>
      <c r="E312" s="802"/>
      <c r="F312" s="639"/>
      <c r="G312" s="1319"/>
      <c r="H312" s="1319"/>
      <c r="I312" s="1319"/>
      <c r="J312" s="499" t="str">
        <f>IF(Noty!F312=0,"ukryj","odkryj")</f>
        <v>ukryj</v>
      </c>
      <c r="K312" s="257"/>
      <c r="M312" s="171"/>
      <c r="N312" s="371"/>
      <c r="AB312" s="257" t="s">
        <v>9615</v>
      </c>
      <c r="AC312" s="257" t="s">
        <v>9616</v>
      </c>
      <c r="AD312" s="257" t="s">
        <v>9617</v>
      </c>
    </row>
    <row r="313" spans="1:30" s="154" customFormat="1" x14ac:dyDescent="0.25">
      <c r="A313" s="171"/>
      <c r="B313" s="520"/>
      <c r="C313" s="257" t="s">
        <v>7558</v>
      </c>
      <c r="D313" s="538"/>
      <c r="E313" s="802"/>
      <c r="F313" s="639"/>
      <c r="G313" s="1320"/>
      <c r="H313" s="1320"/>
      <c r="I313" s="1320"/>
      <c r="J313" s="499" t="str">
        <f>IF(Noty!F313=0,"ukryj","odkryj")</f>
        <v>ukryj</v>
      </c>
      <c r="K313" s="257"/>
      <c r="M313" s="171"/>
      <c r="N313" s="371"/>
      <c r="AB313" s="257" t="s">
        <v>9618</v>
      </c>
      <c r="AC313" s="257" t="s">
        <v>9619</v>
      </c>
      <c r="AD313" s="257" t="s">
        <v>9620</v>
      </c>
    </row>
    <row r="314" spans="1:30" s="154" customFormat="1" x14ac:dyDescent="0.25">
      <c r="A314" s="171"/>
      <c r="B314" s="520"/>
      <c r="C314" s="841"/>
      <c r="D314" s="378"/>
      <c r="E314" s="803">
        <f>SUM(E309:E313)</f>
        <v>0</v>
      </c>
      <c r="F314" s="803">
        <f>SUM(F309:F313)</f>
        <v>0</v>
      </c>
      <c r="G314" s="619"/>
      <c r="H314" s="619"/>
      <c r="I314" s="619"/>
      <c r="J314" s="499" t="str">
        <f>IF(Noty!F314=0,"ukryj","odkryj")</f>
        <v>ukryj</v>
      </c>
      <c r="K314" s="257"/>
      <c r="M314" s="171"/>
      <c r="N314" s="371"/>
    </row>
    <row r="315" spans="1:30" s="154" customFormat="1" x14ac:dyDescent="0.25">
      <c r="A315" s="171"/>
      <c r="B315" s="520"/>
      <c r="C315" s="841"/>
      <c r="D315" s="378"/>
      <c r="E315" s="377"/>
      <c r="F315" s="377"/>
      <c r="G315" s="377"/>
      <c r="H315" s="377"/>
      <c r="I315" s="377"/>
      <c r="J315" s="499" t="str">
        <f>Noty!J314</f>
        <v>ukryj</v>
      </c>
      <c r="K315" s="257"/>
      <c r="M315" s="171"/>
      <c r="N315" s="371"/>
    </row>
    <row r="316" spans="1:30" s="154" customFormat="1" x14ac:dyDescent="0.25">
      <c r="A316" s="495"/>
      <c r="B316" s="506"/>
      <c r="C316" s="1321" t="s">
        <v>9621</v>
      </c>
      <c r="D316" s="1321"/>
      <c r="E316" s="1321"/>
      <c r="F316" s="1321"/>
      <c r="G316" s="1321"/>
      <c r="H316" s="1321"/>
      <c r="I316" s="1321"/>
      <c r="J316" s="499" t="str">
        <f>Noty!J314</f>
        <v>ukryj</v>
      </c>
      <c r="K316" s="257"/>
      <c r="M316" s="171"/>
      <c r="N316" s="371"/>
    </row>
    <row r="317" spans="1:30" s="257" customFormat="1" ht="13.75" thickBot="1" x14ac:dyDescent="0.3">
      <c r="A317" s="171"/>
      <c r="B317" s="520"/>
      <c r="D317" s="202"/>
      <c r="E317" s="202"/>
      <c r="F317" s="202"/>
      <c r="G317" s="202"/>
      <c r="H317" s="202"/>
      <c r="I317" s="202"/>
      <c r="J317" s="499" t="str">
        <f>Noty!J316</f>
        <v>ukryj</v>
      </c>
      <c r="L317" s="188"/>
      <c r="N317" s="172"/>
    </row>
    <row r="318" spans="1:30" s="228" customFormat="1" ht="15.75" thickBot="1" x14ac:dyDescent="0.35">
      <c r="A318" s="1183">
        <f>A232</f>
        <v>0</v>
      </c>
      <c r="B318" s="1184">
        <f>+IF(K318="n/a",B296,B296+1)</f>
        <v>0</v>
      </c>
      <c r="C318" s="1462" t="s">
        <v>9622</v>
      </c>
      <c r="D318" s="1462"/>
      <c r="E318" s="1462"/>
      <c r="F318" s="1462"/>
      <c r="G318" s="1462"/>
      <c r="H318" s="1462"/>
      <c r="I318" s="1462"/>
      <c r="J318" s="499" t="str">
        <f>IF(Noty!K318="n/a","ukryj","odkryj")</f>
        <v>ukryj</v>
      </c>
      <c r="K318" s="1213" t="str">
        <f>IF(Input!D102="nie","n/a","")</f>
        <v>n/a</v>
      </c>
      <c r="L318" s="971" t="str">
        <f>A318&amp;"."&amp;B318</f>
        <v>0.0</v>
      </c>
      <c r="N318" s="1101" t="s">
        <v>9378</v>
      </c>
      <c r="O318" s="489" t="str">
        <f>A318&amp;"."&amp;B318</f>
        <v>0.0</v>
      </c>
    </row>
    <row r="319" spans="1:30" s="228" customFormat="1" ht="13.75" thickBot="1" x14ac:dyDescent="0.3">
      <c r="C319" s="379"/>
      <c r="D319" s="620"/>
      <c r="E319" s="620"/>
      <c r="F319" s="620"/>
      <c r="G319" s="620"/>
      <c r="H319" s="620"/>
      <c r="I319" s="620"/>
      <c r="J319" s="499" t="str">
        <f>Noty!J318</f>
        <v>ukryj</v>
      </c>
      <c r="N319" s="380"/>
    </row>
    <row r="320" spans="1:30" s="228" customFormat="1" ht="25.55" x14ac:dyDescent="0.25">
      <c r="B320" s="1334" t="s">
        <v>9623</v>
      </c>
      <c r="C320" s="1336" t="s">
        <v>9624</v>
      </c>
      <c r="D320" s="1338" t="s">
        <v>9625</v>
      </c>
      <c r="E320" s="1339"/>
      <c r="F320" s="1216" t="s">
        <v>9626</v>
      </c>
      <c r="G320" s="1217" t="s">
        <v>9627</v>
      </c>
      <c r="H320" s="1338" t="str">
        <f>CONCATENATE("Wartość bilansowa udziałów/akcji na dzień ",Input!$P$7)</f>
        <v>Wartość bilansowa udziałów/akcji na dzień 31.12.2020</v>
      </c>
      <c r="I320" s="1340"/>
      <c r="J320" s="499" t="str">
        <f>Noty!J319</f>
        <v>ukryj</v>
      </c>
      <c r="N320" s="380"/>
    </row>
    <row r="321" spans="1:15" s="228" customFormat="1" ht="51.05" thickBot="1" x14ac:dyDescent="0.3">
      <c r="B321" s="1335"/>
      <c r="C321" s="1337"/>
      <c r="D321" s="1341" t="s">
        <v>9628</v>
      </c>
      <c r="E321" s="1342"/>
      <c r="F321" s="621" t="s">
        <v>9629</v>
      </c>
      <c r="G321" s="621" t="s">
        <v>9630</v>
      </c>
      <c r="H321" s="1341" t="s">
        <v>9631</v>
      </c>
      <c r="I321" s="1343"/>
      <c r="J321" s="499" t="str">
        <f>Noty!J320</f>
        <v>ukryj</v>
      </c>
      <c r="N321" s="380"/>
    </row>
    <row r="322" spans="1:15" s="228" customFormat="1" x14ac:dyDescent="0.25">
      <c r="B322" s="1322"/>
      <c r="C322" s="1324"/>
      <c r="D322" s="1326"/>
      <c r="E322" s="1327"/>
      <c r="F322" s="1218"/>
      <c r="G322" s="1219"/>
      <c r="H322" s="1328"/>
      <c r="I322" s="1329"/>
      <c r="J322" s="499" t="str">
        <f>IF(Noty!H322=0,"ukryj","odkryj")</f>
        <v>ukryj</v>
      </c>
      <c r="N322" s="380"/>
    </row>
    <row r="323" spans="1:15" s="228" customFormat="1" ht="13.75" thickBot="1" x14ac:dyDescent="0.3">
      <c r="B323" s="1323"/>
      <c r="C323" s="1325"/>
      <c r="D323" s="1330"/>
      <c r="E323" s="1331"/>
      <c r="F323" s="622"/>
      <c r="G323" s="623"/>
      <c r="H323" s="1332"/>
      <c r="I323" s="1333"/>
      <c r="J323" s="499" t="str">
        <f>Noty!J322</f>
        <v>ukryj</v>
      </c>
      <c r="N323" s="380"/>
    </row>
    <row r="324" spans="1:15" s="228" customFormat="1" x14ac:dyDescent="0.25">
      <c r="B324" s="1322"/>
      <c r="C324" s="1324"/>
      <c r="D324" s="1326"/>
      <c r="E324" s="1327"/>
      <c r="F324" s="1218"/>
      <c r="G324" s="1219"/>
      <c r="H324" s="1328"/>
      <c r="I324" s="1329"/>
      <c r="J324" s="499" t="str">
        <f>IF(Noty!H324=0,"ukryj","odkryj")</f>
        <v>ukryj</v>
      </c>
      <c r="N324" s="380"/>
    </row>
    <row r="325" spans="1:15" s="228" customFormat="1" ht="13.75" thickBot="1" x14ac:dyDescent="0.3">
      <c r="B325" s="1323"/>
      <c r="C325" s="1325"/>
      <c r="D325" s="1330"/>
      <c r="E325" s="1331"/>
      <c r="F325" s="622"/>
      <c r="G325" s="623"/>
      <c r="H325" s="1332"/>
      <c r="I325" s="1333"/>
      <c r="J325" s="499" t="str">
        <f>Noty!J324</f>
        <v>ukryj</v>
      </c>
      <c r="N325" s="380"/>
    </row>
    <row r="326" spans="1:15" s="228" customFormat="1" x14ac:dyDescent="0.25">
      <c r="B326" s="1344"/>
      <c r="C326" s="1346"/>
      <c r="D326" s="1326"/>
      <c r="E326" s="1327"/>
      <c r="F326" s="1220"/>
      <c r="G326" s="1221"/>
      <c r="H326" s="1328"/>
      <c r="I326" s="1329"/>
      <c r="J326" s="499" t="str">
        <f>IF(Noty!H326=0,"ukryj","odkryj")</f>
        <v>ukryj</v>
      </c>
      <c r="N326" s="380"/>
    </row>
    <row r="327" spans="1:15" s="228" customFormat="1" ht="13.75" thickBot="1" x14ac:dyDescent="0.3">
      <c r="B327" s="1345"/>
      <c r="C327" s="1347"/>
      <c r="D327" s="1330"/>
      <c r="E327" s="1331"/>
      <c r="F327" s="622"/>
      <c r="G327" s="623"/>
      <c r="H327" s="1332"/>
      <c r="I327" s="1333"/>
      <c r="J327" s="499" t="str">
        <f>Noty!J326</f>
        <v>ukryj</v>
      </c>
      <c r="N327" s="380"/>
    </row>
    <row r="328" spans="1:15" s="228" customFormat="1" x14ac:dyDescent="0.25">
      <c r="B328" s="1344"/>
      <c r="C328" s="1346"/>
      <c r="D328" s="1326"/>
      <c r="E328" s="1327"/>
      <c r="F328" s="1220"/>
      <c r="G328" s="1221"/>
      <c r="H328" s="1328"/>
      <c r="I328" s="1329"/>
      <c r="J328" s="499" t="str">
        <f>IF(Noty!H328=0,"ukryj","odkryj")</f>
        <v>ukryj</v>
      </c>
      <c r="N328" s="380"/>
    </row>
    <row r="329" spans="1:15" s="228" customFormat="1" ht="13.75" thickBot="1" x14ac:dyDescent="0.3">
      <c r="B329" s="1345"/>
      <c r="C329" s="1347"/>
      <c r="D329" s="1330"/>
      <c r="E329" s="1331"/>
      <c r="F329" s="622"/>
      <c r="G329" s="623"/>
      <c r="H329" s="1332"/>
      <c r="I329" s="1333"/>
      <c r="J329" s="499" t="str">
        <f>Noty!J328</f>
        <v>ukryj</v>
      </c>
      <c r="N329" s="380"/>
    </row>
    <row r="330" spans="1:15" s="228" customFormat="1" x14ac:dyDescent="0.25">
      <c r="B330" s="1344"/>
      <c r="C330" s="1346"/>
      <c r="D330" s="1326"/>
      <c r="E330" s="1327"/>
      <c r="F330" s="1220"/>
      <c r="G330" s="1221"/>
      <c r="H330" s="1328"/>
      <c r="I330" s="1329"/>
      <c r="J330" s="499" t="str">
        <f>IF(Noty!H330=0,"ukryj","odkryj")</f>
        <v>ukryj</v>
      </c>
      <c r="N330" s="380"/>
    </row>
    <row r="331" spans="1:15" s="228" customFormat="1" ht="13.75" thickBot="1" x14ac:dyDescent="0.3">
      <c r="B331" s="1345"/>
      <c r="C331" s="1347"/>
      <c r="D331" s="1330"/>
      <c r="E331" s="1331"/>
      <c r="F331" s="622"/>
      <c r="G331" s="623"/>
      <c r="H331" s="1332"/>
      <c r="I331" s="1333"/>
      <c r="J331" s="499" t="str">
        <f>Noty!J330</f>
        <v>ukryj</v>
      </c>
      <c r="N331" s="380"/>
    </row>
    <row r="332" spans="1:15" s="228" customFormat="1" x14ac:dyDescent="0.25">
      <c r="B332" s="1126" t="str">
        <f>"Suma wartości bilansowej udziałów/akcji na dzień "&amp;Input!P7&amp;""</f>
        <v>Suma wartości bilansowej udziałów/akcji na dzień 31.12.2020</v>
      </c>
      <c r="C332" s="381"/>
      <c r="D332" s="624"/>
      <c r="E332" s="624"/>
      <c r="F332" s="624"/>
      <c r="G332" s="625"/>
      <c r="H332" s="1348">
        <f>H322+H324+H326+H328+H330</f>
        <v>0</v>
      </c>
      <c r="I332" s="1349"/>
      <c r="J332" s="499" t="str">
        <f>IF(Noty!H332=0,"ukryj","odkryj")</f>
        <v>ukryj</v>
      </c>
      <c r="N332" s="380"/>
    </row>
    <row r="333" spans="1:15" s="228" customFormat="1" ht="13.75" thickBot="1" x14ac:dyDescent="0.3">
      <c r="C333" s="382"/>
      <c r="D333" s="624"/>
      <c r="E333" s="624"/>
      <c r="F333" s="624"/>
      <c r="G333" s="624"/>
      <c r="H333" s="192"/>
      <c r="I333" s="192"/>
      <c r="J333" s="499" t="str">
        <f>Noty!J332</f>
        <v>ukryj</v>
      </c>
      <c r="K333" s="383"/>
      <c r="L333" s="383"/>
      <c r="M333" s="383"/>
      <c r="N333" s="383"/>
      <c r="O333" s="383"/>
    </row>
    <row r="334" spans="1:15" s="228" customFormat="1" ht="15.75" thickBot="1" x14ac:dyDescent="0.35">
      <c r="A334" s="1183">
        <f>A232</f>
        <v>0</v>
      </c>
      <c r="B334" s="1184">
        <f>+IF(K334="n/a",B318,B318+1)</f>
        <v>0</v>
      </c>
      <c r="C334" s="1462" t="s">
        <v>9632</v>
      </c>
      <c r="D334" s="1462"/>
      <c r="E334" s="1462"/>
      <c r="F334" s="1462"/>
      <c r="G334" s="1462"/>
      <c r="H334" s="1462"/>
      <c r="I334" s="1462"/>
      <c r="J334" s="499" t="str">
        <f>IF(Noty!K334="n/a","ukryj","odkryj")</f>
        <v>ukryj</v>
      </c>
      <c r="K334" s="1213" t="str">
        <f>IF(Input!D103="nie","n/a","")</f>
        <v>n/a</v>
      </c>
      <c r="L334" s="971" t="str">
        <f>A334&amp;"."&amp;B334</f>
        <v>0.0</v>
      </c>
      <c r="N334" s="1101" t="s">
        <v>9378</v>
      </c>
      <c r="O334" s="489" t="str">
        <f>A334&amp;"."&amp;B334</f>
        <v>0.0</v>
      </c>
    </row>
    <row r="335" spans="1:15" s="228" customFormat="1" ht="13.75" thickBot="1" x14ac:dyDescent="0.3">
      <c r="C335" s="379"/>
      <c r="D335" s="620"/>
      <c r="E335" s="620"/>
      <c r="F335" s="620"/>
      <c r="G335" s="620"/>
      <c r="H335" s="620"/>
      <c r="I335" s="620"/>
      <c r="J335" s="499" t="str">
        <f>Noty!J334</f>
        <v>ukryj</v>
      </c>
      <c r="N335" s="380"/>
    </row>
    <row r="336" spans="1:15" s="228" customFormat="1" ht="25.55" x14ac:dyDescent="0.25">
      <c r="B336" s="1334" t="s">
        <v>9623</v>
      </c>
      <c r="C336" s="1336" t="s">
        <v>9624</v>
      </c>
      <c r="D336" s="1338" t="s">
        <v>9625</v>
      </c>
      <c r="E336" s="1339"/>
      <c r="F336" s="1216" t="s">
        <v>9626</v>
      </c>
      <c r="G336" s="1217" t="s">
        <v>9627</v>
      </c>
      <c r="H336" s="1338" t="str">
        <f>CONCATENATE("Wartość bilansowa udziałów/akcji na dzień ",Input!$P$7)</f>
        <v>Wartość bilansowa udziałów/akcji na dzień 31.12.2020</v>
      </c>
      <c r="I336" s="1340"/>
      <c r="J336" s="499" t="str">
        <f>Noty!J335</f>
        <v>ukryj</v>
      </c>
      <c r="N336" s="380"/>
    </row>
    <row r="337" spans="1:15" s="228" customFormat="1" ht="51.05" thickBot="1" x14ac:dyDescent="0.3">
      <c r="B337" s="1335"/>
      <c r="C337" s="1337"/>
      <c r="D337" s="1341" t="s">
        <v>9628</v>
      </c>
      <c r="E337" s="1342"/>
      <c r="F337" s="621" t="s">
        <v>9629</v>
      </c>
      <c r="G337" s="621" t="s">
        <v>9630</v>
      </c>
      <c r="H337" s="1341" t="s">
        <v>9631</v>
      </c>
      <c r="I337" s="1343"/>
      <c r="J337" s="499" t="str">
        <f>Noty!J336</f>
        <v>ukryj</v>
      </c>
      <c r="N337" s="380"/>
    </row>
    <row r="338" spans="1:15" s="228" customFormat="1" x14ac:dyDescent="0.25">
      <c r="B338" s="1322"/>
      <c r="C338" s="1324"/>
      <c r="D338" s="1326"/>
      <c r="E338" s="1327"/>
      <c r="F338" s="1218"/>
      <c r="G338" s="1219"/>
      <c r="H338" s="1328"/>
      <c r="I338" s="1329"/>
      <c r="J338" s="499" t="str">
        <f>IF(Noty!H338=0,"ukryj","odkryj")</f>
        <v>ukryj</v>
      </c>
      <c r="N338" s="380"/>
    </row>
    <row r="339" spans="1:15" s="228" customFormat="1" ht="13.75" thickBot="1" x14ac:dyDescent="0.3">
      <c r="B339" s="1323"/>
      <c r="C339" s="1325"/>
      <c r="D339" s="1330"/>
      <c r="E339" s="1331"/>
      <c r="F339" s="622"/>
      <c r="G339" s="623"/>
      <c r="H339" s="1332"/>
      <c r="I339" s="1333"/>
      <c r="J339" s="499" t="str">
        <f>Noty!J338</f>
        <v>ukryj</v>
      </c>
      <c r="N339" s="380"/>
    </row>
    <row r="340" spans="1:15" s="228" customFormat="1" x14ac:dyDescent="0.25">
      <c r="B340" s="1322"/>
      <c r="C340" s="1324"/>
      <c r="D340" s="1326"/>
      <c r="E340" s="1327"/>
      <c r="F340" s="1218"/>
      <c r="G340" s="1219"/>
      <c r="H340" s="1328"/>
      <c r="I340" s="1329"/>
      <c r="J340" s="499" t="str">
        <f>IF(Noty!H340=0,"ukryj","odkryj")</f>
        <v>ukryj</v>
      </c>
      <c r="N340" s="380"/>
    </row>
    <row r="341" spans="1:15" s="228" customFormat="1" ht="13.75" thickBot="1" x14ac:dyDescent="0.3">
      <c r="B341" s="1323"/>
      <c r="C341" s="1325"/>
      <c r="D341" s="1330"/>
      <c r="E341" s="1331"/>
      <c r="F341" s="622"/>
      <c r="G341" s="623"/>
      <c r="H341" s="1332"/>
      <c r="I341" s="1333"/>
      <c r="J341" s="499" t="str">
        <f>Noty!J340</f>
        <v>ukryj</v>
      </c>
      <c r="N341" s="380"/>
    </row>
    <row r="342" spans="1:15" s="228" customFormat="1" x14ac:dyDescent="0.25">
      <c r="B342" s="1350"/>
      <c r="C342" s="1350"/>
      <c r="D342" s="1352"/>
      <c r="E342" s="1353"/>
      <c r="F342" s="626"/>
      <c r="G342" s="627"/>
      <c r="H342" s="1354"/>
      <c r="I342" s="1355"/>
      <c r="J342" s="499" t="str">
        <f>IF(Noty!H342=0,"ukryj","odkryj")</f>
        <v>ukryj</v>
      </c>
      <c r="N342" s="380"/>
    </row>
    <row r="343" spans="1:15" s="228" customFormat="1" ht="13.75" thickBot="1" x14ac:dyDescent="0.3">
      <c r="B343" s="1351"/>
      <c r="C343" s="1351"/>
      <c r="D343" s="1356"/>
      <c r="E343" s="1357"/>
      <c r="F343" s="628"/>
      <c r="G343" s="629"/>
      <c r="H343" s="1358"/>
      <c r="I343" s="1359"/>
      <c r="J343" s="499" t="str">
        <f>Noty!J342</f>
        <v>ukryj</v>
      </c>
      <c r="N343" s="380"/>
    </row>
    <row r="344" spans="1:15" s="228" customFormat="1" x14ac:dyDescent="0.25">
      <c r="B344" s="1344"/>
      <c r="C344" s="1346"/>
      <c r="D344" s="1326"/>
      <c r="E344" s="1327"/>
      <c r="F344" s="1220"/>
      <c r="G344" s="1221"/>
      <c r="H344" s="1328"/>
      <c r="I344" s="1329"/>
      <c r="J344" s="499" t="str">
        <f>IF(Noty!H344=0,"ukryj","odkryj")</f>
        <v>ukryj</v>
      </c>
      <c r="N344" s="380"/>
    </row>
    <row r="345" spans="1:15" s="228" customFormat="1" ht="13.75" thickBot="1" x14ac:dyDescent="0.3">
      <c r="B345" s="1345"/>
      <c r="C345" s="1347"/>
      <c r="D345" s="1330"/>
      <c r="E345" s="1331"/>
      <c r="F345" s="622"/>
      <c r="G345" s="623"/>
      <c r="H345" s="1332"/>
      <c r="I345" s="1333"/>
      <c r="J345" s="499" t="str">
        <f>Noty!J344</f>
        <v>ukryj</v>
      </c>
      <c r="N345" s="380"/>
    </row>
    <row r="346" spans="1:15" s="228" customFormat="1" x14ac:dyDescent="0.25">
      <c r="B346" s="1344"/>
      <c r="C346" s="1346"/>
      <c r="D346" s="1326"/>
      <c r="E346" s="1327"/>
      <c r="F346" s="1220"/>
      <c r="G346" s="1221"/>
      <c r="H346" s="1328"/>
      <c r="I346" s="1329"/>
      <c r="J346" s="499" t="str">
        <f>IF(Noty!H346=0,"ukryj","odkryj")</f>
        <v>ukryj</v>
      </c>
      <c r="N346" s="380"/>
    </row>
    <row r="347" spans="1:15" s="228" customFormat="1" ht="13.75" thickBot="1" x14ac:dyDescent="0.3">
      <c r="B347" s="1345"/>
      <c r="C347" s="1347"/>
      <c r="D347" s="1330"/>
      <c r="E347" s="1331"/>
      <c r="F347" s="622"/>
      <c r="G347" s="623"/>
      <c r="H347" s="1332"/>
      <c r="I347" s="1333"/>
      <c r="J347" s="499" t="str">
        <f>Noty!J346</f>
        <v>ukryj</v>
      </c>
      <c r="N347" s="380"/>
    </row>
    <row r="348" spans="1:15" s="228" customFormat="1" x14ac:dyDescent="0.25">
      <c r="B348" s="1126" t="str">
        <f>"Suma wartości bilansowej udziałów/akcji na dzień "&amp;Input!P7&amp;""</f>
        <v>Suma wartości bilansowej udziałów/akcji na dzień 31.12.2020</v>
      </c>
      <c r="C348" s="381"/>
      <c r="D348" s="624"/>
      <c r="E348" s="624"/>
      <c r="F348" s="624"/>
      <c r="G348" s="625"/>
      <c r="H348" s="1348">
        <f>H338+H340+H342+H344+H346</f>
        <v>0</v>
      </c>
      <c r="I348" s="1349"/>
      <c r="J348" s="499" t="str">
        <f>IF(Noty!H348=0,"ukryj","odkryj")</f>
        <v>ukryj</v>
      </c>
      <c r="N348" s="380"/>
    </row>
    <row r="349" spans="1:15" s="228" customFormat="1" ht="13.75" thickBot="1" x14ac:dyDescent="0.3">
      <c r="C349" s="382"/>
      <c r="D349" s="624"/>
      <c r="E349" s="624"/>
      <c r="F349" s="624"/>
      <c r="G349" s="624"/>
      <c r="H349" s="624"/>
      <c r="I349" s="630"/>
      <c r="J349" s="499" t="str">
        <f>Noty!J348</f>
        <v>ukryj</v>
      </c>
      <c r="L349" s="230"/>
      <c r="N349" s="380"/>
    </row>
    <row r="350" spans="1:15" s="228" customFormat="1" ht="15.75" thickBot="1" x14ac:dyDescent="0.35">
      <c r="A350" s="1183">
        <f>A232</f>
        <v>0</v>
      </c>
      <c r="B350" s="1184">
        <f>+IF(K350="n/a",B334,B334+1)</f>
        <v>0</v>
      </c>
      <c r="C350" s="1462" t="s">
        <v>9633</v>
      </c>
      <c r="D350" s="1462"/>
      <c r="E350" s="1462"/>
      <c r="F350" s="1462"/>
      <c r="G350" s="1462"/>
      <c r="H350" s="1462"/>
      <c r="I350" s="1462"/>
      <c r="J350" s="499" t="str">
        <f>IF(Noty!K350="n/a","ukryj","odkryj")</f>
        <v>ukryj</v>
      </c>
      <c r="K350" s="1213" t="str">
        <f>IF(Input!D104="nie","n/a","")</f>
        <v>n/a</v>
      </c>
      <c r="L350" s="971" t="str">
        <f>A350&amp;"."&amp;B350</f>
        <v>0.0</v>
      </c>
      <c r="N350" s="1101" t="s">
        <v>9378</v>
      </c>
      <c r="O350" s="489" t="str">
        <f>A350&amp;"."&amp;B350</f>
        <v>0.0</v>
      </c>
    </row>
    <row r="351" spans="1:15" s="228" customFormat="1" x14ac:dyDescent="0.25">
      <c r="C351" s="379"/>
      <c r="D351" s="620"/>
      <c r="E351" s="620"/>
      <c r="F351" s="620"/>
      <c r="G351" s="620"/>
      <c r="H351" s="620"/>
      <c r="I351" s="620"/>
      <c r="J351" s="499" t="str">
        <f>Noty!J350</f>
        <v>ukryj</v>
      </c>
      <c r="N351" s="380"/>
    </row>
    <row r="352" spans="1:15" s="228" customFormat="1" ht="25.55" x14ac:dyDescent="0.25">
      <c r="B352" s="1360" t="s">
        <v>9623</v>
      </c>
      <c r="C352" s="1360" t="s">
        <v>9624</v>
      </c>
      <c r="D352" s="1361" t="s">
        <v>9625</v>
      </c>
      <c r="E352" s="1362"/>
      <c r="F352" s="631" t="s">
        <v>9626</v>
      </c>
      <c r="G352" s="632" t="s">
        <v>9627</v>
      </c>
      <c r="H352" s="1361" t="str">
        <f>CONCATENATE("Wartość bilansowa udziałów/akcji na dzień ",Input!$P$7)</f>
        <v>Wartość bilansowa udziałów/akcji na dzień 31.12.2020</v>
      </c>
      <c r="I352" s="1362"/>
      <c r="J352" s="499" t="str">
        <f>Noty!J351</f>
        <v>ukryj</v>
      </c>
      <c r="N352" s="380"/>
    </row>
    <row r="353" spans="1:15" s="228" customFormat="1" ht="51.05" thickBot="1" x14ac:dyDescent="0.3">
      <c r="B353" s="1337"/>
      <c r="C353" s="1337"/>
      <c r="D353" s="1341" t="s">
        <v>9628</v>
      </c>
      <c r="E353" s="1342"/>
      <c r="F353" s="633" t="s">
        <v>9629</v>
      </c>
      <c r="G353" s="633" t="s">
        <v>9630</v>
      </c>
      <c r="H353" s="1341" t="s">
        <v>9631</v>
      </c>
      <c r="I353" s="1342"/>
      <c r="J353" s="499" t="str">
        <f>Noty!J352</f>
        <v>ukryj</v>
      </c>
      <c r="N353" s="380"/>
    </row>
    <row r="354" spans="1:15" s="228" customFormat="1" x14ac:dyDescent="0.25">
      <c r="B354" s="1322"/>
      <c r="C354" s="1324"/>
      <c r="D354" s="1326"/>
      <c r="E354" s="1327"/>
      <c r="F354" s="1218"/>
      <c r="G354" s="1219"/>
      <c r="H354" s="1328"/>
      <c r="I354" s="1329"/>
      <c r="J354" s="499" t="str">
        <f>IF(Noty!H354=0,"ukryj","odkryj")</f>
        <v>ukryj</v>
      </c>
      <c r="N354" s="380"/>
    </row>
    <row r="355" spans="1:15" s="228" customFormat="1" ht="13.75" thickBot="1" x14ac:dyDescent="0.3">
      <c r="B355" s="1323"/>
      <c r="C355" s="1325"/>
      <c r="D355" s="1330"/>
      <c r="E355" s="1331"/>
      <c r="F355" s="622"/>
      <c r="G355" s="623"/>
      <c r="H355" s="1332"/>
      <c r="I355" s="1333"/>
      <c r="J355" s="499" t="str">
        <f>Noty!J354</f>
        <v>ukryj</v>
      </c>
      <c r="N355" s="380"/>
    </row>
    <row r="356" spans="1:15" s="228" customFormat="1" x14ac:dyDescent="0.25">
      <c r="B356" s="1322"/>
      <c r="C356" s="1324"/>
      <c r="D356" s="1326"/>
      <c r="E356" s="1327"/>
      <c r="F356" s="1218"/>
      <c r="G356" s="1219"/>
      <c r="H356" s="1328"/>
      <c r="I356" s="1329"/>
      <c r="J356" s="499" t="str">
        <f>IF(Noty!H356=0,"ukryj","odkryj")</f>
        <v>ukryj</v>
      </c>
      <c r="N356" s="380"/>
    </row>
    <row r="357" spans="1:15" s="228" customFormat="1" ht="13.75" thickBot="1" x14ac:dyDescent="0.3">
      <c r="B357" s="1323"/>
      <c r="C357" s="1325"/>
      <c r="D357" s="1330"/>
      <c r="E357" s="1331"/>
      <c r="F357" s="622"/>
      <c r="G357" s="623"/>
      <c r="H357" s="1332"/>
      <c r="I357" s="1333"/>
      <c r="J357" s="499" t="str">
        <f>Noty!J356</f>
        <v>ukryj</v>
      </c>
      <c r="N357" s="380"/>
    </row>
    <row r="358" spans="1:15" s="228" customFormat="1" x14ac:dyDescent="0.25">
      <c r="B358" s="1344"/>
      <c r="C358" s="1346"/>
      <c r="D358" s="1326"/>
      <c r="E358" s="1327"/>
      <c r="F358" s="1220"/>
      <c r="G358" s="1221"/>
      <c r="H358" s="1328"/>
      <c r="I358" s="1329"/>
      <c r="J358" s="499" t="str">
        <f>IF(Noty!H358=0,"ukryj","odkryj")</f>
        <v>ukryj</v>
      </c>
      <c r="N358" s="380"/>
    </row>
    <row r="359" spans="1:15" s="228" customFormat="1" ht="13.75" thickBot="1" x14ac:dyDescent="0.3">
      <c r="B359" s="1345"/>
      <c r="C359" s="1347"/>
      <c r="D359" s="1330"/>
      <c r="E359" s="1331"/>
      <c r="F359" s="622"/>
      <c r="G359" s="623"/>
      <c r="H359" s="1332"/>
      <c r="I359" s="1333"/>
      <c r="J359" s="499" t="str">
        <f>Noty!J358</f>
        <v>ukryj</v>
      </c>
      <c r="N359" s="380"/>
    </row>
    <row r="360" spans="1:15" s="228" customFormat="1" x14ac:dyDescent="0.25">
      <c r="B360" s="1344"/>
      <c r="C360" s="1346"/>
      <c r="D360" s="1326"/>
      <c r="E360" s="1327"/>
      <c r="F360" s="1220"/>
      <c r="G360" s="1221"/>
      <c r="H360" s="1328"/>
      <c r="I360" s="1329"/>
      <c r="J360" s="499" t="str">
        <f>IF(Noty!H360=0,"ukryj","odkryj")</f>
        <v>ukryj</v>
      </c>
      <c r="N360" s="380"/>
    </row>
    <row r="361" spans="1:15" s="228" customFormat="1" ht="13.75" thickBot="1" x14ac:dyDescent="0.3">
      <c r="B361" s="1345"/>
      <c r="C361" s="1347"/>
      <c r="D361" s="1330"/>
      <c r="E361" s="1331"/>
      <c r="F361" s="622"/>
      <c r="G361" s="623"/>
      <c r="H361" s="1332"/>
      <c r="I361" s="1333"/>
      <c r="J361" s="499" t="str">
        <f>Noty!J360</f>
        <v>ukryj</v>
      </c>
      <c r="N361" s="380"/>
    </row>
    <row r="362" spans="1:15" s="228" customFormat="1" x14ac:dyDescent="0.25">
      <c r="B362" s="1344"/>
      <c r="C362" s="1346"/>
      <c r="D362" s="1326"/>
      <c r="E362" s="1327"/>
      <c r="F362" s="1220"/>
      <c r="G362" s="1221"/>
      <c r="H362" s="1328"/>
      <c r="I362" s="1329"/>
      <c r="J362" s="499" t="str">
        <f>IF(Noty!H362=0,"ukryj","odkryj")</f>
        <v>ukryj</v>
      </c>
      <c r="N362" s="380"/>
    </row>
    <row r="363" spans="1:15" s="228" customFormat="1" ht="13.75" thickBot="1" x14ac:dyDescent="0.3">
      <c r="B363" s="1345"/>
      <c r="C363" s="1347"/>
      <c r="D363" s="1330"/>
      <c r="E363" s="1331"/>
      <c r="F363" s="622"/>
      <c r="G363" s="623"/>
      <c r="H363" s="1332"/>
      <c r="I363" s="1333"/>
      <c r="J363" s="499" t="str">
        <f>Noty!J362</f>
        <v>ukryj</v>
      </c>
      <c r="N363" s="380"/>
    </row>
    <row r="364" spans="1:15" s="228" customFormat="1" x14ac:dyDescent="0.25">
      <c r="B364" s="1126" t="str">
        <f>"Suma wartości bilansowej udziałów/akcji na dzień "&amp;Input!P7&amp;""</f>
        <v>Suma wartości bilansowej udziałów/akcji na dzień 31.12.2020</v>
      </c>
      <c r="C364" s="381"/>
      <c r="D364" s="624"/>
      <c r="E364" s="624"/>
      <c r="F364" s="624"/>
      <c r="G364" s="625"/>
      <c r="H364" s="1348">
        <f>H354+H356+H358+H360+H362</f>
        <v>0</v>
      </c>
      <c r="I364" s="1349"/>
      <c r="J364" s="499" t="str">
        <f>IF(Noty!H364=0,"ukryj","odkryj")</f>
        <v>ukryj</v>
      </c>
      <c r="N364" s="380"/>
    </row>
    <row r="365" spans="1:15" s="228" customFormat="1" ht="13.75" thickBot="1" x14ac:dyDescent="0.3">
      <c r="C365" s="382"/>
      <c r="D365" s="624"/>
      <c r="E365" s="624"/>
      <c r="F365" s="624"/>
      <c r="G365" s="624"/>
      <c r="H365" s="624"/>
      <c r="I365" s="630"/>
      <c r="J365" s="499" t="str">
        <f>Noty!J364</f>
        <v>ukryj</v>
      </c>
      <c r="L365" s="230"/>
      <c r="N365" s="380"/>
    </row>
    <row r="366" spans="1:15" s="228" customFormat="1" ht="15.75" thickBot="1" x14ac:dyDescent="0.35">
      <c r="A366" s="1183">
        <f>A232</f>
        <v>0</v>
      </c>
      <c r="B366" s="1184">
        <f>+IF(K366="n/a",B350,B350+1)</f>
        <v>0</v>
      </c>
      <c r="C366" s="1462" t="s">
        <v>9634</v>
      </c>
      <c r="D366" s="1462"/>
      <c r="E366" s="1462"/>
      <c r="F366" s="1462"/>
      <c r="G366" s="1462"/>
      <c r="H366" s="1462"/>
      <c r="I366" s="1462"/>
      <c r="J366" s="499" t="str">
        <f>IF(Noty!K366="n/a","ukryj","odkryj")</f>
        <v>ukryj</v>
      </c>
      <c r="K366" s="1213" t="str">
        <f>IF(Input!D105="nie","n/a","")</f>
        <v>n/a</v>
      </c>
      <c r="L366" s="971" t="str">
        <f>A366&amp;"."&amp;B366</f>
        <v>0.0</v>
      </c>
      <c r="N366" s="1101" t="s">
        <v>9378</v>
      </c>
      <c r="O366" s="489" t="str">
        <f>A366&amp;"."&amp;B366</f>
        <v>0.0</v>
      </c>
    </row>
    <row r="367" spans="1:15" s="228" customFormat="1" x14ac:dyDescent="0.25">
      <c r="C367" s="379"/>
      <c r="D367" s="620"/>
      <c r="E367" s="620"/>
      <c r="F367" s="620"/>
      <c r="G367" s="620"/>
      <c r="H367" s="620"/>
      <c r="I367" s="620"/>
      <c r="J367" s="499" t="str">
        <f>Noty!J366</f>
        <v>ukryj</v>
      </c>
      <c r="N367" s="380"/>
    </row>
    <row r="368" spans="1:15" s="228" customFormat="1" ht="25.55" x14ac:dyDescent="0.25">
      <c r="B368" s="1360" t="s">
        <v>9623</v>
      </c>
      <c r="C368" s="1360" t="s">
        <v>9624</v>
      </c>
      <c r="D368" s="1361" t="s">
        <v>9625</v>
      </c>
      <c r="E368" s="1362"/>
      <c r="F368" s="631" t="s">
        <v>9626</v>
      </c>
      <c r="G368" s="632" t="s">
        <v>9627</v>
      </c>
      <c r="H368" s="1361" t="str">
        <f>CONCATENATE("Wartość bilansowa udziałów/akcji na dzień ",Input!$P$7)</f>
        <v>Wartość bilansowa udziałów/akcji na dzień 31.12.2020</v>
      </c>
      <c r="I368" s="1362"/>
      <c r="J368" s="499" t="str">
        <f>Noty!J367</f>
        <v>ukryj</v>
      </c>
      <c r="N368" s="380"/>
    </row>
    <row r="369" spans="1:15" s="228" customFormat="1" ht="51.05" thickBot="1" x14ac:dyDescent="0.3">
      <c r="B369" s="1337"/>
      <c r="C369" s="1337"/>
      <c r="D369" s="1341" t="s">
        <v>9628</v>
      </c>
      <c r="E369" s="1342"/>
      <c r="F369" s="633" t="s">
        <v>9629</v>
      </c>
      <c r="G369" s="633" t="s">
        <v>9630</v>
      </c>
      <c r="H369" s="1341" t="s">
        <v>9631</v>
      </c>
      <c r="I369" s="1342"/>
      <c r="J369" s="499" t="str">
        <f>Noty!J368</f>
        <v>ukryj</v>
      </c>
      <c r="N369" s="380"/>
    </row>
    <row r="370" spans="1:15" s="228" customFormat="1" x14ac:dyDescent="0.25">
      <c r="B370" s="1322"/>
      <c r="C370" s="1324"/>
      <c r="D370" s="1326"/>
      <c r="E370" s="1327"/>
      <c r="F370" s="1218"/>
      <c r="G370" s="1219"/>
      <c r="H370" s="1328"/>
      <c r="I370" s="1329"/>
      <c r="J370" s="499" t="str">
        <f>IF(Noty!H370=0,"ukryj","odkryj")</f>
        <v>ukryj</v>
      </c>
      <c r="N370" s="380"/>
    </row>
    <row r="371" spans="1:15" s="228" customFormat="1" ht="13.75" thickBot="1" x14ac:dyDescent="0.3">
      <c r="B371" s="1323"/>
      <c r="C371" s="1325"/>
      <c r="D371" s="1330"/>
      <c r="E371" s="1331"/>
      <c r="F371" s="622"/>
      <c r="G371" s="623"/>
      <c r="H371" s="1332"/>
      <c r="I371" s="1333"/>
      <c r="J371" s="499" t="str">
        <f>Noty!J370</f>
        <v>ukryj</v>
      </c>
      <c r="N371" s="380"/>
    </row>
    <row r="372" spans="1:15" s="228" customFormat="1" x14ac:dyDescent="0.25">
      <c r="B372" s="1322"/>
      <c r="C372" s="1324"/>
      <c r="D372" s="1326"/>
      <c r="E372" s="1327"/>
      <c r="F372" s="1218"/>
      <c r="G372" s="1219"/>
      <c r="H372" s="1328"/>
      <c r="I372" s="1329"/>
      <c r="J372" s="499" t="str">
        <f>IF(Noty!H372=0,"ukryj","odkryj")</f>
        <v>ukryj</v>
      </c>
      <c r="N372" s="380"/>
    </row>
    <row r="373" spans="1:15" s="228" customFormat="1" ht="13.75" thickBot="1" x14ac:dyDescent="0.3">
      <c r="B373" s="1323"/>
      <c r="C373" s="1325"/>
      <c r="D373" s="1330"/>
      <c r="E373" s="1331"/>
      <c r="F373" s="622"/>
      <c r="G373" s="623"/>
      <c r="H373" s="1332"/>
      <c r="I373" s="1333"/>
      <c r="J373" s="499" t="str">
        <f>Noty!J372</f>
        <v>ukryj</v>
      </c>
      <c r="N373" s="380"/>
    </row>
    <row r="374" spans="1:15" s="228" customFormat="1" x14ac:dyDescent="0.25">
      <c r="B374" s="1344"/>
      <c r="C374" s="1346"/>
      <c r="D374" s="1326"/>
      <c r="E374" s="1327"/>
      <c r="F374" s="1220"/>
      <c r="G374" s="1221"/>
      <c r="H374" s="1328"/>
      <c r="I374" s="1329"/>
      <c r="J374" s="499" t="str">
        <f>IF(Noty!H374=0,"ukryj","odkryj")</f>
        <v>ukryj</v>
      </c>
      <c r="N374" s="380"/>
    </row>
    <row r="375" spans="1:15" s="228" customFormat="1" ht="13.75" thickBot="1" x14ac:dyDescent="0.3">
      <c r="B375" s="1345"/>
      <c r="C375" s="1347"/>
      <c r="D375" s="1330"/>
      <c r="E375" s="1331"/>
      <c r="F375" s="622"/>
      <c r="G375" s="623"/>
      <c r="H375" s="1332"/>
      <c r="I375" s="1333"/>
      <c r="J375" s="499" t="str">
        <f>Noty!J374</f>
        <v>ukryj</v>
      </c>
      <c r="N375" s="380"/>
    </row>
    <row r="376" spans="1:15" s="228" customFormat="1" x14ac:dyDescent="0.25">
      <c r="B376" s="1344"/>
      <c r="C376" s="1346"/>
      <c r="D376" s="1326"/>
      <c r="E376" s="1327"/>
      <c r="F376" s="1220"/>
      <c r="G376" s="1221"/>
      <c r="H376" s="1328"/>
      <c r="I376" s="1329"/>
      <c r="J376" s="499" t="str">
        <f>IF(Noty!H376=0,"ukryj","odkryj")</f>
        <v>ukryj</v>
      </c>
      <c r="N376" s="380"/>
    </row>
    <row r="377" spans="1:15" s="228" customFormat="1" ht="13.75" thickBot="1" x14ac:dyDescent="0.3">
      <c r="B377" s="1345"/>
      <c r="C377" s="1347"/>
      <c r="D377" s="1330"/>
      <c r="E377" s="1331"/>
      <c r="F377" s="622"/>
      <c r="G377" s="623"/>
      <c r="H377" s="1332"/>
      <c r="I377" s="1333"/>
      <c r="J377" s="499" t="str">
        <f>Noty!J376</f>
        <v>ukryj</v>
      </c>
      <c r="N377" s="380"/>
    </row>
    <row r="378" spans="1:15" s="228" customFormat="1" x14ac:dyDescent="0.25">
      <c r="B378" s="1344"/>
      <c r="C378" s="1346"/>
      <c r="D378" s="1326"/>
      <c r="E378" s="1327"/>
      <c r="F378" s="1220"/>
      <c r="G378" s="1221"/>
      <c r="H378" s="1328"/>
      <c r="I378" s="1329"/>
      <c r="J378" s="499" t="str">
        <f>IF(Noty!H378=0,"ukryj","odkryj")</f>
        <v>ukryj</v>
      </c>
      <c r="N378" s="380"/>
    </row>
    <row r="379" spans="1:15" s="228" customFormat="1" ht="13.75" thickBot="1" x14ac:dyDescent="0.3">
      <c r="B379" s="1345"/>
      <c r="C379" s="1347"/>
      <c r="D379" s="1330"/>
      <c r="E379" s="1331"/>
      <c r="F379" s="622"/>
      <c r="G379" s="623"/>
      <c r="H379" s="1332"/>
      <c r="I379" s="1333"/>
      <c r="J379" s="499" t="str">
        <f>Noty!J378</f>
        <v>ukryj</v>
      </c>
      <c r="N379" s="380"/>
    </row>
    <row r="380" spans="1:15" s="228" customFormat="1" x14ac:dyDescent="0.25">
      <c r="B380" s="1126" t="str">
        <f>"Suma wartości bilansowej udziałów/akcji na dzień "&amp;Input!P7&amp;""</f>
        <v>Suma wartości bilansowej udziałów/akcji na dzień 31.12.2020</v>
      </c>
      <c r="C380" s="381"/>
      <c r="D380" s="624"/>
      <c r="E380" s="624"/>
      <c r="F380" s="624"/>
      <c r="G380" s="625"/>
      <c r="H380" s="1348">
        <f>H370+H372+H374+H376+H378</f>
        <v>0</v>
      </c>
      <c r="I380" s="1349"/>
      <c r="J380" s="499" t="str">
        <f>IF(Noty!H380=0,"ukryj","odkryj")</f>
        <v>ukryj</v>
      </c>
      <c r="N380" s="380"/>
    </row>
    <row r="381" spans="1:15" s="228" customFormat="1" ht="13.75" thickBot="1" x14ac:dyDescent="0.3">
      <c r="D381" s="634"/>
      <c r="E381" s="634"/>
      <c r="F381" s="634"/>
      <c r="G381" s="634"/>
      <c r="H381" s="634"/>
      <c r="I381" s="634"/>
      <c r="J381" s="499" t="str">
        <f>Noty!J380</f>
        <v>ukryj</v>
      </c>
      <c r="L381" s="230"/>
      <c r="N381" s="380"/>
    </row>
    <row r="382" spans="1:15" s="228" customFormat="1" ht="15.75" thickBot="1" x14ac:dyDescent="0.35">
      <c r="A382" s="1183">
        <f>A232</f>
        <v>0</v>
      </c>
      <c r="B382" s="1184">
        <f>+IF(K382="n/a",B366,B366+1)</f>
        <v>0</v>
      </c>
      <c r="C382" s="1463" t="s">
        <v>9635</v>
      </c>
      <c r="D382" s="1463"/>
      <c r="E382" s="1463"/>
      <c r="F382" s="1463"/>
      <c r="G382" s="1463"/>
      <c r="H382" s="1463"/>
      <c r="I382" s="1463"/>
      <c r="J382" s="499" t="str">
        <f>IF(Noty!K382="n/a","ukryj","odkryj")</f>
        <v>ukryj</v>
      </c>
      <c r="K382" s="1213" t="str">
        <f>IF(Input!D106="nie","n/a","")</f>
        <v>n/a</v>
      </c>
      <c r="L382" s="971" t="str">
        <f>A382&amp;"."&amp;B382</f>
        <v>0.0</v>
      </c>
      <c r="N382" s="1101" t="s">
        <v>9378</v>
      </c>
      <c r="O382" s="489" t="str">
        <f>A382&amp;"."&amp;B382</f>
        <v>0.0</v>
      </c>
    </row>
    <row r="383" spans="1:15" s="228" customFormat="1" ht="13.6" customHeight="1" x14ac:dyDescent="0.25">
      <c r="C383" s="385"/>
      <c r="D383" s="635"/>
      <c r="E383" s="635"/>
      <c r="F383" s="635"/>
      <c r="G383" s="635"/>
      <c r="H383" s="635"/>
      <c r="I383" s="635"/>
      <c r="J383" s="499" t="str">
        <f>Noty!J382</f>
        <v>ukryj</v>
      </c>
      <c r="N383" s="380"/>
    </row>
    <row r="384" spans="1:15" s="228" customFormat="1" ht="55.5" customHeight="1" x14ac:dyDescent="0.25">
      <c r="B384" s="524" t="s">
        <v>9623</v>
      </c>
      <c r="C384" s="386" t="s">
        <v>9636</v>
      </c>
      <c r="D384" s="636" t="s">
        <v>9637</v>
      </c>
      <c r="E384" s="624" t="str">
        <f>CONCATENATE("Wartość należności na dzień ",Input!$P$7)</f>
        <v>Wartość należności na dzień 31.12.2020</v>
      </c>
      <c r="F384" s="636" t="s">
        <v>9638</v>
      </c>
      <c r="G384" s="637" t="s">
        <v>9639</v>
      </c>
      <c r="H384" s="637" t="s">
        <v>9640</v>
      </c>
      <c r="I384" s="636" t="s">
        <v>9641</v>
      </c>
      <c r="J384" s="499" t="str">
        <f>Noty!J383</f>
        <v>ukryj</v>
      </c>
      <c r="N384" s="380"/>
    </row>
    <row r="385" spans="1:32" s="228" customFormat="1" ht="13.6" customHeight="1" x14ac:dyDescent="0.25">
      <c r="B385" s="525"/>
      <c r="C385" s="525"/>
      <c r="D385" s="638"/>
      <c r="E385" s="800">
        <f>F385+G385</f>
        <v>0</v>
      </c>
      <c r="F385" s="639"/>
      <c r="G385" s="639"/>
      <c r="H385" s="638"/>
      <c r="I385" s="638"/>
      <c r="J385" s="499" t="str">
        <f>IF(Noty!E385=0,"ukryj","odkryj")</f>
        <v>ukryj</v>
      </c>
      <c r="N385" s="380"/>
    </row>
    <row r="386" spans="1:32" s="228" customFormat="1" ht="13.6" customHeight="1" x14ac:dyDescent="0.25">
      <c r="B386" s="525"/>
      <c r="C386" s="525"/>
      <c r="D386" s="638"/>
      <c r="E386" s="800">
        <f>F386+G386</f>
        <v>0</v>
      </c>
      <c r="F386" s="639"/>
      <c r="G386" s="639"/>
      <c r="H386" s="638"/>
      <c r="I386" s="638"/>
      <c r="J386" s="499" t="str">
        <f>IF(Noty!E386=0,"ukryj","odkryj")</f>
        <v>ukryj</v>
      </c>
      <c r="N386" s="380"/>
    </row>
    <row r="387" spans="1:32" s="228" customFormat="1" ht="13.6" customHeight="1" x14ac:dyDescent="0.25">
      <c r="B387" s="525"/>
      <c r="C387" s="525"/>
      <c r="D387" s="638"/>
      <c r="E387" s="800">
        <f>F387+G387</f>
        <v>0</v>
      </c>
      <c r="F387" s="639"/>
      <c r="G387" s="639"/>
      <c r="H387" s="638"/>
      <c r="I387" s="638"/>
      <c r="J387" s="499" t="str">
        <f>IF(Noty!E387=0,"ukryj","odkryj")</f>
        <v>ukryj</v>
      </c>
      <c r="N387" s="380"/>
    </row>
    <row r="388" spans="1:32" s="228" customFormat="1" ht="13.6" customHeight="1" x14ac:dyDescent="0.25">
      <c r="B388" s="524"/>
      <c r="C388" s="537"/>
      <c r="D388" s="640"/>
      <c r="E388" s="803">
        <f>SUM(E385:E387)</f>
        <v>0</v>
      </c>
      <c r="F388" s="803">
        <f>SUM(F385:F387)</f>
        <v>0</v>
      </c>
      <c r="G388" s="803">
        <f>SUM(G385:G387)</f>
        <v>0</v>
      </c>
      <c r="H388" s="641"/>
      <c r="I388" s="641"/>
      <c r="J388" s="499" t="str">
        <f>IF(Noty!E388=0,"ukryj","odkryj")</f>
        <v>ukryj</v>
      </c>
      <c r="N388" s="380"/>
    </row>
    <row r="389" spans="1:32" s="257" customFormat="1" ht="13.75" thickBot="1" x14ac:dyDescent="0.3">
      <c r="A389" s="171"/>
      <c r="D389" s="202"/>
      <c r="E389" s="202"/>
      <c r="F389" s="202"/>
      <c r="G389" s="202"/>
      <c r="H389" s="202"/>
      <c r="I389" s="608"/>
      <c r="J389" s="499" t="str">
        <f>Noty!J388</f>
        <v>ukryj</v>
      </c>
      <c r="L389" s="188"/>
      <c r="N389" s="172"/>
    </row>
    <row r="390" spans="1:32" s="257" customFormat="1" ht="15.75" customHeight="1" thickBot="1" x14ac:dyDescent="0.35">
      <c r="A390" s="1180">
        <f>+IF(K390="n/a",A382,A382+1)</f>
        <v>0</v>
      </c>
      <c r="B390" s="1182"/>
      <c r="C390" s="1280" t="s">
        <v>9642</v>
      </c>
      <c r="D390" s="1280"/>
      <c r="E390" s="1280"/>
      <c r="F390" s="1280"/>
      <c r="G390" s="1280"/>
      <c r="H390" s="1280"/>
      <c r="I390" s="1280"/>
      <c r="J390" s="499" t="str">
        <f>IF(Noty!K390="n/a","ukryj","odkryj")</f>
        <v>ukryj</v>
      </c>
      <c r="K390" s="1213" t="str">
        <f>IF(Input!D107="nie","n/a","")</f>
        <v>n/a</v>
      </c>
      <c r="L390" s="492" t="str">
        <f>A390&amp;"."&amp;B390</f>
        <v>0.</v>
      </c>
      <c r="N390" s="1101" t="s">
        <v>9378</v>
      </c>
      <c r="O390" s="489" t="str">
        <f>A390&amp;"."&amp;B390</f>
        <v>0.</v>
      </c>
    </row>
    <row r="391" spans="1:32" s="257" customFormat="1" ht="13.6" customHeight="1" x14ac:dyDescent="0.25">
      <c r="A391" s="171"/>
      <c r="B391" s="520"/>
      <c r="D391" s="202"/>
      <c r="E391" s="202"/>
      <c r="F391" s="202"/>
      <c r="G391" s="202"/>
      <c r="H391" s="202"/>
      <c r="I391" s="202"/>
      <c r="J391" s="499" t="str">
        <f>Noty!J390</f>
        <v>ukryj</v>
      </c>
      <c r="N391" s="172"/>
    </row>
    <row r="392" spans="1:32" s="257" customFormat="1" ht="13.6" customHeight="1" x14ac:dyDescent="0.25">
      <c r="A392" s="171"/>
      <c r="B392" s="520"/>
      <c r="C392" s="841"/>
      <c r="D392" s="378"/>
      <c r="E392" s="202"/>
      <c r="F392" s="202"/>
      <c r="G392" s="610"/>
      <c r="H392" s="999" t="str">
        <f>+Input!$P$7</f>
        <v>31.12.2020</v>
      </c>
      <c r="I392" s="1000" t="str">
        <f>+Input!$P$11</f>
        <v>31.12.2019</v>
      </c>
      <c r="J392" s="499" t="str">
        <f>Noty!J391</f>
        <v>ukryj</v>
      </c>
      <c r="N392" s="172"/>
    </row>
    <row r="393" spans="1:32" s="257" customFormat="1" ht="13.6" customHeight="1" x14ac:dyDescent="0.25">
      <c r="A393" s="171"/>
      <c r="B393" s="520"/>
      <c r="C393" s="841"/>
      <c r="D393" s="378"/>
      <c r="E393" s="202"/>
      <c r="F393" s="202"/>
      <c r="G393" s="202"/>
      <c r="H393" s="378"/>
      <c r="I393" s="378"/>
      <c r="J393" s="499" t="str">
        <f>Noty!J392</f>
        <v>ukryj</v>
      </c>
      <c r="N393" s="172"/>
    </row>
    <row r="394" spans="1:32" s="257" customFormat="1" ht="13.6" customHeight="1" x14ac:dyDescent="0.25">
      <c r="A394" s="171"/>
      <c r="B394" s="520"/>
      <c r="C394" s="257" t="s">
        <v>9643</v>
      </c>
      <c r="D394" s="378"/>
      <c r="E394" s="202"/>
      <c r="F394" s="202"/>
      <c r="G394" s="202"/>
      <c r="H394" s="378"/>
      <c r="I394" s="378"/>
      <c r="J394" s="499" t="str">
        <f>Noty!J405</f>
        <v>ukryj</v>
      </c>
      <c r="K394" s="489"/>
      <c r="N394" s="172"/>
    </row>
    <row r="395" spans="1:32" s="257" customFormat="1" ht="13.6" customHeight="1" x14ac:dyDescent="0.25">
      <c r="A395" s="171"/>
      <c r="B395" s="520"/>
      <c r="C395" s="1367"/>
      <c r="D395" s="1367"/>
      <c r="E395" s="1367"/>
      <c r="F395" s="1367"/>
      <c r="G395" s="1002"/>
      <c r="H395" s="639"/>
      <c r="I395" s="639"/>
      <c r="J395" s="499" t="str">
        <f>IF(AND(Noty!H395=0,Noty!I395=0),"ukryj","odkryj")</f>
        <v>ukryj</v>
      </c>
      <c r="N395" s="172"/>
      <c r="AE395" s="257" t="s">
        <v>9644</v>
      </c>
      <c r="AF395" s="257" t="s">
        <v>9645</v>
      </c>
    </row>
    <row r="396" spans="1:32" s="257" customFormat="1" ht="13.6" customHeight="1" x14ac:dyDescent="0.25">
      <c r="A396" s="171"/>
      <c r="B396" s="520"/>
      <c r="C396" s="1367"/>
      <c r="D396" s="1367"/>
      <c r="E396" s="1367"/>
      <c r="F396" s="1367"/>
      <c r="G396" s="1002"/>
      <c r="H396" s="802"/>
      <c r="I396" s="802"/>
      <c r="J396" s="499" t="str">
        <f>IF(AND(Noty!H396=0,Noty!I396=0),"ukryj","odkryj")</f>
        <v>ukryj</v>
      </c>
      <c r="N396" s="172"/>
      <c r="AE396" s="257" t="s">
        <v>9646</v>
      </c>
      <c r="AF396" s="257" t="s">
        <v>9647</v>
      </c>
    </row>
    <row r="397" spans="1:32" s="257" customFormat="1" ht="13.6" customHeight="1" x14ac:dyDescent="0.25">
      <c r="A397" s="171"/>
      <c r="B397" s="520"/>
      <c r="C397" s="1367"/>
      <c r="D397" s="1367"/>
      <c r="E397" s="1367"/>
      <c r="F397" s="1367"/>
      <c r="G397" s="1002"/>
      <c r="H397" s="802"/>
      <c r="I397" s="802"/>
      <c r="J397" s="499" t="str">
        <f>IF(AND(Noty!H397=0,Noty!I397=0),"ukryj","odkryj")</f>
        <v>ukryj</v>
      </c>
      <c r="N397" s="172"/>
      <c r="AE397" s="257" t="s">
        <v>9648</v>
      </c>
      <c r="AF397" s="257" t="s">
        <v>9649</v>
      </c>
    </row>
    <row r="398" spans="1:32" s="257" customFormat="1" ht="13.6" customHeight="1" x14ac:dyDescent="0.25">
      <c r="A398" s="171"/>
      <c r="B398" s="520"/>
      <c r="C398" s="1367"/>
      <c r="D398" s="1367"/>
      <c r="E398" s="1367"/>
      <c r="F398" s="1367"/>
      <c r="G398" s="1002"/>
      <c r="H398" s="802"/>
      <c r="I398" s="802"/>
      <c r="J398" s="499" t="str">
        <f>IF(AND(Noty!H398=0,Noty!I398=0),"ukryj","odkryj")</f>
        <v>ukryj</v>
      </c>
      <c r="N398" s="172"/>
      <c r="AE398" s="257" t="s">
        <v>9650</v>
      </c>
      <c r="AF398" s="257" t="s">
        <v>9651</v>
      </c>
    </row>
    <row r="399" spans="1:32" s="257" customFormat="1" ht="13.6" customHeight="1" x14ac:dyDescent="0.25">
      <c r="A399" s="171"/>
      <c r="B399" s="520"/>
      <c r="C399" s="1367"/>
      <c r="D399" s="1367"/>
      <c r="E399" s="1367"/>
      <c r="F399" s="1367"/>
      <c r="G399" s="1002"/>
      <c r="H399" s="802"/>
      <c r="I399" s="802"/>
      <c r="J399" s="499" t="str">
        <f>IF(AND(Noty!H399=0,Noty!I399=0),"ukryj","odkryj")</f>
        <v>ukryj</v>
      </c>
      <c r="N399" s="172"/>
      <c r="AE399" s="257" t="s">
        <v>9652</v>
      </c>
      <c r="AF399" s="257" t="s">
        <v>9653</v>
      </c>
    </row>
    <row r="400" spans="1:32" s="257" customFormat="1" ht="13.6" customHeight="1" x14ac:dyDescent="0.25">
      <c r="A400" s="171"/>
      <c r="B400" s="520"/>
      <c r="C400" s="1367"/>
      <c r="D400" s="1367"/>
      <c r="E400" s="1367"/>
      <c r="F400" s="1367"/>
      <c r="G400" s="1002"/>
      <c r="H400" s="802"/>
      <c r="I400" s="802"/>
      <c r="J400" s="499" t="str">
        <f>IF(AND(Noty!H400=0,Noty!I400=0),"ukryj","odkryj")</f>
        <v>ukryj</v>
      </c>
      <c r="N400" s="172"/>
      <c r="AE400" s="257" t="s">
        <v>9654</v>
      </c>
      <c r="AF400" s="257" t="s">
        <v>9655</v>
      </c>
    </row>
    <row r="401" spans="1:32" s="257" customFormat="1" ht="13.6" customHeight="1" x14ac:dyDescent="0.25">
      <c r="A401" s="171"/>
      <c r="B401" s="520"/>
      <c r="C401" s="1367"/>
      <c r="D401" s="1367"/>
      <c r="E401" s="1367"/>
      <c r="F401" s="1367"/>
      <c r="G401" s="1002"/>
      <c r="H401" s="802"/>
      <c r="I401" s="802"/>
      <c r="J401" s="499" t="str">
        <f>IF(AND(Noty!H401=0,Noty!I401=0),"ukryj","odkryj")</f>
        <v>ukryj</v>
      </c>
      <c r="N401" s="172"/>
      <c r="AE401" s="257" t="s">
        <v>9656</v>
      </c>
      <c r="AF401" s="257" t="s">
        <v>9657</v>
      </c>
    </row>
    <row r="402" spans="1:32" s="257" customFormat="1" ht="13.6" customHeight="1" x14ac:dyDescent="0.25">
      <c r="A402" s="171"/>
      <c r="B402" s="520"/>
      <c r="C402" s="1367"/>
      <c r="D402" s="1367"/>
      <c r="E402" s="1367"/>
      <c r="F402" s="1367"/>
      <c r="G402" s="1002"/>
      <c r="H402" s="802"/>
      <c r="I402" s="802"/>
      <c r="J402" s="499" t="str">
        <f>IF(AND(Noty!H402=0,Noty!I402=0),"ukryj","odkryj")</f>
        <v>ukryj</v>
      </c>
      <c r="N402" s="172"/>
      <c r="AE402" s="257" t="s">
        <v>9658</v>
      </c>
      <c r="AF402" s="257" t="s">
        <v>9659</v>
      </c>
    </row>
    <row r="403" spans="1:32" s="257" customFormat="1" ht="13.6" customHeight="1" x14ac:dyDescent="0.25">
      <c r="A403" s="171"/>
      <c r="B403" s="520"/>
      <c r="C403" s="1367"/>
      <c r="D403" s="1367"/>
      <c r="E403" s="1367"/>
      <c r="F403" s="1367"/>
      <c r="G403" s="1002"/>
      <c r="H403" s="802"/>
      <c r="I403" s="802"/>
      <c r="J403" s="499" t="str">
        <f>IF(AND(Noty!H403=0,Noty!I403=0),"ukryj","odkryj")</f>
        <v>ukryj</v>
      </c>
      <c r="N403" s="172"/>
      <c r="AE403" s="257" t="s">
        <v>9660</v>
      </c>
      <c r="AF403" s="257" t="s">
        <v>9661</v>
      </c>
    </row>
    <row r="404" spans="1:32" s="257" customFormat="1" ht="28.5" customHeight="1" x14ac:dyDescent="0.25">
      <c r="A404" s="171"/>
      <c r="B404" s="520"/>
      <c r="C404" s="1368" t="s">
        <v>9662</v>
      </c>
      <c r="D404" s="1368"/>
      <c r="E404" s="1368"/>
      <c r="F404" s="1368"/>
      <c r="G404" s="1003"/>
      <c r="H404" s="802"/>
      <c r="I404" s="802"/>
      <c r="J404" s="499" t="str">
        <f>IF(AND(Noty!H404=0,Noty!I404=0),"ukryj","odkryj")</f>
        <v>ukryj</v>
      </c>
      <c r="N404" s="172"/>
      <c r="AE404" s="257" t="s">
        <v>9663</v>
      </c>
      <c r="AF404" s="257" t="s">
        <v>9664</v>
      </c>
    </row>
    <row r="405" spans="1:32" s="257" customFormat="1" ht="13.6" customHeight="1" collapsed="1" x14ac:dyDescent="0.25">
      <c r="A405" s="171"/>
      <c r="B405" s="520"/>
      <c r="C405" s="538"/>
      <c r="D405" s="538"/>
      <c r="E405" s="202"/>
      <c r="F405" s="202"/>
      <c r="G405" s="610"/>
      <c r="H405" s="803">
        <f>SUM(H395:H404)</f>
        <v>0</v>
      </c>
      <c r="I405" s="803">
        <f>SUM(I395:I404)</f>
        <v>0</v>
      </c>
      <c r="J405" s="499" t="str">
        <f>IF(AND(Noty!H405=0,Noty!I405=0),"ukryj","odkryj")</f>
        <v>ukryj</v>
      </c>
      <c r="N405" s="172"/>
    </row>
    <row r="406" spans="1:32" s="257" customFormat="1" ht="13.6" customHeight="1" x14ac:dyDescent="0.25">
      <c r="A406" s="171"/>
      <c r="B406" s="520"/>
      <c r="C406" s="378"/>
      <c r="D406" s="378"/>
      <c r="E406" s="202"/>
      <c r="F406" s="202"/>
      <c r="G406" s="202"/>
      <c r="H406" s="377"/>
      <c r="I406" s="377"/>
      <c r="J406" s="499" t="str">
        <f>Noty!J405</f>
        <v>ukryj</v>
      </c>
      <c r="N406" s="172"/>
    </row>
    <row r="407" spans="1:32" s="257" customFormat="1" ht="13.6" customHeight="1" x14ac:dyDescent="0.25">
      <c r="A407" s="171"/>
      <c r="B407" s="520"/>
      <c r="C407" s="257" t="s">
        <v>8262</v>
      </c>
      <c r="D407" s="538"/>
      <c r="E407" s="202"/>
      <c r="F407" s="202"/>
      <c r="G407" s="202"/>
      <c r="H407" s="538"/>
      <c r="I407" s="538"/>
      <c r="J407" s="499" t="str">
        <f>Noty!J418</f>
        <v>ukryj</v>
      </c>
      <c r="K407" s="489"/>
      <c r="N407" s="172"/>
    </row>
    <row r="408" spans="1:32" s="257" customFormat="1" ht="13.6" customHeight="1" x14ac:dyDescent="0.25">
      <c r="A408" s="171"/>
      <c r="B408" s="520"/>
      <c r="C408" s="1367"/>
      <c r="D408" s="1367"/>
      <c r="E408" s="1367"/>
      <c r="F408" s="1367"/>
      <c r="G408" s="1002"/>
      <c r="H408" s="639"/>
      <c r="I408" s="639"/>
      <c r="J408" s="499" t="str">
        <f>IF(AND(Noty!H408=0,Noty!I408=0),"ukryj","odkryj")</f>
        <v>ukryj</v>
      </c>
      <c r="N408" s="172"/>
      <c r="AE408" s="257" t="s">
        <v>9665</v>
      </c>
      <c r="AF408" s="257" t="s">
        <v>9666</v>
      </c>
    </row>
    <row r="409" spans="1:32" s="257" customFormat="1" ht="13.6" customHeight="1" x14ac:dyDescent="0.25">
      <c r="A409" s="171"/>
      <c r="B409" s="520"/>
      <c r="C409" s="1367"/>
      <c r="D409" s="1367"/>
      <c r="E409" s="1367"/>
      <c r="F409" s="1367"/>
      <c r="G409" s="1002"/>
      <c r="H409" s="802"/>
      <c r="I409" s="802"/>
      <c r="J409" s="499" t="str">
        <f>IF(AND(Noty!H409=0,Noty!I409=0),"ukryj","odkryj")</f>
        <v>ukryj</v>
      </c>
      <c r="N409" s="172"/>
      <c r="AE409" s="257" t="s">
        <v>9667</v>
      </c>
      <c r="AF409" s="257" t="s">
        <v>9668</v>
      </c>
    </row>
    <row r="410" spans="1:32" s="257" customFormat="1" ht="13.6" customHeight="1" x14ac:dyDescent="0.25">
      <c r="A410" s="171"/>
      <c r="B410" s="520"/>
      <c r="C410" s="1367"/>
      <c r="D410" s="1367"/>
      <c r="E410" s="1367"/>
      <c r="F410" s="1367"/>
      <c r="G410" s="1002"/>
      <c r="H410" s="802"/>
      <c r="I410" s="802"/>
      <c r="J410" s="499" t="str">
        <f>IF(AND(Noty!H410=0,Noty!I410=0),"ukryj","odkryj")</f>
        <v>ukryj</v>
      </c>
      <c r="N410" s="172"/>
      <c r="AE410" s="257" t="s">
        <v>9669</v>
      </c>
      <c r="AF410" s="257" t="s">
        <v>9670</v>
      </c>
    </row>
    <row r="411" spans="1:32" s="257" customFormat="1" ht="13.6" customHeight="1" x14ac:dyDescent="0.25">
      <c r="A411" s="171"/>
      <c r="B411" s="520"/>
      <c r="C411" s="1367"/>
      <c r="D411" s="1367"/>
      <c r="E411" s="1367"/>
      <c r="F411" s="1367"/>
      <c r="G411" s="1002"/>
      <c r="H411" s="802"/>
      <c r="I411" s="802"/>
      <c r="J411" s="499" t="str">
        <f>IF(AND(Noty!H411=0,Noty!I411=0),"ukryj","odkryj")</f>
        <v>ukryj</v>
      </c>
      <c r="N411" s="172"/>
      <c r="AE411" s="257" t="s">
        <v>9671</v>
      </c>
      <c r="AF411" s="257" t="s">
        <v>9672</v>
      </c>
    </row>
    <row r="412" spans="1:32" s="257" customFormat="1" ht="13.6" customHeight="1" x14ac:dyDescent="0.25">
      <c r="A412" s="171"/>
      <c r="B412" s="520"/>
      <c r="C412" s="1367"/>
      <c r="D412" s="1367"/>
      <c r="E412" s="1367"/>
      <c r="F412" s="1367"/>
      <c r="G412" s="1002"/>
      <c r="H412" s="802"/>
      <c r="I412" s="802"/>
      <c r="J412" s="499" t="str">
        <f>IF(AND(Noty!H412=0,Noty!I412=0),"ukryj","odkryj")</f>
        <v>ukryj</v>
      </c>
      <c r="N412" s="172"/>
      <c r="AE412" s="257" t="s">
        <v>9673</v>
      </c>
      <c r="AF412" s="257" t="s">
        <v>9674</v>
      </c>
    </row>
    <row r="413" spans="1:32" s="257" customFormat="1" ht="13.6" customHeight="1" x14ac:dyDescent="0.25">
      <c r="A413" s="171"/>
      <c r="B413" s="520"/>
      <c r="C413" s="1367"/>
      <c r="D413" s="1367"/>
      <c r="E413" s="1367"/>
      <c r="F413" s="1367"/>
      <c r="G413" s="1002"/>
      <c r="H413" s="802"/>
      <c r="I413" s="802"/>
      <c r="J413" s="499" t="str">
        <f>IF(AND(Noty!H413=0,Noty!I413=0),"ukryj","odkryj")</f>
        <v>ukryj</v>
      </c>
      <c r="N413" s="172"/>
      <c r="AE413" s="257" t="s">
        <v>9675</v>
      </c>
      <c r="AF413" s="257" t="s">
        <v>9676</v>
      </c>
    </row>
    <row r="414" spans="1:32" s="257" customFormat="1" ht="13.6" customHeight="1" x14ac:dyDescent="0.25">
      <c r="A414" s="171"/>
      <c r="B414" s="520"/>
      <c r="C414" s="1367"/>
      <c r="D414" s="1367"/>
      <c r="E414" s="1367"/>
      <c r="F414" s="1367"/>
      <c r="G414" s="1002"/>
      <c r="H414" s="802"/>
      <c r="I414" s="802"/>
      <c r="J414" s="499" t="str">
        <f>IF(AND(Noty!H414=0,Noty!I414=0),"ukryj","odkryj")</f>
        <v>ukryj</v>
      </c>
      <c r="N414" s="172"/>
      <c r="AE414" s="257" t="s">
        <v>9677</v>
      </c>
      <c r="AF414" s="257" t="s">
        <v>9678</v>
      </c>
    </row>
    <row r="415" spans="1:32" s="257" customFormat="1" ht="13.6" customHeight="1" x14ac:dyDescent="0.25">
      <c r="A415" s="171"/>
      <c r="B415" s="520"/>
      <c r="C415" s="1367"/>
      <c r="D415" s="1367"/>
      <c r="E415" s="1367"/>
      <c r="F415" s="1367"/>
      <c r="G415" s="1002"/>
      <c r="H415" s="802"/>
      <c r="I415" s="802"/>
      <c r="J415" s="499" t="str">
        <f>IF(AND(Noty!H415=0,Noty!I415=0),"ukryj","odkryj")</f>
        <v>ukryj</v>
      </c>
      <c r="N415" s="172"/>
      <c r="AE415" s="257" t="s">
        <v>9679</v>
      </c>
      <c r="AF415" s="257" t="s">
        <v>9680</v>
      </c>
    </row>
    <row r="416" spans="1:32" s="257" customFormat="1" ht="13.6" customHeight="1" x14ac:dyDescent="0.25">
      <c r="A416" s="171"/>
      <c r="B416" s="520"/>
      <c r="C416" s="1367"/>
      <c r="D416" s="1367"/>
      <c r="E416" s="1367"/>
      <c r="F416" s="1367"/>
      <c r="G416" s="1002"/>
      <c r="H416" s="802"/>
      <c r="I416" s="802"/>
      <c r="J416" s="499" t="str">
        <f>IF(AND(Noty!H416=0,Noty!I416=0),"ukryj","odkryj")</f>
        <v>ukryj</v>
      </c>
      <c r="N416" s="172"/>
      <c r="AE416" s="257" t="s">
        <v>9681</v>
      </c>
      <c r="AF416" s="257" t="s">
        <v>9682</v>
      </c>
    </row>
    <row r="417" spans="1:32" s="257" customFormat="1" ht="27.85" customHeight="1" x14ac:dyDescent="0.25">
      <c r="A417" s="171"/>
      <c r="B417" s="520"/>
      <c r="C417" s="1368" t="s">
        <v>9662</v>
      </c>
      <c r="D417" s="1368"/>
      <c r="E417" s="1368"/>
      <c r="F417" s="1368"/>
      <c r="G417" s="1003"/>
      <c r="H417" s="802"/>
      <c r="I417" s="802"/>
      <c r="J417" s="499" t="str">
        <f>IF(AND(Noty!H417=0,Noty!I417=0),"ukryj","odkryj")</f>
        <v>ukryj</v>
      </c>
      <c r="N417" s="172"/>
      <c r="AE417" s="257" t="s">
        <v>9683</v>
      </c>
      <c r="AF417" s="257" t="s">
        <v>9684</v>
      </c>
    </row>
    <row r="418" spans="1:32" s="257" customFormat="1" ht="13.6" customHeight="1" x14ac:dyDescent="0.25">
      <c r="A418" s="171"/>
      <c r="B418" s="520"/>
      <c r="C418" s="538"/>
      <c r="D418" s="538"/>
      <c r="E418" s="202"/>
      <c r="F418" s="202"/>
      <c r="G418" s="610"/>
      <c r="H418" s="803">
        <f>SUM(H408:H417)</f>
        <v>0</v>
      </c>
      <c r="I418" s="803">
        <f>SUM(I408:I417)</f>
        <v>0</v>
      </c>
      <c r="J418" s="499" t="str">
        <f>IF(AND(Noty!H418=0,Noty!I418=0),"ukryj","odkryj")</f>
        <v>ukryj</v>
      </c>
      <c r="N418" s="172"/>
    </row>
    <row r="419" spans="1:32" s="257" customFormat="1" ht="13.6" customHeight="1" x14ac:dyDescent="0.25">
      <c r="A419" s="171"/>
      <c r="B419" s="520"/>
      <c r="C419" s="824"/>
      <c r="D419" s="838"/>
      <c r="E419" s="838"/>
      <c r="F419" s="202"/>
      <c r="G419" s="202"/>
      <c r="H419" s="505"/>
      <c r="I419" s="505"/>
      <c r="J419" s="499" t="str">
        <f>Noty!J418</f>
        <v>ukryj</v>
      </c>
      <c r="N419" s="172"/>
    </row>
    <row r="420" spans="1:32" s="257" customFormat="1" ht="13.6" customHeight="1" x14ac:dyDescent="0.25">
      <c r="A420" s="171"/>
      <c r="B420" s="520"/>
      <c r="C420" s="824" t="s">
        <v>9280</v>
      </c>
      <c r="D420" s="838"/>
      <c r="E420" s="838"/>
      <c r="F420" s="202"/>
      <c r="G420" s="610"/>
      <c r="H420" s="642">
        <f>H418+H405</f>
        <v>0</v>
      </c>
      <c r="I420" s="642">
        <f>I418+I405</f>
        <v>0</v>
      </c>
      <c r="J420" s="499" t="str">
        <f>IF(AND(Noty!H420=0,Noty!I420=0),"ukryj","odkryj")</f>
        <v>ukryj</v>
      </c>
      <c r="N420" s="172"/>
    </row>
    <row r="421" spans="1:32" s="257" customFormat="1" ht="13.6" customHeight="1" thickBot="1" x14ac:dyDescent="0.3">
      <c r="A421" s="171"/>
      <c r="B421" s="520"/>
      <c r="C421" s="824"/>
      <c r="D421" s="838"/>
      <c r="E421" s="838"/>
      <c r="F421" s="202"/>
      <c r="G421" s="377"/>
      <c r="H421" s="377"/>
      <c r="I421" s="377"/>
      <c r="J421" s="499" t="str">
        <f>Noty!J420</f>
        <v>ukryj</v>
      </c>
      <c r="L421" s="496"/>
      <c r="N421" s="172"/>
    </row>
    <row r="422" spans="1:32" s="200" customFormat="1" ht="15.75" customHeight="1" thickBot="1" x14ac:dyDescent="0.35">
      <c r="A422" s="1180">
        <f>IF(K422="n/a",A390,A390+1)</f>
        <v>0</v>
      </c>
      <c r="B422" s="1182"/>
      <c r="C422" s="1388" t="s">
        <v>7608</v>
      </c>
      <c r="D422" s="1388"/>
      <c r="E422" s="1388"/>
      <c r="F422" s="1388"/>
      <c r="G422" s="1388"/>
      <c r="H422" s="1388"/>
      <c r="I422" s="1388"/>
      <c r="J422" s="499" t="str">
        <f>IF(Noty!K422="n/a","ukryj","odkryj")</f>
        <v>ukryj</v>
      </c>
      <c r="K422" s="1213" t="str">
        <f>IF(AND(K424="n/a",K438="n/a",K448="n/a"),"n/a","")</f>
        <v>n/a</v>
      </c>
      <c r="L422" s="492" t="str">
        <f>A422&amp;"."&amp;B422</f>
        <v>0.</v>
      </c>
      <c r="N422" s="1101" t="s">
        <v>9378</v>
      </c>
      <c r="O422" s="489" t="str">
        <f>A422&amp;"."&amp;B422</f>
        <v>0.</v>
      </c>
    </row>
    <row r="423" spans="1:32" s="200" customFormat="1" ht="13.6" customHeight="1" thickBot="1" x14ac:dyDescent="0.3">
      <c r="A423" s="508"/>
      <c r="B423" s="520"/>
      <c r="D423" s="196"/>
      <c r="E423" s="196"/>
      <c r="F423" s="196"/>
      <c r="G423" s="196"/>
      <c r="H423" s="196"/>
      <c r="I423" s="196"/>
      <c r="J423" s="499" t="str">
        <f>Noty!J422</f>
        <v>ukryj</v>
      </c>
      <c r="N423" s="387"/>
    </row>
    <row r="424" spans="1:32" s="200" customFormat="1" ht="13.6" customHeight="1" thickBot="1" x14ac:dyDescent="0.35">
      <c r="A424" s="1183">
        <f>A422</f>
        <v>0</v>
      </c>
      <c r="B424" s="1184">
        <f>+IF(K424="n/a",0,1)</f>
        <v>0</v>
      </c>
      <c r="C424" s="1389" t="s">
        <v>9685</v>
      </c>
      <c r="D424" s="1389"/>
      <c r="E424" s="1389"/>
      <c r="F424" s="1389"/>
      <c r="G424" s="1389"/>
      <c r="H424" s="1389"/>
      <c r="I424" s="1389"/>
      <c r="J424" s="499" t="str">
        <f>IF(Noty!K424="n/a","ukryj","odkryj")</f>
        <v>ukryj</v>
      </c>
      <c r="K424" s="1213" t="str">
        <f>IF(Input!D109="nie","n/a","")</f>
        <v>n/a</v>
      </c>
      <c r="L424" s="971" t="str">
        <f>A424&amp;"."&amp;B424</f>
        <v>0.0</v>
      </c>
      <c r="N424" s="1101" t="s">
        <v>9378</v>
      </c>
      <c r="O424" s="489" t="str">
        <f>A424&amp;"."&amp;B424</f>
        <v>0.0</v>
      </c>
    </row>
    <row r="425" spans="1:32" s="200" customFormat="1" ht="13.6" customHeight="1" x14ac:dyDescent="0.25">
      <c r="A425" s="508"/>
      <c r="B425" s="520"/>
      <c r="D425" s="196"/>
      <c r="E425" s="196"/>
      <c r="F425" s="196"/>
      <c r="G425" s="196"/>
      <c r="H425" s="196"/>
      <c r="I425" s="196"/>
      <c r="J425" s="499" t="str">
        <f>Noty!J424</f>
        <v>ukryj</v>
      </c>
      <c r="N425" s="387"/>
    </row>
    <row r="426" spans="1:32" s="200" customFormat="1" ht="13.6" customHeight="1" x14ac:dyDescent="0.25">
      <c r="A426" s="194"/>
      <c r="B426" s="520"/>
      <c r="C426" s="1464" t="s">
        <v>9686</v>
      </c>
      <c r="D426" s="1464"/>
      <c r="E426" s="1464"/>
      <c r="F426" s="1464"/>
      <c r="G426" s="1464"/>
      <c r="H426" s="1464"/>
      <c r="I426" s="1464"/>
      <c r="J426" s="499" t="s">
        <v>5125</v>
      </c>
      <c r="N426" s="387"/>
    </row>
    <row r="427" spans="1:32" s="200" customFormat="1" ht="13.6" customHeight="1" x14ac:dyDescent="0.25">
      <c r="A427" s="508"/>
      <c r="B427" s="520"/>
      <c r="D427" s="196"/>
      <c r="E427" s="196"/>
      <c r="F427" s="196"/>
      <c r="G427" s="196"/>
      <c r="H427" s="196"/>
      <c r="I427" s="196"/>
      <c r="J427" s="499" t="str">
        <f>Noty!J425</f>
        <v>ukryj</v>
      </c>
      <c r="N427" s="387"/>
    </row>
    <row r="428" spans="1:32" s="200" customFormat="1" ht="18.850000000000001" customHeight="1" x14ac:dyDescent="0.25">
      <c r="A428" s="508"/>
      <c r="B428" s="1363"/>
      <c r="C428" s="1364"/>
      <c r="D428" s="196"/>
      <c r="E428" s="1365" t="str">
        <f>CONCATENATE("Rodzaj zapasu  (w wartości brutto) na dzień ",Input!C7)</f>
        <v>Rodzaj zapasu  (w wartości brutto) na dzień 31.12.2020</v>
      </c>
      <c r="F428" s="1365"/>
      <c r="G428" s="1365"/>
      <c r="H428" s="1365"/>
      <c r="I428" s="1365"/>
      <c r="J428" s="499" t="str">
        <f>Noty!J427</f>
        <v>ukryj</v>
      </c>
      <c r="N428" s="387"/>
    </row>
    <row r="429" spans="1:32" s="200" customFormat="1" ht="27" customHeight="1" x14ac:dyDescent="0.25">
      <c r="A429" s="508"/>
      <c r="B429" s="1363"/>
      <c r="C429" s="1364"/>
      <c r="D429" s="196"/>
      <c r="E429" s="814" t="s">
        <v>8116</v>
      </c>
      <c r="F429" s="823" t="s">
        <v>8126</v>
      </c>
      <c r="G429" s="814" t="s">
        <v>8131</v>
      </c>
      <c r="H429" s="1366" t="s">
        <v>8121</v>
      </c>
      <c r="I429" s="1366"/>
      <c r="J429" s="499" t="str">
        <f>Noty!J428</f>
        <v>ukryj</v>
      </c>
      <c r="N429" s="387"/>
    </row>
    <row r="430" spans="1:32" s="200" customFormat="1" ht="13.6" customHeight="1" x14ac:dyDescent="0.25">
      <c r="A430" s="508"/>
      <c r="C430" s="388" t="s">
        <v>9380</v>
      </c>
      <c r="D430" s="196"/>
      <c r="E430" s="815"/>
      <c r="F430" s="815"/>
      <c r="G430" s="815"/>
      <c r="H430" s="1371"/>
      <c r="I430" s="1371"/>
      <c r="J430" s="499" t="str">
        <f>IF(AND(Noty!E430=0,Noty!F430=0,Noty!G430=0,Noty!H430=0),"ukryj","odkryj")</f>
        <v>ukryj</v>
      </c>
      <c r="N430" s="387"/>
    </row>
    <row r="431" spans="1:32" s="200" customFormat="1" ht="27" customHeight="1" x14ac:dyDescent="0.25">
      <c r="A431" s="508"/>
      <c r="C431" s="389" t="s">
        <v>9687</v>
      </c>
      <c r="D431" s="196"/>
      <c r="E431" s="638"/>
      <c r="F431" s="638"/>
      <c r="G431" s="638"/>
      <c r="H431" s="1372"/>
      <c r="I431" s="1372"/>
      <c r="J431" s="499" t="str">
        <f>IF(AND(Noty!E431=0,Noty!F431=0,Noty!G431=0,Noty!H431=0),"ukryj","odkryj")</f>
        <v>ukryj</v>
      </c>
      <c r="N431" s="387"/>
    </row>
    <row r="432" spans="1:32" s="200" customFormat="1" ht="13.6" customHeight="1" x14ac:dyDescent="0.25">
      <c r="A432" s="508"/>
      <c r="C432" s="388" t="s">
        <v>9427</v>
      </c>
      <c r="D432" s="196"/>
      <c r="E432" s="803">
        <f>E430+E431</f>
        <v>0</v>
      </c>
      <c r="F432" s="803">
        <f>F430+F431</f>
        <v>0</v>
      </c>
      <c r="G432" s="803">
        <f>G430+G431</f>
        <v>0</v>
      </c>
      <c r="H432" s="1300">
        <f>H430+H431</f>
        <v>0</v>
      </c>
      <c r="I432" s="1300"/>
      <c r="J432" s="499" t="str">
        <f>IF(AND(Noty!E432=0,Noty!F432=0,Noty!G432=0,Noty!H432=0),"ukryj","odkryj")</f>
        <v>ukryj</v>
      </c>
      <c r="N432" s="387"/>
    </row>
    <row r="433" spans="1:32" s="200" customFormat="1" ht="13.6" customHeight="1" x14ac:dyDescent="0.25">
      <c r="A433" s="194"/>
      <c r="B433" s="520"/>
      <c r="C433" s="390" t="s">
        <v>9688</v>
      </c>
      <c r="D433" s="196"/>
      <c r="E433" s="196"/>
      <c r="F433" s="196"/>
      <c r="G433" s="196"/>
      <c r="H433" s="196"/>
      <c r="I433" s="196"/>
      <c r="J433" s="499" t="s">
        <v>5125</v>
      </c>
      <c r="N433" s="387"/>
    </row>
    <row r="434" spans="1:32" s="200" customFormat="1" ht="13.6" customHeight="1" x14ac:dyDescent="0.25">
      <c r="A434" s="489"/>
      <c r="B434" s="520"/>
      <c r="C434" s="390"/>
      <c r="D434" s="196"/>
      <c r="E434" s="196"/>
      <c r="F434" s="196"/>
      <c r="G434" s="196"/>
      <c r="H434" s="196"/>
      <c r="I434" s="196"/>
      <c r="J434" s="499" t="s">
        <v>5125</v>
      </c>
      <c r="N434" s="387"/>
    </row>
    <row r="435" spans="1:32" s="200" customFormat="1" ht="13.6" customHeight="1" x14ac:dyDescent="0.25">
      <c r="A435" s="489"/>
      <c r="B435" s="520"/>
      <c r="C435" s="390"/>
      <c r="D435" s="196"/>
      <c r="E435" s="196"/>
      <c r="F435" s="196"/>
      <c r="G435" s="251"/>
      <c r="H435" s="999" t="str">
        <f>+Input!$P$7</f>
        <v>31.12.2020</v>
      </c>
      <c r="I435" s="1000" t="str">
        <f>+Input!$P$11</f>
        <v>31.12.2019</v>
      </c>
      <c r="J435" s="499" t="s">
        <v>5125</v>
      </c>
      <c r="N435" s="387"/>
    </row>
    <row r="436" spans="1:32" s="200" customFormat="1" ht="27" customHeight="1" x14ac:dyDescent="0.25">
      <c r="A436" s="508"/>
      <c r="B436" s="526"/>
      <c r="C436" s="1374" t="s">
        <v>9689</v>
      </c>
      <c r="D436" s="1374"/>
      <c r="E436" s="1374"/>
      <c r="F436" s="1374"/>
      <c r="G436" s="991"/>
      <c r="H436" s="643"/>
      <c r="I436" s="643"/>
      <c r="J436" s="499" t="str">
        <f>IF(Noty!J424="ukryj","ukryj","odkryj")</f>
        <v>ukryj</v>
      </c>
      <c r="N436" s="387"/>
      <c r="AE436" s="200" t="s">
        <v>9690</v>
      </c>
      <c r="AF436" s="200" t="s">
        <v>9691</v>
      </c>
    </row>
    <row r="437" spans="1:32" s="200" customFormat="1" ht="13.6" customHeight="1" thickBot="1" x14ac:dyDescent="0.3">
      <c r="A437" s="508"/>
      <c r="B437" s="526"/>
      <c r="C437" s="391"/>
      <c r="D437" s="644"/>
      <c r="E437" s="644"/>
      <c r="F437" s="644"/>
      <c r="G437" s="644"/>
      <c r="H437" s="644"/>
      <c r="I437" s="644"/>
      <c r="J437" s="499" t="str">
        <f>Noty!J436</f>
        <v>ukryj</v>
      </c>
      <c r="N437" s="387"/>
    </row>
    <row r="438" spans="1:32" s="200" customFormat="1" ht="15.75" customHeight="1" thickBot="1" x14ac:dyDescent="0.35">
      <c r="A438" s="1183">
        <f>A422</f>
        <v>0</v>
      </c>
      <c r="B438" s="1184">
        <f>+IF(K438="n/a",B424,B424+1)</f>
        <v>0</v>
      </c>
      <c r="C438" s="1369" t="s">
        <v>9692</v>
      </c>
      <c r="D438" s="1369"/>
      <c r="E438" s="1369"/>
      <c r="F438" s="1369"/>
      <c r="G438" s="1369"/>
      <c r="H438" s="1369"/>
      <c r="I438" s="1369"/>
      <c r="J438" s="499" t="str">
        <f>IF(Noty!K438="n/a","ukryj","odkryj")</f>
        <v>ukryj</v>
      </c>
      <c r="K438" s="1213" t="str">
        <f>IF(Input!D110="nie","n/a","")</f>
        <v>n/a</v>
      </c>
      <c r="L438" s="971" t="str">
        <f>A438&amp;"."&amp;B438</f>
        <v>0.0</v>
      </c>
      <c r="N438" s="1101" t="s">
        <v>9378</v>
      </c>
      <c r="O438" s="489" t="str">
        <f>A438&amp;"."&amp;B438</f>
        <v>0.0</v>
      </c>
    </row>
    <row r="439" spans="1:32" s="200" customFormat="1" x14ac:dyDescent="0.25">
      <c r="A439" s="508"/>
      <c r="B439" s="819"/>
      <c r="C439" s="392"/>
      <c r="D439" s="646"/>
      <c r="E439" s="646"/>
      <c r="F439" s="646"/>
      <c r="G439" s="646"/>
      <c r="H439" s="646"/>
      <c r="I439" s="196"/>
      <c r="J439" s="499" t="str">
        <f>Noty!J438</f>
        <v>ukryj</v>
      </c>
      <c r="N439" s="387"/>
    </row>
    <row r="440" spans="1:32" s="200" customFormat="1" ht="54" customHeight="1" x14ac:dyDescent="0.25">
      <c r="A440" s="508"/>
      <c r="B440" s="527"/>
      <c r="C440" s="817" t="s">
        <v>9485</v>
      </c>
      <c r="D440" s="816" t="s">
        <v>9693</v>
      </c>
      <c r="E440" s="816" t="s">
        <v>9694</v>
      </c>
      <c r="F440" s="816" t="s">
        <v>9695</v>
      </c>
      <c r="G440" s="1373" t="s">
        <v>9696</v>
      </c>
      <c r="H440" s="1373"/>
      <c r="I440" s="816" t="s">
        <v>9697</v>
      </c>
      <c r="J440" s="499" t="str">
        <f>Noty!J439</f>
        <v>ukryj</v>
      </c>
      <c r="N440" s="387"/>
    </row>
    <row r="441" spans="1:32" s="200" customFormat="1" ht="13.6" customHeight="1" x14ac:dyDescent="0.25">
      <c r="A441" s="508"/>
      <c r="B441" s="528"/>
      <c r="C441" s="805" t="str">
        <f>CONCATENATE("B.O. ",Input!$P$6)</f>
        <v>B.O. 01.01.2020</v>
      </c>
      <c r="D441" s="802"/>
      <c r="E441" s="802"/>
      <c r="F441" s="802"/>
      <c r="G441" s="1298"/>
      <c r="H441" s="1298"/>
      <c r="I441" s="800">
        <f>IF(AND(E441&lt;=0,F441&lt;=0,G441&lt;=0,D441&lt;=0),SUM(D441:G441),"Błąd - wpisano wartość dodatnią")</f>
        <v>0</v>
      </c>
      <c r="J441" s="499" t="str">
        <f>IF(Noty!I441=0,"ukryj","odkryj")</f>
        <v>ukryj</v>
      </c>
      <c r="N441" s="387"/>
    </row>
    <row r="442" spans="1:32" s="200" customFormat="1" ht="13.6" customHeight="1" x14ac:dyDescent="0.25">
      <c r="A442" s="508"/>
      <c r="B442" s="529"/>
      <c r="C442" s="809" t="s">
        <v>9698</v>
      </c>
      <c r="D442" s="802"/>
      <c r="E442" s="802"/>
      <c r="F442" s="802"/>
      <c r="G442" s="1298"/>
      <c r="H442" s="1298"/>
      <c r="I442" s="800">
        <f>IF(AND(E442&lt;=0,F442&lt;=0,G442&lt;=0,D442&lt;=0),SUM(D442:G442),"Błąd - wpisano wartość dodatnią")</f>
        <v>0</v>
      </c>
      <c r="J442" s="499" t="str">
        <f>IF(Noty!I442=0,"ukryj","odkryj")</f>
        <v>ukryj</v>
      </c>
      <c r="N442" s="387"/>
    </row>
    <row r="443" spans="1:32" s="200" customFormat="1" ht="13.6" customHeight="1" x14ac:dyDescent="0.25">
      <c r="A443" s="508"/>
      <c r="B443" s="529"/>
      <c r="C443" s="809" t="s">
        <v>9699</v>
      </c>
      <c r="D443" s="638"/>
      <c r="E443" s="638"/>
      <c r="F443" s="638"/>
      <c r="G443" s="1309"/>
      <c r="H443" s="1309"/>
      <c r="I443" s="800">
        <f>SUM(D443:G443)</f>
        <v>0</v>
      </c>
      <c r="J443" s="499" t="str">
        <f>IF(Noty!I443=0,"ukryj","odkryj")</f>
        <v>ukryj</v>
      </c>
      <c r="N443" s="387"/>
    </row>
    <row r="444" spans="1:32" s="200" customFormat="1" ht="13.6" customHeight="1" x14ac:dyDescent="0.25">
      <c r="A444" s="508"/>
      <c r="B444" s="529"/>
      <c r="C444" s="809" t="s">
        <v>9700</v>
      </c>
      <c r="D444" s="638"/>
      <c r="E444" s="638"/>
      <c r="F444" s="638"/>
      <c r="G444" s="1309"/>
      <c r="H444" s="1309"/>
      <c r="I444" s="800">
        <f>SUM(D444:G444)</f>
        <v>0</v>
      </c>
      <c r="J444" s="499" t="str">
        <f>IF(Noty!I444=0,"ukryj","odkryj")</f>
        <v>ukryj</v>
      </c>
      <c r="N444" s="387"/>
    </row>
    <row r="445" spans="1:32" s="200" customFormat="1" ht="13.6" customHeight="1" x14ac:dyDescent="0.25">
      <c r="A445" s="508"/>
      <c r="B445" s="529"/>
      <c r="C445" s="809"/>
      <c r="D445" s="647"/>
      <c r="E445" s="648"/>
      <c r="F445" s="647"/>
      <c r="G445" s="647"/>
      <c r="H445" s="647"/>
      <c r="I445" s="647"/>
      <c r="J445" s="499" t="str">
        <f>Noty!J444</f>
        <v>ukryj</v>
      </c>
      <c r="N445" s="387"/>
    </row>
    <row r="446" spans="1:32" s="200" customFormat="1" ht="13.6" customHeight="1" x14ac:dyDescent="0.25">
      <c r="A446" s="508"/>
      <c r="B446" s="528"/>
      <c r="C446" s="821" t="str">
        <f>CONCATENATE("B.Z. ",Input!$P$7)</f>
        <v>B.Z. 31.12.2020</v>
      </c>
      <c r="D446" s="803">
        <f>D441+D442+D443+D444</f>
        <v>0</v>
      </c>
      <c r="E446" s="803">
        <f>E441+E442+E443+E444</f>
        <v>0</v>
      </c>
      <c r="F446" s="803">
        <f>F441+F442+F443+F444</f>
        <v>0</v>
      </c>
      <c r="G446" s="1300">
        <f>G441+G442+G443+G444</f>
        <v>0</v>
      </c>
      <c r="H446" s="1300"/>
      <c r="I446" s="803">
        <f>I441+I442+I443+I444</f>
        <v>0</v>
      </c>
      <c r="J446" s="499" t="str">
        <f>IF(Noty!I446=0,"ukryj","odkryj")</f>
        <v>ukryj</v>
      </c>
      <c r="N446" s="387"/>
    </row>
    <row r="447" spans="1:32" s="200" customFormat="1" ht="13.6" customHeight="1" thickBot="1" x14ac:dyDescent="0.3">
      <c r="A447" s="508"/>
      <c r="B447" s="526"/>
      <c r="C447" s="391"/>
      <c r="D447" s="644"/>
      <c r="E447" s="644"/>
      <c r="F447" s="644"/>
      <c r="G447" s="644"/>
      <c r="H447" s="644"/>
      <c r="I447" s="644"/>
      <c r="J447" s="499" t="str">
        <f>Noty!J446</f>
        <v>ukryj</v>
      </c>
      <c r="N447" s="387"/>
    </row>
    <row r="448" spans="1:32" s="394" customFormat="1" ht="15.75" thickBot="1" x14ac:dyDescent="0.35">
      <c r="A448" s="1183">
        <f>A422</f>
        <v>0</v>
      </c>
      <c r="B448" s="1184">
        <f>IF(K448="n/a",B438,B438+1)</f>
        <v>0</v>
      </c>
      <c r="C448" s="1369" t="s">
        <v>9701</v>
      </c>
      <c r="D448" s="1369"/>
      <c r="E448" s="1369"/>
      <c r="F448" s="1369"/>
      <c r="G448" s="1369"/>
      <c r="H448" s="1369"/>
      <c r="I448" s="1369"/>
      <c r="J448" s="499" t="str">
        <f>IF(Noty!K448="n/a","ukryj","odkryj")</f>
        <v>ukryj</v>
      </c>
      <c r="K448" s="1213" t="str">
        <f>IF(Input!D111="nie","n/a","")</f>
        <v>n/a</v>
      </c>
      <c r="L448" s="971" t="str">
        <f>A448&amp;"."&amp;B448</f>
        <v>0.0</v>
      </c>
      <c r="N448" s="1101" t="s">
        <v>9378</v>
      </c>
      <c r="O448" s="489" t="str">
        <f>A448&amp;"."&amp;B448</f>
        <v>0.0</v>
      </c>
    </row>
    <row r="449" spans="1:32" s="394" customFormat="1" x14ac:dyDescent="0.25">
      <c r="A449" s="513"/>
      <c r="B449" s="523"/>
      <c r="D449" s="196"/>
      <c r="E449" s="196"/>
      <c r="F449" s="196"/>
      <c r="G449" s="196"/>
      <c r="H449" s="196"/>
      <c r="I449" s="196"/>
      <c r="J449" s="499" t="str">
        <f>Noty!J448</f>
        <v>ukryj</v>
      </c>
      <c r="N449" s="387"/>
    </row>
    <row r="450" spans="1:32" s="394" customFormat="1" x14ac:dyDescent="0.25">
      <c r="A450" s="513"/>
      <c r="B450" s="523"/>
      <c r="D450" s="196"/>
      <c r="E450" s="196"/>
      <c r="F450" s="196"/>
      <c r="G450" s="9"/>
      <c r="H450" s="999" t="str">
        <f>+Input!$P$7</f>
        <v>31.12.2020</v>
      </c>
      <c r="I450" s="1000" t="str">
        <f>+Input!$P$11</f>
        <v>31.12.2019</v>
      </c>
      <c r="J450" s="499" t="str">
        <f>Noty!J449</f>
        <v>ukryj</v>
      </c>
      <c r="N450" s="387"/>
    </row>
    <row r="451" spans="1:32" s="200" customFormat="1" x14ac:dyDescent="0.25">
      <c r="A451" s="508"/>
      <c r="B451" s="520"/>
      <c r="D451" s="196"/>
      <c r="E451" s="196"/>
      <c r="F451" s="196"/>
      <c r="J451" s="499" t="str">
        <f>Noty!J450</f>
        <v>ukryj</v>
      </c>
      <c r="N451" s="387"/>
    </row>
    <row r="452" spans="1:32" s="200" customFormat="1" x14ac:dyDescent="0.25">
      <c r="A452" s="508"/>
      <c r="B452" s="520"/>
      <c r="C452" s="188" t="s">
        <v>8131</v>
      </c>
      <c r="D452" s="196"/>
      <c r="E452" s="196"/>
      <c r="F452" s="196"/>
      <c r="J452" s="499" t="str">
        <f>Noty!J451</f>
        <v>ukryj</v>
      </c>
      <c r="N452" s="387"/>
    </row>
    <row r="453" spans="1:32" s="200" customFormat="1" x14ac:dyDescent="0.25">
      <c r="A453" s="508"/>
      <c r="B453" s="520"/>
      <c r="C453" s="539" t="s">
        <v>9702</v>
      </c>
      <c r="E453" s="196"/>
      <c r="F453" s="196"/>
      <c r="G453" s="9"/>
      <c r="H453" s="638"/>
      <c r="I453" s="638"/>
      <c r="J453" s="499" t="str">
        <f>IF(AND(Noty!H453=0,Noty!I453=0),"ukryj","odkryj")</f>
        <v>ukryj</v>
      </c>
      <c r="N453" s="387"/>
      <c r="AE453" s="257" t="s">
        <v>9703</v>
      </c>
      <c r="AF453" s="257" t="s">
        <v>9704</v>
      </c>
    </row>
    <row r="454" spans="1:32" s="200" customFormat="1" x14ac:dyDescent="0.25">
      <c r="A454" s="508"/>
      <c r="B454" s="520"/>
      <c r="C454" s="539" t="s">
        <v>9705</v>
      </c>
      <c r="E454" s="196"/>
      <c r="F454" s="196"/>
      <c r="G454" s="9"/>
      <c r="H454" s="638"/>
      <c r="I454" s="638"/>
      <c r="J454" s="499" t="str">
        <f>IF(AND(Noty!H454=0,Noty!I454=0),"ukryj","odkryj")</f>
        <v>ukryj</v>
      </c>
      <c r="N454" s="387"/>
      <c r="AE454" s="257" t="s">
        <v>9706</v>
      </c>
      <c r="AF454" s="257" t="s">
        <v>9707</v>
      </c>
    </row>
    <row r="455" spans="1:32" s="200" customFormat="1" x14ac:dyDescent="0.25">
      <c r="A455" s="508"/>
      <c r="B455" s="520"/>
      <c r="C455" s="188"/>
      <c r="D455" s="196"/>
      <c r="E455" s="196"/>
      <c r="F455" s="196"/>
      <c r="G455" s="9"/>
      <c r="H455" s="803">
        <f>SUM(H453:H454)</f>
        <v>0</v>
      </c>
      <c r="I455" s="803">
        <f>SUM(I453:I454)</f>
        <v>0</v>
      </c>
      <c r="J455" s="499" t="str">
        <f>IF(AND(Noty!H455=0,Noty!I455=0),"ukryj","odkryj")</f>
        <v>ukryj</v>
      </c>
      <c r="N455" s="387"/>
    </row>
    <row r="456" spans="1:32" s="200" customFormat="1" x14ac:dyDescent="0.25">
      <c r="A456" s="508"/>
      <c r="B456" s="520"/>
      <c r="C456" s="188" t="s">
        <v>9708</v>
      </c>
      <c r="D456" s="196"/>
      <c r="E456" s="196"/>
      <c r="F456" s="196"/>
      <c r="H456" s="196"/>
      <c r="I456" s="196"/>
      <c r="J456" s="499" t="str">
        <f>Noty!J455</f>
        <v>ukryj</v>
      </c>
      <c r="N456" s="387"/>
    </row>
    <row r="457" spans="1:32" s="200" customFormat="1" x14ac:dyDescent="0.25">
      <c r="A457" s="508"/>
      <c r="B457" s="520"/>
      <c r="C457" s="539" t="s">
        <v>9702</v>
      </c>
      <c r="E457" s="196"/>
      <c r="F457" s="196"/>
      <c r="G457" s="9"/>
      <c r="H457" s="638"/>
      <c r="I457" s="638"/>
      <c r="J457" s="499" t="str">
        <f>IF(AND(Noty!H457=0,Noty!I457=0),"ukryj","odkryj")</f>
        <v>ukryj</v>
      </c>
      <c r="N457" s="387"/>
      <c r="AE457" s="257" t="s">
        <v>9709</v>
      </c>
      <c r="AF457" s="257" t="s">
        <v>9710</v>
      </c>
    </row>
    <row r="458" spans="1:32" s="200" customFormat="1" x14ac:dyDescent="0.25">
      <c r="A458" s="508"/>
      <c r="B458" s="520"/>
      <c r="C458" s="539" t="s">
        <v>9705</v>
      </c>
      <c r="E458" s="196"/>
      <c r="F458" s="196"/>
      <c r="G458" s="9"/>
      <c r="H458" s="638"/>
      <c r="I458" s="638"/>
      <c r="J458" s="499" t="str">
        <f>IF(AND(Noty!H458=0,Noty!I458=0),"ukryj","odkryj")</f>
        <v>ukryj</v>
      </c>
      <c r="N458" s="387"/>
      <c r="AE458" s="257" t="s">
        <v>9711</v>
      </c>
      <c r="AF458" s="257" t="s">
        <v>9712</v>
      </c>
    </row>
    <row r="459" spans="1:32" s="200" customFormat="1" x14ac:dyDescent="0.25">
      <c r="A459" s="508"/>
      <c r="B459" s="520"/>
      <c r="C459" s="188"/>
      <c r="D459" s="196"/>
      <c r="E459" s="196"/>
      <c r="F459" s="196"/>
      <c r="G459" s="9"/>
      <c r="H459" s="803">
        <f>SUM(H457:H458)</f>
        <v>0</v>
      </c>
      <c r="I459" s="803">
        <f>SUM(I457:I458)</f>
        <v>0</v>
      </c>
      <c r="J459" s="499" t="str">
        <f>IF(AND(Noty!H459=0,Noty!I459=0),"ukryj","odkryj")</f>
        <v>ukryj</v>
      </c>
      <c r="N459" s="387"/>
    </row>
    <row r="460" spans="1:32" s="200" customFormat="1" x14ac:dyDescent="0.25">
      <c r="A460" s="508"/>
      <c r="B460" s="520"/>
      <c r="C460" s="395" t="s">
        <v>7724</v>
      </c>
      <c r="D460" s="196"/>
      <c r="E460" s="196"/>
      <c r="F460" s="196"/>
      <c r="G460" s="196"/>
      <c r="H460" s="196"/>
      <c r="I460" s="196"/>
      <c r="J460" s="499" t="s">
        <v>5125</v>
      </c>
      <c r="N460" s="387"/>
    </row>
    <row r="461" spans="1:32" s="394" customFormat="1" ht="26.2" customHeight="1" x14ac:dyDescent="0.25">
      <c r="A461" s="513"/>
      <c r="B461" s="523"/>
      <c r="C461" s="1370" t="s">
        <v>9713</v>
      </c>
      <c r="D461" s="1370"/>
      <c r="E461" s="1370"/>
      <c r="F461" s="1370"/>
      <c r="G461" s="1370"/>
      <c r="H461" s="1370"/>
      <c r="I461" s="1370"/>
      <c r="J461" s="499" t="str">
        <f>IF(Noty!J448="ukryj","ukryj","odkryj")</f>
        <v>ukryj</v>
      </c>
      <c r="N461" s="387"/>
    </row>
    <row r="462" spans="1:32" s="394" customFormat="1" ht="26.2" customHeight="1" thickBot="1" x14ac:dyDescent="0.3">
      <c r="A462" s="513"/>
      <c r="B462" s="523"/>
      <c r="C462" s="396"/>
      <c r="D462" s="584"/>
      <c r="E462" s="584"/>
      <c r="F462" s="584"/>
      <c r="G462" s="584"/>
      <c r="H462" s="584"/>
      <c r="I462" s="584"/>
      <c r="J462" s="499" t="str">
        <f>Noty!J461</f>
        <v>ukryj</v>
      </c>
      <c r="N462" s="387"/>
    </row>
    <row r="463" spans="1:32" s="366" customFormat="1" ht="15.75" customHeight="1" thickBot="1" x14ac:dyDescent="0.35">
      <c r="A463" s="1180">
        <f>IF(K463="n/a",A448,A448+1)</f>
        <v>0</v>
      </c>
      <c r="B463" s="1186"/>
      <c r="C463" s="1465" t="s">
        <v>7618</v>
      </c>
      <c r="D463" s="1465"/>
      <c r="E463" s="1465"/>
      <c r="F463" s="1465"/>
      <c r="G463" s="1465"/>
      <c r="H463" s="1465"/>
      <c r="I463" s="1465"/>
      <c r="J463" s="499" t="str">
        <f>IF(Noty!K463="n/a","ukryj","odkryj")</f>
        <v>ukryj</v>
      </c>
      <c r="K463" s="1213" t="str">
        <f>IF(AND(K465="n/a",K509="n/a",K535="n/a"),"n/a","")</f>
        <v>n/a</v>
      </c>
      <c r="L463" s="496" t="str">
        <f>A463&amp;"."&amp;B463</f>
        <v>0.</v>
      </c>
      <c r="N463" s="1101" t="s">
        <v>9378</v>
      </c>
      <c r="O463" s="489" t="str">
        <f>A463&amp;"."&amp;B463</f>
        <v>0.</v>
      </c>
    </row>
    <row r="464" spans="1:32" s="366" customFormat="1" ht="13.6" customHeight="1" thickBot="1" x14ac:dyDescent="0.3">
      <c r="A464" s="514"/>
      <c r="B464" s="810"/>
      <c r="C464" s="397"/>
      <c r="D464" s="650"/>
      <c r="E464" s="651"/>
      <c r="F464" s="651"/>
      <c r="G464" s="651"/>
      <c r="H464" s="651"/>
      <c r="I464" s="651"/>
      <c r="J464" s="499" t="str">
        <f>Noty!J463</f>
        <v>ukryj</v>
      </c>
      <c r="N464" s="398"/>
    </row>
    <row r="465" spans="1:32" s="366" customFormat="1" ht="15.75" customHeight="1" thickBot="1" x14ac:dyDescent="0.35">
      <c r="A465" s="1183">
        <f>A463</f>
        <v>0</v>
      </c>
      <c r="B465" s="1184">
        <f>IF(K465="n/a",0,1)</f>
        <v>0</v>
      </c>
      <c r="C465" s="1369" t="s">
        <v>9714</v>
      </c>
      <c r="D465" s="1369"/>
      <c r="E465" s="1369"/>
      <c r="F465" s="1369"/>
      <c r="G465" s="1369"/>
      <c r="H465" s="1369"/>
      <c r="I465" s="1369"/>
      <c r="J465" s="499" t="str">
        <f>IF(Noty!K465="n/a","ukryj","odkryj")</f>
        <v>ukryj</v>
      </c>
      <c r="K465" s="1213" t="str">
        <f>IF(Input!D113="nie","n/a","")</f>
        <v>n/a</v>
      </c>
      <c r="L465" s="496" t="str">
        <f>A465&amp;"."&amp;B465</f>
        <v>0.0</v>
      </c>
      <c r="N465" s="1101" t="s">
        <v>9378</v>
      </c>
      <c r="O465" s="489" t="str">
        <f>A465&amp;"."&amp;B465</f>
        <v>0.0</v>
      </c>
    </row>
    <row r="466" spans="1:32" s="366" customFormat="1" ht="12.8" customHeight="1" x14ac:dyDescent="0.25">
      <c r="A466" s="514"/>
      <c r="B466" s="810"/>
      <c r="C466" s="397"/>
      <c r="D466" s="645"/>
      <c r="E466" s="651"/>
      <c r="F466" s="651"/>
      <c r="G466" s="651"/>
      <c r="H466" s="651"/>
      <c r="I466" s="651"/>
      <c r="J466" s="499" t="str">
        <f>Noty!J465</f>
        <v>ukryj</v>
      </c>
      <c r="M466" s="399"/>
      <c r="N466" s="398"/>
    </row>
    <row r="467" spans="1:32" s="571" customFormat="1" ht="13.6" customHeight="1" x14ac:dyDescent="0.25">
      <c r="A467" s="514"/>
      <c r="B467" s="810"/>
      <c r="C467" s="1375" t="s">
        <v>9485</v>
      </c>
      <c r="D467" s="1375"/>
      <c r="E467" s="818"/>
      <c r="F467" s="818"/>
      <c r="G467" s="1376" t="str">
        <f>CONCATENATE("Stan na ",Input!C7)</f>
        <v>Stan na 31.12.2020</v>
      </c>
      <c r="H467" s="1376"/>
      <c r="I467" s="1376"/>
      <c r="J467" s="499" t="str">
        <f>Noty!J466</f>
        <v>ukryj</v>
      </c>
      <c r="N467" s="400"/>
    </row>
    <row r="468" spans="1:32" s="571" customFormat="1" ht="27" customHeight="1" x14ac:dyDescent="0.25">
      <c r="A468" s="514"/>
      <c r="B468" s="810"/>
      <c r="C468" s="1375"/>
      <c r="D468" s="1375"/>
      <c r="E468" s="818"/>
      <c r="F468" s="818"/>
      <c r="G468" s="816" t="s">
        <v>9715</v>
      </c>
      <c r="H468" s="816" t="s">
        <v>9716</v>
      </c>
      <c r="I468" s="818" t="s">
        <v>9717</v>
      </c>
      <c r="J468" s="499" t="str">
        <f>Noty!J467</f>
        <v>ukryj</v>
      </c>
      <c r="N468" s="400"/>
    </row>
    <row r="469" spans="1:32" s="401" customFormat="1" ht="15.05" customHeight="1" x14ac:dyDescent="0.25">
      <c r="A469" s="514"/>
      <c r="B469" s="810"/>
      <c r="C469" s="401" t="s">
        <v>9718</v>
      </c>
      <c r="D469" s="649"/>
      <c r="E469" s="649"/>
      <c r="F469" s="649"/>
      <c r="G469" s="800">
        <f>+G470+G473</f>
        <v>0</v>
      </c>
      <c r="H469" s="800">
        <f>+H470+H473</f>
        <v>0</v>
      </c>
      <c r="I469" s="800">
        <f>+G469+H469</f>
        <v>0</v>
      </c>
      <c r="J469" s="499" t="str">
        <f>IF(AND(Noty!G469=0,Noty!H469=0,Noty!I469=0),"ukryj","odkryj")</f>
        <v>ukryj</v>
      </c>
      <c r="N469" s="402"/>
    </row>
    <row r="470" spans="1:32" s="366" customFormat="1" ht="15.05" customHeight="1" x14ac:dyDescent="0.25">
      <c r="A470" s="514"/>
      <c r="B470" s="810"/>
      <c r="C470" s="366" t="s">
        <v>9719</v>
      </c>
      <c r="D470" s="652"/>
      <c r="E470" s="652"/>
      <c r="F470" s="652"/>
      <c r="G470" s="800">
        <f>SUM(G471:G472)</f>
        <v>0</v>
      </c>
      <c r="H470" s="800">
        <f>SUM(H471:H472)</f>
        <v>0</v>
      </c>
      <c r="I470" s="800">
        <f>+G470+H470</f>
        <v>0</v>
      </c>
      <c r="J470" s="499" t="str">
        <f>IF(AND(Noty!G470=0,Noty!H470=0,Noty!I470=0),"ukryj","odkryj")</f>
        <v>ukryj</v>
      </c>
      <c r="N470" s="398"/>
    </row>
    <row r="471" spans="1:32" s="366" customFormat="1" ht="13.6" customHeight="1" x14ac:dyDescent="0.25">
      <c r="A471" s="514"/>
      <c r="B471" s="810"/>
      <c r="C471" s="403" t="s">
        <v>8151</v>
      </c>
      <c r="D471" s="653"/>
      <c r="E471" s="654"/>
      <c r="F471" s="654"/>
      <c r="G471" s="639"/>
      <c r="H471" s="655"/>
      <c r="I471" s="800">
        <f t="shared" ref="I471:I485" si="11">+G471+H471</f>
        <v>0</v>
      </c>
      <c r="J471" s="499" t="str">
        <f>IF(AND(Noty!G471=0,Noty!H471=0,Noty!I471=0),"ukryj","odkryj")</f>
        <v>ukryj</v>
      </c>
      <c r="N471" s="398"/>
      <c r="AD471" s="257" t="s">
        <v>9720</v>
      </c>
      <c r="AE471" s="257" t="s">
        <v>9721</v>
      </c>
      <c r="AF471" s="257"/>
    </row>
    <row r="472" spans="1:32" s="366" customFormat="1" ht="13.6" customHeight="1" x14ac:dyDescent="0.25">
      <c r="A472" s="514"/>
      <c r="B472" s="810"/>
      <c r="C472" s="403" t="s">
        <v>8156</v>
      </c>
      <c r="D472" s="653"/>
      <c r="E472" s="654"/>
      <c r="F472" s="654"/>
      <c r="G472" s="639"/>
      <c r="H472" s="656"/>
      <c r="I472" s="800">
        <f t="shared" si="11"/>
        <v>0</v>
      </c>
      <c r="J472" s="499" t="str">
        <f>IF(AND(Noty!G472=0,Noty!H472=0,Noty!I472=0),"ukryj","odkryj")</f>
        <v>ukryj</v>
      </c>
      <c r="N472" s="398"/>
      <c r="AD472" s="257" t="s">
        <v>9722</v>
      </c>
      <c r="AE472" s="257" t="s">
        <v>9723</v>
      </c>
      <c r="AF472" s="257"/>
    </row>
    <row r="473" spans="1:32" s="366" customFormat="1" ht="13.6" customHeight="1" x14ac:dyDescent="0.25">
      <c r="A473" s="514"/>
      <c r="B473" s="810"/>
      <c r="C473" s="820" t="s">
        <v>8161</v>
      </c>
      <c r="D473" s="653"/>
      <c r="E473" s="654"/>
      <c r="F473" s="654"/>
      <c r="G473" s="639"/>
      <c r="H473" s="655"/>
      <c r="I473" s="800">
        <f t="shared" si="11"/>
        <v>0</v>
      </c>
      <c r="J473" s="499" t="str">
        <f>IF(AND(Noty!G473=0,Noty!H473=0,Noty!I473=0),"ukryj","odkryj")</f>
        <v>ukryj</v>
      </c>
      <c r="N473" s="398"/>
      <c r="AD473" s="257" t="s">
        <v>9724</v>
      </c>
      <c r="AE473" s="257" t="s">
        <v>9725</v>
      </c>
      <c r="AF473" s="257"/>
    </row>
    <row r="474" spans="1:32" s="366" customFormat="1" ht="27" customHeight="1" x14ac:dyDescent="0.25">
      <c r="A474" s="514"/>
      <c r="B474" s="810"/>
      <c r="C474" s="1377" t="s">
        <v>9726</v>
      </c>
      <c r="D474" s="1377"/>
      <c r="E474" s="1377"/>
      <c r="F474" s="1377"/>
      <c r="G474" s="800">
        <f>G475+G478</f>
        <v>0</v>
      </c>
      <c r="H474" s="800">
        <f>H475+H478</f>
        <v>0</v>
      </c>
      <c r="I474" s="800">
        <f t="shared" si="11"/>
        <v>0</v>
      </c>
      <c r="J474" s="499" t="str">
        <f>IF(AND(Noty!G474=0,Noty!H474=0,Noty!I474=0),"ukryj","odkryj")</f>
        <v>ukryj</v>
      </c>
      <c r="N474" s="398"/>
    </row>
    <row r="475" spans="1:32" s="366" customFormat="1" ht="15.05" customHeight="1" x14ac:dyDescent="0.25">
      <c r="A475" s="514"/>
      <c r="B475" s="810"/>
      <c r="C475" s="366" t="s">
        <v>9719</v>
      </c>
      <c r="D475" s="651"/>
      <c r="E475" s="651"/>
      <c r="F475" s="651"/>
      <c r="G475" s="800">
        <f>SUM(G476:G477)</f>
        <v>0</v>
      </c>
      <c r="H475" s="800">
        <f>SUM(H476:H477)</f>
        <v>0</v>
      </c>
      <c r="I475" s="800">
        <f>+G475+H475</f>
        <v>0</v>
      </c>
      <c r="J475" s="499" t="str">
        <f>IF(AND(Noty!G475=0,Noty!H475=0,Noty!I475=0),"ukryj","odkryj")</f>
        <v>ukryj</v>
      </c>
      <c r="N475" s="398"/>
    </row>
    <row r="476" spans="1:32" s="366" customFormat="1" ht="13.6" customHeight="1" x14ac:dyDescent="0.25">
      <c r="A476" s="514"/>
      <c r="B476" s="810"/>
      <c r="C476" s="403" t="s">
        <v>8151</v>
      </c>
      <c r="D476" s="657"/>
      <c r="E476" s="654"/>
      <c r="F476" s="654"/>
      <c r="G476" s="639"/>
      <c r="H476" s="655"/>
      <c r="I476" s="800">
        <f t="shared" si="11"/>
        <v>0</v>
      </c>
      <c r="J476" s="499" t="str">
        <f>IF(AND(Noty!G476=0,Noty!H476=0,Noty!I476=0),"ukryj","odkryj")</f>
        <v>ukryj</v>
      </c>
      <c r="N476" s="398"/>
      <c r="AD476" s="257" t="s">
        <v>9727</v>
      </c>
      <c r="AE476" s="257" t="s">
        <v>9728</v>
      </c>
      <c r="AF476" s="257"/>
    </row>
    <row r="477" spans="1:32" s="366" customFormat="1" ht="13.6" customHeight="1" x14ac:dyDescent="0.25">
      <c r="A477" s="514"/>
      <c r="B477" s="810"/>
      <c r="C477" s="403" t="s">
        <v>8156</v>
      </c>
      <c r="D477" s="657"/>
      <c r="E477" s="654"/>
      <c r="F477" s="654"/>
      <c r="G477" s="639"/>
      <c r="H477" s="655"/>
      <c r="I477" s="800">
        <f t="shared" si="11"/>
        <v>0</v>
      </c>
      <c r="J477" s="499" t="str">
        <f>IF(AND(Noty!G477=0,Noty!H477=0,Noty!I477=0),"ukryj","odkryj")</f>
        <v>ukryj</v>
      </c>
      <c r="N477" s="398"/>
      <c r="AD477" s="257" t="s">
        <v>9729</v>
      </c>
      <c r="AE477" s="257" t="s">
        <v>9730</v>
      </c>
      <c r="AF477" s="257"/>
    </row>
    <row r="478" spans="1:32" s="366" customFormat="1" ht="13.6" customHeight="1" x14ac:dyDescent="0.25">
      <c r="A478" s="514"/>
      <c r="B478" s="810"/>
      <c r="C478" s="1378" t="s">
        <v>8161</v>
      </c>
      <c r="D478" s="1378"/>
      <c r="E478" s="654"/>
      <c r="F478" s="654"/>
      <c r="G478" s="639"/>
      <c r="H478" s="655"/>
      <c r="I478" s="800">
        <f t="shared" si="11"/>
        <v>0</v>
      </c>
      <c r="J478" s="499" t="str">
        <f>IF(AND(Noty!G478=0,Noty!H478=0,Noty!I478=0),"ukryj","odkryj")</f>
        <v>ukryj</v>
      </c>
      <c r="N478" s="398"/>
      <c r="AD478" s="257" t="s">
        <v>9731</v>
      </c>
      <c r="AE478" s="257" t="s">
        <v>9732</v>
      </c>
      <c r="AF478" s="257"/>
    </row>
    <row r="479" spans="1:32" s="366" customFormat="1" x14ac:dyDescent="0.25">
      <c r="A479" s="514"/>
      <c r="B479" s="810"/>
      <c r="C479" s="1377" t="s">
        <v>9733</v>
      </c>
      <c r="D479" s="1377"/>
      <c r="E479" s="1377"/>
      <c r="F479" s="1377"/>
      <c r="G479" s="800">
        <f>SUM(G480+G483+G484+G485)</f>
        <v>0</v>
      </c>
      <c r="H479" s="800">
        <f>SUM(H480+H483+H484+H485)</f>
        <v>0</v>
      </c>
      <c r="I479" s="800">
        <f t="shared" si="11"/>
        <v>0</v>
      </c>
      <c r="J479" s="499" t="str">
        <f>IF(AND(Noty!G479=0,Noty!H479=0,Noty!I479=0),"ukryj","odkryj")</f>
        <v>ukryj</v>
      </c>
      <c r="N479" s="398"/>
    </row>
    <row r="480" spans="1:32" s="401" customFormat="1" ht="15.05" customHeight="1" x14ac:dyDescent="0.25">
      <c r="A480" s="514"/>
      <c r="B480" s="810"/>
      <c r="C480" s="366" t="s">
        <v>9719</v>
      </c>
      <c r="D480" s="651"/>
      <c r="E480" s="651"/>
      <c r="F480" s="651"/>
      <c r="G480" s="800">
        <f>SUM(G481+G482)</f>
        <v>0</v>
      </c>
      <c r="H480" s="800">
        <f>SUM(H481+H482)</f>
        <v>0</v>
      </c>
      <c r="I480" s="800">
        <f t="shared" si="11"/>
        <v>0</v>
      </c>
      <c r="J480" s="499" t="str">
        <f>IF(AND(Noty!G480=0,Noty!H480=0,Noty!I480=0),"ukryj","odkryj")</f>
        <v>ukryj</v>
      </c>
      <c r="N480" s="402"/>
    </row>
    <row r="481" spans="1:32" s="401" customFormat="1" x14ac:dyDescent="0.25">
      <c r="A481" s="514"/>
      <c r="B481" s="810"/>
      <c r="C481" s="403" t="s">
        <v>8151</v>
      </c>
      <c r="D481" s="653"/>
      <c r="E481" s="658"/>
      <c r="F481" s="658"/>
      <c r="G481" s="639"/>
      <c r="H481" s="655"/>
      <c r="I481" s="800">
        <f t="shared" si="11"/>
        <v>0</v>
      </c>
      <c r="J481" s="499" t="str">
        <f>IF(AND(Noty!G481=0,Noty!H481=0,Noty!I481=0),"ukryj","odkryj")</f>
        <v>ukryj</v>
      </c>
      <c r="N481" s="402"/>
      <c r="AD481" s="257" t="s">
        <v>9734</v>
      </c>
      <c r="AE481" s="257" t="s">
        <v>9735</v>
      </c>
      <c r="AF481" s="257"/>
    </row>
    <row r="482" spans="1:32" s="401" customFormat="1" x14ac:dyDescent="0.25">
      <c r="A482" s="514"/>
      <c r="B482" s="810"/>
      <c r="C482" s="403" t="s">
        <v>8156</v>
      </c>
      <c r="D482" s="653"/>
      <c r="E482" s="658"/>
      <c r="F482" s="658"/>
      <c r="G482" s="639"/>
      <c r="H482" s="655"/>
      <c r="I482" s="800">
        <f t="shared" si="11"/>
        <v>0</v>
      </c>
      <c r="J482" s="499" t="str">
        <f>IF(AND(Noty!G482=0,Noty!H482=0,Noty!I482=0),"ukryj","odkryj")</f>
        <v>ukryj</v>
      </c>
      <c r="N482" s="402"/>
      <c r="AD482" s="257" t="s">
        <v>9736</v>
      </c>
      <c r="AE482" s="257" t="s">
        <v>9737</v>
      </c>
      <c r="AF482" s="257"/>
    </row>
    <row r="483" spans="1:32" s="366" customFormat="1" ht="27.85" customHeight="1" x14ac:dyDescent="0.25">
      <c r="A483" s="514"/>
      <c r="B483" s="810"/>
      <c r="C483" s="1378" t="s">
        <v>8190</v>
      </c>
      <c r="D483" s="1378"/>
      <c r="E483" s="1378"/>
      <c r="F483" s="1378"/>
      <c r="G483" s="655"/>
      <c r="H483" s="655"/>
      <c r="I483" s="800">
        <f t="shared" si="11"/>
        <v>0</v>
      </c>
      <c r="J483" s="499" t="str">
        <f>IF(AND(Noty!G483=0,Noty!H483=0,Noty!I483=0),"ukryj","odkryj")</f>
        <v>ukryj</v>
      </c>
      <c r="N483" s="398"/>
      <c r="AD483" s="257" t="s">
        <v>9738</v>
      </c>
      <c r="AE483" s="257" t="s">
        <v>9739</v>
      </c>
      <c r="AF483" s="257"/>
    </row>
    <row r="484" spans="1:32" s="366" customFormat="1" ht="13.6" customHeight="1" x14ac:dyDescent="0.25">
      <c r="A484" s="514"/>
      <c r="B484" s="810"/>
      <c r="C484" s="809" t="s">
        <v>8161</v>
      </c>
      <c r="D484" s="659"/>
      <c r="E484" s="654"/>
      <c r="F484" s="654"/>
      <c r="G484" s="639"/>
      <c r="H484" s="655"/>
      <c r="I484" s="800">
        <f t="shared" si="11"/>
        <v>0</v>
      </c>
      <c r="J484" s="499" t="str">
        <f>IF(AND(Noty!G484=0,Noty!H484=0,Noty!I484=0),"ukryj","odkryj")</f>
        <v>ukryj</v>
      </c>
      <c r="N484" s="398"/>
      <c r="AD484" s="257" t="s">
        <v>9740</v>
      </c>
      <c r="AE484" s="257" t="s">
        <v>9741</v>
      </c>
    </row>
    <row r="485" spans="1:32" s="366" customFormat="1" ht="13.6" customHeight="1" x14ac:dyDescent="0.25">
      <c r="A485" s="514"/>
      <c r="B485" s="810"/>
      <c r="C485" s="839" t="s">
        <v>8198</v>
      </c>
      <c r="D485" s="653"/>
      <c r="E485" s="654"/>
      <c r="F485" s="654"/>
      <c r="G485" s="639"/>
      <c r="H485" s="655"/>
      <c r="I485" s="800">
        <f t="shared" si="11"/>
        <v>0</v>
      </c>
      <c r="J485" s="499" t="str">
        <f>IF(AND(Noty!G485=0,Noty!H485=0,Noty!I485=0),"ukryj","odkryj")</f>
        <v>ukryj</v>
      </c>
      <c r="N485" s="398"/>
      <c r="AD485" s="257" t="s">
        <v>9742</v>
      </c>
      <c r="AE485" s="257" t="s">
        <v>9743</v>
      </c>
    </row>
    <row r="486" spans="1:32" s="401" customFormat="1" ht="13.6" customHeight="1" x14ac:dyDescent="0.25">
      <c r="A486" s="514"/>
      <c r="B486" s="810"/>
      <c r="C486" s="397"/>
      <c r="D486" s="660"/>
      <c r="E486" s="661"/>
      <c r="F486" s="661"/>
      <c r="G486" s="803">
        <f>SUM(G469+G479)</f>
        <v>0</v>
      </c>
      <c r="H486" s="803">
        <f>SUM(H469+H479)</f>
        <v>0</v>
      </c>
      <c r="I486" s="803">
        <f>SUM(I469+I479)</f>
        <v>0</v>
      </c>
      <c r="J486" s="499" t="str">
        <f>IF(AND(Noty!G486=0,Noty!H486=0,Noty!I486=0),"ukryj","odkryj")</f>
        <v>ukryj</v>
      </c>
      <c r="N486" s="402"/>
    </row>
    <row r="487" spans="1:32" s="257" customFormat="1" x14ac:dyDescent="0.25">
      <c r="A487" s="171"/>
      <c r="D487" s="202"/>
      <c r="E487" s="202"/>
      <c r="F487" s="202"/>
      <c r="G487" s="202"/>
      <c r="H487" s="202"/>
      <c r="I487" s="608"/>
      <c r="J487" s="499" t="str">
        <f>Noty!J486</f>
        <v>ukryj</v>
      </c>
      <c r="N487" s="172"/>
    </row>
    <row r="488" spans="1:32" s="571" customFormat="1" ht="13.6" customHeight="1" x14ac:dyDescent="0.25">
      <c r="A488" s="514"/>
      <c r="B488" s="810"/>
      <c r="C488" s="1375" t="s">
        <v>9485</v>
      </c>
      <c r="D488" s="1375"/>
      <c r="E488" s="818"/>
      <c r="F488" s="818"/>
      <c r="G488" s="1376" t="str">
        <f>CONCATENATE("Stan na ",Input!P11)</f>
        <v>Stan na 31.12.2019</v>
      </c>
      <c r="H488" s="1376"/>
      <c r="I488" s="1376"/>
      <c r="J488" s="499" t="str">
        <f>Noty!J467</f>
        <v>ukryj</v>
      </c>
      <c r="N488" s="400"/>
    </row>
    <row r="489" spans="1:32" s="571" customFormat="1" ht="27" customHeight="1" x14ac:dyDescent="0.25">
      <c r="A489" s="514"/>
      <c r="B489" s="810"/>
      <c r="C489" s="1375"/>
      <c r="D489" s="1375"/>
      <c r="E489" s="818"/>
      <c r="F489" s="818"/>
      <c r="G489" s="818" t="s">
        <v>9715</v>
      </c>
      <c r="H489" s="816" t="s">
        <v>9716</v>
      </c>
      <c r="I489" s="818" t="s">
        <v>9717</v>
      </c>
      <c r="J489" s="499" t="str">
        <f>Noty!J488</f>
        <v>ukryj</v>
      </c>
      <c r="N489" s="400"/>
    </row>
    <row r="490" spans="1:32" s="401" customFormat="1" x14ac:dyDescent="0.25">
      <c r="A490" s="514"/>
      <c r="B490" s="810"/>
      <c r="C490" s="401" t="s">
        <v>9718</v>
      </c>
      <c r="D490" s="649"/>
      <c r="E490" s="649"/>
      <c r="F490" s="649"/>
      <c r="G490" s="800">
        <f>+G491+G494</f>
        <v>0</v>
      </c>
      <c r="H490" s="800">
        <f>+H491+H494</f>
        <v>0</v>
      </c>
      <c r="I490" s="800">
        <f t="shared" ref="I490:I506" si="12">+G490+H490</f>
        <v>0</v>
      </c>
      <c r="J490" s="499" t="str">
        <f>IF(AND(Noty!G490=0,Noty!H490=0,Noty!I490=0),"ukryj","odkryj")</f>
        <v>ukryj</v>
      </c>
      <c r="N490" s="402"/>
    </row>
    <row r="491" spans="1:32" s="366" customFormat="1" x14ac:dyDescent="0.25">
      <c r="A491" s="514"/>
      <c r="B491" s="810"/>
      <c r="C491" s="366" t="s">
        <v>9719</v>
      </c>
      <c r="D491" s="652"/>
      <c r="E491" s="652"/>
      <c r="F491" s="652"/>
      <c r="G491" s="800">
        <f>SUM(G492:G493)</f>
        <v>0</v>
      </c>
      <c r="H491" s="800">
        <f>SUM(H492:H493)</f>
        <v>0</v>
      </c>
      <c r="I491" s="800">
        <f t="shared" si="12"/>
        <v>0</v>
      </c>
      <c r="J491" s="499" t="str">
        <f>IF(AND(Noty!G491=0,Noty!H491=0,Noty!I491=0),"ukryj","odkryj")</f>
        <v>ukryj</v>
      </c>
      <c r="N491" s="398"/>
    </row>
    <row r="492" spans="1:32" s="366" customFormat="1" ht="13.6" customHeight="1" x14ac:dyDescent="0.25">
      <c r="A492" s="514"/>
      <c r="B492" s="810"/>
      <c r="C492" s="403" t="s">
        <v>8151</v>
      </c>
      <c r="D492" s="653"/>
      <c r="E492" s="654"/>
      <c r="F492" s="654"/>
      <c r="G492" s="639"/>
      <c r="H492" s="655"/>
      <c r="I492" s="800">
        <f t="shared" si="12"/>
        <v>0</v>
      </c>
      <c r="J492" s="499" t="str">
        <f>IF(AND(Noty!G492=0,Noty!H492=0,Noty!I492=0),"ukryj","odkryj")</f>
        <v>ukryj</v>
      </c>
      <c r="N492" s="398"/>
      <c r="AD492" s="257" t="s">
        <v>9744</v>
      </c>
      <c r="AE492" s="257" t="s">
        <v>9745</v>
      </c>
    </row>
    <row r="493" spans="1:32" s="366" customFormat="1" ht="13.6" customHeight="1" x14ac:dyDescent="0.25">
      <c r="A493" s="514"/>
      <c r="B493" s="810"/>
      <c r="C493" s="403" t="s">
        <v>8156</v>
      </c>
      <c r="D493" s="653"/>
      <c r="E493" s="654"/>
      <c r="F493" s="654"/>
      <c r="G493" s="639"/>
      <c r="H493" s="656"/>
      <c r="I493" s="800">
        <f t="shared" si="12"/>
        <v>0</v>
      </c>
      <c r="J493" s="499" t="str">
        <f>IF(AND(Noty!G493=0,Noty!H493=0,Noty!I493=0),"ukryj","odkryj")</f>
        <v>ukryj</v>
      </c>
      <c r="N493" s="398"/>
      <c r="AD493" s="257" t="s">
        <v>9746</v>
      </c>
      <c r="AE493" s="257" t="s">
        <v>9747</v>
      </c>
    </row>
    <row r="494" spans="1:32" s="366" customFormat="1" ht="13.6" customHeight="1" x14ac:dyDescent="0.25">
      <c r="A494" s="514"/>
      <c r="B494" s="810"/>
      <c r="C494" s="820" t="s">
        <v>8161</v>
      </c>
      <c r="D494" s="653"/>
      <c r="E494" s="654"/>
      <c r="F494" s="654"/>
      <c r="G494" s="639"/>
      <c r="H494" s="655"/>
      <c r="I494" s="800">
        <f t="shared" si="12"/>
        <v>0</v>
      </c>
      <c r="J494" s="499" t="str">
        <f>IF(AND(Noty!G494=0,Noty!H494=0,Noty!I494=0),"ukryj","odkryj")</f>
        <v>ukryj</v>
      </c>
      <c r="N494" s="398"/>
      <c r="AD494" s="257" t="s">
        <v>9748</v>
      </c>
      <c r="AE494" s="257" t="s">
        <v>9749</v>
      </c>
    </row>
    <row r="495" spans="1:32" s="366" customFormat="1" ht="29.95" customHeight="1" x14ac:dyDescent="0.25">
      <c r="A495" s="514"/>
      <c r="B495" s="810"/>
      <c r="C495" s="1377" t="s">
        <v>9726</v>
      </c>
      <c r="D495" s="1377"/>
      <c r="E495" s="1377"/>
      <c r="F495" s="1377"/>
      <c r="G495" s="800">
        <f>G496+G499</f>
        <v>0</v>
      </c>
      <c r="H495" s="800">
        <f>H496+H499</f>
        <v>0</v>
      </c>
      <c r="I495" s="800">
        <f t="shared" si="12"/>
        <v>0</v>
      </c>
      <c r="J495" s="499" t="str">
        <f>IF(AND(Noty!G495=0,Noty!H495=0,Noty!I495=0),"ukryj","odkryj")</f>
        <v>ukryj</v>
      </c>
      <c r="N495" s="398"/>
    </row>
    <row r="496" spans="1:32" s="366" customFormat="1" x14ac:dyDescent="0.25">
      <c r="A496" s="514"/>
      <c r="B496" s="810"/>
      <c r="C496" s="366" t="s">
        <v>9719</v>
      </c>
      <c r="D496" s="651"/>
      <c r="E496" s="651"/>
      <c r="F496" s="651"/>
      <c r="G496" s="800">
        <f>SUM(G497:G498)</f>
        <v>0</v>
      </c>
      <c r="H496" s="800">
        <f>SUM(H497:H498)</f>
        <v>0</v>
      </c>
      <c r="I496" s="800">
        <f t="shared" si="12"/>
        <v>0</v>
      </c>
      <c r="J496" s="499" t="str">
        <f>IF(AND(Noty!G496=0,Noty!H496=0,Noty!I496=0),"ukryj","odkryj")</f>
        <v>ukryj</v>
      </c>
      <c r="N496" s="398"/>
    </row>
    <row r="497" spans="1:31" s="366" customFormat="1" ht="13.6" customHeight="1" x14ac:dyDescent="0.25">
      <c r="A497" s="514"/>
      <c r="B497" s="810"/>
      <c r="C497" s="403" t="s">
        <v>8151</v>
      </c>
      <c r="D497" s="657"/>
      <c r="E497" s="654"/>
      <c r="F497" s="654"/>
      <c r="G497" s="639"/>
      <c r="H497" s="655"/>
      <c r="I497" s="800">
        <f t="shared" si="12"/>
        <v>0</v>
      </c>
      <c r="J497" s="499" t="str">
        <f>IF(AND(Noty!G497=0,Noty!H497=0,Noty!I497=0),"ukryj","odkryj")</f>
        <v>ukryj</v>
      </c>
      <c r="N497" s="398"/>
      <c r="AD497" s="257" t="s">
        <v>9750</v>
      </c>
      <c r="AE497" s="257" t="s">
        <v>9751</v>
      </c>
    </row>
    <row r="498" spans="1:31" s="366" customFormat="1" ht="13.6" customHeight="1" x14ac:dyDescent="0.25">
      <c r="A498" s="514"/>
      <c r="B498" s="810"/>
      <c r="C498" s="403" t="s">
        <v>8156</v>
      </c>
      <c r="D498" s="657"/>
      <c r="E498" s="654"/>
      <c r="F498" s="654"/>
      <c r="G498" s="639"/>
      <c r="H498" s="655"/>
      <c r="I498" s="800">
        <f t="shared" si="12"/>
        <v>0</v>
      </c>
      <c r="J498" s="499" t="str">
        <f>IF(AND(Noty!G498=0,Noty!H498=0,Noty!I498=0),"ukryj","odkryj")</f>
        <v>ukryj</v>
      </c>
      <c r="N498" s="398"/>
      <c r="AD498" s="257" t="s">
        <v>9752</v>
      </c>
      <c r="AE498" s="257" t="s">
        <v>9753</v>
      </c>
    </row>
    <row r="499" spans="1:31" s="366" customFormat="1" ht="13.6" customHeight="1" x14ac:dyDescent="0.25">
      <c r="A499" s="514"/>
      <c r="B499" s="810"/>
      <c r="C499" s="1378" t="s">
        <v>8161</v>
      </c>
      <c r="D499" s="1378"/>
      <c r="E499" s="654"/>
      <c r="F499" s="654"/>
      <c r="G499" s="639"/>
      <c r="H499" s="655"/>
      <c r="I499" s="800">
        <f t="shared" si="12"/>
        <v>0</v>
      </c>
      <c r="J499" s="499" t="str">
        <f>IF(AND(Noty!G499=0,Noty!H499=0,Noty!I499=0),"ukryj","odkryj")</f>
        <v>ukryj</v>
      </c>
      <c r="N499" s="398"/>
      <c r="AD499" s="257" t="s">
        <v>9754</v>
      </c>
      <c r="AE499" s="257" t="s">
        <v>9755</v>
      </c>
    </row>
    <row r="500" spans="1:31" s="366" customFormat="1" x14ac:dyDescent="0.25">
      <c r="A500" s="514"/>
      <c r="B500" s="810"/>
      <c r="C500" s="1377" t="s">
        <v>9733</v>
      </c>
      <c r="D500" s="1377"/>
      <c r="E500" s="1377"/>
      <c r="F500" s="1377"/>
      <c r="G500" s="800">
        <f>SUM(G501+G504+G505+G506)</f>
        <v>0</v>
      </c>
      <c r="H500" s="800">
        <f>SUM(H501+H504+H505+H506)</f>
        <v>0</v>
      </c>
      <c r="I500" s="800">
        <f t="shared" si="12"/>
        <v>0</v>
      </c>
      <c r="J500" s="499" t="str">
        <f>IF(AND(Noty!G500=0,Noty!H500=0,Noty!I500=0),"ukryj","odkryj")</f>
        <v>ukryj</v>
      </c>
      <c r="N500" s="398"/>
    </row>
    <row r="501" spans="1:31" s="401" customFormat="1" x14ac:dyDescent="0.25">
      <c r="A501" s="514"/>
      <c r="B501" s="810"/>
      <c r="C501" s="366" t="s">
        <v>9719</v>
      </c>
      <c r="D501" s="651"/>
      <c r="E501" s="651"/>
      <c r="F501" s="651"/>
      <c r="G501" s="800">
        <f>SUM(G502+G503)</f>
        <v>0</v>
      </c>
      <c r="H501" s="800">
        <f>SUM(H502+H503)</f>
        <v>0</v>
      </c>
      <c r="I501" s="800">
        <f t="shared" si="12"/>
        <v>0</v>
      </c>
      <c r="J501" s="499" t="str">
        <f>IF(AND(Noty!G501=0,Noty!H501=0,Noty!I501=0),"ukryj","odkryj")</f>
        <v>ukryj</v>
      </c>
      <c r="N501" s="402"/>
    </row>
    <row r="502" spans="1:31" s="401" customFormat="1" x14ac:dyDescent="0.25">
      <c r="A502" s="514"/>
      <c r="B502" s="810"/>
      <c r="C502" s="403" t="s">
        <v>8151</v>
      </c>
      <c r="D502" s="653"/>
      <c r="E502" s="658"/>
      <c r="F502" s="658"/>
      <c r="G502" s="639"/>
      <c r="H502" s="655"/>
      <c r="I502" s="800">
        <f t="shared" si="12"/>
        <v>0</v>
      </c>
      <c r="J502" s="499" t="str">
        <f>IF(AND(Noty!G502=0,Noty!H502=0,Noty!I502=0),"ukryj","odkryj")</f>
        <v>ukryj</v>
      </c>
      <c r="N502" s="402"/>
      <c r="AD502" s="257" t="s">
        <v>9756</v>
      </c>
      <c r="AE502" s="257" t="s">
        <v>9757</v>
      </c>
    </row>
    <row r="503" spans="1:31" s="401" customFormat="1" x14ac:dyDescent="0.25">
      <c r="A503" s="514"/>
      <c r="B503" s="810"/>
      <c r="C503" s="403" t="s">
        <v>8156</v>
      </c>
      <c r="D503" s="653"/>
      <c r="E503" s="658"/>
      <c r="F503" s="658"/>
      <c r="G503" s="639"/>
      <c r="H503" s="655"/>
      <c r="I503" s="800">
        <f t="shared" si="12"/>
        <v>0</v>
      </c>
      <c r="J503" s="499" t="str">
        <f>IF(AND(Noty!G503=0,Noty!H503=0,Noty!I503=0),"ukryj","odkryj")</f>
        <v>ukryj</v>
      </c>
      <c r="N503" s="402"/>
      <c r="AD503" s="257" t="s">
        <v>9758</v>
      </c>
      <c r="AE503" s="257" t="s">
        <v>9759</v>
      </c>
    </row>
    <row r="504" spans="1:31" s="366" customFormat="1" ht="29.3" customHeight="1" x14ac:dyDescent="0.25">
      <c r="A504" s="514"/>
      <c r="B504" s="810"/>
      <c r="C504" s="1378" t="s">
        <v>8190</v>
      </c>
      <c r="D504" s="1378"/>
      <c r="E504" s="1378"/>
      <c r="F504" s="1378"/>
      <c r="G504" s="655"/>
      <c r="H504" s="655"/>
      <c r="I504" s="800">
        <f t="shared" si="12"/>
        <v>0</v>
      </c>
      <c r="J504" s="499" t="str">
        <f>IF(AND(Noty!G504=0,Noty!H504=0,Noty!I504=0),"ukryj","odkryj")</f>
        <v>ukryj</v>
      </c>
      <c r="N504" s="398"/>
      <c r="AD504" s="257" t="s">
        <v>9760</v>
      </c>
      <c r="AE504" s="257" t="s">
        <v>9761</v>
      </c>
    </row>
    <row r="505" spans="1:31" s="366" customFormat="1" ht="13.6" customHeight="1" x14ac:dyDescent="0.25">
      <c r="A505" s="514"/>
      <c r="B505" s="810"/>
      <c r="C505" s="809" t="s">
        <v>8161</v>
      </c>
      <c r="D505" s="659"/>
      <c r="E505" s="654"/>
      <c r="F505" s="654"/>
      <c r="G505" s="639"/>
      <c r="H505" s="655"/>
      <c r="I505" s="800">
        <f t="shared" si="12"/>
        <v>0</v>
      </c>
      <c r="J505" s="499" t="str">
        <f>IF(AND(Noty!G505=0,Noty!H505=0,Noty!I505=0),"ukryj","odkryj")</f>
        <v>ukryj</v>
      </c>
      <c r="N505" s="398"/>
      <c r="AD505" s="257" t="s">
        <v>9762</v>
      </c>
      <c r="AE505" s="257" t="s">
        <v>9763</v>
      </c>
    </row>
    <row r="506" spans="1:31" s="366" customFormat="1" ht="13.6" customHeight="1" x14ac:dyDescent="0.25">
      <c r="A506" s="514"/>
      <c r="B506" s="810"/>
      <c r="C506" s="839" t="s">
        <v>8198</v>
      </c>
      <c r="D506" s="653"/>
      <c r="E506" s="654"/>
      <c r="F506" s="654"/>
      <c r="G506" s="639"/>
      <c r="H506" s="655"/>
      <c r="I506" s="800">
        <f t="shared" si="12"/>
        <v>0</v>
      </c>
      <c r="J506" s="499" t="str">
        <f>IF(AND(Noty!G506=0,Noty!H506=0,Noty!I506=0),"ukryj","odkryj")</f>
        <v>ukryj</v>
      </c>
      <c r="N506" s="398"/>
      <c r="AD506" s="257" t="s">
        <v>9764</v>
      </c>
      <c r="AE506" s="257" t="s">
        <v>9765</v>
      </c>
    </row>
    <row r="507" spans="1:31" s="401" customFormat="1" ht="13.6" customHeight="1" x14ac:dyDescent="0.25">
      <c r="A507" s="514"/>
      <c r="B507" s="810"/>
      <c r="C507" s="397"/>
      <c r="D507" s="660"/>
      <c r="E507" s="661"/>
      <c r="F507" s="661"/>
      <c r="G507" s="803">
        <f>SUM(G490+G500)</f>
        <v>0</v>
      </c>
      <c r="H507" s="803">
        <f>SUM(H490+H500)</f>
        <v>0</v>
      </c>
      <c r="I507" s="803">
        <f>SUM(I490+I500)</f>
        <v>0</v>
      </c>
      <c r="J507" s="499" t="str">
        <f>IF(AND(Noty!G507=0,Noty!H507=0,Noty!I507=0),"ukryj","odkryj")</f>
        <v>ukryj</v>
      </c>
      <c r="N507" s="402"/>
    </row>
    <row r="508" spans="1:31" s="257" customFormat="1" ht="13.75" thickBot="1" x14ac:dyDescent="0.3">
      <c r="A508" s="171"/>
      <c r="D508" s="202"/>
      <c r="E508" s="202"/>
      <c r="F508" s="202"/>
      <c r="G508" s="202"/>
      <c r="H508" s="202"/>
      <c r="I508" s="608"/>
      <c r="J508" s="499" t="str">
        <f>Noty!J507</f>
        <v>ukryj</v>
      </c>
      <c r="L508" s="496"/>
      <c r="N508" s="172"/>
    </row>
    <row r="509" spans="1:31" s="366" customFormat="1" ht="15.75" customHeight="1" thickBot="1" x14ac:dyDescent="0.35">
      <c r="A509" s="1183">
        <f>A463</f>
        <v>0</v>
      </c>
      <c r="B509" s="1184">
        <f>+IF(K509="n/a",B465,B465+1)</f>
        <v>0</v>
      </c>
      <c r="C509" s="1369" t="s">
        <v>9766</v>
      </c>
      <c r="D509" s="1369"/>
      <c r="E509" s="1369"/>
      <c r="F509" s="1369"/>
      <c r="G509" s="1369"/>
      <c r="H509" s="1369"/>
      <c r="I509" s="1369"/>
      <c r="J509" s="499" t="str">
        <f>IF(Noty!K509="n/a","ukryj","odkryj")</f>
        <v>ukryj</v>
      </c>
      <c r="K509" s="1213" t="str">
        <f>IF(Input!D114="nie","n/a","")</f>
        <v>n/a</v>
      </c>
      <c r="L509" s="200" t="str">
        <f>A509&amp;"."&amp;B509</f>
        <v>0.0</v>
      </c>
      <c r="N509" s="1101" t="s">
        <v>9378</v>
      </c>
      <c r="O509" s="489" t="str">
        <f>A509&amp;"."&amp;B509</f>
        <v>0.0</v>
      </c>
    </row>
    <row r="510" spans="1:31" s="366" customFormat="1" ht="15.75" customHeight="1" x14ac:dyDescent="0.25">
      <c r="A510" s="514"/>
      <c r="B510" s="520"/>
      <c r="C510" s="392"/>
      <c r="D510" s="646"/>
      <c r="E510" s="646"/>
      <c r="F510" s="646"/>
      <c r="G510" s="646"/>
      <c r="H510" s="646"/>
      <c r="I510" s="646"/>
      <c r="J510" s="499" t="str">
        <f>Noty!J509</f>
        <v>ukryj</v>
      </c>
      <c r="L510" s="178"/>
      <c r="N510" s="398"/>
    </row>
    <row r="511" spans="1:31" s="393" customFormat="1" ht="39.799999999999997" customHeight="1" x14ac:dyDescent="0.25">
      <c r="A511" s="514"/>
      <c r="B511" s="810"/>
      <c r="C511" s="1377" t="s">
        <v>9767</v>
      </c>
      <c r="D511" s="1377"/>
      <c r="E511" s="662"/>
      <c r="F511" s="662"/>
      <c r="G511" s="816" t="s">
        <v>9768</v>
      </c>
      <c r="H511" s="816" t="s">
        <v>9414</v>
      </c>
      <c r="I511" s="816" t="s">
        <v>9769</v>
      </c>
      <c r="J511" s="499" t="str">
        <f>Noty!J509</f>
        <v>ukryj</v>
      </c>
      <c r="N511" s="404"/>
    </row>
    <row r="512" spans="1:31" s="393" customFormat="1" ht="13.6" customHeight="1" x14ac:dyDescent="0.25">
      <c r="A512" s="514"/>
      <c r="B512" s="810"/>
      <c r="C512" s="1377" t="s">
        <v>9770</v>
      </c>
      <c r="D512" s="1377"/>
      <c r="E512" s="1377"/>
      <c r="F512" s="662"/>
      <c r="G512" s="800">
        <f>SUM(G513:G514)</f>
        <v>0</v>
      </c>
      <c r="H512" s="800">
        <f>SUM(H513:H514)</f>
        <v>0</v>
      </c>
      <c r="I512" s="800">
        <f t="shared" ref="I512:I518" si="13">G512+H512</f>
        <v>0</v>
      </c>
      <c r="J512" s="499" t="str">
        <f>IF(AND(Noty!G512=0,Noty!H512=0,Noty!I512=0),"ukryj","odkryj")</f>
        <v>ukryj</v>
      </c>
      <c r="N512" s="404"/>
    </row>
    <row r="513" spans="1:14" s="393" customFormat="1" x14ac:dyDescent="0.25">
      <c r="A513" s="514"/>
      <c r="B513" s="810"/>
      <c r="C513" s="405" t="s">
        <v>9771</v>
      </c>
      <c r="D513" s="662"/>
      <c r="E513" s="662"/>
      <c r="F513" s="662"/>
      <c r="G513" s="639"/>
      <c r="H513" s="655"/>
      <c r="I513" s="800">
        <f t="shared" si="13"/>
        <v>0</v>
      </c>
      <c r="J513" s="499" t="str">
        <f>IF(AND(Noty!G513=0,Noty!H513=0,Noty!I513=0),"ukryj","odkryj")</f>
        <v>ukryj</v>
      </c>
      <c r="N513" s="404"/>
    </row>
    <row r="514" spans="1:14" s="393" customFormat="1" ht="12.8" customHeight="1" x14ac:dyDescent="0.25">
      <c r="A514" s="514"/>
      <c r="B514" s="810"/>
      <c r="C514" s="374" t="s">
        <v>9772</v>
      </c>
      <c r="D514" s="662"/>
      <c r="E514" s="662"/>
      <c r="F514" s="662"/>
      <c r="G514" s="800">
        <f>SUM(G515:G518)</f>
        <v>0</v>
      </c>
      <c r="H514" s="800">
        <f>SUM(H515:H518)</f>
        <v>0</v>
      </c>
      <c r="I514" s="800">
        <f t="shared" si="13"/>
        <v>0</v>
      </c>
      <c r="J514" s="499" t="str">
        <f>IF(AND(Noty!G514=0,Noty!H514=0,Noty!I514=0),"ukryj","odkryj")</f>
        <v>ukryj</v>
      </c>
      <c r="N514" s="404"/>
    </row>
    <row r="515" spans="1:14" s="366" customFormat="1" x14ac:dyDescent="0.25">
      <c r="A515" s="514"/>
      <c r="B515" s="810"/>
      <c r="C515" s="406" t="s">
        <v>9773</v>
      </c>
      <c r="D515" s="651"/>
      <c r="E515" s="651"/>
      <c r="F515" s="651"/>
      <c r="G515" s="639"/>
      <c r="H515" s="655"/>
      <c r="I515" s="800">
        <f t="shared" si="13"/>
        <v>0</v>
      </c>
      <c r="J515" s="499" t="str">
        <f>IF(AND(Noty!G515=0,Noty!H515=0,Noty!I515=0),"ukryj","odkryj")</f>
        <v>ukryj</v>
      </c>
      <c r="N515" s="398"/>
    </row>
    <row r="516" spans="1:14" s="366" customFormat="1" x14ac:dyDescent="0.25">
      <c r="A516" s="514"/>
      <c r="B516" s="810"/>
      <c r="C516" s="406" t="s">
        <v>9774</v>
      </c>
      <c r="D516" s="651"/>
      <c r="E516" s="651"/>
      <c r="F516" s="651"/>
      <c r="G516" s="639"/>
      <c r="H516" s="655"/>
      <c r="I516" s="800">
        <f t="shared" si="13"/>
        <v>0</v>
      </c>
      <c r="J516" s="499" t="str">
        <f>IF(AND(Noty!G516=0,Noty!H516=0,Noty!I516=0),"ukryj","odkryj")</f>
        <v>ukryj</v>
      </c>
      <c r="N516" s="398"/>
    </row>
    <row r="517" spans="1:14" s="407" customFormat="1" x14ac:dyDescent="0.25">
      <c r="A517" s="514"/>
      <c r="B517" s="810"/>
      <c r="C517" s="406" t="s">
        <v>9775</v>
      </c>
      <c r="D517" s="663"/>
      <c r="E517" s="663"/>
      <c r="F517" s="663"/>
      <c r="G517" s="639"/>
      <c r="H517" s="655"/>
      <c r="I517" s="800">
        <f t="shared" si="13"/>
        <v>0</v>
      </c>
      <c r="J517" s="499" t="str">
        <f>IF(AND(Noty!G517=0,Noty!H517=0,Noty!I517=0),"ukryj","odkryj")</f>
        <v>ukryj</v>
      </c>
      <c r="L517" s="366"/>
      <c r="N517" s="408"/>
    </row>
    <row r="518" spans="1:14" s="407" customFormat="1" x14ac:dyDescent="0.25">
      <c r="A518" s="514"/>
      <c r="B518" s="810"/>
      <c r="C518" s="406" t="s">
        <v>9776</v>
      </c>
      <c r="D518" s="663"/>
      <c r="E518" s="663"/>
      <c r="F518" s="663"/>
      <c r="G518" s="639"/>
      <c r="H518" s="655"/>
      <c r="I518" s="800">
        <f t="shared" si="13"/>
        <v>0</v>
      </c>
      <c r="J518" s="499" t="str">
        <f>IF(AND(Noty!G518=0,Noty!H518=0,Noty!I518=0),"ukryj","odkryj")</f>
        <v>ukryj</v>
      </c>
      <c r="L518" s="366"/>
      <c r="N518" s="408"/>
    </row>
    <row r="519" spans="1:14" s="407" customFormat="1" ht="26.2" customHeight="1" x14ac:dyDescent="0.25">
      <c r="A519" s="514"/>
      <c r="B519" s="810"/>
      <c r="C519" s="1380" t="s">
        <v>9777</v>
      </c>
      <c r="D519" s="1380"/>
      <c r="E519" s="1380"/>
      <c r="F519" s="1380"/>
      <c r="G519" s="800">
        <f>SUM(G520:G521)</f>
        <v>0</v>
      </c>
      <c r="H519" s="800">
        <f>SUM(H520:H521)</f>
        <v>0</v>
      </c>
      <c r="I519" s="800">
        <f t="shared" ref="I519:I525" si="14">SUM(G519:H519)</f>
        <v>0</v>
      </c>
      <c r="J519" s="499" t="str">
        <f>IF(AND(Noty!G519=0,Noty!H519=0,Noty!I519=0),"ukryj","odkryj")</f>
        <v>ukryj</v>
      </c>
      <c r="L519" s="366"/>
      <c r="N519" s="408"/>
    </row>
    <row r="520" spans="1:14" s="407" customFormat="1" x14ac:dyDescent="0.25">
      <c r="A520" s="514"/>
      <c r="B520" s="810"/>
      <c r="C520" s="409" t="s">
        <v>9771</v>
      </c>
      <c r="D520" s="663"/>
      <c r="E520" s="663"/>
      <c r="F520" s="663"/>
      <c r="G520" s="639"/>
      <c r="H520" s="655"/>
      <c r="I520" s="800">
        <f t="shared" si="14"/>
        <v>0</v>
      </c>
      <c r="J520" s="499" t="str">
        <f>IF(AND(Noty!G520=0,Noty!H520=0,Noty!I520=0),"ukryj","odkryj")</f>
        <v>ukryj</v>
      </c>
      <c r="L520" s="366"/>
      <c r="N520" s="408"/>
    </row>
    <row r="521" spans="1:14" s="407" customFormat="1" x14ac:dyDescent="0.25">
      <c r="A521" s="514"/>
      <c r="B521" s="810"/>
      <c r="C521" s="374" t="s">
        <v>9772</v>
      </c>
      <c r="D521" s="663"/>
      <c r="E521" s="663"/>
      <c r="F521" s="663"/>
      <c r="G521" s="800">
        <f>SUM(G522:G525)</f>
        <v>0</v>
      </c>
      <c r="H521" s="800">
        <f>SUM(H522:H525)</f>
        <v>0</v>
      </c>
      <c r="I521" s="800">
        <f t="shared" si="14"/>
        <v>0</v>
      </c>
      <c r="J521" s="499" t="str">
        <f>IF(AND(Noty!G521=0,Noty!H521=0,Noty!I521=0),"ukryj","odkryj")</f>
        <v>ukryj</v>
      </c>
      <c r="L521" s="366"/>
      <c r="N521" s="408"/>
    </row>
    <row r="522" spans="1:14" s="407" customFormat="1" x14ac:dyDescent="0.25">
      <c r="A522" s="514"/>
      <c r="B522" s="810"/>
      <c r="C522" s="406" t="s">
        <v>9773</v>
      </c>
      <c r="D522" s="663"/>
      <c r="E522" s="663"/>
      <c r="F522" s="663"/>
      <c r="G522" s="639"/>
      <c r="H522" s="655"/>
      <c r="I522" s="800">
        <f t="shared" si="14"/>
        <v>0</v>
      </c>
      <c r="J522" s="499" t="str">
        <f>IF(AND(Noty!G522=0,Noty!H522=0,Noty!I522=0),"ukryj","odkryj")</f>
        <v>ukryj</v>
      </c>
      <c r="L522" s="366"/>
      <c r="N522" s="408"/>
    </row>
    <row r="523" spans="1:14" s="407" customFormat="1" x14ac:dyDescent="0.25">
      <c r="A523" s="514"/>
      <c r="B523" s="810"/>
      <c r="C523" s="406" t="s">
        <v>9774</v>
      </c>
      <c r="D523" s="663"/>
      <c r="E523" s="663"/>
      <c r="F523" s="663"/>
      <c r="G523" s="639"/>
      <c r="H523" s="655"/>
      <c r="I523" s="800">
        <f t="shared" si="14"/>
        <v>0</v>
      </c>
      <c r="J523" s="499" t="str">
        <f>IF(AND(Noty!G523=0,Noty!H523=0,Noty!I523=0),"ukryj","odkryj")</f>
        <v>ukryj</v>
      </c>
      <c r="L523" s="366"/>
      <c r="N523" s="408"/>
    </row>
    <row r="524" spans="1:14" s="407" customFormat="1" x14ac:dyDescent="0.25">
      <c r="A524" s="514"/>
      <c r="B524" s="810"/>
      <c r="C524" s="406" t="s">
        <v>9775</v>
      </c>
      <c r="D524" s="663"/>
      <c r="E524" s="663"/>
      <c r="F524" s="663"/>
      <c r="G524" s="639"/>
      <c r="H524" s="655"/>
      <c r="I524" s="800">
        <f t="shared" si="14"/>
        <v>0</v>
      </c>
      <c r="J524" s="499" t="str">
        <f>IF(AND(Noty!G524=0,Noty!H524=0,Noty!I524=0),"ukryj","odkryj")</f>
        <v>ukryj</v>
      </c>
      <c r="L524" s="366"/>
      <c r="N524" s="408"/>
    </row>
    <row r="525" spans="1:14" s="407" customFormat="1" x14ac:dyDescent="0.25">
      <c r="A525" s="514"/>
      <c r="B525" s="810"/>
      <c r="C525" s="406" t="s">
        <v>9776</v>
      </c>
      <c r="D525" s="663"/>
      <c r="E525" s="663"/>
      <c r="F525" s="663"/>
      <c r="G525" s="639"/>
      <c r="H525" s="655"/>
      <c r="I525" s="800">
        <f t="shared" si="14"/>
        <v>0</v>
      </c>
      <c r="J525" s="499" t="str">
        <f>IF(AND(Noty!G525=0,Noty!H525=0,Noty!I525=0),"ukryj","odkryj")</f>
        <v>ukryj</v>
      </c>
      <c r="L525" s="366"/>
      <c r="N525" s="408"/>
    </row>
    <row r="526" spans="1:14" s="407" customFormat="1" x14ac:dyDescent="0.25">
      <c r="A526" s="514"/>
      <c r="B526" s="810"/>
      <c r="C526" s="244" t="s">
        <v>9778</v>
      </c>
      <c r="D526" s="664"/>
      <c r="E526" s="663"/>
      <c r="F526" s="663"/>
      <c r="G526" s="800">
        <f>SUM(G527:G528)</f>
        <v>0</v>
      </c>
      <c r="H526" s="800">
        <f>SUM(H527:H528)</f>
        <v>0</v>
      </c>
      <c r="I526" s="800">
        <f t="shared" ref="I526:I532" si="15">G526+H526</f>
        <v>0</v>
      </c>
      <c r="J526" s="499" t="str">
        <f>IF(AND(Noty!G526=0,Noty!H526=0,Noty!I526=0),"ukryj","odkryj")</f>
        <v>ukryj</v>
      </c>
      <c r="L526" s="366"/>
      <c r="N526" s="408"/>
    </row>
    <row r="527" spans="1:14" s="407" customFormat="1" x14ac:dyDescent="0.25">
      <c r="A527" s="514"/>
      <c r="B527" s="810"/>
      <c r="C527" s="405" t="s">
        <v>9771</v>
      </c>
      <c r="D527" s="663"/>
      <c r="E527" s="663"/>
      <c r="F527" s="663"/>
      <c r="G527" s="639"/>
      <c r="H527" s="655"/>
      <c r="I527" s="800">
        <f t="shared" si="15"/>
        <v>0</v>
      </c>
      <c r="J527" s="499" t="str">
        <f>IF(AND(Noty!G527=0,Noty!H527=0,Noty!I527=0),"ukryj","odkryj")</f>
        <v>ukryj</v>
      </c>
      <c r="L527" s="366"/>
      <c r="N527" s="408"/>
    </row>
    <row r="528" spans="1:14" s="366" customFormat="1" x14ac:dyDescent="0.25">
      <c r="A528" s="514"/>
      <c r="B528" s="810"/>
      <c r="C528" s="374" t="s">
        <v>9772</v>
      </c>
      <c r="D528" s="651"/>
      <c r="E528" s="651"/>
      <c r="F528" s="651"/>
      <c r="G528" s="800">
        <f>SUM(G529:G532)</f>
        <v>0</v>
      </c>
      <c r="H528" s="800">
        <f>SUM(H529:H532)</f>
        <v>0</v>
      </c>
      <c r="I528" s="800">
        <f t="shared" si="15"/>
        <v>0</v>
      </c>
      <c r="J528" s="499" t="str">
        <f>IF(AND(Noty!G528=0,Noty!H528=0,Noty!I528=0),"ukryj","odkryj")</f>
        <v>ukryj</v>
      </c>
      <c r="N528" s="398"/>
    </row>
    <row r="529" spans="1:31" s="407" customFormat="1" x14ac:dyDescent="0.25">
      <c r="A529" s="514"/>
      <c r="B529" s="810"/>
      <c r="C529" s="406" t="s">
        <v>9773</v>
      </c>
      <c r="D529" s="663"/>
      <c r="E529" s="663"/>
      <c r="F529" s="663"/>
      <c r="G529" s="639"/>
      <c r="H529" s="655"/>
      <c r="I529" s="800">
        <f t="shared" si="15"/>
        <v>0</v>
      </c>
      <c r="J529" s="499" t="str">
        <f>IF(AND(Noty!G529=0,Noty!H529=0,Noty!I529=0),"ukryj","odkryj")</f>
        <v>ukryj</v>
      </c>
      <c r="L529" s="366"/>
      <c r="N529" s="408"/>
    </row>
    <row r="530" spans="1:31" s="407" customFormat="1" x14ac:dyDescent="0.25">
      <c r="A530" s="514"/>
      <c r="B530" s="810"/>
      <c r="C530" s="406" t="s">
        <v>9774</v>
      </c>
      <c r="D530" s="663"/>
      <c r="E530" s="663"/>
      <c r="F530" s="663"/>
      <c r="G530" s="639"/>
      <c r="H530" s="655"/>
      <c r="I530" s="800">
        <f t="shared" si="15"/>
        <v>0</v>
      </c>
      <c r="J530" s="499" t="str">
        <f>IF(AND(Noty!G530=0,Noty!H530=0,Noty!I530=0),"ukryj","odkryj")</f>
        <v>ukryj</v>
      </c>
      <c r="L530" s="366"/>
      <c r="N530" s="408"/>
    </row>
    <row r="531" spans="1:31" s="407" customFormat="1" x14ac:dyDescent="0.25">
      <c r="A531" s="514"/>
      <c r="B531" s="810"/>
      <c r="C531" s="406" t="s">
        <v>9775</v>
      </c>
      <c r="D531" s="663"/>
      <c r="E531" s="663"/>
      <c r="F531" s="663"/>
      <c r="G531" s="639"/>
      <c r="H531" s="655"/>
      <c r="I531" s="800">
        <f t="shared" si="15"/>
        <v>0</v>
      </c>
      <c r="J531" s="499" t="str">
        <f>IF(AND(Noty!G531=0,Noty!H531=0,Noty!I531=0),"ukryj","odkryj")</f>
        <v>ukryj</v>
      </c>
      <c r="L531" s="366"/>
      <c r="N531" s="408"/>
    </row>
    <row r="532" spans="1:31" s="407" customFormat="1" x14ac:dyDescent="0.25">
      <c r="A532" s="514"/>
      <c r="B532" s="810"/>
      <c r="C532" s="406" t="s">
        <v>9776</v>
      </c>
      <c r="D532" s="663"/>
      <c r="E532" s="663"/>
      <c r="F532" s="663"/>
      <c r="G532" s="639"/>
      <c r="H532" s="655"/>
      <c r="I532" s="800">
        <f t="shared" si="15"/>
        <v>0</v>
      </c>
      <c r="J532" s="499" t="str">
        <f>IF(AND(Noty!G532=0,Noty!H532=0,Noty!I532=0),"ukryj","odkryj")</f>
        <v>ukryj</v>
      </c>
      <c r="L532" s="366"/>
      <c r="N532" s="408"/>
    </row>
    <row r="533" spans="1:31" s="401" customFormat="1" ht="13.6" customHeight="1" x14ac:dyDescent="0.25">
      <c r="A533" s="514"/>
      <c r="B533" s="810"/>
      <c r="C533" s="397"/>
      <c r="D533" s="660"/>
      <c r="E533" s="661"/>
      <c r="F533" s="661"/>
      <c r="G533" s="803">
        <f>G512+G526+G519</f>
        <v>0</v>
      </c>
      <c r="H533" s="803">
        <f>H512+H526+H519</f>
        <v>0</v>
      </c>
      <c r="I533" s="803">
        <f>I512+I526+I519</f>
        <v>0</v>
      </c>
      <c r="J533" s="499" t="str">
        <f>IF(AND(Noty!G533=0,Noty!H533=0,Noty!I533=0),"ukryj","odkryj")</f>
        <v>ukryj</v>
      </c>
      <c r="N533" s="402"/>
    </row>
    <row r="534" spans="1:31" s="401" customFormat="1" ht="13.75" thickBot="1" x14ac:dyDescent="0.3">
      <c r="A534" s="514"/>
      <c r="B534" s="810"/>
      <c r="C534" s="397"/>
      <c r="D534" s="816"/>
      <c r="E534" s="661"/>
      <c r="F534" s="661"/>
      <c r="G534" s="665"/>
      <c r="H534" s="661"/>
      <c r="I534" s="661"/>
      <c r="J534" s="499" t="str">
        <f>Noty!J533</f>
        <v>ukryj</v>
      </c>
      <c r="N534" s="402"/>
    </row>
    <row r="535" spans="1:31" s="366" customFormat="1" ht="15.75" customHeight="1" thickBot="1" x14ac:dyDescent="0.35">
      <c r="A535" s="1183">
        <f>A463</f>
        <v>0</v>
      </c>
      <c r="B535" s="1184">
        <f>+IF(K535="n/a",B509,B509+1)</f>
        <v>0</v>
      </c>
      <c r="C535" s="1369" t="s">
        <v>9779</v>
      </c>
      <c r="D535" s="1369"/>
      <c r="E535" s="1369"/>
      <c r="F535" s="1369"/>
      <c r="G535" s="1369"/>
      <c r="H535" s="1369"/>
      <c r="I535" s="1369"/>
      <c r="J535" s="499" t="str">
        <f>IF(Noty!K535="n/a","ukryj","odkryj")</f>
        <v>ukryj</v>
      </c>
      <c r="K535" s="1213" t="str">
        <f>IF(Input!D115="nie","n/a","")</f>
        <v>n/a</v>
      </c>
      <c r="L535" s="971" t="str">
        <f>A535&amp;"."&amp;B535</f>
        <v>0.0</v>
      </c>
      <c r="N535" s="1101" t="s">
        <v>9378</v>
      </c>
      <c r="O535" s="489" t="str">
        <f>A535&amp;"."&amp;B535</f>
        <v>0.0</v>
      </c>
    </row>
    <row r="536" spans="1:31" s="366" customFormat="1" x14ac:dyDescent="0.25">
      <c r="A536" s="514"/>
      <c r="B536" s="810"/>
      <c r="C536" s="397"/>
      <c r="D536" s="646"/>
      <c r="E536" s="646"/>
      <c r="F536" s="646"/>
      <c r="G536" s="646"/>
      <c r="H536" s="646"/>
      <c r="I536" s="646"/>
      <c r="J536" s="499" t="str">
        <f>Noty!J535</f>
        <v>ukryj</v>
      </c>
      <c r="N536" s="398"/>
    </row>
    <row r="537" spans="1:31" s="809" customFormat="1" ht="81" customHeight="1" x14ac:dyDescent="0.25">
      <c r="A537" s="514"/>
      <c r="B537" s="810"/>
      <c r="C537" s="1375" t="s">
        <v>9485</v>
      </c>
      <c r="D537" s="1375"/>
      <c r="E537" s="816" t="s">
        <v>9780</v>
      </c>
      <c r="F537" s="666" t="s">
        <v>9781</v>
      </c>
      <c r="G537" s="816" t="s">
        <v>9782</v>
      </c>
      <c r="H537" s="666" t="s">
        <v>9781</v>
      </c>
      <c r="I537" s="816" t="s">
        <v>9783</v>
      </c>
      <c r="J537" s="499" t="str">
        <f>Noty!J536</f>
        <v>ukryj</v>
      </c>
      <c r="N537" s="410"/>
    </row>
    <row r="538" spans="1:31" s="366" customFormat="1" ht="13.6" customHeight="1" x14ac:dyDescent="0.25">
      <c r="A538" s="514"/>
      <c r="B538" s="810"/>
      <c r="C538" s="1308" t="str">
        <f>CONCATENATE("B.O. ",Input!$P$6)</f>
        <v>B.O. 01.01.2020</v>
      </c>
      <c r="D538" s="1308"/>
      <c r="E538" s="638"/>
      <c r="F538" s="638"/>
      <c r="G538" s="638"/>
      <c r="H538" s="638"/>
      <c r="I538" s="800">
        <f>IF(AND(F538&lt;=0,G538&lt;=0,H538&lt;=0,E538&lt;=0),SUM(E538+G538),"Błąd - wpisano wartość dodatnią")</f>
        <v>0</v>
      </c>
      <c r="J538" s="499" t="str">
        <f>IF(Noty!I538=0,"ukryj","odkryj")</f>
        <v>ukryj</v>
      </c>
      <c r="N538" s="398"/>
      <c r="AB538" s="257" t="s">
        <v>9784</v>
      </c>
      <c r="AC538" s="257" t="s">
        <v>9785</v>
      </c>
      <c r="AD538" s="257" t="s">
        <v>9786</v>
      </c>
      <c r="AE538" s="257" t="s">
        <v>9787</v>
      </c>
    </row>
    <row r="539" spans="1:31" s="366" customFormat="1" ht="13.6" customHeight="1" x14ac:dyDescent="0.25">
      <c r="A539" s="514"/>
      <c r="B539" s="810"/>
      <c r="C539" s="1377" t="s">
        <v>9406</v>
      </c>
      <c r="D539" s="1377"/>
      <c r="E539" s="800">
        <f>SUM(E540:E543)</f>
        <v>0</v>
      </c>
      <c r="F539" s="800">
        <f>SUM(F540:F543)</f>
        <v>0</v>
      </c>
      <c r="G539" s="800">
        <f>SUM(G540:G543)</f>
        <v>0</v>
      </c>
      <c r="H539" s="800">
        <f>SUM(H540:H543)</f>
        <v>0</v>
      </c>
      <c r="I539" s="800">
        <f>IF(AND(F539&lt;=0,G539&lt;=0,H539&lt;=0,E539&lt;=0),SUM(E539+G539),"Błąd - wpisano wartość dodatnią")</f>
        <v>0</v>
      </c>
      <c r="J539" s="499" t="str">
        <f>IF(Noty!I539=0,"ukryj","odkryj")</f>
        <v>ukryj</v>
      </c>
      <c r="N539" s="398"/>
    </row>
    <row r="540" spans="1:31" s="366" customFormat="1" ht="40.6" customHeight="1" x14ac:dyDescent="0.25">
      <c r="A540" s="514"/>
      <c r="B540" s="810"/>
      <c r="C540" s="1379" t="s">
        <v>9788</v>
      </c>
      <c r="D540" s="1379"/>
      <c r="E540" s="639"/>
      <c r="F540" s="639"/>
      <c r="G540" s="639"/>
      <c r="H540" s="639"/>
      <c r="I540" s="800">
        <f>IF(AND(F540&lt;=0,G540&lt;=0,H540&lt;=0,E540&lt;=0),SUM(E540+G540),"Błąd - wpisano wartość dodatnią")</f>
        <v>0</v>
      </c>
      <c r="J540" s="499" t="str">
        <f>IF(Noty!I540=0,"ukryj","odkryj")</f>
        <v>ukryj</v>
      </c>
      <c r="N540" s="398"/>
    </row>
    <row r="541" spans="1:31" s="366" customFormat="1" ht="37.5" customHeight="1" x14ac:dyDescent="0.25">
      <c r="A541" s="514"/>
      <c r="B541" s="810"/>
      <c r="C541" s="1379" t="s">
        <v>9789</v>
      </c>
      <c r="D541" s="1379"/>
      <c r="E541" s="638"/>
      <c r="F541" s="638"/>
      <c r="G541" s="638"/>
      <c r="H541" s="638"/>
      <c r="I541" s="800">
        <f>IF(AND(F541&lt;=0,G541&lt;=0,H541&lt;=0,E541&lt;=0),SUM(E541+G541),"Błąd - wpisano wartość dodatnią")</f>
        <v>0</v>
      </c>
      <c r="J541" s="499" t="str">
        <f>IF(Noty!I541=0,"ukryj","odkryj")</f>
        <v>ukryj</v>
      </c>
      <c r="N541" s="398"/>
    </row>
    <row r="542" spans="1:31" s="366" customFormat="1" x14ac:dyDescent="0.25">
      <c r="A542" s="514"/>
      <c r="B542" s="810"/>
      <c r="C542" s="1379" t="s">
        <v>9790</v>
      </c>
      <c r="D542" s="1379"/>
      <c r="E542" s="638"/>
      <c r="F542" s="638"/>
      <c r="G542" s="638"/>
      <c r="H542" s="638"/>
      <c r="I542" s="800">
        <f>IF(AND(F542&lt;=0,G542&lt;=0,H542&lt;=0,E542&lt;=0),SUM(E542+G542),"Błąd - wpisano wartość dodatnią")</f>
        <v>0</v>
      </c>
      <c r="J542" s="499" t="str">
        <f>IF(Noty!I542=0,"ukryj","odkryj")</f>
        <v>ukryj</v>
      </c>
      <c r="N542" s="398"/>
    </row>
    <row r="543" spans="1:31" s="366" customFormat="1" x14ac:dyDescent="0.25">
      <c r="A543" s="514"/>
      <c r="B543" s="810"/>
      <c r="C543" s="397"/>
      <c r="D543" s="659"/>
      <c r="E543" s="667"/>
      <c r="F543" s="668"/>
      <c r="G543" s="667"/>
      <c r="H543" s="668"/>
      <c r="I543" s="192"/>
      <c r="J543" s="499" t="str">
        <f>Noty!J539</f>
        <v>ukryj</v>
      </c>
      <c r="N543" s="398"/>
    </row>
    <row r="544" spans="1:31" s="366" customFormat="1" x14ac:dyDescent="0.25">
      <c r="A544" s="514"/>
      <c r="B544" s="810"/>
      <c r="C544" s="1377" t="s">
        <v>9408</v>
      </c>
      <c r="D544" s="1377"/>
      <c r="E544" s="800">
        <f>SUM(E545:E548)</f>
        <v>0</v>
      </c>
      <c r="F544" s="800">
        <f>SUM(F545:F548)</f>
        <v>0</v>
      </c>
      <c r="G544" s="800">
        <f>SUM(G545:G548)</f>
        <v>0</v>
      </c>
      <c r="H544" s="800">
        <f>SUM(H545:H548)</f>
        <v>0</v>
      </c>
      <c r="I544" s="800">
        <f>E544+G544</f>
        <v>0</v>
      </c>
      <c r="J544" s="499" t="str">
        <f>IF(Noty!I544=0,"ukryj","odkryj")</f>
        <v>ukryj</v>
      </c>
      <c r="N544" s="398"/>
    </row>
    <row r="545" spans="1:32" s="366" customFormat="1" ht="41.25" customHeight="1" x14ac:dyDescent="0.25">
      <c r="A545" s="514"/>
      <c r="B545" s="810"/>
      <c r="C545" s="1379" t="s">
        <v>9791</v>
      </c>
      <c r="D545" s="1379"/>
      <c r="E545" s="639"/>
      <c r="F545" s="639"/>
      <c r="G545" s="639"/>
      <c r="H545" s="639"/>
      <c r="I545" s="800">
        <f>E545+G545</f>
        <v>0</v>
      </c>
      <c r="J545" s="499" t="str">
        <f>IF(Noty!I545=0,"ukryj","odkryj")</f>
        <v>ukryj</v>
      </c>
      <c r="N545" s="398"/>
    </row>
    <row r="546" spans="1:32" s="366" customFormat="1" ht="41.25" customHeight="1" x14ac:dyDescent="0.25">
      <c r="A546" s="514"/>
      <c r="B546" s="810"/>
      <c r="C546" s="1379" t="s">
        <v>9792</v>
      </c>
      <c r="D546" s="1379"/>
      <c r="E546" s="638"/>
      <c r="F546" s="638"/>
      <c r="G546" s="638"/>
      <c r="H546" s="638"/>
      <c r="I546" s="800">
        <f>E546+G546</f>
        <v>0</v>
      </c>
      <c r="J546" s="499" t="str">
        <f>IF(Noty!I546=0,"ukryj","odkryj")</f>
        <v>ukryj</v>
      </c>
      <c r="N546" s="398"/>
    </row>
    <row r="547" spans="1:32" s="366" customFormat="1" ht="29.95" customHeight="1" x14ac:dyDescent="0.25">
      <c r="A547" s="514"/>
      <c r="B547" s="810"/>
      <c r="C547" s="1379" t="s">
        <v>9793</v>
      </c>
      <c r="D547" s="1379"/>
      <c r="E547" s="638"/>
      <c r="F547" s="638"/>
      <c r="G547" s="638"/>
      <c r="H547" s="638"/>
      <c r="I547" s="800">
        <f>E547+G547</f>
        <v>0</v>
      </c>
      <c r="J547" s="499" t="str">
        <f>IF(Noty!I547=0,"ukryj","odkryj")</f>
        <v>ukryj</v>
      </c>
      <c r="N547" s="398"/>
    </row>
    <row r="548" spans="1:32" s="366" customFormat="1" x14ac:dyDescent="0.25">
      <c r="A548" s="514"/>
      <c r="B548" s="810"/>
      <c r="C548" s="1379" t="s">
        <v>9790</v>
      </c>
      <c r="D548" s="1379"/>
      <c r="E548" s="638"/>
      <c r="F548" s="638"/>
      <c r="G548" s="638"/>
      <c r="H548" s="638"/>
      <c r="I548" s="800">
        <f>E548+G548</f>
        <v>0</v>
      </c>
      <c r="J548" s="499" t="str">
        <f>IF(Noty!I548=0,"ukryj","odkryj")</f>
        <v>ukryj</v>
      </c>
      <c r="N548" s="398"/>
    </row>
    <row r="549" spans="1:32" s="401" customFormat="1" ht="13.6" customHeight="1" x14ac:dyDescent="0.25">
      <c r="A549" s="514"/>
      <c r="B549" s="810"/>
      <c r="C549" s="1466" t="str">
        <f>CONCATENATE("B.Z. ",Input!$P$7)</f>
        <v>B.Z. 31.12.2020</v>
      </c>
      <c r="D549" s="1466"/>
      <c r="E549" s="803">
        <f>E538+E539+E544</f>
        <v>0</v>
      </c>
      <c r="F549" s="803">
        <f>F538+F539+F544</f>
        <v>0</v>
      </c>
      <c r="G549" s="803">
        <f>G538+G539+G544</f>
        <v>0</v>
      </c>
      <c r="H549" s="803">
        <f>H538+H539+H544</f>
        <v>0</v>
      </c>
      <c r="I549" s="803">
        <f>I538+I539+I544</f>
        <v>0</v>
      </c>
      <c r="J549" s="499" t="str">
        <f>IF(Noty!I549=0,"ukryj","odkryj")</f>
        <v>ukryj</v>
      </c>
      <c r="N549" s="402"/>
      <c r="AB549" s="257" t="s">
        <v>9794</v>
      </c>
      <c r="AC549" s="257" t="s">
        <v>9795</v>
      </c>
      <c r="AD549" s="257" t="s">
        <v>9796</v>
      </c>
      <c r="AE549" s="257" t="s">
        <v>9797</v>
      </c>
    </row>
    <row r="550" spans="1:32" s="366" customFormat="1" ht="13.6" customHeight="1" thickBot="1" x14ac:dyDescent="0.3">
      <c r="A550" s="514"/>
      <c r="B550" s="810"/>
      <c r="C550" s="397"/>
      <c r="D550" s="659"/>
      <c r="E550" s="651"/>
      <c r="F550" s="651"/>
      <c r="G550" s="651"/>
      <c r="H550" s="651"/>
      <c r="I550" s="651"/>
      <c r="J550" s="499" t="str">
        <f>Noty!J549</f>
        <v>ukryj</v>
      </c>
      <c r="N550" s="398"/>
    </row>
    <row r="551" spans="1:32" s="200" customFormat="1" ht="15.75" thickBot="1" x14ac:dyDescent="0.35">
      <c r="A551" s="1180">
        <f>IF(K551="n/a",A535,A535+ 1)</f>
        <v>0</v>
      </c>
      <c r="B551" s="1182"/>
      <c r="C551" s="1388" t="s">
        <v>7648</v>
      </c>
      <c r="D551" s="1388"/>
      <c r="E551" s="1388"/>
      <c r="F551" s="1388"/>
      <c r="G551" s="1388"/>
      <c r="H551" s="1388"/>
      <c r="I551" s="1388"/>
      <c r="J551" s="499" t="str">
        <f>IF(Noty!K551="n/a","ukryj","odkryj")</f>
        <v>ukryj</v>
      </c>
      <c r="K551" s="1213" t="str">
        <f>IF(Input!D116="nie","n/a","")</f>
        <v>n/a</v>
      </c>
      <c r="L551" s="492" t="str">
        <f>A551&amp;"."&amp;B551</f>
        <v>0.</v>
      </c>
      <c r="N551" s="1101" t="s">
        <v>9378</v>
      </c>
      <c r="O551" s="489" t="str">
        <f>A551&amp;"."&amp;B551</f>
        <v>0.</v>
      </c>
    </row>
    <row r="552" spans="1:32" s="200" customFormat="1" ht="15.75" customHeight="1" thickBot="1" x14ac:dyDescent="0.3">
      <c r="A552" s="508"/>
      <c r="B552" s="520"/>
      <c r="C552" s="195"/>
      <c r="D552" s="196"/>
      <c r="E552" s="196"/>
      <c r="F552" s="196"/>
      <c r="G552" s="196"/>
      <c r="H552" s="196"/>
      <c r="I552" s="196"/>
      <c r="J552" s="499" t="str">
        <f>Noty!J551</f>
        <v>ukryj</v>
      </c>
      <c r="K552" s="174"/>
      <c r="L552" s="492"/>
      <c r="N552" s="488"/>
      <c r="O552" s="489"/>
    </row>
    <row r="553" spans="1:32" s="394" customFormat="1" ht="15.75" thickBot="1" x14ac:dyDescent="0.35">
      <c r="A553" s="1183">
        <f>A551</f>
        <v>0</v>
      </c>
      <c r="B553" s="1184">
        <f>IF(K553="n/a",0,1)</f>
        <v>0</v>
      </c>
      <c r="C553" s="1369" t="s">
        <v>9798</v>
      </c>
      <c r="D553" s="1369"/>
      <c r="E553" s="1369"/>
      <c r="F553" s="1369"/>
      <c r="G553" s="1369"/>
      <c r="H553" s="1369"/>
      <c r="I553" s="1369"/>
      <c r="J553" s="499" t="str">
        <f>IF(Noty!K553="n/a","ukryj","odkryj")</f>
        <v>ukryj</v>
      </c>
      <c r="K553" s="1213" t="str">
        <f>IF(Input!D117="nie","n/a","")</f>
        <v>n/a</v>
      </c>
      <c r="L553" s="492" t="str">
        <f>A553&amp;"."&amp;B553</f>
        <v>0.0</v>
      </c>
      <c r="N553" s="1101" t="s">
        <v>9378</v>
      </c>
      <c r="O553" s="489" t="str">
        <f>A553&amp;"."&amp;B553</f>
        <v>0.0</v>
      </c>
    </row>
    <row r="554" spans="1:32" s="394" customFormat="1" x14ac:dyDescent="0.25">
      <c r="A554" s="513"/>
      <c r="B554" s="523"/>
      <c r="D554" s="196"/>
      <c r="E554" s="196"/>
      <c r="F554" s="196"/>
      <c r="G554" s="196"/>
      <c r="H554" s="196"/>
      <c r="I554" s="196"/>
      <c r="J554" s="499" t="str">
        <f>Noty!J553</f>
        <v>ukryj</v>
      </c>
      <c r="N554" s="387"/>
    </row>
    <row r="555" spans="1:32" s="394" customFormat="1" x14ac:dyDescent="0.25">
      <c r="A555" s="513"/>
      <c r="B555" s="523"/>
      <c r="D555" s="196"/>
      <c r="E555" s="196"/>
      <c r="F555" s="196"/>
      <c r="G555" s="9"/>
      <c r="H555" s="999" t="str">
        <f>+Input!$P$7</f>
        <v>31.12.2020</v>
      </c>
      <c r="I555" s="1000" t="str">
        <f>+Input!$P$11</f>
        <v>31.12.2019</v>
      </c>
      <c r="J555" s="499" t="str">
        <f>Noty!J554</f>
        <v>ukryj</v>
      </c>
      <c r="N555" s="387"/>
    </row>
    <row r="556" spans="1:32" s="200" customFormat="1" x14ac:dyDescent="0.25">
      <c r="A556" s="508"/>
      <c r="B556" s="520"/>
      <c r="D556" s="196"/>
      <c r="E556" s="196"/>
      <c r="F556" s="196"/>
      <c r="J556" s="499" t="str">
        <f>Noty!J555</f>
        <v>ukryj</v>
      </c>
      <c r="N556" s="387"/>
    </row>
    <row r="557" spans="1:32" s="200" customFormat="1" x14ac:dyDescent="0.25">
      <c r="A557" s="508"/>
      <c r="B557" s="520"/>
      <c r="C557" s="970" t="s">
        <v>9799</v>
      </c>
      <c r="E557" s="196"/>
      <c r="F557" s="196"/>
      <c r="G557" s="9"/>
      <c r="H557" s="638"/>
      <c r="I557" s="638"/>
      <c r="J557" s="499" t="str">
        <f>IF(AND(Noty!H557=0,Noty!I557=0),"ukryj","odkryj")</f>
        <v>ukryj</v>
      </c>
      <c r="N557" s="387"/>
      <c r="AE557" s="257" t="s">
        <v>9800</v>
      </c>
      <c r="AF557" s="257" t="s">
        <v>9801</v>
      </c>
    </row>
    <row r="558" spans="1:32" s="200" customFormat="1" x14ac:dyDescent="0.25">
      <c r="A558" s="508"/>
      <c r="B558" s="520"/>
      <c r="C558" s="970" t="s">
        <v>9802</v>
      </c>
      <c r="E558" s="196"/>
      <c r="F558" s="196"/>
      <c r="G558" s="9"/>
      <c r="H558" s="638"/>
      <c r="I558" s="638"/>
      <c r="J558" s="499" t="str">
        <f>IF(AND(Noty!H558=0,Noty!I558=0),"ukryj","odkryj")</f>
        <v>ukryj</v>
      </c>
      <c r="N558" s="387"/>
      <c r="AE558" s="257" t="s">
        <v>9803</v>
      </c>
      <c r="AF558" s="257" t="s">
        <v>9804</v>
      </c>
    </row>
    <row r="559" spans="1:32" s="200" customFormat="1" ht="13.6" customHeight="1" x14ac:dyDescent="0.25">
      <c r="A559" s="508"/>
      <c r="B559" s="520"/>
      <c r="C559" s="540" t="s">
        <v>9805</v>
      </c>
      <c r="D559" s="669"/>
      <c r="E559" s="669"/>
      <c r="F559" s="669"/>
      <c r="G559" s="1004"/>
      <c r="H559" s="638"/>
      <c r="I559" s="638"/>
      <c r="J559" s="499" t="str">
        <f>IF(AND(Noty!H559=0,Noty!I559=0),"ukryj","odkryj")</f>
        <v>ukryj</v>
      </c>
      <c r="N559" s="387"/>
      <c r="AE559" s="257" t="s">
        <v>9806</v>
      </c>
      <c r="AF559" s="257" t="s">
        <v>9807</v>
      </c>
    </row>
    <row r="560" spans="1:32" s="200" customFormat="1" x14ac:dyDescent="0.25">
      <c r="A560" s="508"/>
      <c r="B560" s="520"/>
      <c r="C560" s="188"/>
      <c r="D560" s="196"/>
      <c r="E560" s="196"/>
      <c r="F560" s="196"/>
      <c r="G560" s="9"/>
      <c r="H560" s="803">
        <f>SUM(H557:H558)</f>
        <v>0</v>
      </c>
      <c r="I560" s="803">
        <f>SUM(I557:I558)</f>
        <v>0</v>
      </c>
      <c r="J560" s="499" t="str">
        <f>IF(AND(Noty!H560=0,Noty!I560=0),"ukryj","odkryj")</f>
        <v>ukryj</v>
      </c>
      <c r="N560" s="387"/>
    </row>
    <row r="561" spans="1:15" s="394" customFormat="1" ht="13.75" thickBot="1" x14ac:dyDescent="0.3">
      <c r="A561" s="513"/>
      <c r="B561" s="523"/>
      <c r="C561" s="396"/>
      <c r="D561" s="584"/>
      <c r="E561" s="584"/>
      <c r="F561" s="584"/>
      <c r="G561" s="584"/>
      <c r="H561" s="584"/>
      <c r="I561" s="584"/>
      <c r="J561" s="499" t="str">
        <f>Noty!J554</f>
        <v>ukryj</v>
      </c>
      <c r="N561" s="387"/>
    </row>
    <row r="562" spans="1:15" s="174" customFormat="1" ht="15.75" thickBot="1" x14ac:dyDescent="0.35">
      <c r="A562" s="1180">
        <f>IF(K562="n/a",A551,A551+ 1)</f>
        <v>0</v>
      </c>
      <c r="B562" s="1182"/>
      <c r="C562" s="1388" t="s">
        <v>7663</v>
      </c>
      <c r="D562" s="1388"/>
      <c r="E562" s="1388"/>
      <c r="F562" s="1388"/>
      <c r="G562" s="1388"/>
      <c r="H562" s="1388"/>
      <c r="I562" s="1388"/>
      <c r="J562" s="499" t="str">
        <f>IF(Noty!K562="n/a","ukryj","odkryj")</f>
        <v>ukryj</v>
      </c>
      <c r="K562" s="1213" t="str">
        <f>IF(AND(K564="n/a",K589="n/a"),"n/a","")</f>
        <v>n/a</v>
      </c>
      <c r="L562" s="971" t="str">
        <f>A562&amp;"."&amp;B562</f>
        <v>0.</v>
      </c>
      <c r="M562" s="200"/>
      <c r="N562" s="1101" t="s">
        <v>9378</v>
      </c>
      <c r="O562" s="489" t="str">
        <f>A562&amp;"."&amp;B562</f>
        <v>0.</v>
      </c>
    </row>
    <row r="563" spans="1:15" s="174" customFormat="1" ht="13.75" thickBot="1" x14ac:dyDescent="0.3">
      <c r="A563" s="508"/>
      <c r="B563" s="520"/>
      <c r="C563" s="204"/>
      <c r="D563" s="195"/>
      <c r="E563" s="196"/>
      <c r="F563" s="196"/>
      <c r="G563" s="196"/>
      <c r="H563" s="196"/>
      <c r="I563" s="196"/>
      <c r="J563" s="499" t="str">
        <f>Noty!J562</f>
        <v>ukryj</v>
      </c>
      <c r="K563" s="200"/>
      <c r="L563" s="200"/>
      <c r="M563" s="200"/>
      <c r="N563" s="371"/>
    </row>
    <row r="564" spans="1:15" s="174" customFormat="1" ht="15.75" thickBot="1" x14ac:dyDescent="0.35">
      <c r="A564" s="1183">
        <f>A562</f>
        <v>0</v>
      </c>
      <c r="B564" s="1184">
        <f>IF(K564="n/a",0,1)</f>
        <v>0</v>
      </c>
      <c r="C564" s="1389" t="s">
        <v>9808</v>
      </c>
      <c r="D564" s="1389"/>
      <c r="E564" s="1389"/>
      <c r="F564" s="1389"/>
      <c r="G564" s="1389"/>
      <c r="H564" s="1389"/>
      <c r="I564" s="1389"/>
      <c r="J564" s="499" t="str">
        <f>IF(Noty!K564="n/a","ukryj","odkryj")</f>
        <v>ukryj</v>
      </c>
      <c r="K564" s="1213" t="str">
        <f>IF(Input!D119="nie","n/a","")</f>
        <v>n/a</v>
      </c>
      <c r="L564" s="492" t="str">
        <f>A564&amp;"."&amp;B564</f>
        <v>0.0</v>
      </c>
      <c r="M564" s="200"/>
      <c r="N564" s="1101" t="s">
        <v>9378</v>
      </c>
      <c r="O564" s="489" t="str">
        <f>A564&amp;"."&amp;B564</f>
        <v>0.0</v>
      </c>
    </row>
    <row r="565" spans="1:15" s="174" customFormat="1" x14ac:dyDescent="0.25">
      <c r="A565" s="508"/>
      <c r="B565" s="520"/>
      <c r="C565" s="200"/>
      <c r="D565" s="200"/>
      <c r="E565" s="196"/>
      <c r="F565" s="196"/>
      <c r="G565" s="196"/>
      <c r="H565" s="196"/>
      <c r="I565" s="196"/>
      <c r="J565" s="499" t="str">
        <f>Noty!J564</f>
        <v>ukryj</v>
      </c>
      <c r="K565" s="200"/>
      <c r="L565" s="200"/>
      <c r="M565" s="200"/>
      <c r="N565" s="371"/>
    </row>
    <row r="566" spans="1:15" s="174" customFormat="1" ht="51.05" customHeight="1" x14ac:dyDescent="0.25">
      <c r="A566" s="508"/>
      <c r="B566" s="520"/>
      <c r="C566" s="185" t="s">
        <v>9809</v>
      </c>
      <c r="D566" s="185"/>
      <c r="E566" s="612"/>
      <c r="F566" s="801" t="s">
        <v>9810</v>
      </c>
      <c r="G566" s="801" t="s">
        <v>9811</v>
      </c>
      <c r="H566" s="801" t="s">
        <v>9812</v>
      </c>
      <c r="I566" s="801" t="s">
        <v>9813</v>
      </c>
      <c r="J566" s="499" t="str">
        <f>Noty!J565</f>
        <v>ukryj</v>
      </c>
      <c r="K566" s="200"/>
      <c r="L566" s="200"/>
      <c r="M566" s="200"/>
      <c r="N566" s="371"/>
    </row>
    <row r="567" spans="1:15" s="174" customFormat="1" x14ac:dyDescent="0.25">
      <c r="A567" s="508"/>
      <c r="B567" s="520"/>
      <c r="C567" s="200"/>
      <c r="D567" s="200"/>
      <c r="E567" s="612"/>
      <c r="F567" s="196"/>
      <c r="G567" s="196"/>
      <c r="H567" s="196"/>
      <c r="I567" s="196"/>
      <c r="J567" s="499" t="str">
        <f>Noty!J566</f>
        <v>ukryj</v>
      </c>
      <c r="K567" s="200"/>
      <c r="L567" s="200"/>
      <c r="M567" s="200"/>
      <c r="N567" s="371"/>
    </row>
    <row r="568" spans="1:15" s="174" customFormat="1" x14ac:dyDescent="0.25">
      <c r="A568" s="508"/>
      <c r="B568" s="520"/>
      <c r="C568" s="1367"/>
      <c r="D568" s="1367"/>
      <c r="E568" s="1367"/>
      <c r="F568" s="670"/>
      <c r="G568" s="670"/>
      <c r="H568" s="671">
        <f t="shared" ref="H568:H577" si="16">IF(G568=0,0,G568/$G$578)</f>
        <v>0</v>
      </c>
      <c r="I568" s="671">
        <f t="shared" ref="I568:I577" si="17">IF(G568=0,0,G568/$G$578)</f>
        <v>0</v>
      </c>
      <c r="J568" s="499" t="str">
        <f>IF(Noty!H568=0,"ukryj","odkryj")</f>
        <v>ukryj</v>
      </c>
      <c r="K568" s="200"/>
      <c r="L568" s="200"/>
      <c r="M568" s="200"/>
      <c r="N568" s="371"/>
    </row>
    <row r="569" spans="1:15" s="174" customFormat="1" x14ac:dyDescent="0.25">
      <c r="A569" s="508"/>
      <c r="B569" s="520"/>
      <c r="C569" s="1367"/>
      <c r="D569" s="1367"/>
      <c r="E569" s="1367"/>
      <c r="F569" s="670"/>
      <c r="G569" s="670"/>
      <c r="H569" s="671">
        <f t="shared" si="16"/>
        <v>0</v>
      </c>
      <c r="I569" s="671">
        <f t="shared" si="17"/>
        <v>0</v>
      </c>
      <c r="J569" s="499" t="str">
        <f>IF(Noty!H569=0,"ukryj","odkryj")</f>
        <v>ukryj</v>
      </c>
      <c r="K569" s="200"/>
      <c r="L569" s="200"/>
      <c r="M569" s="200"/>
      <c r="N569" s="371"/>
    </row>
    <row r="570" spans="1:15" s="174" customFormat="1" x14ac:dyDescent="0.25">
      <c r="A570" s="508"/>
      <c r="B570" s="520"/>
      <c r="C570" s="1367"/>
      <c r="D570" s="1367"/>
      <c r="E570" s="1367"/>
      <c r="F570" s="670"/>
      <c r="G570" s="670"/>
      <c r="H570" s="671">
        <f t="shared" si="16"/>
        <v>0</v>
      </c>
      <c r="I570" s="671">
        <f t="shared" si="17"/>
        <v>0</v>
      </c>
      <c r="J570" s="499" t="str">
        <f>IF(Noty!H570=0,"ukryj","odkryj")</f>
        <v>ukryj</v>
      </c>
      <c r="K570" s="200"/>
      <c r="L570" s="200"/>
      <c r="M570" s="200"/>
      <c r="N570" s="371"/>
    </row>
    <row r="571" spans="1:15" s="174" customFormat="1" x14ac:dyDescent="0.25">
      <c r="A571" s="508"/>
      <c r="B571" s="520"/>
      <c r="C571" s="1367"/>
      <c r="D571" s="1367"/>
      <c r="E571" s="1367"/>
      <c r="F571" s="670"/>
      <c r="G571" s="670"/>
      <c r="H571" s="671">
        <f t="shared" si="16"/>
        <v>0</v>
      </c>
      <c r="I571" s="671">
        <f t="shared" si="17"/>
        <v>0</v>
      </c>
      <c r="J571" s="499" t="str">
        <f>IF(Noty!H571=0,"ukryj","odkryj")</f>
        <v>ukryj</v>
      </c>
      <c r="K571" s="200"/>
      <c r="L571" s="200"/>
      <c r="M571" s="200"/>
      <c r="N571" s="371"/>
    </row>
    <row r="572" spans="1:15" s="174" customFormat="1" x14ac:dyDescent="0.25">
      <c r="A572" s="508"/>
      <c r="B572" s="520"/>
      <c r="C572" s="1367"/>
      <c r="D572" s="1367"/>
      <c r="E572" s="1367"/>
      <c r="F572" s="670"/>
      <c r="G572" s="670"/>
      <c r="H572" s="671">
        <f t="shared" si="16"/>
        <v>0</v>
      </c>
      <c r="I572" s="671">
        <f t="shared" si="17"/>
        <v>0</v>
      </c>
      <c r="J572" s="499" t="str">
        <f>IF(Noty!H572=0,"ukryj","odkryj")</f>
        <v>ukryj</v>
      </c>
      <c r="K572" s="200"/>
      <c r="L572" s="200"/>
      <c r="M572" s="200"/>
      <c r="N572" s="371"/>
    </row>
    <row r="573" spans="1:15" s="174" customFormat="1" x14ac:dyDescent="0.25">
      <c r="A573" s="508"/>
      <c r="B573" s="520"/>
      <c r="C573" s="1367"/>
      <c r="D573" s="1367"/>
      <c r="E573" s="1367"/>
      <c r="F573" s="670"/>
      <c r="G573" s="670"/>
      <c r="H573" s="671">
        <f t="shared" si="16"/>
        <v>0</v>
      </c>
      <c r="I573" s="671">
        <f t="shared" si="17"/>
        <v>0</v>
      </c>
      <c r="J573" s="499" t="str">
        <f>IF(Noty!H573=0,"ukryj","odkryj")</f>
        <v>ukryj</v>
      </c>
      <c r="K573" s="200"/>
      <c r="L573" s="200"/>
      <c r="M573" s="200"/>
      <c r="N573" s="371"/>
    </row>
    <row r="574" spans="1:15" s="174" customFormat="1" x14ac:dyDescent="0.25">
      <c r="A574" s="508"/>
      <c r="B574" s="520"/>
      <c r="C574" s="1367"/>
      <c r="D574" s="1367"/>
      <c r="E574" s="1367"/>
      <c r="F574" s="670"/>
      <c r="G574" s="670"/>
      <c r="H574" s="671">
        <f t="shared" si="16"/>
        <v>0</v>
      </c>
      <c r="I574" s="671">
        <f t="shared" si="17"/>
        <v>0</v>
      </c>
      <c r="J574" s="499" t="str">
        <f>IF(Noty!H574=0,"ukryj","odkryj")</f>
        <v>ukryj</v>
      </c>
      <c r="K574" s="200"/>
      <c r="L574" s="200"/>
      <c r="M574" s="200"/>
      <c r="N574" s="371"/>
    </row>
    <row r="575" spans="1:15" s="174" customFormat="1" x14ac:dyDescent="0.25">
      <c r="A575" s="508"/>
      <c r="B575" s="520"/>
      <c r="C575" s="1367"/>
      <c r="D575" s="1367"/>
      <c r="E575" s="1367"/>
      <c r="F575" s="670"/>
      <c r="G575" s="670"/>
      <c r="H575" s="671">
        <f t="shared" si="16"/>
        <v>0</v>
      </c>
      <c r="I575" s="671">
        <f t="shared" si="17"/>
        <v>0</v>
      </c>
      <c r="J575" s="499" t="str">
        <f>IF(Noty!H575=0,"ukryj","odkryj")</f>
        <v>ukryj</v>
      </c>
      <c r="K575" s="200"/>
      <c r="L575" s="200"/>
      <c r="M575" s="200"/>
      <c r="N575" s="371"/>
    </row>
    <row r="576" spans="1:15" s="174" customFormat="1" x14ac:dyDescent="0.25">
      <c r="A576" s="508"/>
      <c r="B576" s="520"/>
      <c r="C576" s="1367"/>
      <c r="D576" s="1367"/>
      <c r="E576" s="1367"/>
      <c r="F576" s="670"/>
      <c r="G576" s="670"/>
      <c r="H576" s="671">
        <f t="shared" si="16"/>
        <v>0</v>
      </c>
      <c r="I576" s="671">
        <f t="shared" si="17"/>
        <v>0</v>
      </c>
      <c r="J576" s="499" t="str">
        <f>IF(Noty!H576=0,"ukryj","odkryj")</f>
        <v>ukryj</v>
      </c>
      <c r="K576" s="200"/>
      <c r="L576" s="200"/>
      <c r="M576" s="200"/>
      <c r="N576" s="371"/>
    </row>
    <row r="577" spans="1:15" s="174" customFormat="1" x14ac:dyDescent="0.25">
      <c r="A577" s="508"/>
      <c r="B577" s="520"/>
      <c r="C577" s="1367"/>
      <c r="D577" s="1367"/>
      <c r="E577" s="1367"/>
      <c r="F577" s="670"/>
      <c r="G577" s="670"/>
      <c r="H577" s="671">
        <f t="shared" si="16"/>
        <v>0</v>
      </c>
      <c r="I577" s="671">
        <f t="shared" si="17"/>
        <v>0</v>
      </c>
      <c r="J577" s="499" t="str">
        <f>IF(Noty!H577=0,"ukryj","odkryj")</f>
        <v>ukryj</v>
      </c>
      <c r="K577" s="200"/>
      <c r="L577" s="200"/>
      <c r="M577" s="200"/>
      <c r="N577" s="371"/>
    </row>
    <row r="578" spans="1:15" s="174" customFormat="1" x14ac:dyDescent="0.25">
      <c r="A578" s="508"/>
      <c r="B578" s="520"/>
      <c r="C578" s="822"/>
      <c r="D578" s="822"/>
      <c r="E578" s="612"/>
      <c r="F578" s="619">
        <f>SUM(F568:F577)</f>
        <v>0</v>
      </c>
      <c r="G578" s="619">
        <f>SUM(G568:G577)</f>
        <v>0</v>
      </c>
      <c r="H578" s="672">
        <f>SUM(H568:H577)</f>
        <v>0</v>
      </c>
      <c r="I578" s="672">
        <f>SUM(I568:I577)</f>
        <v>0</v>
      </c>
      <c r="J578" s="499" t="str">
        <f>IF(Noty!H578=0,"ukryj","odkryj")</f>
        <v>ukryj</v>
      </c>
      <c r="K578" s="200"/>
      <c r="L578" s="200"/>
      <c r="M578" s="200"/>
      <c r="N578" s="371"/>
    </row>
    <row r="579" spans="1:15" s="174" customFormat="1" x14ac:dyDescent="0.25">
      <c r="A579" s="508"/>
      <c r="B579" s="520"/>
      <c r="C579" s="200"/>
      <c r="D579" s="200"/>
      <c r="E579" s="196"/>
      <c r="F579" s="196"/>
      <c r="G579" s="196"/>
      <c r="H579" s="196"/>
      <c r="I579" s="196"/>
      <c r="J579" s="499" t="str">
        <f>Noty!J565</f>
        <v>ukryj</v>
      </c>
      <c r="K579" s="200"/>
      <c r="L579" s="200"/>
      <c r="M579" s="200"/>
      <c r="N579" s="371"/>
    </row>
    <row r="580" spans="1:15" s="174" customFormat="1" ht="13.6" customHeight="1" x14ac:dyDescent="0.25">
      <c r="A580" s="508"/>
      <c r="B580" s="520"/>
      <c r="C580" s="1383" t="s">
        <v>9814</v>
      </c>
      <c r="D580" s="1383"/>
      <c r="E580" s="1383"/>
      <c r="F580" s="1383"/>
      <c r="G580" s="1383"/>
      <c r="H580" s="1383"/>
      <c r="I580" s="1383"/>
      <c r="J580" s="499" t="s">
        <v>5125</v>
      </c>
      <c r="K580" s="200"/>
      <c r="L580" s="200"/>
      <c r="M580" s="200"/>
      <c r="N580" s="371"/>
    </row>
    <row r="581" spans="1:15" s="174" customFormat="1" ht="27.85" customHeight="1" x14ac:dyDescent="0.25">
      <c r="A581" s="508"/>
      <c r="B581" s="520"/>
      <c r="C581" s="1384" t="s">
        <v>9815</v>
      </c>
      <c r="D581" s="1384"/>
      <c r="E581" s="1384"/>
      <c r="F581" s="1384"/>
      <c r="G581" s="1384"/>
      <c r="H581" s="1384"/>
      <c r="I581" s="1384"/>
      <c r="J581" s="499" t="s">
        <v>5125</v>
      </c>
      <c r="K581" s="200"/>
      <c r="L581" s="200"/>
      <c r="M581" s="200"/>
      <c r="N581" s="371"/>
    </row>
    <row r="582" spans="1:15" s="174" customFormat="1" x14ac:dyDescent="0.25">
      <c r="A582" s="508"/>
      <c r="B582" s="520"/>
      <c r="C582" s="200"/>
      <c r="D582" s="200"/>
      <c r="E582" s="196"/>
      <c r="F582" s="196"/>
      <c r="G582" s="196"/>
      <c r="H582" s="196"/>
      <c r="I582" s="196"/>
      <c r="J582" s="499" t="s">
        <v>5125</v>
      </c>
      <c r="K582" s="200"/>
      <c r="L582" s="496"/>
      <c r="M582" s="200"/>
      <c r="N582" s="371"/>
    </row>
    <row r="583" spans="1:15" s="174" customFormat="1" x14ac:dyDescent="0.25">
      <c r="A583" s="508"/>
      <c r="B583" s="520"/>
      <c r="C583" s="1455" t="s">
        <v>9816</v>
      </c>
      <c r="D583" s="1455"/>
      <c r="E583" s="1455"/>
      <c r="F583" s="1455"/>
      <c r="G583" s="1455"/>
      <c r="H583" s="1455"/>
      <c r="I583" s="1455"/>
      <c r="J583" s="499" t="s">
        <v>5125</v>
      </c>
      <c r="K583" s="200"/>
      <c r="L583" s="496"/>
      <c r="M583" s="200"/>
      <c r="N583" s="371"/>
    </row>
    <row r="584" spans="1:15" s="174" customFormat="1" x14ac:dyDescent="0.25">
      <c r="A584" s="508"/>
      <c r="B584" s="520"/>
      <c r="C584" s="200"/>
      <c r="D584" s="200"/>
      <c r="E584" s="196"/>
      <c r="F584" s="196"/>
      <c r="G584" s="196"/>
      <c r="H584" s="1133" t="str">
        <f>+Input!$P$7</f>
        <v>31.12.2020</v>
      </c>
      <c r="I584" s="1133" t="str">
        <f>+Input!$P$11</f>
        <v>31.12.2019</v>
      </c>
      <c r="J584" s="499" t="str">
        <f>J585</f>
        <v>ukryj</v>
      </c>
      <c r="K584" s="200"/>
      <c r="L584" s="496"/>
      <c r="M584" s="200"/>
      <c r="N584" s="371"/>
    </row>
    <row r="585" spans="1:15" s="174" customFormat="1" ht="42.75" customHeight="1" x14ac:dyDescent="0.25">
      <c r="A585" s="508"/>
      <c r="B585" s="520"/>
      <c r="C585" s="1293" t="s">
        <v>9817</v>
      </c>
      <c r="D585" s="1293"/>
      <c r="E585" s="1293"/>
      <c r="F585" s="1293"/>
      <c r="G585" s="1293"/>
      <c r="H585" s="1203"/>
      <c r="I585" s="1203"/>
      <c r="J585" s="499" t="str">
        <f>IF(AND(Noty!H1682=0,Noty!I1682=0),"ukryj","odkryj")</f>
        <v>ukryj</v>
      </c>
      <c r="K585" s="200"/>
      <c r="L585" s="496"/>
      <c r="M585" s="200"/>
      <c r="N585" s="371"/>
    </row>
    <row r="586" spans="1:15" s="174" customFormat="1" x14ac:dyDescent="0.25">
      <c r="A586" s="508"/>
      <c r="B586" s="520"/>
      <c r="C586" s="200"/>
      <c r="D586" s="200"/>
      <c r="E586" s="196"/>
      <c r="F586" s="196"/>
      <c r="G586" s="196"/>
      <c r="H586" s="196"/>
      <c r="I586" s="196"/>
      <c r="J586" s="499" t="str">
        <f>J585</f>
        <v>ukryj</v>
      </c>
      <c r="K586" s="200"/>
      <c r="L586" s="496"/>
      <c r="M586" s="200"/>
      <c r="N586" s="371"/>
    </row>
    <row r="587" spans="1:15" s="174" customFormat="1" ht="29.3" customHeight="1" x14ac:dyDescent="0.25">
      <c r="A587" s="508"/>
      <c r="B587" s="520"/>
      <c r="C587" s="1456" t="s">
        <v>9818</v>
      </c>
      <c r="D587" s="1456"/>
      <c r="E587" s="1456"/>
      <c r="F587" s="1456"/>
      <c r="G587" s="1456"/>
      <c r="H587" s="1456"/>
      <c r="I587" s="1456"/>
      <c r="J587" s="499" t="s">
        <v>5125</v>
      </c>
      <c r="K587" s="200"/>
      <c r="L587" s="496"/>
      <c r="M587" s="200"/>
      <c r="N587" s="371"/>
    </row>
    <row r="588" spans="1:15" s="174" customFormat="1" ht="13.75" thickBot="1" x14ac:dyDescent="0.3">
      <c r="A588" s="508"/>
      <c r="B588" s="520"/>
      <c r="C588" s="200"/>
      <c r="D588" s="200"/>
      <c r="E588" s="196"/>
      <c r="F588" s="196"/>
      <c r="G588" s="196"/>
      <c r="H588" s="196"/>
      <c r="I588" s="196"/>
      <c r="J588" s="499" t="s">
        <v>5125</v>
      </c>
      <c r="K588" s="200"/>
      <c r="L588" s="496"/>
      <c r="M588" s="200"/>
      <c r="N588" s="371"/>
    </row>
    <row r="589" spans="1:15" s="174" customFormat="1" ht="15.75" thickBot="1" x14ac:dyDescent="0.35">
      <c r="A589" s="1183">
        <f>A562</f>
        <v>0</v>
      </c>
      <c r="B589" s="1184">
        <f>IF(K589="n/a",B564,B564+1)</f>
        <v>0</v>
      </c>
      <c r="C589" s="1389" t="s">
        <v>9819</v>
      </c>
      <c r="D589" s="1389"/>
      <c r="E589" s="1389"/>
      <c r="F589" s="1389"/>
      <c r="G589" s="1389"/>
      <c r="H589" s="1389"/>
      <c r="I589" s="1389"/>
      <c r="J589" s="499" t="str">
        <f>IF(Noty!K589="n/a","ukryj","odkryj")</f>
        <v>ukryj</v>
      </c>
      <c r="K589" s="1213" t="str">
        <f>IF(Input!D120="nie","n/a","")</f>
        <v>n/a</v>
      </c>
      <c r="L589" s="971" t="str">
        <f>A589&amp;"."&amp;B589</f>
        <v>0.0</v>
      </c>
      <c r="M589" s="200"/>
      <c r="N589" s="1101" t="s">
        <v>9378</v>
      </c>
      <c r="O589" s="489" t="str">
        <f>A589&amp;"."&amp;B589</f>
        <v>0.0</v>
      </c>
    </row>
    <row r="590" spans="1:15" s="174" customFormat="1" x14ac:dyDescent="0.25">
      <c r="A590" s="508"/>
      <c r="B590" s="520"/>
      <c r="C590" s="200"/>
      <c r="D590" s="200"/>
      <c r="E590" s="196"/>
      <c r="F590" s="196"/>
      <c r="G590" s="196"/>
      <c r="H590" s="196"/>
      <c r="I590" s="196"/>
      <c r="J590" s="499" t="str">
        <f>Noty!J589</f>
        <v>ukryj</v>
      </c>
      <c r="K590" s="200"/>
      <c r="L590" s="200"/>
      <c r="M590" s="200"/>
      <c r="N590" s="371"/>
    </row>
    <row r="591" spans="1:15" s="174" customFormat="1" ht="13.6" customHeight="1" x14ac:dyDescent="0.25">
      <c r="A591" s="508"/>
      <c r="B591" s="520"/>
      <c r="C591" s="1385" t="str">
        <f>"Zarząd Spółki proponuje następujący "&amp;IF(OR(H596=0,H596=""),"podział zysku","sposób pokrycia straty")&amp;" za rok obrotowy:"</f>
        <v>Zarząd Spółki proponuje następujący podział zysku za rok obrotowy:</v>
      </c>
      <c r="D591" s="1385"/>
      <c r="E591" s="1385"/>
      <c r="F591" s="1385"/>
      <c r="G591" s="1385"/>
      <c r="H591" s="1385"/>
      <c r="I591" s="1385"/>
      <c r="J591" s="499" t="str">
        <f>Noty!J590</f>
        <v>ukryj</v>
      </c>
      <c r="K591" s="200"/>
      <c r="L591" s="200"/>
      <c r="M591" s="200"/>
      <c r="N591" s="371"/>
    </row>
    <row r="592" spans="1:15" s="174" customFormat="1" x14ac:dyDescent="0.25">
      <c r="A592" s="508"/>
      <c r="B592" s="520"/>
      <c r="C592" s="541" t="s">
        <v>9820</v>
      </c>
      <c r="D592" s="612"/>
      <c r="E592" s="673"/>
      <c r="F592" s="673"/>
      <c r="G592" s="200"/>
      <c r="H592" s="638"/>
      <c r="I592" s="673"/>
      <c r="J592" s="499" t="str">
        <f>IF(Noty!H592=0,"ukryj","odkryj")</f>
        <v>ukryj</v>
      </c>
      <c r="K592" s="200"/>
      <c r="L592" s="200"/>
      <c r="M592" s="200"/>
      <c r="N592" s="371"/>
    </row>
    <row r="593" spans="1:31" s="174" customFormat="1" x14ac:dyDescent="0.25">
      <c r="A593" s="508"/>
      <c r="B593" s="520"/>
      <c r="C593" s="541" t="s">
        <v>9821</v>
      </c>
      <c r="D593" s="612"/>
      <c r="E593" s="673"/>
      <c r="F593" s="673"/>
      <c r="G593" s="200"/>
      <c r="H593" s="638"/>
      <c r="I593" s="673"/>
      <c r="J593" s="499" t="str">
        <f>IF(Noty!H593=0,"ukryj","odkryj")</f>
        <v>ukryj</v>
      </c>
      <c r="K593" s="200"/>
      <c r="L593" s="200"/>
      <c r="M593" s="200"/>
      <c r="N593" s="371"/>
    </row>
    <row r="594" spans="1:31" s="174" customFormat="1" x14ac:dyDescent="0.25">
      <c r="A594" s="508"/>
      <c r="B594" s="520"/>
      <c r="C594" s="541" t="s">
        <v>9822</v>
      </c>
      <c r="D594" s="612"/>
      <c r="E594" s="673"/>
      <c r="F594" s="673"/>
      <c r="G594" s="200"/>
      <c r="H594" s="638"/>
      <c r="I594" s="673"/>
      <c r="J594" s="499" t="str">
        <f>IF(Noty!H594=0,"ukryj","odkryj")</f>
        <v>ukryj</v>
      </c>
      <c r="K594" s="200"/>
      <c r="L594" s="200"/>
      <c r="M594" s="200"/>
      <c r="N594" s="371"/>
    </row>
    <row r="595" spans="1:31" s="174" customFormat="1" x14ac:dyDescent="0.25">
      <c r="A595" s="508"/>
      <c r="B595" s="520"/>
      <c r="C595" s="541" t="s">
        <v>9823</v>
      </c>
      <c r="D595" s="612"/>
      <c r="E595" s="673"/>
      <c r="F595" s="673"/>
      <c r="G595" s="200"/>
      <c r="H595" s="638"/>
      <c r="I595" s="673"/>
      <c r="J595" s="499" t="str">
        <f>IF(Noty!H595=0,"ukryj","odkryj")</f>
        <v>ukryj</v>
      </c>
      <c r="K595" s="200"/>
      <c r="L595" s="200"/>
      <c r="M595" s="200"/>
      <c r="N595" s="371"/>
    </row>
    <row r="596" spans="1:31" s="174" customFormat="1" x14ac:dyDescent="0.25">
      <c r="A596" s="508"/>
      <c r="B596" s="520"/>
      <c r="C596" s="542" t="s">
        <v>9824</v>
      </c>
      <c r="D596" s="612"/>
      <c r="E596" s="673"/>
      <c r="F596" s="673"/>
      <c r="G596" s="200"/>
      <c r="H596" s="638"/>
      <c r="I596" s="673"/>
      <c r="J596" s="499" t="str">
        <f>IF(Noty!H596=0,"ukryj","odkryj")</f>
        <v>ukryj</v>
      </c>
      <c r="K596" s="200"/>
      <c r="L596" s="200"/>
      <c r="M596" s="200"/>
      <c r="N596" s="371"/>
    </row>
    <row r="597" spans="1:31" s="174" customFormat="1" x14ac:dyDescent="0.25">
      <c r="A597" s="508"/>
      <c r="B597" s="520"/>
      <c r="C597" s="1386"/>
      <c r="D597" s="1386"/>
      <c r="E597" s="1386"/>
      <c r="F597" s="673"/>
      <c r="G597" s="200"/>
      <c r="H597" s="803">
        <f>SUM(H592:H596)</f>
        <v>0</v>
      </c>
      <c r="I597" s="673"/>
      <c r="J597" s="499" t="str">
        <f>IF(Noty!H597=0,"ukryj","odkryj")</f>
        <v>ukryj</v>
      </c>
      <c r="K597" s="200"/>
      <c r="L597" s="200"/>
      <c r="M597" s="200"/>
      <c r="N597" s="371"/>
    </row>
    <row r="598" spans="1:31" s="174" customFormat="1" ht="13.75" thickBot="1" x14ac:dyDescent="0.3">
      <c r="A598" s="508"/>
      <c r="B598" s="520"/>
      <c r="C598" s="200"/>
      <c r="D598" s="200"/>
      <c r="E598" s="196"/>
      <c r="F598" s="196"/>
      <c r="G598" s="196"/>
      <c r="H598" s="196"/>
      <c r="I598" s="196"/>
      <c r="J598" s="499" t="str">
        <f>Noty!J590</f>
        <v>ukryj</v>
      </c>
      <c r="K598" s="200"/>
      <c r="L598" s="200"/>
      <c r="M598" s="200"/>
      <c r="N598" s="371"/>
    </row>
    <row r="599" spans="1:31" s="257" customFormat="1" ht="15.75" thickBot="1" x14ac:dyDescent="0.35">
      <c r="A599" s="1183">
        <f>A589</f>
        <v>0</v>
      </c>
      <c r="B599" s="1184">
        <f>IF(K599="n/a",B589,B589+1)</f>
        <v>0</v>
      </c>
      <c r="C599" s="1235" t="s">
        <v>9825</v>
      </c>
      <c r="D599" s="1235"/>
      <c r="E599" s="1235"/>
      <c r="F599" s="1235"/>
      <c r="G599" s="1235"/>
      <c r="H599" s="1235"/>
      <c r="I599" s="1235"/>
      <c r="J599" s="499" t="str">
        <f>IF(Noty!K599="n/a","ukryj","odkryj")</f>
        <v>ukryj</v>
      </c>
      <c r="K599" s="1213" t="str">
        <f>IF(Input!D121="nie","n/a","")</f>
        <v>n/a</v>
      </c>
      <c r="L599" s="200" t="str">
        <f>A599&amp;"."&amp;B599</f>
        <v>0.0</v>
      </c>
      <c r="N599" s="1101" t="s">
        <v>9378</v>
      </c>
      <c r="O599" s="489" t="str">
        <f>A599&amp;"."&amp;B599</f>
        <v>0.0</v>
      </c>
    </row>
    <row r="600" spans="1:31" s="257" customFormat="1" x14ac:dyDescent="0.25">
      <c r="A600" s="508"/>
      <c r="B600" s="520"/>
      <c r="C600" s="411" t="s">
        <v>9826</v>
      </c>
      <c r="D600" s="609"/>
      <c r="E600" s="609"/>
      <c r="F600" s="609"/>
      <c r="G600" s="609"/>
      <c r="H600" s="609"/>
      <c r="I600" s="609"/>
      <c r="J600" s="499" t="s">
        <v>5125</v>
      </c>
      <c r="K600" s="174"/>
      <c r="L600" s="200"/>
      <c r="N600" s="488"/>
      <c r="O600" s="489"/>
    </row>
    <row r="601" spans="1:31" s="257" customFormat="1" x14ac:dyDescent="0.25">
      <c r="A601" s="508"/>
      <c r="B601" s="520"/>
      <c r="C601" s="356"/>
      <c r="D601" s="609"/>
      <c r="E601" s="609"/>
      <c r="F601" s="609"/>
      <c r="G601" s="609"/>
      <c r="H601" s="609"/>
      <c r="I601" s="609"/>
      <c r="J601" s="499" t="str">
        <f>Noty!J599</f>
        <v>ukryj</v>
      </c>
      <c r="K601" s="174"/>
      <c r="L601" s="200"/>
      <c r="N601" s="488"/>
      <c r="O601" s="489"/>
    </row>
    <row r="602" spans="1:31" s="257" customFormat="1" ht="42.75" customHeight="1" x14ac:dyDescent="0.25">
      <c r="A602" s="509"/>
      <c r="B602" s="520"/>
      <c r="C602" s="1311"/>
      <c r="D602" s="1311"/>
      <c r="E602" s="1311"/>
      <c r="F602" s="801" t="s">
        <v>9827</v>
      </c>
      <c r="G602" s="801" t="s">
        <v>9828</v>
      </c>
      <c r="H602" s="801" t="s">
        <v>9829</v>
      </c>
      <c r="I602" s="801" t="s">
        <v>9830</v>
      </c>
      <c r="J602" s="499" t="str">
        <f>Noty!J601</f>
        <v>ukryj</v>
      </c>
      <c r="K602" s="806"/>
      <c r="L602" s="806"/>
      <c r="N602" s="172"/>
    </row>
    <row r="603" spans="1:31" s="257" customFormat="1" x14ac:dyDescent="0.25">
      <c r="A603" s="509"/>
      <c r="B603" s="520"/>
      <c r="D603" s="202"/>
      <c r="E603" s="202"/>
      <c r="F603" s="609"/>
      <c r="G603" s="609"/>
      <c r="H603" s="609"/>
      <c r="I603" s="609"/>
      <c r="J603" s="499" t="str">
        <f>Noty!J602</f>
        <v>ukryj</v>
      </c>
      <c r="K603" s="806"/>
      <c r="L603" s="806"/>
      <c r="N603" s="172"/>
    </row>
    <row r="604" spans="1:31" s="257" customFormat="1" x14ac:dyDescent="0.25">
      <c r="A604" s="509"/>
      <c r="B604" s="520"/>
      <c r="C604" s="1314" t="str">
        <f>"Stan na "&amp;Input!P6</f>
        <v>Stan na 01.01.2020</v>
      </c>
      <c r="D604" s="1314"/>
      <c r="E604" s="202"/>
      <c r="F604" s="674"/>
      <c r="G604" s="675"/>
      <c r="H604" s="675"/>
      <c r="I604" s="676">
        <f>SUM(F604:H604)</f>
        <v>0</v>
      </c>
      <c r="J604" s="499" t="str">
        <f>IF(Noty!I604=0,"ukryj","odkryj")</f>
        <v>ukryj</v>
      </c>
      <c r="K604" s="806"/>
      <c r="L604" s="806"/>
      <c r="N604" s="172"/>
      <c r="AC604" s="257" t="s">
        <v>9831</v>
      </c>
      <c r="AD604" s="257" t="s">
        <v>9832</v>
      </c>
      <c r="AE604" s="257" t="s">
        <v>9833</v>
      </c>
    </row>
    <row r="605" spans="1:31" s="257" customFormat="1" x14ac:dyDescent="0.25">
      <c r="A605" s="509"/>
      <c r="B605" s="520"/>
      <c r="C605" s="1303" t="s">
        <v>9834</v>
      </c>
      <c r="D605" s="1303"/>
      <c r="E605" s="1303"/>
      <c r="F605" s="674"/>
      <c r="G605" s="675"/>
      <c r="H605" s="675"/>
      <c r="I605" s="676">
        <f t="shared" ref="I605:I606" si="18">SUM(F605:H605)</f>
        <v>0</v>
      </c>
      <c r="J605" s="499" t="str">
        <f>IF(Noty!I605=0,"ukryj","odkryj")</f>
        <v>ukryj</v>
      </c>
      <c r="K605" s="806"/>
      <c r="L605" s="806"/>
      <c r="N605" s="172"/>
    </row>
    <row r="606" spans="1:31" s="257" customFormat="1" x14ac:dyDescent="0.25">
      <c r="A606" s="509"/>
      <c r="B606" s="520"/>
      <c r="C606" s="1314" t="s">
        <v>9835</v>
      </c>
      <c r="D606" s="1314"/>
      <c r="E606" s="202"/>
      <c r="F606" s="674"/>
      <c r="G606" s="677"/>
      <c r="H606" s="677"/>
      <c r="I606" s="676">
        <f t="shared" si="18"/>
        <v>0</v>
      </c>
      <c r="J606" s="499" t="str">
        <f>IF(Noty!I606=0,"ukryj","odkryj")</f>
        <v>ukryj</v>
      </c>
      <c r="K606" s="806"/>
      <c r="L606" s="806"/>
      <c r="N606" s="172"/>
    </row>
    <row r="607" spans="1:31" s="257" customFormat="1" x14ac:dyDescent="0.25">
      <c r="A607" s="509"/>
      <c r="B607" s="520"/>
      <c r="C607" s="812" t="str">
        <f>"Stan na "&amp;Input!P7</f>
        <v>Stan na 31.12.2020</v>
      </c>
      <c r="D607" s="202"/>
      <c r="E607" s="202"/>
      <c r="F607" s="836">
        <f>SUM(F604:F606)</f>
        <v>0</v>
      </c>
      <c r="G607" s="836">
        <f t="shared" ref="G607:I607" si="19">SUM(G604:G606)</f>
        <v>0</v>
      </c>
      <c r="H607" s="836">
        <f t="shared" si="19"/>
        <v>0</v>
      </c>
      <c r="I607" s="836">
        <f t="shared" si="19"/>
        <v>0</v>
      </c>
      <c r="J607" s="499" t="str">
        <f>IF(Noty!I607=0,"ukryj","odkryj")</f>
        <v>ukryj</v>
      </c>
      <c r="K607" s="806"/>
      <c r="L607" s="806"/>
      <c r="N607" s="172"/>
      <c r="AC607" s="257" t="s">
        <v>9836</v>
      </c>
      <c r="AD607" s="257" t="s">
        <v>9837</v>
      </c>
      <c r="AE607" s="257" t="s">
        <v>9838</v>
      </c>
    </row>
    <row r="608" spans="1:31" s="257" customFormat="1" ht="13.75" thickBot="1" x14ac:dyDescent="0.3">
      <c r="A608" s="509"/>
      <c r="B608" s="520"/>
      <c r="C608" s="370"/>
      <c r="D608" s="202"/>
      <c r="E608" s="202"/>
      <c r="F608" s="377"/>
      <c r="G608" s="613"/>
      <c r="H608" s="613"/>
      <c r="I608" s="613"/>
      <c r="J608" s="499" t="str">
        <f>Noty!J607</f>
        <v>ukryj</v>
      </c>
      <c r="K608" s="806"/>
      <c r="L608" s="806"/>
      <c r="N608" s="172"/>
    </row>
    <row r="609" spans="1:32" s="174" customFormat="1" ht="15.75" thickBot="1" x14ac:dyDescent="0.35">
      <c r="A609" s="1180">
        <f>IF(K609="n/a",A589,A589+1)</f>
        <v>0</v>
      </c>
      <c r="B609" s="1182"/>
      <c r="C609" s="1387" t="s">
        <v>9839</v>
      </c>
      <c r="D609" s="1387"/>
      <c r="E609" s="1387"/>
      <c r="F609" s="1387"/>
      <c r="G609" s="1387"/>
      <c r="H609" s="1387"/>
      <c r="I609" s="1387"/>
      <c r="J609" s="499" t="str">
        <f>IF(Noty!K609="n/a","ukryj","odkryj")</f>
        <v>ukryj</v>
      </c>
      <c r="K609" s="1213" t="str">
        <f>IF(Input!D122="nie","n/a","")</f>
        <v>n/a</v>
      </c>
      <c r="L609" s="492" t="str">
        <f>A609&amp;"."&amp;B609</f>
        <v>0.</v>
      </c>
      <c r="M609" s="200"/>
      <c r="N609" s="1101" t="s">
        <v>9378</v>
      </c>
      <c r="O609" s="489" t="str">
        <f>A609&amp;"."&amp;B609</f>
        <v>0.</v>
      </c>
    </row>
    <row r="610" spans="1:32" s="174" customFormat="1" x14ac:dyDescent="0.25">
      <c r="A610" s="508"/>
      <c r="B610" s="520"/>
      <c r="C610" s="200"/>
      <c r="D610" s="200"/>
      <c r="E610" s="200"/>
      <c r="F610" s="200"/>
      <c r="G610" s="200"/>
      <c r="H610" s="200"/>
      <c r="I610" s="200"/>
      <c r="J610" s="499" t="str">
        <f>Noty!J609</f>
        <v>ukryj</v>
      </c>
      <c r="K610" s="200"/>
      <c r="L610" s="200"/>
      <c r="M610" s="200"/>
      <c r="N610" s="371"/>
    </row>
    <row r="611" spans="1:32" s="174" customFormat="1" ht="13.6" customHeight="1" x14ac:dyDescent="0.25">
      <c r="A611" s="508"/>
      <c r="B611" s="520"/>
      <c r="C611" s="1381" t="s">
        <v>9840</v>
      </c>
      <c r="D611" s="1381"/>
      <c r="E611" s="1381"/>
      <c r="F611" s="1381"/>
      <c r="G611" s="1381"/>
      <c r="H611" s="1381"/>
      <c r="I611" s="1381"/>
      <c r="J611" s="499" t="str">
        <f>Noty!J610</f>
        <v>ukryj</v>
      </c>
      <c r="K611" s="200"/>
      <c r="L611" s="200"/>
      <c r="M611" s="200"/>
      <c r="N611" s="371"/>
    </row>
    <row r="612" spans="1:32" s="174" customFormat="1" ht="13.75" thickBot="1" x14ac:dyDescent="0.3">
      <c r="A612" s="508"/>
      <c r="B612" s="520"/>
      <c r="C612" s="200"/>
      <c r="D612" s="200"/>
      <c r="E612" s="196"/>
      <c r="F612" s="196"/>
      <c r="G612" s="196"/>
      <c r="H612" s="196"/>
      <c r="I612" s="196"/>
      <c r="J612" s="499" t="str">
        <f>Noty!J611</f>
        <v>ukryj</v>
      </c>
      <c r="K612" s="200"/>
      <c r="L612" s="496"/>
      <c r="M612" s="200"/>
      <c r="N612" s="371"/>
    </row>
    <row r="613" spans="1:32" s="174" customFormat="1" ht="15.75" thickBot="1" x14ac:dyDescent="0.35">
      <c r="A613" s="1180">
        <f>IF(K613="n/a",A609,A609+1)</f>
        <v>0</v>
      </c>
      <c r="B613" s="1182"/>
      <c r="C613" s="1387" t="s">
        <v>8271</v>
      </c>
      <c r="D613" s="1387"/>
      <c r="E613" s="1387"/>
      <c r="F613" s="1387"/>
      <c r="G613" s="1387"/>
      <c r="H613" s="1387"/>
      <c r="I613" s="1387"/>
      <c r="J613" s="499" t="str">
        <f>IF(Noty!K613="n/a","ukryj","odkryj")</f>
        <v>ukryj</v>
      </c>
      <c r="K613" s="1213" t="str">
        <f>IF(Input!D123="nie","n/a","")</f>
        <v>n/a</v>
      </c>
      <c r="L613" s="492" t="str">
        <f>A613&amp;"."&amp;B613</f>
        <v>0.</v>
      </c>
      <c r="M613" s="200"/>
      <c r="N613" s="1101" t="s">
        <v>9378</v>
      </c>
      <c r="O613" s="489" t="str">
        <f>A613&amp;"."&amp;B613</f>
        <v>0.</v>
      </c>
    </row>
    <row r="614" spans="1:32" s="174" customFormat="1" x14ac:dyDescent="0.25">
      <c r="A614" s="508"/>
      <c r="B614" s="520"/>
      <c r="C614" s="195"/>
      <c r="D614" s="497"/>
      <c r="E614" s="196"/>
      <c r="F614" s="196"/>
      <c r="G614" s="196"/>
      <c r="H614" s="413"/>
      <c r="I614" s="413"/>
      <c r="J614" s="499" t="str">
        <f>Noty!J613</f>
        <v>ukryj</v>
      </c>
      <c r="K614" s="257"/>
      <c r="L614" s="200"/>
      <c r="M614" s="200"/>
      <c r="N614" s="371"/>
    </row>
    <row r="615" spans="1:32" s="174" customFormat="1" ht="15.75" customHeight="1" x14ac:dyDescent="0.25">
      <c r="A615" s="508"/>
      <c r="B615" s="520"/>
      <c r="C615" s="1381" t="s">
        <v>9841</v>
      </c>
      <c r="D615" s="1381"/>
      <c r="E615" s="1381"/>
      <c r="F615" s="1381"/>
      <c r="G615" s="1381"/>
      <c r="H615" s="1381"/>
      <c r="I615" s="1381"/>
      <c r="J615" s="499" t="str">
        <f>Noty!J614</f>
        <v>ukryj</v>
      </c>
      <c r="K615" s="200"/>
      <c r="L615" s="200"/>
      <c r="M615" s="200"/>
      <c r="N615" s="371"/>
    </row>
    <row r="616" spans="1:32" s="174" customFormat="1" ht="13.75" thickBot="1" x14ac:dyDescent="0.3">
      <c r="A616" s="508"/>
      <c r="B616" s="520"/>
      <c r="C616" s="200"/>
      <c r="D616" s="200"/>
      <c r="E616" s="196"/>
      <c r="F616" s="196"/>
      <c r="G616" s="196"/>
      <c r="H616" s="196"/>
      <c r="I616" s="196"/>
      <c r="J616" s="499" t="str">
        <f>Noty!J615</f>
        <v>ukryj</v>
      </c>
      <c r="K616" s="200"/>
      <c r="L616" s="496"/>
      <c r="M616" s="200"/>
      <c r="N616" s="371"/>
    </row>
    <row r="617" spans="1:32" s="174" customFormat="1" ht="15.75" thickBot="1" x14ac:dyDescent="0.35">
      <c r="A617" s="1180">
        <f>IF(K617="n/a",A613,A613+1)</f>
        <v>0</v>
      </c>
      <c r="B617" s="1182"/>
      <c r="C617" s="1388" t="s">
        <v>9842</v>
      </c>
      <c r="D617" s="1388"/>
      <c r="E617" s="1388"/>
      <c r="F617" s="1388"/>
      <c r="G617" s="1388"/>
      <c r="H617" s="1388"/>
      <c r="I617" s="1388"/>
      <c r="J617" s="499" t="str">
        <f>IF(Noty!K617="n/a","ukryj","odkryj")</f>
        <v>ukryj</v>
      </c>
      <c r="K617" s="1213" t="str">
        <f>IF(AND(K619="n/a",K629="n/a",K639="n/a"),"n/a","")</f>
        <v>n/a</v>
      </c>
      <c r="L617" s="971" t="str">
        <f>A617&amp;"."&amp;B617</f>
        <v>0.</v>
      </c>
      <c r="M617" s="200"/>
      <c r="N617" s="1101" t="s">
        <v>9378</v>
      </c>
      <c r="O617" s="489" t="str">
        <f>A617&amp;"."&amp;B617</f>
        <v>0.</v>
      </c>
    </row>
    <row r="618" spans="1:32" s="174" customFormat="1" ht="13.75" thickBot="1" x14ac:dyDescent="0.3">
      <c r="A618" s="508"/>
      <c r="B618" s="520"/>
      <c r="C618" s="412"/>
      <c r="D618" s="412"/>
      <c r="E618" s="196"/>
      <c r="F618" s="196"/>
      <c r="G618" s="196"/>
      <c r="H618" s="413"/>
      <c r="I618" s="413"/>
      <c r="J618" s="499" t="str">
        <f>Noty!J617</f>
        <v>ukryj</v>
      </c>
      <c r="K618" s="200"/>
      <c r="L618" s="200"/>
      <c r="M618" s="200"/>
      <c r="N618" s="371"/>
    </row>
    <row r="619" spans="1:32" s="174" customFormat="1" ht="15.75" thickBot="1" x14ac:dyDescent="0.35">
      <c r="A619" s="1183">
        <f>A617</f>
        <v>0</v>
      </c>
      <c r="B619" s="1184">
        <f>IF(K619="n/a",0,1)</f>
        <v>0</v>
      </c>
      <c r="C619" s="1389" t="s">
        <v>9843</v>
      </c>
      <c r="D619" s="1389"/>
      <c r="E619" s="1389"/>
      <c r="F619" s="1389"/>
      <c r="G619" s="1389"/>
      <c r="H619" s="1389"/>
      <c r="I619" s="1389"/>
      <c r="J619" s="499" t="str">
        <f>IF(Noty!K619="n/a","ukryj","odkryj")</f>
        <v>ukryj</v>
      </c>
      <c r="K619" s="1213" t="str">
        <f>IF(Input!D125="nie","n/a","")</f>
        <v>n/a</v>
      </c>
      <c r="L619" s="492" t="str">
        <f>A619&amp;"."&amp;B619</f>
        <v>0.0</v>
      </c>
      <c r="M619" s="200"/>
      <c r="N619" s="1101" t="s">
        <v>9378</v>
      </c>
      <c r="O619" s="489" t="str">
        <f>A619&amp;"."&amp;B619</f>
        <v>0.0</v>
      </c>
    </row>
    <row r="620" spans="1:32" s="174" customFormat="1" x14ac:dyDescent="0.25">
      <c r="A620" s="508"/>
      <c r="B620" s="520"/>
      <c r="C620" s="195"/>
      <c r="D620" s="195"/>
      <c r="E620" s="196"/>
      <c r="F620" s="196"/>
      <c r="G620" s="196"/>
      <c r="H620" s="196"/>
      <c r="I620" s="196"/>
      <c r="J620" s="499" t="str">
        <f>Noty!J619</f>
        <v>ukryj</v>
      </c>
      <c r="K620" s="200"/>
      <c r="L620" s="200"/>
      <c r="M620" s="200"/>
      <c r="N620" s="371"/>
    </row>
    <row r="621" spans="1:32" s="174" customFormat="1" ht="25.55" customHeight="1" x14ac:dyDescent="0.25">
      <c r="A621" s="508"/>
      <c r="B621" s="520"/>
      <c r="C621" s="200"/>
      <c r="D621" s="200"/>
      <c r="E621" s="196"/>
      <c r="F621" s="612"/>
      <c r="G621" s="414" t="s">
        <v>9844</v>
      </c>
      <c r="H621" s="414" t="s">
        <v>9845</v>
      </c>
      <c r="I621" s="414" t="s">
        <v>9280</v>
      </c>
      <c r="J621" s="499" t="str">
        <f>Noty!J620</f>
        <v>ukryj</v>
      </c>
      <c r="K621" s="200"/>
      <c r="L621" s="200"/>
      <c r="M621" s="200"/>
      <c r="N621" s="371"/>
    </row>
    <row r="622" spans="1:32" s="174" customFormat="1" x14ac:dyDescent="0.25">
      <c r="A622" s="508"/>
      <c r="B622" s="520"/>
      <c r="C622" s="195"/>
      <c r="D622" s="195"/>
      <c r="E622" s="196"/>
      <c r="F622" s="612"/>
      <c r="G622" s="196"/>
      <c r="H622" s="196"/>
      <c r="I622" s="192"/>
      <c r="J622" s="499" t="str">
        <f>Noty!J621</f>
        <v>ukryj</v>
      </c>
      <c r="K622" s="200"/>
      <c r="L622" s="200"/>
      <c r="M622" s="200"/>
      <c r="N622" s="371"/>
    </row>
    <row r="623" spans="1:32" s="174" customFormat="1" x14ac:dyDescent="0.25">
      <c r="A623" s="508"/>
      <c r="B623" s="520"/>
      <c r="C623" s="204" t="str">
        <f>CONCATENATE("B.O. ",Input!$P$6)</f>
        <v>B.O. 01.01.2020</v>
      </c>
      <c r="D623" s="224"/>
      <c r="E623" s="196"/>
      <c r="F623" s="612"/>
      <c r="G623" s="639"/>
      <c r="H623" s="639"/>
      <c r="I623" s="800">
        <f>SUM(G623:H623)</f>
        <v>0</v>
      </c>
      <c r="J623" s="499" t="str">
        <f>IF(Noty!I623=0,"ukryj","odkryj")</f>
        <v>ukryj</v>
      </c>
      <c r="K623" s="200"/>
      <c r="L623" s="200"/>
      <c r="M623" s="200"/>
      <c r="N623" s="371"/>
      <c r="AD623" s="257" t="s">
        <v>9846</v>
      </c>
      <c r="AE623" s="257" t="s">
        <v>9847</v>
      </c>
      <c r="AF623" s="257"/>
    </row>
    <row r="624" spans="1:32" s="174" customFormat="1" x14ac:dyDescent="0.25">
      <c r="A624" s="508"/>
      <c r="B624" s="520"/>
      <c r="C624" s="200" t="s">
        <v>9406</v>
      </c>
      <c r="D624" s="224"/>
      <c r="E624" s="196"/>
      <c r="F624" s="612"/>
      <c r="G624" s="639"/>
      <c r="H624" s="639"/>
      <c r="I624" s="800">
        <f>SUM(G624:H624)</f>
        <v>0</v>
      </c>
      <c r="J624" s="499" t="str">
        <f>IF(Noty!I624=0,"ukryj","odkryj")</f>
        <v>ukryj</v>
      </c>
      <c r="K624" s="200"/>
      <c r="L624" s="200"/>
      <c r="M624" s="200"/>
      <c r="N624" s="371"/>
    </row>
    <row r="625" spans="1:31" s="174" customFormat="1" x14ac:dyDescent="0.25">
      <c r="A625" s="508"/>
      <c r="B625" s="520"/>
      <c r="C625" s="200" t="s">
        <v>9527</v>
      </c>
      <c r="D625" s="224"/>
      <c r="E625" s="196"/>
      <c r="F625" s="612"/>
      <c r="G625" s="639"/>
      <c r="H625" s="639"/>
      <c r="I625" s="800">
        <f>SUM(G625:H625)</f>
        <v>0</v>
      </c>
      <c r="J625" s="499" t="str">
        <f>IF(Noty!I625=0,"ukryj","odkryj")</f>
        <v>ukryj</v>
      </c>
      <c r="K625" s="200"/>
      <c r="L625" s="200"/>
      <c r="M625" s="200"/>
      <c r="N625" s="371"/>
    </row>
    <row r="626" spans="1:31" s="174" customFormat="1" x14ac:dyDescent="0.25">
      <c r="A626" s="508"/>
      <c r="B626" s="520"/>
      <c r="C626" s="200" t="s">
        <v>9528</v>
      </c>
      <c r="D626" s="224"/>
      <c r="E626" s="196"/>
      <c r="F626" s="612"/>
      <c r="G626" s="639"/>
      <c r="H626" s="639"/>
      <c r="I626" s="800">
        <f>SUM(G626:H626)</f>
        <v>0</v>
      </c>
      <c r="J626" s="499" t="str">
        <f>IF(Noty!I626=0,"ukryj","odkryj")</f>
        <v>ukryj</v>
      </c>
      <c r="K626" s="200"/>
      <c r="L626" s="200"/>
      <c r="M626" s="200"/>
      <c r="N626" s="371"/>
    </row>
    <row r="627" spans="1:31" s="174" customFormat="1" x14ac:dyDescent="0.25">
      <c r="A627" s="508"/>
      <c r="B627" s="520"/>
      <c r="C627" s="204" t="str">
        <f>CONCATENATE("B.Z. ",Input!$P$7)</f>
        <v>B.Z. 31.12.2020</v>
      </c>
      <c r="D627" s="224"/>
      <c r="E627" s="196"/>
      <c r="F627" s="581"/>
      <c r="G627" s="803">
        <f>SUM(G623:G626)</f>
        <v>0</v>
      </c>
      <c r="H627" s="803">
        <f>SUM(H623:H626)</f>
        <v>0</v>
      </c>
      <c r="I627" s="803">
        <f>SUM(G627:H627)</f>
        <v>0</v>
      </c>
      <c r="J627" s="499" t="str">
        <f>IF(Noty!I627=0,"ukryj","odkryj")</f>
        <v>ukryj</v>
      </c>
      <c r="K627" s="200"/>
      <c r="L627" s="200"/>
      <c r="M627" s="200"/>
      <c r="N627" s="371"/>
      <c r="AD627" s="257" t="s">
        <v>9848</v>
      </c>
      <c r="AE627" s="257" t="s">
        <v>9849</v>
      </c>
    </row>
    <row r="628" spans="1:31" s="174" customFormat="1" ht="13.75" thickBot="1" x14ac:dyDescent="0.3">
      <c r="A628" s="508"/>
      <c r="B628" s="520"/>
      <c r="C628" s="224"/>
      <c r="D628" s="224"/>
      <c r="E628" s="196"/>
      <c r="F628" s="192"/>
      <c r="G628" s="192"/>
      <c r="H628" s="446"/>
      <c r="I628" s="192"/>
      <c r="J628" s="499" t="str">
        <f>Noty!J627</f>
        <v>ukryj</v>
      </c>
      <c r="K628" s="200"/>
      <c r="L628" s="496"/>
      <c r="M628" s="200"/>
      <c r="N628" s="371"/>
    </row>
    <row r="629" spans="1:31" s="174" customFormat="1" ht="15.75" thickBot="1" x14ac:dyDescent="0.35">
      <c r="A629" s="1183">
        <f>A617</f>
        <v>0</v>
      </c>
      <c r="B629" s="1184">
        <f>IF(K629="n/a",B619,B619+1)</f>
        <v>0</v>
      </c>
      <c r="C629" s="1389" t="s">
        <v>9850</v>
      </c>
      <c r="D629" s="1389"/>
      <c r="E629" s="1389"/>
      <c r="F629" s="1389"/>
      <c r="G629" s="1389"/>
      <c r="H629" s="1389"/>
      <c r="I629" s="1389"/>
      <c r="J629" s="499" t="str">
        <f>IF(Noty!K629="n/a","ukryj","odkryj")</f>
        <v>ukryj</v>
      </c>
      <c r="K629" s="1213" t="str">
        <f>IF(Input!D126="nie","n/a","")</f>
        <v>n/a</v>
      </c>
      <c r="L629" s="492" t="str">
        <f>A629&amp;"."&amp;B629</f>
        <v>0.0</v>
      </c>
      <c r="M629" s="200"/>
      <c r="N629" s="1101" t="s">
        <v>9378</v>
      </c>
      <c r="O629" s="489" t="str">
        <f>A629&amp;"."&amp;B629</f>
        <v>0.0</v>
      </c>
    </row>
    <row r="630" spans="1:31" s="174" customFormat="1" x14ac:dyDescent="0.25">
      <c r="A630" s="508"/>
      <c r="B630" s="520"/>
      <c r="C630" s="195"/>
      <c r="D630" s="195"/>
      <c r="E630" s="196"/>
      <c r="F630" s="196"/>
      <c r="G630" s="196"/>
      <c r="H630" s="196"/>
      <c r="I630" s="196"/>
      <c r="J630" s="499" t="str">
        <f>Noty!J629</f>
        <v>ukryj</v>
      </c>
      <c r="K630" s="200"/>
      <c r="L630" s="200"/>
      <c r="M630" s="200"/>
      <c r="N630" s="371"/>
    </row>
    <row r="631" spans="1:31" s="174" customFormat="1" ht="40.6" customHeight="1" x14ac:dyDescent="0.25">
      <c r="A631" s="508"/>
      <c r="B631" s="520"/>
      <c r="C631" s="200"/>
      <c r="D631" s="200"/>
      <c r="E631" s="196"/>
      <c r="F631" s="678" t="s">
        <v>9851</v>
      </c>
      <c r="G631" s="678" t="s">
        <v>9852</v>
      </c>
      <c r="H631" s="678" t="s">
        <v>9853</v>
      </c>
      <c r="I631" s="414" t="s">
        <v>9280</v>
      </c>
      <c r="J631" s="499" t="str">
        <f>Noty!J630</f>
        <v>ukryj</v>
      </c>
      <c r="K631" s="200"/>
      <c r="L631" s="200"/>
      <c r="M631" s="200"/>
      <c r="N631" s="371"/>
    </row>
    <row r="632" spans="1:31" s="174" customFormat="1" x14ac:dyDescent="0.25">
      <c r="A632" s="508"/>
      <c r="B632" s="520"/>
      <c r="C632" s="195"/>
      <c r="D632" s="195"/>
      <c r="E632" s="196"/>
      <c r="F632" s="200"/>
      <c r="G632" s="200"/>
      <c r="H632" s="200"/>
      <c r="I632" s="446"/>
      <c r="J632" s="499" t="str">
        <f>Noty!J631</f>
        <v>ukryj</v>
      </c>
      <c r="K632" s="200"/>
      <c r="L632" s="200"/>
      <c r="M632" s="200"/>
      <c r="N632" s="371"/>
    </row>
    <row r="633" spans="1:31" s="174" customFormat="1" x14ac:dyDescent="0.25">
      <c r="A633" s="508"/>
      <c r="B633" s="520"/>
      <c r="C633" s="204" t="str">
        <f>CONCATENATE("B.O. ",Input!$P$6)</f>
        <v>B.O. 01.01.2020</v>
      </c>
      <c r="D633" s="224"/>
      <c r="E633" s="196"/>
      <c r="F633" s="639"/>
      <c r="G633" s="638"/>
      <c r="H633" s="638"/>
      <c r="I633" s="800">
        <f>SUM(F633:H633)</f>
        <v>0</v>
      </c>
      <c r="J633" s="499" t="str">
        <f>IF(Noty!I633=0,"ukryj","odkryj")</f>
        <v>ukryj</v>
      </c>
      <c r="K633" s="200"/>
      <c r="L633" s="200"/>
      <c r="M633" s="200"/>
      <c r="N633" s="371"/>
      <c r="AC633" s="257" t="s">
        <v>9854</v>
      </c>
      <c r="AD633" s="257" t="s">
        <v>9855</v>
      </c>
      <c r="AE633" s="257" t="s">
        <v>9856</v>
      </c>
    </row>
    <row r="634" spans="1:31" s="174" customFormat="1" x14ac:dyDescent="0.25">
      <c r="A634" s="508"/>
      <c r="B634" s="520"/>
      <c r="C634" s="200" t="s">
        <v>9406</v>
      </c>
      <c r="D634" s="224"/>
      <c r="E634" s="196"/>
      <c r="F634" s="639"/>
      <c r="G634" s="638"/>
      <c r="H634" s="638"/>
      <c r="I634" s="800">
        <f>SUM(F634:H634)</f>
        <v>0</v>
      </c>
      <c r="J634" s="499" t="str">
        <f>IF(Noty!I634=0,"ukryj","odkryj")</f>
        <v>ukryj</v>
      </c>
      <c r="K634" s="200"/>
      <c r="L634" s="200"/>
      <c r="M634" s="200"/>
      <c r="N634" s="371"/>
    </row>
    <row r="635" spans="1:31" s="174" customFormat="1" x14ac:dyDescent="0.25">
      <c r="A635" s="508"/>
      <c r="B635" s="520"/>
      <c r="C635" s="200" t="s">
        <v>9527</v>
      </c>
      <c r="D635" s="224"/>
      <c r="E635" s="196"/>
      <c r="F635" s="639"/>
      <c r="G635" s="638"/>
      <c r="H635" s="638"/>
      <c r="I635" s="800">
        <f>SUM(F635:H635)</f>
        <v>0</v>
      </c>
      <c r="J635" s="499" t="str">
        <f>IF(Noty!I635=0,"ukryj","odkryj")</f>
        <v>ukryj</v>
      </c>
      <c r="K635" s="200"/>
      <c r="L635" s="200"/>
      <c r="M635" s="200"/>
      <c r="N635" s="371"/>
    </row>
    <row r="636" spans="1:31" s="174" customFormat="1" x14ac:dyDescent="0.25">
      <c r="A636" s="508"/>
      <c r="B636" s="520"/>
      <c r="C636" s="200" t="s">
        <v>9528</v>
      </c>
      <c r="D636" s="224"/>
      <c r="E636" s="196"/>
      <c r="F636" s="639"/>
      <c r="G636" s="638"/>
      <c r="H636" s="638"/>
      <c r="I636" s="800">
        <f>SUM(F636:H636)</f>
        <v>0</v>
      </c>
      <c r="J636" s="499" t="str">
        <f>IF(Noty!I636=0,"ukryj","odkryj")</f>
        <v>ukryj</v>
      </c>
      <c r="K636" s="200"/>
      <c r="L636" s="200"/>
      <c r="M636" s="200"/>
      <c r="N636" s="371"/>
    </row>
    <row r="637" spans="1:31" s="174" customFormat="1" x14ac:dyDescent="0.25">
      <c r="A637" s="508"/>
      <c r="B637" s="520"/>
      <c r="C637" s="204" t="str">
        <f>CONCATENATE("B.Z. ",Input!$P$7)</f>
        <v>B.Z. 31.12.2020</v>
      </c>
      <c r="D637" s="224"/>
      <c r="E637" s="196"/>
      <c r="F637" s="803">
        <f>SUM(F633:F636)</f>
        <v>0</v>
      </c>
      <c r="G637" s="803">
        <f>SUM(G633:G636)</f>
        <v>0</v>
      </c>
      <c r="H637" s="803">
        <f>SUM(H633:H636)</f>
        <v>0</v>
      </c>
      <c r="I637" s="803">
        <f>SUM(I633:I636)</f>
        <v>0</v>
      </c>
      <c r="J637" s="499" t="str">
        <f>IF(Noty!I637=0,"ukryj","odkryj")</f>
        <v>ukryj</v>
      </c>
      <c r="K637" s="200"/>
      <c r="L637" s="200"/>
      <c r="M637" s="200"/>
      <c r="N637" s="371"/>
      <c r="AC637" s="257" t="s">
        <v>9857</v>
      </c>
      <c r="AD637" s="257" t="s">
        <v>9858</v>
      </c>
      <c r="AE637" s="257" t="s">
        <v>9859</v>
      </c>
    </row>
    <row r="638" spans="1:31" s="174" customFormat="1" ht="13.75" thickBot="1" x14ac:dyDescent="0.3">
      <c r="A638" s="508"/>
      <c r="B638" s="520"/>
      <c r="C638" s="195"/>
      <c r="D638" s="195"/>
      <c r="E638" s="196"/>
      <c r="F638" s="196"/>
      <c r="G638" s="196"/>
      <c r="H638" s="196"/>
      <c r="I638" s="192"/>
      <c r="J638" s="499" t="str">
        <f>Noty!J637</f>
        <v>ukryj</v>
      </c>
      <c r="K638" s="200"/>
      <c r="L638" s="496"/>
      <c r="M638" s="200"/>
      <c r="N638" s="371"/>
    </row>
    <row r="639" spans="1:31" s="174" customFormat="1" ht="15.75" thickBot="1" x14ac:dyDescent="0.35">
      <c r="A639" s="1183">
        <f>A617</f>
        <v>0</v>
      </c>
      <c r="B639" s="1184">
        <f>IF(K639="n/a",B629,B629+1)</f>
        <v>0</v>
      </c>
      <c r="C639" s="1389" t="s">
        <v>9860</v>
      </c>
      <c r="D639" s="1389"/>
      <c r="E639" s="1389"/>
      <c r="F639" s="1389"/>
      <c r="G639" s="1389"/>
      <c r="H639" s="1389"/>
      <c r="I639" s="1389"/>
      <c r="J639" s="499" t="str">
        <f>IF(Noty!K639="n/a","ukryj","odkryj")</f>
        <v>ukryj</v>
      </c>
      <c r="K639" s="1213" t="str">
        <f>IF(Input!D127="nie","n/a","")</f>
        <v>n/a</v>
      </c>
      <c r="L639" s="492" t="str">
        <f>A639&amp;"."&amp;B639</f>
        <v>0.0</v>
      </c>
      <c r="M639" s="200"/>
      <c r="N639" s="1101" t="s">
        <v>9378</v>
      </c>
      <c r="O639" s="489" t="str">
        <f>A639&amp;"."&amp;B639</f>
        <v>0.0</v>
      </c>
    </row>
    <row r="640" spans="1:31" s="174" customFormat="1" x14ac:dyDescent="0.25">
      <c r="A640" s="508"/>
      <c r="B640" s="520"/>
      <c r="C640" s="195"/>
      <c r="D640" s="195"/>
      <c r="E640" s="196"/>
      <c r="F640" s="196"/>
      <c r="G640" s="196"/>
      <c r="H640" s="196"/>
      <c r="I640" s="192"/>
      <c r="J640" s="499" t="str">
        <f>Noty!J639</f>
        <v>ukryj</v>
      </c>
      <c r="K640" s="200"/>
      <c r="L640" s="200"/>
      <c r="M640" s="200"/>
      <c r="N640" s="371"/>
    </row>
    <row r="641" spans="1:31" s="174" customFormat="1" ht="40.6" customHeight="1" x14ac:dyDescent="0.25">
      <c r="A641" s="508"/>
      <c r="B641" s="520"/>
      <c r="C641" s="200"/>
      <c r="D641" s="200"/>
      <c r="E641" s="196"/>
      <c r="F641" s="678" t="s">
        <v>9851</v>
      </c>
      <c r="G641" s="678" t="s">
        <v>9852</v>
      </c>
      <c r="H641" s="678" t="s">
        <v>9861</v>
      </c>
      <c r="I641" s="965" t="s">
        <v>9280</v>
      </c>
      <c r="J641" s="499" t="str">
        <f>Noty!J640</f>
        <v>ukryj</v>
      </c>
      <c r="K641" s="200"/>
      <c r="L641" s="200"/>
      <c r="M641" s="200"/>
      <c r="N641" s="371"/>
    </row>
    <row r="642" spans="1:31" s="174" customFormat="1" x14ac:dyDescent="0.25">
      <c r="A642" s="508"/>
      <c r="B642" s="520"/>
      <c r="C642" s="195"/>
      <c r="D642" s="195"/>
      <c r="E642" s="196"/>
      <c r="F642" s="200"/>
      <c r="G642" s="200"/>
      <c r="H642" s="200"/>
      <c r="I642" s="446"/>
      <c r="J642" s="499" t="str">
        <f>Noty!J641</f>
        <v>ukryj</v>
      </c>
      <c r="K642" s="200"/>
      <c r="L642" s="200"/>
      <c r="M642" s="200"/>
      <c r="N642" s="371"/>
    </row>
    <row r="643" spans="1:31" s="174" customFormat="1" x14ac:dyDescent="0.25">
      <c r="A643" s="508"/>
      <c r="B643" s="520"/>
      <c r="C643" s="204" t="str">
        <f>CONCATENATE("B.O. ",Input!$P$6)</f>
        <v>B.O. 01.01.2020</v>
      </c>
      <c r="D643" s="224"/>
      <c r="E643" s="196"/>
      <c r="F643" s="639"/>
      <c r="G643" s="638"/>
      <c r="H643" s="638"/>
      <c r="I643" s="800">
        <f>SUM(F643:H643)</f>
        <v>0</v>
      </c>
      <c r="J643" s="499" t="str">
        <f>IF(Noty!I643=0,"ukryj","odkryj")</f>
        <v>ukryj</v>
      </c>
      <c r="K643" s="200"/>
      <c r="L643" s="200"/>
      <c r="M643" s="200"/>
      <c r="N643" s="371"/>
      <c r="AC643" s="257" t="s">
        <v>9862</v>
      </c>
      <c r="AD643" s="257" t="s">
        <v>9863</v>
      </c>
      <c r="AE643" s="257" t="s">
        <v>9864</v>
      </c>
    </row>
    <row r="644" spans="1:31" s="174" customFormat="1" x14ac:dyDescent="0.25">
      <c r="A644" s="508"/>
      <c r="B644" s="520"/>
      <c r="C644" s="200" t="s">
        <v>9406</v>
      </c>
      <c r="D644" s="224"/>
      <c r="E644" s="196"/>
      <c r="F644" s="639"/>
      <c r="G644" s="638"/>
      <c r="H644" s="638"/>
      <c r="I644" s="800">
        <f>SUM(F644:H644)</f>
        <v>0</v>
      </c>
      <c r="J644" s="499" t="str">
        <f>IF(Noty!I644=0,"ukryj","odkryj")</f>
        <v>ukryj</v>
      </c>
      <c r="K644" s="200"/>
      <c r="L644" s="200"/>
      <c r="M644" s="200"/>
      <c r="N644" s="371"/>
    </row>
    <row r="645" spans="1:31" s="174" customFormat="1" x14ac:dyDescent="0.25">
      <c r="A645" s="508"/>
      <c r="B645" s="520"/>
      <c r="C645" s="200" t="s">
        <v>9527</v>
      </c>
      <c r="D645" s="224"/>
      <c r="E645" s="196"/>
      <c r="F645" s="639"/>
      <c r="G645" s="638"/>
      <c r="H645" s="638"/>
      <c r="I645" s="800">
        <f>SUM(F645:H645)</f>
        <v>0</v>
      </c>
      <c r="J645" s="499" t="str">
        <f>IF(Noty!I645=0,"ukryj","odkryj")</f>
        <v>ukryj</v>
      </c>
      <c r="K645" s="200"/>
      <c r="L645" s="200"/>
      <c r="M645" s="200"/>
      <c r="N645" s="371"/>
    </row>
    <row r="646" spans="1:31" s="174" customFormat="1" x14ac:dyDescent="0.25">
      <c r="A646" s="508"/>
      <c r="B646" s="520"/>
      <c r="C646" s="200" t="s">
        <v>9528</v>
      </c>
      <c r="D646" s="224"/>
      <c r="E646" s="196"/>
      <c r="F646" s="639"/>
      <c r="G646" s="638"/>
      <c r="H646" s="638"/>
      <c r="I646" s="800">
        <f>SUM(F646:H646)</f>
        <v>0</v>
      </c>
      <c r="J646" s="499" t="str">
        <f>IF(Noty!I646=0,"ukryj","odkryj")</f>
        <v>ukryj</v>
      </c>
      <c r="K646" s="200"/>
      <c r="L646" s="200"/>
      <c r="M646" s="200"/>
      <c r="N646" s="371"/>
    </row>
    <row r="647" spans="1:31" s="174" customFormat="1" x14ac:dyDescent="0.25">
      <c r="A647" s="508"/>
      <c r="B647" s="520"/>
      <c r="C647" s="204" t="str">
        <f>CONCATENATE("B.Z. ",Input!$P$7)</f>
        <v>B.Z. 31.12.2020</v>
      </c>
      <c r="D647" s="224"/>
      <c r="E647" s="196"/>
      <c r="F647" s="803">
        <f>SUM(F643:F646)</f>
        <v>0</v>
      </c>
      <c r="G647" s="803">
        <f>SUM(G643:G646)</f>
        <v>0</v>
      </c>
      <c r="H647" s="803">
        <f>SUM(H643:H646)</f>
        <v>0</v>
      </c>
      <c r="I647" s="803">
        <f>SUM(I643:I646)</f>
        <v>0</v>
      </c>
      <c r="J647" s="499" t="str">
        <f>IF(Noty!I647=0,"ukryj","odkryj")</f>
        <v>ukryj</v>
      </c>
      <c r="K647" s="200"/>
      <c r="L647" s="200"/>
      <c r="M647" s="200"/>
      <c r="N647" s="371"/>
      <c r="AC647" s="257" t="s">
        <v>9865</v>
      </c>
      <c r="AD647" s="257" t="s">
        <v>9866</v>
      </c>
      <c r="AE647" s="257" t="s">
        <v>9867</v>
      </c>
    </row>
    <row r="648" spans="1:31" s="174" customFormat="1" x14ac:dyDescent="0.25">
      <c r="A648" s="508"/>
      <c r="B648" s="520"/>
      <c r="C648" s="195"/>
      <c r="D648" s="195"/>
      <c r="E648" s="196"/>
      <c r="F648" s="196"/>
      <c r="G648" s="196"/>
      <c r="H648" s="196"/>
      <c r="I648" s="196"/>
      <c r="J648" s="499" t="str">
        <f>Noty!J647</f>
        <v>ukryj</v>
      </c>
      <c r="K648" s="200"/>
      <c r="L648" s="200"/>
      <c r="M648" s="200"/>
      <c r="N648" s="371"/>
    </row>
    <row r="649" spans="1:31" s="174" customFormat="1" x14ac:dyDescent="0.25">
      <c r="A649" s="508"/>
      <c r="B649" s="520"/>
      <c r="C649" s="1382" t="s">
        <v>9868</v>
      </c>
      <c r="D649" s="1382"/>
      <c r="E649" s="1382"/>
      <c r="F649" s="1382"/>
      <c r="G649" s="1382"/>
      <c r="H649" s="1382"/>
      <c r="I649" s="1382"/>
      <c r="J649" s="499" t="s">
        <v>5125</v>
      </c>
      <c r="K649" s="200"/>
      <c r="L649" s="200"/>
      <c r="M649" s="200"/>
      <c r="N649" s="371"/>
    </row>
    <row r="650" spans="1:31" s="174" customFormat="1" x14ac:dyDescent="0.25">
      <c r="A650" s="508"/>
      <c r="B650" s="520"/>
      <c r="C650" s="1382" t="s">
        <v>9869</v>
      </c>
      <c r="D650" s="1382"/>
      <c r="E650" s="1382"/>
      <c r="F650" s="1382"/>
      <c r="G650" s="1382"/>
      <c r="H650" s="1382"/>
      <c r="I650" s="1382"/>
      <c r="J650" s="499" t="s">
        <v>5125</v>
      </c>
      <c r="K650" s="200"/>
      <c r="L650" s="200"/>
      <c r="M650" s="200"/>
      <c r="N650" s="371"/>
    </row>
    <row r="651" spans="1:31" s="174" customFormat="1" x14ac:dyDescent="0.25">
      <c r="A651" s="508"/>
      <c r="B651" s="520"/>
      <c r="C651" s="1382" t="s">
        <v>9870</v>
      </c>
      <c r="D651" s="1382"/>
      <c r="E651" s="1382"/>
      <c r="F651" s="1382"/>
      <c r="G651" s="1382"/>
      <c r="H651" s="1382"/>
      <c r="I651" s="1382"/>
      <c r="J651" s="499" t="s">
        <v>5125</v>
      </c>
      <c r="K651" s="200"/>
      <c r="L651" s="200"/>
      <c r="M651" s="200"/>
      <c r="N651" s="371"/>
    </row>
    <row r="652" spans="1:31" s="174" customFormat="1" ht="31.6" customHeight="1" x14ac:dyDescent="0.25">
      <c r="A652" s="508"/>
      <c r="B652" s="520"/>
      <c r="C652" s="1390" t="s">
        <v>9871</v>
      </c>
      <c r="D652" s="1390"/>
      <c r="E652" s="1390"/>
      <c r="F652" s="1390"/>
      <c r="G652" s="1390"/>
      <c r="H652" s="1390"/>
      <c r="I652" s="1390"/>
      <c r="J652" s="499" t="s">
        <v>5125</v>
      </c>
      <c r="K652" s="200"/>
      <c r="L652" s="200"/>
      <c r="M652" s="200"/>
      <c r="N652" s="371"/>
    </row>
    <row r="653" spans="1:31" s="174" customFormat="1" x14ac:dyDescent="0.25">
      <c r="A653" s="508"/>
      <c r="B653" s="520"/>
      <c r="C653" s="1382" t="s">
        <v>9872</v>
      </c>
      <c r="D653" s="1382"/>
      <c r="E653" s="1382"/>
      <c r="F653" s="1382"/>
      <c r="G653" s="1382"/>
      <c r="H653" s="1382"/>
      <c r="I653" s="1382"/>
      <c r="J653" s="499" t="s">
        <v>5125</v>
      </c>
      <c r="K653" s="200"/>
      <c r="L653" s="200"/>
      <c r="M653" s="200"/>
      <c r="N653" s="371"/>
    </row>
    <row r="654" spans="1:31" s="174" customFormat="1" ht="13.75" thickBot="1" x14ac:dyDescent="0.3">
      <c r="A654" s="508"/>
      <c r="B654" s="520"/>
      <c r="C654" s="195"/>
      <c r="D654" s="195"/>
      <c r="E654" s="196"/>
      <c r="F654" s="196"/>
      <c r="G654" s="196"/>
      <c r="H654" s="196"/>
      <c r="I654" s="196"/>
      <c r="J654" s="499" t="str">
        <f>Noty!J648</f>
        <v>ukryj</v>
      </c>
      <c r="K654" s="200"/>
      <c r="L654" s="496"/>
      <c r="M654" s="200"/>
      <c r="N654" s="371"/>
    </row>
    <row r="655" spans="1:31" s="174" customFormat="1" ht="15.75" thickBot="1" x14ac:dyDescent="0.35">
      <c r="A655" s="1180">
        <f>IF(K655="n/a",A639,A639+1)</f>
        <v>0</v>
      </c>
      <c r="B655" s="1182"/>
      <c r="C655" s="1388" t="s">
        <v>8372</v>
      </c>
      <c r="D655" s="1388"/>
      <c r="E655" s="1388"/>
      <c r="F655" s="1388"/>
      <c r="G655" s="1388"/>
      <c r="H655" s="1388"/>
      <c r="I655" s="1388"/>
      <c r="J655" s="499" t="str">
        <f>IF(Noty!K655="n/a","ukryj","odkryj")</f>
        <v>ukryj</v>
      </c>
      <c r="K655" s="1213" t="str">
        <f>IF(AND(K668="n/a",K681="n/a",K694="n/a"),"n/a","")</f>
        <v>n/a</v>
      </c>
      <c r="L655" s="492" t="str">
        <f>A655&amp;"."&amp;B655</f>
        <v>0.</v>
      </c>
      <c r="M655" s="200"/>
      <c r="N655" s="1101" t="s">
        <v>9378</v>
      </c>
      <c r="O655" s="489" t="str">
        <f>A655&amp;"."&amp;B655</f>
        <v>0.</v>
      </c>
    </row>
    <row r="656" spans="1:31" s="174" customFormat="1" x14ac:dyDescent="0.25">
      <c r="A656" s="508"/>
      <c r="B656" s="520"/>
      <c r="C656" s="195"/>
      <c r="D656" s="195"/>
      <c r="E656" s="196"/>
      <c r="F656" s="196"/>
      <c r="G656" s="196"/>
      <c r="H656" s="196"/>
      <c r="I656" s="196"/>
      <c r="J656" s="499" t="str">
        <f>Noty!J655</f>
        <v>ukryj</v>
      </c>
      <c r="K656" s="257"/>
      <c r="L656" s="200"/>
      <c r="M656" s="200"/>
      <c r="N656" s="371"/>
    </row>
    <row r="657" spans="1:15" s="174" customFormat="1" ht="46.5" customHeight="1" x14ac:dyDescent="0.25">
      <c r="A657" s="508"/>
      <c r="B657" s="520"/>
      <c r="C657" s="426"/>
      <c r="D657" s="1297" t="s">
        <v>9873</v>
      </c>
      <c r="E657" s="1297"/>
      <c r="F657" s="1297" t="s">
        <v>9874</v>
      </c>
      <c r="G657" s="1297"/>
      <c r="H657" s="1297" t="s">
        <v>9875</v>
      </c>
      <c r="I657" s="1297"/>
      <c r="J657" s="499" t="str">
        <f>Noty!J656</f>
        <v>ukryj</v>
      </c>
      <c r="K657" s="257"/>
      <c r="L657" s="200"/>
      <c r="M657" s="200"/>
      <c r="N657" s="371"/>
    </row>
    <row r="658" spans="1:15" s="174" customFormat="1" ht="15.05" customHeight="1" x14ac:dyDescent="0.25">
      <c r="A658" s="508"/>
      <c r="B658" s="520"/>
      <c r="C658" s="534" t="s">
        <v>9876</v>
      </c>
      <c r="D658" s="192"/>
      <c r="E658" s="192"/>
      <c r="F658" s="192"/>
      <c r="G658" s="192"/>
      <c r="H658" s="192"/>
      <c r="I658" s="192"/>
      <c r="J658" s="499" t="str">
        <f>Noty!J657</f>
        <v>ukryj</v>
      </c>
      <c r="K658" s="257"/>
      <c r="L658" s="200"/>
      <c r="M658" s="200"/>
      <c r="N658" s="371"/>
    </row>
    <row r="659" spans="1:15" s="174" customFormat="1" ht="15.05" customHeight="1" x14ac:dyDescent="0.25">
      <c r="A659" s="508"/>
      <c r="B659" s="520"/>
      <c r="C659" s="806" t="s">
        <v>9877</v>
      </c>
      <c r="D659" s="1296">
        <f>SUM(E672:I672)</f>
        <v>0</v>
      </c>
      <c r="E659" s="1296"/>
      <c r="F659" s="1296">
        <f>SUM(E685:I685)</f>
        <v>0</v>
      </c>
      <c r="G659" s="1296"/>
      <c r="H659" s="1296">
        <f>SUM(E698:I698)</f>
        <v>0</v>
      </c>
      <c r="I659" s="1296"/>
      <c r="J659" s="499" t="str">
        <f>IF(AND(Noty!D659=0,Noty!F659=0,Noty!H659=0),"ukryj","odkryj")</f>
        <v>ukryj</v>
      </c>
      <c r="K659" s="257"/>
      <c r="L659" s="200"/>
      <c r="M659" s="200"/>
      <c r="N659" s="371"/>
    </row>
    <row r="660" spans="1:15" s="174" customFormat="1" x14ac:dyDescent="0.25">
      <c r="A660" s="508"/>
      <c r="B660" s="520"/>
      <c r="C660" s="806" t="s">
        <v>9878</v>
      </c>
      <c r="D660" s="1296">
        <f>SUM(E673:I673)</f>
        <v>0</v>
      </c>
      <c r="E660" s="1296"/>
      <c r="F660" s="1296">
        <f>SUM(E686:I686)</f>
        <v>0</v>
      </c>
      <c r="G660" s="1296"/>
      <c r="H660" s="1296">
        <f>SUM(E699:I699)</f>
        <v>0</v>
      </c>
      <c r="I660" s="1296"/>
      <c r="J660" s="499" t="str">
        <f>IF(AND(Noty!D660=0,Noty!F660=0,Noty!H660=0),"ukryj","odkryj")</f>
        <v>ukryj</v>
      </c>
      <c r="K660" s="257"/>
      <c r="L660" s="200"/>
      <c r="M660" s="200"/>
      <c r="N660" s="371"/>
    </row>
    <row r="661" spans="1:15" s="174" customFormat="1" x14ac:dyDescent="0.25">
      <c r="A661" s="508"/>
      <c r="B661" s="520"/>
      <c r="C661" s="806" t="s">
        <v>9879</v>
      </c>
      <c r="D661" s="1391">
        <f>SUM(E674:I674)</f>
        <v>0</v>
      </c>
      <c r="E661" s="1391"/>
      <c r="F661" s="1391">
        <f>SUM(E687:I687)</f>
        <v>0</v>
      </c>
      <c r="G661" s="1391"/>
      <c r="H661" s="1391">
        <f>SUM(E700:I700)</f>
        <v>0</v>
      </c>
      <c r="I661" s="1391"/>
      <c r="J661" s="499" t="str">
        <f>IF(AND(Noty!D661=0,Noty!F661=0,Noty!H661=0),"ukryj","odkryj")</f>
        <v>ukryj</v>
      </c>
      <c r="K661" s="257"/>
      <c r="L661" s="200"/>
      <c r="M661" s="200"/>
      <c r="N661" s="371"/>
    </row>
    <row r="662" spans="1:15" s="174" customFormat="1" x14ac:dyDescent="0.25">
      <c r="A662" s="508"/>
      <c r="B662" s="520"/>
      <c r="C662" s="204"/>
      <c r="D662" s="1300">
        <f>SUM(D659:E661)</f>
        <v>0</v>
      </c>
      <c r="E662" s="1300"/>
      <c r="F662" s="1300">
        <f>SUM(F659:G661)</f>
        <v>0</v>
      </c>
      <c r="G662" s="1300"/>
      <c r="H662" s="1300">
        <f>SUM(H659:I661)</f>
        <v>0</v>
      </c>
      <c r="I662" s="1300"/>
      <c r="J662" s="499" t="str">
        <f>IF(AND(Noty!D662=0,Noty!F662=0,Noty!H662=0),"ukryj","odkryj")</f>
        <v>ukryj</v>
      </c>
      <c r="K662" s="257"/>
      <c r="L662" s="200"/>
      <c r="M662" s="200"/>
      <c r="N662" s="371"/>
    </row>
    <row r="663" spans="1:15" s="174" customFormat="1" x14ac:dyDescent="0.25">
      <c r="A663" s="508"/>
      <c r="B663" s="520"/>
      <c r="C663" s="218" t="s">
        <v>9880</v>
      </c>
      <c r="D663" s="679"/>
      <c r="E663" s="679"/>
      <c r="F663" s="679"/>
      <c r="G663" s="679"/>
      <c r="H663" s="679"/>
      <c r="I663" s="679"/>
      <c r="J663" s="499" t="str">
        <f>Noty!J662</f>
        <v>ukryj</v>
      </c>
      <c r="K663" s="257"/>
      <c r="L663" s="200"/>
      <c r="M663" s="200"/>
      <c r="N663" s="371"/>
    </row>
    <row r="664" spans="1:15" s="174" customFormat="1" x14ac:dyDescent="0.25">
      <c r="A664" s="508"/>
      <c r="B664" s="520"/>
      <c r="C664" s="822" t="s">
        <v>9881</v>
      </c>
      <c r="D664" s="1296">
        <f>SUM(E677:I677)</f>
        <v>0</v>
      </c>
      <c r="E664" s="1296"/>
      <c r="F664" s="1296">
        <f>SUM(E690:I690)</f>
        <v>0</v>
      </c>
      <c r="G664" s="1296"/>
      <c r="H664" s="1296">
        <f>SUM(E703:I703)</f>
        <v>0</v>
      </c>
      <c r="I664" s="1296"/>
      <c r="J664" s="499" t="str">
        <f>IF(AND(Noty!D664=0,Noty!F664=0,Noty!H664=0),"ukryj","odkryj")</f>
        <v>ukryj</v>
      </c>
      <c r="K664" s="257"/>
      <c r="L664" s="200"/>
      <c r="M664" s="200"/>
      <c r="N664" s="371"/>
    </row>
    <row r="665" spans="1:15" s="174" customFormat="1" x14ac:dyDescent="0.25">
      <c r="A665" s="508"/>
      <c r="B665" s="520"/>
      <c r="C665" s="822"/>
      <c r="D665" s="549"/>
      <c r="E665" s="549"/>
      <c r="F665" s="549"/>
      <c r="G665" s="549"/>
      <c r="H665" s="549"/>
      <c r="I665" s="549"/>
      <c r="J665" s="499" t="str">
        <f>Noty!J664</f>
        <v>ukryj</v>
      </c>
      <c r="K665" s="257"/>
      <c r="L665" s="200"/>
      <c r="M665" s="200"/>
      <c r="N665" s="371"/>
    </row>
    <row r="666" spans="1:15" s="174" customFormat="1" x14ac:dyDescent="0.25">
      <c r="A666" s="508"/>
      <c r="B666" s="520"/>
      <c r="C666" s="822" t="s">
        <v>9280</v>
      </c>
      <c r="D666" s="1300">
        <f>D664+D662</f>
        <v>0</v>
      </c>
      <c r="E666" s="1300"/>
      <c r="F666" s="1300">
        <f>F664+F662</f>
        <v>0</v>
      </c>
      <c r="G666" s="1300"/>
      <c r="H666" s="1300">
        <f>H664+H662</f>
        <v>0</v>
      </c>
      <c r="I666" s="1300"/>
      <c r="J666" s="499" t="str">
        <f>IF(AND(Noty!D666=0,Noty!F666=0,Noty!H666=0),"ukryj","odkryj")</f>
        <v>ukryj</v>
      </c>
      <c r="K666" s="257"/>
      <c r="L666" s="200"/>
      <c r="M666" s="200"/>
      <c r="N666" s="371"/>
    </row>
    <row r="667" spans="1:15" s="174" customFormat="1" ht="13.75" thickBot="1" x14ac:dyDescent="0.3">
      <c r="A667" s="508"/>
      <c r="B667" s="520"/>
      <c r="C667" s="195"/>
      <c r="D667" s="195"/>
      <c r="E667" s="196"/>
      <c r="F667" s="196"/>
      <c r="G667" s="196"/>
      <c r="H667" s="196"/>
      <c r="I667" s="196"/>
      <c r="J667" s="499" t="str">
        <f>Noty!J655</f>
        <v>ukryj</v>
      </c>
      <c r="K667" s="200"/>
      <c r="L667" s="200"/>
      <c r="M667" s="200"/>
      <c r="N667" s="371"/>
    </row>
    <row r="668" spans="1:15" s="174" customFormat="1" ht="15.75" thickBot="1" x14ac:dyDescent="0.35">
      <c r="A668" s="1183">
        <f>A655</f>
        <v>0</v>
      </c>
      <c r="B668" s="1184">
        <f>IF(K668="n/a",0,1)</f>
        <v>0</v>
      </c>
      <c r="C668" s="1389" t="s">
        <v>9882</v>
      </c>
      <c r="D668" s="1389"/>
      <c r="E668" s="1389"/>
      <c r="F668" s="1389"/>
      <c r="G668" s="1389"/>
      <c r="H668" s="1389"/>
      <c r="I668" s="1389"/>
      <c r="J668" s="499" t="str">
        <f>IF(Noty!K668="n/a","ukryj","odkryj")</f>
        <v>ukryj</v>
      </c>
      <c r="K668" s="1213" t="str">
        <f>IF(Input!D129="nie","n/a","")</f>
        <v>n/a</v>
      </c>
      <c r="L668" s="492" t="str">
        <f>A668&amp;"."&amp;B668</f>
        <v>0.0</v>
      </c>
      <c r="M668" s="200"/>
      <c r="N668" s="1101" t="s">
        <v>9378</v>
      </c>
      <c r="O668" s="489" t="str">
        <f>A668&amp;"."&amp;B668</f>
        <v>0.0</v>
      </c>
    </row>
    <row r="669" spans="1:15" s="174" customFormat="1" x14ac:dyDescent="0.25">
      <c r="A669" s="509"/>
      <c r="B669" s="520"/>
      <c r="C669" s="416"/>
      <c r="D669" s="416"/>
      <c r="E669" s="196"/>
      <c r="F669" s="196"/>
      <c r="G669" s="196"/>
      <c r="H669" s="196"/>
      <c r="I669" s="196"/>
      <c r="J669" s="499" t="str">
        <f>Noty!J668</f>
        <v>ukryj</v>
      </c>
      <c r="K669" s="200"/>
      <c r="L669" s="200"/>
      <c r="M669" s="200"/>
      <c r="N669" s="371"/>
    </row>
    <row r="670" spans="1:15" s="174" customFormat="1" ht="77.25" customHeight="1" x14ac:dyDescent="0.25">
      <c r="A670" s="509"/>
      <c r="B670" s="520"/>
      <c r="C670" s="378"/>
      <c r="D670" s="378"/>
      <c r="E670" s="801" t="s">
        <v>9195</v>
      </c>
      <c r="F670" s="801" t="s">
        <v>9883</v>
      </c>
      <c r="G670" s="801" t="s">
        <v>9884</v>
      </c>
      <c r="H670" s="801" t="s">
        <v>9885</v>
      </c>
      <c r="I670" s="801" t="s">
        <v>7558</v>
      </c>
      <c r="J670" s="499" t="str">
        <f>Noty!J669</f>
        <v>ukryj</v>
      </c>
      <c r="K670" s="200"/>
      <c r="L670" s="200"/>
      <c r="M670" s="200"/>
      <c r="N670" s="371"/>
    </row>
    <row r="671" spans="1:15" s="174" customFormat="1" x14ac:dyDescent="0.25">
      <c r="A671" s="509"/>
      <c r="B671" s="520"/>
      <c r="C671" s="417" t="s">
        <v>9876</v>
      </c>
      <c r="D671" s="416"/>
      <c r="E671" s="196"/>
      <c r="F671" s="200"/>
      <c r="G671" s="200"/>
      <c r="H671" s="200"/>
      <c r="I671" s="200"/>
      <c r="J671" s="499" t="str">
        <f>Noty!J670</f>
        <v>ukryj</v>
      </c>
      <c r="K671" s="200"/>
      <c r="L671" s="200"/>
      <c r="M671" s="200"/>
      <c r="N671" s="371"/>
    </row>
    <row r="672" spans="1:15" s="174" customFormat="1" ht="13.6" customHeight="1" x14ac:dyDescent="0.25">
      <c r="A672" s="509"/>
      <c r="B672" s="520"/>
      <c r="C672" s="841" t="s">
        <v>9877</v>
      </c>
      <c r="D672" s="841"/>
      <c r="E672" s="639"/>
      <c r="F672" s="639"/>
      <c r="G672" s="639"/>
      <c r="H672" s="639"/>
      <c r="I672" s="639"/>
      <c r="J672" s="499" t="str">
        <f>IF(AND(Noty!E672=0,Noty!F672=0,Noty!G672=0,Noty!H672=0,Noty!I672=0),"ukryj","odkryj")</f>
        <v>ukryj</v>
      </c>
      <c r="K672" s="200"/>
      <c r="L672" s="200"/>
      <c r="M672" s="200"/>
      <c r="N672" s="371"/>
    </row>
    <row r="673" spans="1:15" s="174" customFormat="1" ht="25.55" customHeight="1" x14ac:dyDescent="0.25">
      <c r="A673" s="509"/>
      <c r="B673" s="520"/>
      <c r="C673" s="841" t="s">
        <v>9878</v>
      </c>
      <c r="D673" s="841"/>
      <c r="E673" s="639"/>
      <c r="F673" s="639"/>
      <c r="G673" s="639"/>
      <c r="H673" s="639"/>
      <c r="I673" s="639"/>
      <c r="J673" s="499" t="str">
        <f>IF(AND(Noty!E673=0,Noty!F673=0,Noty!G673=0,Noty!H673=0,Noty!I673=0),"ukryj","odkryj")</f>
        <v>ukryj</v>
      </c>
      <c r="K673" s="200"/>
      <c r="L673" s="200"/>
      <c r="M673" s="200"/>
      <c r="N673" s="371"/>
    </row>
    <row r="674" spans="1:15" s="174" customFormat="1" ht="25.55" customHeight="1" x14ac:dyDescent="0.25">
      <c r="A674" s="509"/>
      <c r="B674" s="520"/>
      <c r="C674" s="841" t="s">
        <v>9879</v>
      </c>
      <c r="D674" s="841"/>
      <c r="E674" s="639"/>
      <c r="F674" s="639"/>
      <c r="G674" s="639"/>
      <c r="H674" s="639"/>
      <c r="I674" s="639"/>
      <c r="J674" s="499" t="str">
        <f>IF(AND(Noty!E674=0,Noty!F674=0,Noty!G674=0,Noty!H674=0,Noty!I674=0),"ukryj","odkryj")</f>
        <v>ukryj</v>
      </c>
      <c r="K674" s="200"/>
      <c r="L674" s="200"/>
      <c r="M674" s="200"/>
      <c r="N674" s="371"/>
    </row>
    <row r="675" spans="1:15" s="174" customFormat="1" x14ac:dyDescent="0.25">
      <c r="A675" s="509"/>
      <c r="B675" s="520"/>
      <c r="C675" s="841"/>
      <c r="D675" s="841"/>
      <c r="E675" s="803">
        <f>SUM(E672:E674)</f>
        <v>0</v>
      </c>
      <c r="F675" s="803">
        <f>SUM(F672:F674)</f>
        <v>0</v>
      </c>
      <c r="G675" s="803">
        <f>SUM(G672:G674)</f>
        <v>0</v>
      </c>
      <c r="H675" s="803">
        <f>SUM(H672:H674)</f>
        <v>0</v>
      </c>
      <c r="I675" s="803">
        <f>SUM(I672:I674)</f>
        <v>0</v>
      </c>
      <c r="J675" s="499" t="str">
        <f>IF(AND(Noty!E675=0,Noty!F675=0,Noty!G675=0,Noty!H675=0,Noty!I675=0),"ukryj","odkryj")</f>
        <v>ukryj</v>
      </c>
      <c r="K675" s="200"/>
      <c r="L675" s="200"/>
      <c r="M675" s="200"/>
      <c r="N675" s="371"/>
    </row>
    <row r="676" spans="1:15" s="174" customFormat="1" x14ac:dyDescent="0.25">
      <c r="A676" s="509"/>
      <c r="B676" s="520"/>
      <c r="C676" s="415" t="s">
        <v>9880</v>
      </c>
      <c r="D676" s="659"/>
      <c r="E676" s="679"/>
      <c r="F676" s="679"/>
      <c r="G676" s="679"/>
      <c r="H676" s="679"/>
      <c r="I676" s="679"/>
      <c r="J676" s="499" t="str">
        <f>Noty!J675</f>
        <v>ukryj</v>
      </c>
      <c r="K676" s="200"/>
      <c r="L676" s="200"/>
      <c r="M676" s="200"/>
      <c r="N676" s="371"/>
    </row>
    <row r="677" spans="1:15" s="174" customFormat="1" x14ac:dyDescent="0.25">
      <c r="A677" s="509"/>
      <c r="B677" s="520"/>
      <c r="C677" s="841" t="s">
        <v>9881</v>
      </c>
      <c r="D677" s="841"/>
      <c r="E677" s="639"/>
      <c r="F677" s="639"/>
      <c r="G677" s="639"/>
      <c r="H677" s="639"/>
      <c r="I677" s="639"/>
      <c r="J677" s="499" t="str">
        <f>IF(AND(Noty!E677=0,Noty!F677=0,Noty!G677=0,Noty!H677=0,Noty!I677=0),"ukryj","odkryj")</f>
        <v>ukryj</v>
      </c>
      <c r="K677" s="200"/>
      <c r="L677" s="200"/>
      <c r="M677" s="200"/>
      <c r="N677" s="371"/>
    </row>
    <row r="678" spans="1:15" s="174" customFormat="1" x14ac:dyDescent="0.25">
      <c r="A678" s="509"/>
      <c r="B678" s="520"/>
      <c r="C678" s="841"/>
      <c r="D678" s="841"/>
      <c r="E678" s="549"/>
      <c r="F678" s="549"/>
      <c r="G678" s="549"/>
      <c r="H678" s="549"/>
      <c r="I678" s="549"/>
      <c r="J678" s="499" t="str">
        <f>Noty!J677</f>
        <v>ukryj</v>
      </c>
      <c r="K678" s="200"/>
      <c r="L678" s="200"/>
      <c r="M678" s="200"/>
      <c r="N678" s="371"/>
    </row>
    <row r="679" spans="1:15" s="174" customFormat="1" x14ac:dyDescent="0.25">
      <c r="A679" s="509"/>
      <c r="B679" s="520"/>
      <c r="C679" s="241" t="s">
        <v>9280</v>
      </c>
      <c r="D679" s="841"/>
      <c r="E679" s="803">
        <f>E677+E675</f>
        <v>0</v>
      </c>
      <c r="F679" s="803">
        <f>F677+F675</f>
        <v>0</v>
      </c>
      <c r="G679" s="803">
        <f>G677+G675</f>
        <v>0</v>
      </c>
      <c r="H679" s="803">
        <f>H677+H675</f>
        <v>0</v>
      </c>
      <c r="I679" s="803">
        <f>I677+I675</f>
        <v>0</v>
      </c>
      <c r="J679" s="499" t="str">
        <f>IF(AND(Noty!E679=0,Noty!F679=0,Noty!G679=0,Noty!H679=0,Noty!I679=0),"ukryj","odkryj")</f>
        <v>ukryj</v>
      </c>
      <c r="K679" s="200"/>
      <c r="L679" s="200"/>
      <c r="M679" s="200"/>
      <c r="N679" s="371"/>
    </row>
    <row r="680" spans="1:15" s="174" customFormat="1" ht="13.75" thickBot="1" x14ac:dyDescent="0.3">
      <c r="A680" s="509"/>
      <c r="B680" s="520"/>
      <c r="C680" s="416"/>
      <c r="D680" s="416"/>
      <c r="E680" s="196"/>
      <c r="F680" s="196"/>
      <c r="G680" s="196"/>
      <c r="H680" s="196"/>
      <c r="I680" s="196"/>
      <c r="J680" s="499" t="str">
        <f>Noty!J679</f>
        <v>ukryj</v>
      </c>
      <c r="K680" s="200"/>
      <c r="L680" s="496"/>
      <c r="M680" s="200"/>
      <c r="N680" s="371"/>
    </row>
    <row r="681" spans="1:15" s="174" customFormat="1" ht="33.75" customHeight="1" thickBot="1" x14ac:dyDescent="0.35">
      <c r="A681" s="1183">
        <f>A655</f>
        <v>0</v>
      </c>
      <c r="B681" s="1184">
        <f>IF(K681="n/a",B668,B668+1)</f>
        <v>0</v>
      </c>
      <c r="C681" s="1282" t="s">
        <v>9886</v>
      </c>
      <c r="D681" s="1282"/>
      <c r="E681" s="1282"/>
      <c r="F681" s="1282"/>
      <c r="G681" s="1282"/>
      <c r="H681" s="1282"/>
      <c r="I681" s="1282"/>
      <c r="J681" s="499" t="str">
        <f>IF(Noty!K681="n/a","ukryj","odkryj")</f>
        <v>ukryj</v>
      </c>
      <c r="K681" s="1213" t="str">
        <f>IF(Input!D130="nie","n/a","")</f>
        <v>n/a</v>
      </c>
      <c r="L681" s="492" t="str">
        <f>A681&amp;"."&amp;B681</f>
        <v>0.0</v>
      </c>
      <c r="M681" s="200"/>
      <c r="N681" s="1101" t="s">
        <v>9378</v>
      </c>
      <c r="O681" s="489" t="str">
        <f>A681&amp;"."&amp;B681</f>
        <v>0.0</v>
      </c>
    </row>
    <row r="682" spans="1:15" s="174" customFormat="1" x14ac:dyDescent="0.25">
      <c r="A682" s="515"/>
      <c r="B682" s="530"/>
      <c r="C682" s="418"/>
      <c r="D682" s="416"/>
      <c r="E682" s="196"/>
      <c r="F682" s="196"/>
      <c r="G682" s="196"/>
      <c r="H682" s="196"/>
      <c r="I682" s="196"/>
      <c r="J682" s="499" t="str">
        <f>Noty!J681</f>
        <v>ukryj</v>
      </c>
      <c r="K682" s="200"/>
      <c r="L682" s="200"/>
      <c r="M682" s="200"/>
      <c r="N682" s="371"/>
    </row>
    <row r="683" spans="1:15" s="174" customFormat="1" ht="82.5" customHeight="1" x14ac:dyDescent="0.25">
      <c r="A683" s="515"/>
      <c r="B683" s="530"/>
      <c r="C683" s="419"/>
      <c r="D683" s="378"/>
      <c r="E683" s="801" t="s">
        <v>9195</v>
      </c>
      <c r="F683" s="801" t="s">
        <v>9883</v>
      </c>
      <c r="G683" s="801" t="s">
        <v>9884</v>
      </c>
      <c r="H683" s="801" t="s">
        <v>9885</v>
      </c>
      <c r="I683" s="801" t="s">
        <v>7558</v>
      </c>
      <c r="J683" s="499" t="str">
        <f>Noty!J682</f>
        <v>ukryj</v>
      </c>
      <c r="K683" s="200"/>
      <c r="L683" s="200"/>
      <c r="M683" s="200"/>
      <c r="N683" s="371"/>
    </row>
    <row r="684" spans="1:15" s="174" customFormat="1" x14ac:dyDescent="0.25">
      <c r="A684" s="515"/>
      <c r="B684" s="530"/>
      <c r="C684" s="417" t="s">
        <v>9876</v>
      </c>
      <c r="D684" s="416"/>
      <c r="E684" s="196"/>
      <c r="F684" s="200"/>
      <c r="G684" s="200"/>
      <c r="H684" s="200"/>
      <c r="I684" s="200"/>
      <c r="J684" s="499" t="str">
        <f>Noty!J683</f>
        <v>ukryj</v>
      </c>
      <c r="K684" s="200"/>
      <c r="L684" s="200"/>
      <c r="M684" s="200"/>
      <c r="N684" s="371"/>
    </row>
    <row r="685" spans="1:15" s="174" customFormat="1" ht="13.6" customHeight="1" x14ac:dyDescent="0.25">
      <c r="A685" s="515"/>
      <c r="B685" s="530"/>
      <c r="C685" s="370" t="s">
        <v>9877</v>
      </c>
      <c r="D685" s="841"/>
      <c r="E685" s="639"/>
      <c r="F685" s="639"/>
      <c r="G685" s="639"/>
      <c r="H685" s="639"/>
      <c r="I685" s="639"/>
      <c r="J685" s="499" t="str">
        <f>IF(AND(Noty!E685=0,Noty!F685=0,Noty!G685=0,Noty!H685=0,Noty!I685=0),"ukryj","odkryj")</f>
        <v>ukryj</v>
      </c>
      <c r="K685" s="200"/>
      <c r="L685" s="200"/>
      <c r="M685" s="200"/>
      <c r="N685" s="371"/>
    </row>
    <row r="686" spans="1:15" s="174" customFormat="1" ht="25.55" customHeight="1" x14ac:dyDescent="0.25">
      <c r="A686" s="515"/>
      <c r="B686" s="530"/>
      <c r="C686" s="370" t="s">
        <v>9878</v>
      </c>
      <c r="D686" s="841"/>
      <c r="E686" s="639"/>
      <c r="F686" s="639"/>
      <c r="G686" s="639"/>
      <c r="H686" s="639"/>
      <c r="I686" s="639"/>
      <c r="J686" s="499" t="str">
        <f>IF(AND(Noty!E686=0,Noty!F686=0,Noty!G686=0,Noty!H686=0,Noty!I686=0),"ukryj","odkryj")</f>
        <v>ukryj</v>
      </c>
      <c r="K686" s="200"/>
      <c r="L686" s="200"/>
      <c r="M686" s="200"/>
      <c r="N686" s="371"/>
    </row>
    <row r="687" spans="1:15" s="174" customFormat="1" ht="25.55" customHeight="1" x14ac:dyDescent="0.25">
      <c r="A687" s="515"/>
      <c r="B687" s="530"/>
      <c r="C687" s="370" t="s">
        <v>9879</v>
      </c>
      <c r="D687" s="841"/>
      <c r="E687" s="639"/>
      <c r="F687" s="639"/>
      <c r="G687" s="639"/>
      <c r="H687" s="639"/>
      <c r="I687" s="639"/>
      <c r="J687" s="499" t="str">
        <f>IF(AND(Noty!E687=0,Noty!F687=0,Noty!G687=0,Noty!H687=0,Noty!I687=0),"ukryj","odkryj")</f>
        <v>ukryj</v>
      </c>
      <c r="K687" s="200"/>
      <c r="L687" s="200"/>
      <c r="M687" s="200"/>
      <c r="N687" s="371"/>
    </row>
    <row r="688" spans="1:15" s="174" customFormat="1" x14ac:dyDescent="0.25">
      <c r="A688" s="515"/>
      <c r="B688" s="530"/>
      <c r="C688" s="370"/>
      <c r="D688" s="841"/>
      <c r="E688" s="803">
        <f>SUM(E685:E687)</f>
        <v>0</v>
      </c>
      <c r="F688" s="803">
        <f>SUM(F685:F687)</f>
        <v>0</v>
      </c>
      <c r="G688" s="803">
        <f>SUM(G685:G687)</f>
        <v>0</v>
      </c>
      <c r="H688" s="803">
        <f>SUM(H685:H687)</f>
        <v>0</v>
      </c>
      <c r="I688" s="803">
        <f>SUM(I685:I687)</f>
        <v>0</v>
      </c>
      <c r="J688" s="499" t="str">
        <f>IF(AND(Noty!E688=0,Noty!F688=0,Noty!G688=0,Noty!H688=0,Noty!I688=0),"ukryj","odkryj")</f>
        <v>ukryj</v>
      </c>
      <c r="K688" s="200"/>
      <c r="L688" s="200"/>
      <c r="M688" s="200"/>
      <c r="N688" s="371"/>
    </row>
    <row r="689" spans="1:15" s="174" customFormat="1" x14ac:dyDescent="0.25">
      <c r="A689" s="515"/>
      <c r="B689" s="530"/>
      <c r="C689" s="415" t="s">
        <v>9880</v>
      </c>
      <c r="D689" s="659"/>
      <c r="E689" s="679"/>
      <c r="F689" s="679"/>
      <c r="G689" s="679"/>
      <c r="H689" s="679"/>
      <c r="I689" s="679"/>
      <c r="J689" s="499" t="str">
        <f>Noty!J688</f>
        <v>ukryj</v>
      </c>
      <c r="K689" s="200"/>
      <c r="L689" s="200"/>
      <c r="M689" s="200"/>
      <c r="N689" s="371"/>
    </row>
    <row r="690" spans="1:15" s="174" customFormat="1" x14ac:dyDescent="0.25">
      <c r="A690" s="515"/>
      <c r="B690" s="530"/>
      <c r="C690" s="841" t="s">
        <v>9881</v>
      </c>
      <c r="D690" s="841"/>
      <c r="E690" s="639"/>
      <c r="F690" s="639"/>
      <c r="G690" s="639"/>
      <c r="H690" s="639"/>
      <c r="I690" s="639"/>
      <c r="J690" s="499" t="str">
        <f>IF(AND(Noty!E690=0,Noty!F690=0,Noty!G690=0,Noty!H690=0,Noty!I690=0),"ukryj","odkryj")</f>
        <v>ukryj</v>
      </c>
      <c r="K690" s="200"/>
      <c r="L690" s="200"/>
      <c r="M690" s="200"/>
      <c r="N690" s="371"/>
    </row>
    <row r="691" spans="1:15" s="174" customFormat="1" x14ac:dyDescent="0.25">
      <c r="A691" s="515"/>
      <c r="B691" s="530"/>
      <c r="C691" s="841"/>
      <c r="D691" s="841"/>
      <c r="E691" s="549"/>
      <c r="F691" s="549"/>
      <c r="G691" s="549"/>
      <c r="H691" s="549"/>
      <c r="I691" s="549"/>
      <c r="J691" s="499" t="str">
        <f>Noty!J690</f>
        <v>ukryj</v>
      </c>
      <c r="K691" s="200"/>
      <c r="L691" s="200"/>
      <c r="M691" s="200"/>
      <c r="N691" s="371"/>
    </row>
    <row r="692" spans="1:15" s="174" customFormat="1" x14ac:dyDescent="0.25">
      <c r="A692" s="515"/>
      <c r="B692" s="530"/>
      <c r="C692" s="241" t="s">
        <v>9280</v>
      </c>
      <c r="D692" s="841"/>
      <c r="E692" s="803">
        <f>E690+E688</f>
        <v>0</v>
      </c>
      <c r="F692" s="803">
        <f>F690+F688</f>
        <v>0</v>
      </c>
      <c r="G692" s="803">
        <f>G690+G688</f>
        <v>0</v>
      </c>
      <c r="H692" s="803">
        <f>H690+H688</f>
        <v>0</v>
      </c>
      <c r="I692" s="803">
        <f>I690+I688</f>
        <v>0</v>
      </c>
      <c r="J692" s="499" t="str">
        <f>IF(AND(Noty!E692=0,Noty!F692=0,Noty!G692=0,Noty!H692=0,Noty!I692=0),"ukryj","odkryj")</f>
        <v>ukryj</v>
      </c>
      <c r="K692" s="200"/>
      <c r="L692" s="200"/>
      <c r="M692" s="200"/>
      <c r="N692" s="371"/>
    </row>
    <row r="693" spans="1:15" s="174" customFormat="1" ht="13.75" thickBot="1" x14ac:dyDescent="0.3">
      <c r="A693" s="509"/>
      <c r="B693" s="520"/>
      <c r="C693" s="416"/>
      <c r="D693" s="416"/>
      <c r="E693" s="196"/>
      <c r="F693" s="196"/>
      <c r="G693" s="196"/>
      <c r="H693" s="196"/>
      <c r="I693" s="196"/>
      <c r="J693" s="499" t="str">
        <f>Noty!J692</f>
        <v>ukryj</v>
      </c>
      <c r="K693" s="200"/>
      <c r="L693" s="496"/>
      <c r="M693" s="200"/>
      <c r="N693" s="371"/>
    </row>
    <row r="694" spans="1:15" s="174" customFormat="1" ht="15.75" thickBot="1" x14ac:dyDescent="0.35">
      <c r="A694" s="1183">
        <f>A655</f>
        <v>0</v>
      </c>
      <c r="B694" s="1184">
        <f>IF(K694="n/a",B681,B681+1)</f>
        <v>0</v>
      </c>
      <c r="C694" s="1389" t="s">
        <v>9887</v>
      </c>
      <c r="D694" s="1389"/>
      <c r="E694" s="1389"/>
      <c r="F694" s="1389"/>
      <c r="G694" s="1389"/>
      <c r="H694" s="1389"/>
      <c r="I694" s="1389"/>
      <c r="J694" s="499" t="str">
        <f>IF(Noty!K694="n/a","ukryj","odkryj")</f>
        <v>ukryj</v>
      </c>
      <c r="K694" s="1213" t="str">
        <f>IF(Input!D131="nie","n/a","")</f>
        <v>n/a</v>
      </c>
      <c r="L694" s="492" t="str">
        <f>A694&amp;"."&amp;B694</f>
        <v>0.0</v>
      </c>
      <c r="M694" s="200"/>
      <c r="N694" s="1101" t="s">
        <v>9378</v>
      </c>
      <c r="O694" s="489" t="str">
        <f>A694&amp;"."&amp;B694</f>
        <v>0.0</v>
      </c>
    </row>
    <row r="695" spans="1:15" s="174" customFormat="1" x14ac:dyDescent="0.25">
      <c r="A695" s="509"/>
      <c r="B695" s="520"/>
      <c r="C695" s="416"/>
      <c r="D695" s="416"/>
      <c r="E695" s="196"/>
      <c r="F695" s="196"/>
      <c r="G695" s="196"/>
      <c r="H695" s="196"/>
      <c r="I695" s="196"/>
      <c r="J695" s="499" t="str">
        <f>Noty!J694</f>
        <v>ukryj</v>
      </c>
      <c r="K695" s="200"/>
      <c r="L695" s="200"/>
      <c r="M695" s="200"/>
      <c r="N695" s="371"/>
    </row>
    <row r="696" spans="1:15" s="174" customFormat="1" ht="114.75" customHeight="1" x14ac:dyDescent="0.25">
      <c r="A696" s="509"/>
      <c r="B696" s="520"/>
      <c r="C696" s="378"/>
      <c r="D696" s="378"/>
      <c r="E696" s="801" t="s">
        <v>9195</v>
      </c>
      <c r="F696" s="801" t="s">
        <v>9883</v>
      </c>
      <c r="G696" s="801" t="s">
        <v>9884</v>
      </c>
      <c r="H696" s="801" t="s">
        <v>9885</v>
      </c>
      <c r="I696" s="801" t="s">
        <v>7558</v>
      </c>
      <c r="J696" s="499" t="str">
        <f>Noty!J695</f>
        <v>ukryj</v>
      </c>
      <c r="K696" s="200"/>
      <c r="L696" s="200"/>
      <c r="M696" s="200"/>
      <c r="N696" s="371"/>
    </row>
    <row r="697" spans="1:15" s="174" customFormat="1" x14ac:dyDescent="0.25">
      <c r="A697" s="509"/>
      <c r="B697" s="520"/>
      <c r="C697" s="417" t="s">
        <v>9876</v>
      </c>
      <c r="D697" s="416"/>
      <c r="E697" s="196"/>
      <c r="F697" s="200"/>
      <c r="G697" s="200"/>
      <c r="H697" s="200"/>
      <c r="I697" s="200"/>
      <c r="J697" s="499" t="str">
        <f>Noty!J696</f>
        <v>ukryj</v>
      </c>
      <c r="K697" s="200"/>
      <c r="L697" s="200"/>
      <c r="M697" s="200"/>
      <c r="N697" s="371"/>
    </row>
    <row r="698" spans="1:15" s="174" customFormat="1" ht="13.6" customHeight="1" x14ac:dyDescent="0.25">
      <c r="A698" s="509"/>
      <c r="B698" s="520"/>
      <c r="C698" s="841" t="s">
        <v>9877</v>
      </c>
      <c r="D698" s="841"/>
      <c r="E698" s="639"/>
      <c r="F698" s="639"/>
      <c r="G698" s="639"/>
      <c r="H698" s="639"/>
      <c r="I698" s="639"/>
      <c r="J698" s="499" t="str">
        <f>IF(AND(Noty!E698=0,Noty!F698=0,Noty!G698=0,Noty!H698=0,Noty!I698=0),"ukryj","odkryj")</f>
        <v>ukryj</v>
      </c>
      <c r="K698" s="200"/>
      <c r="L698" s="200"/>
      <c r="M698" s="200"/>
      <c r="N698" s="371"/>
    </row>
    <row r="699" spans="1:15" s="174" customFormat="1" ht="25.55" customHeight="1" x14ac:dyDescent="0.25">
      <c r="A699" s="509"/>
      <c r="B699" s="520"/>
      <c r="C699" s="841" t="s">
        <v>9878</v>
      </c>
      <c r="D699" s="841"/>
      <c r="E699" s="639"/>
      <c r="F699" s="639"/>
      <c r="G699" s="639"/>
      <c r="H699" s="639"/>
      <c r="I699" s="639"/>
      <c r="J699" s="499" t="str">
        <f>IF(AND(Noty!E699=0,Noty!F699=0,Noty!G699=0,Noty!H699=0,Noty!I699=0),"ukryj","odkryj")</f>
        <v>ukryj</v>
      </c>
      <c r="K699" s="200"/>
      <c r="L699" s="200"/>
      <c r="M699" s="200"/>
      <c r="N699" s="371"/>
    </row>
    <row r="700" spans="1:15" s="174" customFormat="1" ht="25.55" customHeight="1" x14ac:dyDescent="0.25">
      <c r="A700" s="509"/>
      <c r="B700" s="520"/>
      <c r="C700" s="841" t="s">
        <v>9879</v>
      </c>
      <c r="D700" s="841"/>
      <c r="E700" s="639"/>
      <c r="F700" s="639"/>
      <c r="G700" s="639"/>
      <c r="H700" s="639"/>
      <c r="I700" s="639"/>
      <c r="J700" s="499" t="str">
        <f>IF(AND(Noty!E700=0,Noty!F700=0,Noty!G700=0,Noty!H700=0,Noty!I700=0),"ukryj","odkryj")</f>
        <v>ukryj</v>
      </c>
      <c r="K700" s="200"/>
      <c r="L700" s="200"/>
      <c r="M700" s="200"/>
      <c r="N700" s="371"/>
    </row>
    <row r="701" spans="1:15" s="174" customFormat="1" x14ac:dyDescent="0.25">
      <c r="A701" s="509"/>
      <c r="B701" s="520"/>
      <c r="C701" s="841"/>
      <c r="D701" s="841"/>
      <c r="E701" s="803">
        <f>SUM(E698:E700)</f>
        <v>0</v>
      </c>
      <c r="F701" s="803">
        <f>SUM(F698:F700)</f>
        <v>0</v>
      </c>
      <c r="G701" s="803">
        <f>SUM(G698:G700)</f>
        <v>0</v>
      </c>
      <c r="H701" s="803">
        <f>SUM(H698:H700)</f>
        <v>0</v>
      </c>
      <c r="I701" s="803">
        <f>SUM(I698:I700)</f>
        <v>0</v>
      </c>
      <c r="J701" s="499" t="str">
        <f>IF(AND(Noty!E701=0,Noty!F701=0,Noty!G701=0,Noty!H701=0,Noty!I701=0),"ukryj","odkryj")</f>
        <v>ukryj</v>
      </c>
      <c r="K701" s="200"/>
      <c r="L701" s="200"/>
      <c r="M701" s="200"/>
      <c r="N701" s="371"/>
    </row>
    <row r="702" spans="1:15" s="174" customFormat="1" x14ac:dyDescent="0.25">
      <c r="A702" s="509"/>
      <c r="B702" s="520"/>
      <c r="C702" s="415" t="s">
        <v>9880</v>
      </c>
      <c r="D702" s="659"/>
      <c r="E702" s="679"/>
      <c r="F702" s="679"/>
      <c r="G702" s="679"/>
      <c r="H702" s="679"/>
      <c r="I702" s="679"/>
      <c r="J702" s="499" t="str">
        <f>Noty!J701</f>
        <v>ukryj</v>
      </c>
      <c r="K702" s="200"/>
      <c r="L702" s="200"/>
      <c r="M702" s="200"/>
      <c r="N702" s="371"/>
    </row>
    <row r="703" spans="1:15" s="174" customFormat="1" x14ac:dyDescent="0.25">
      <c r="A703" s="509"/>
      <c r="B703" s="520"/>
      <c r="C703" s="841" t="s">
        <v>9881</v>
      </c>
      <c r="D703" s="841"/>
      <c r="E703" s="639"/>
      <c r="F703" s="639"/>
      <c r="G703" s="639"/>
      <c r="H703" s="639"/>
      <c r="I703" s="639"/>
      <c r="J703" s="499" t="str">
        <f>IF(AND(Noty!E703=0,Noty!F703=0,Noty!G703=0,Noty!H703=0,Noty!I703=0),"ukryj","odkryj")</f>
        <v>ukryj</v>
      </c>
      <c r="K703" s="200"/>
      <c r="L703" s="200"/>
      <c r="M703" s="200"/>
      <c r="N703" s="371"/>
    </row>
    <row r="704" spans="1:15" s="174" customFormat="1" x14ac:dyDescent="0.25">
      <c r="A704" s="509"/>
      <c r="B704" s="520"/>
      <c r="C704" s="841"/>
      <c r="D704" s="841"/>
      <c r="E704" s="549"/>
      <c r="F704" s="549"/>
      <c r="G704" s="549"/>
      <c r="H704" s="549"/>
      <c r="I704" s="549"/>
      <c r="J704" s="499" t="str">
        <f>Noty!J703</f>
        <v>ukryj</v>
      </c>
      <c r="K704" s="200"/>
      <c r="L704" s="200"/>
      <c r="M704" s="200"/>
      <c r="N704" s="371"/>
    </row>
    <row r="705" spans="1:32" s="174" customFormat="1" x14ac:dyDescent="0.25">
      <c r="A705" s="509"/>
      <c r="B705" s="520"/>
      <c r="C705" s="241" t="s">
        <v>9280</v>
      </c>
      <c r="D705" s="841"/>
      <c r="E705" s="803">
        <f>E703+E701</f>
        <v>0</v>
      </c>
      <c r="F705" s="803">
        <f>F703+F701</f>
        <v>0</v>
      </c>
      <c r="G705" s="803">
        <f>G703+G701</f>
        <v>0</v>
      </c>
      <c r="H705" s="803">
        <f>H703+H701</f>
        <v>0</v>
      </c>
      <c r="I705" s="803">
        <f>I703+I701</f>
        <v>0</v>
      </c>
      <c r="J705" s="499" t="str">
        <f>IF(AND(Noty!E705=0,Noty!F705=0,Noty!G705=0,Noty!H705=0,Noty!I705=0),"ukryj","odkryj")</f>
        <v>ukryj</v>
      </c>
      <c r="K705" s="200"/>
      <c r="L705" s="200"/>
      <c r="M705" s="200"/>
      <c r="N705" s="371"/>
    </row>
    <row r="706" spans="1:32" s="174" customFormat="1" ht="13.75" thickBot="1" x14ac:dyDescent="0.3">
      <c r="A706" s="509"/>
      <c r="B706" s="520"/>
      <c r="C706" s="416"/>
      <c r="D706" s="416"/>
      <c r="E706" s="196"/>
      <c r="F706" s="196"/>
      <c r="G706" s="196"/>
      <c r="H706" s="196"/>
      <c r="I706" s="196"/>
      <c r="J706" s="499" t="str">
        <f>Noty!J701</f>
        <v>ukryj</v>
      </c>
      <c r="K706" s="200"/>
      <c r="L706" s="496"/>
      <c r="M706" s="200"/>
      <c r="N706" s="371"/>
    </row>
    <row r="707" spans="1:32" s="174" customFormat="1" ht="15.75" thickBot="1" x14ac:dyDescent="0.35">
      <c r="A707" s="1180">
        <f>IF(K707="n/a",A694,A694+1)</f>
        <v>0</v>
      </c>
      <c r="B707" s="1182"/>
      <c r="C707" s="1388" t="s">
        <v>9888</v>
      </c>
      <c r="D707" s="1388"/>
      <c r="E707" s="1388"/>
      <c r="F707" s="1388"/>
      <c r="G707" s="1388"/>
      <c r="H707" s="1388"/>
      <c r="I707" s="1388"/>
      <c r="J707" s="499" t="str">
        <f>IF(Noty!K707="n/a","ukryj","odkryj")</f>
        <v>ukryj</v>
      </c>
      <c r="K707" s="1213" t="str">
        <f>IF(Input!D132="nie","n/a","")</f>
        <v>n/a</v>
      </c>
      <c r="L707" s="971" t="str">
        <f>A707&amp;"."&amp;B707</f>
        <v>0.</v>
      </c>
      <c r="M707" s="200"/>
      <c r="N707" s="1101" t="s">
        <v>9378</v>
      </c>
      <c r="O707" s="489" t="str">
        <f>A707&amp;"."&amp;B707</f>
        <v>0.</v>
      </c>
    </row>
    <row r="708" spans="1:32" s="174" customFormat="1" x14ac:dyDescent="0.25">
      <c r="A708" s="509"/>
      <c r="B708" s="520"/>
      <c r="C708" s="416"/>
      <c r="D708" s="416"/>
      <c r="E708" s="196"/>
      <c r="F708" s="196"/>
      <c r="G708" s="196"/>
      <c r="H708" s="196"/>
      <c r="I708" s="196"/>
      <c r="J708" s="499" t="str">
        <f>Noty!J707</f>
        <v>ukryj</v>
      </c>
      <c r="K708" s="200"/>
      <c r="L708" s="200"/>
      <c r="M708" s="200"/>
      <c r="N708" s="371"/>
    </row>
    <row r="709" spans="1:32" s="174" customFormat="1" ht="114.75" customHeight="1" x14ac:dyDescent="0.25">
      <c r="A709" s="509"/>
      <c r="B709" s="520"/>
      <c r="C709" s="1400" t="s">
        <v>9889</v>
      </c>
      <c r="D709" s="1400"/>
      <c r="E709" s="636" t="s">
        <v>9890</v>
      </c>
      <c r="F709" s="636" t="s">
        <v>9637</v>
      </c>
      <c r="G709" s="636" t="str">
        <f>CONCATENATE("Wartość zobowiązania krótkotermi- nowego na dzień ",Input!$P$7)</f>
        <v>Wartość zobowiązania krótkotermi- nowego na dzień 31.12.2020</v>
      </c>
      <c r="H709" s="636" t="str">
        <f>CONCATENATE("Wartość zobowiązania długotermi- nowego na dzień ",Input!$P$7)</f>
        <v>Wartość zobowiązania długotermi- nowego na dzień 31.12.2020</v>
      </c>
      <c r="I709" s="637" t="s">
        <v>9891</v>
      </c>
      <c r="J709" s="499" t="str">
        <f>Noty!J708</f>
        <v>ukryj</v>
      </c>
      <c r="K709" s="200"/>
      <c r="L709" s="200"/>
      <c r="M709" s="200"/>
      <c r="N709" s="371"/>
    </row>
    <row r="710" spans="1:32" s="174" customFormat="1" x14ac:dyDescent="0.25">
      <c r="A710" s="509"/>
      <c r="B710" s="520"/>
      <c r="C710" s="1408"/>
      <c r="D710" s="1408"/>
      <c r="E710" s="638"/>
      <c r="F710" s="638"/>
      <c r="G710" s="639"/>
      <c r="H710" s="639"/>
      <c r="I710" s="638"/>
      <c r="J710" s="499" t="str">
        <f>IF(AND(Noty!G710=0,Noty!H710=0),"ukryj","odkryj")</f>
        <v>ukryj</v>
      </c>
      <c r="K710" s="200"/>
      <c r="L710" s="200"/>
      <c r="M710" s="200"/>
      <c r="N710" s="371"/>
    </row>
    <row r="711" spans="1:32" s="174" customFormat="1" x14ac:dyDescent="0.25">
      <c r="A711" s="509"/>
      <c r="B711" s="520"/>
      <c r="C711" s="1408"/>
      <c r="D711" s="1408"/>
      <c r="E711" s="638"/>
      <c r="F711" s="638"/>
      <c r="G711" s="638"/>
      <c r="H711" s="638"/>
      <c r="I711" s="638"/>
      <c r="J711" s="499" t="str">
        <f>IF(AND(Noty!G711=0,Noty!H711=0),"ukryj","odkryj")</f>
        <v>ukryj</v>
      </c>
      <c r="K711" s="200"/>
      <c r="L711" s="200"/>
      <c r="M711" s="200"/>
      <c r="N711" s="371"/>
    </row>
    <row r="712" spans="1:32" s="174" customFormat="1" x14ac:dyDescent="0.25">
      <c r="A712" s="509"/>
      <c r="B712" s="520"/>
      <c r="C712" s="1408"/>
      <c r="D712" s="1408"/>
      <c r="E712" s="638"/>
      <c r="F712" s="638"/>
      <c r="G712" s="638"/>
      <c r="H712" s="638"/>
      <c r="I712" s="638"/>
      <c r="J712" s="499" t="str">
        <f>IF(AND(Noty!G712=0,Noty!H712=0),"ukryj","odkryj")</f>
        <v>ukryj</v>
      </c>
      <c r="K712" s="200"/>
      <c r="L712" s="200"/>
      <c r="M712" s="200"/>
      <c r="N712" s="371"/>
    </row>
    <row r="713" spans="1:32" s="174" customFormat="1" x14ac:dyDescent="0.25">
      <c r="A713" s="509"/>
      <c r="B713" s="520"/>
      <c r="C713" s="1408"/>
      <c r="D713" s="1408"/>
      <c r="E713" s="638"/>
      <c r="F713" s="638"/>
      <c r="G713" s="638"/>
      <c r="H713" s="638"/>
      <c r="I713" s="638"/>
      <c r="J713" s="499" t="str">
        <f>IF(AND(Noty!G713=0,Noty!H713=0),"ukryj","odkryj")</f>
        <v>ukryj</v>
      </c>
      <c r="K713" s="200"/>
      <c r="L713" s="200"/>
      <c r="M713" s="200"/>
      <c r="N713" s="371"/>
    </row>
    <row r="714" spans="1:32" s="174" customFormat="1" x14ac:dyDescent="0.25">
      <c r="A714" s="509"/>
      <c r="B714" s="520"/>
      <c r="C714" s="202"/>
      <c r="D714" s="636"/>
      <c r="E714" s="803"/>
      <c r="F714" s="803"/>
      <c r="G714" s="803">
        <f>SUM(G710:G713)</f>
        <v>0</v>
      </c>
      <c r="H714" s="803">
        <f>SUM(H710:H713)</f>
        <v>0</v>
      </c>
      <c r="I714" s="803" t="s">
        <v>8730</v>
      </c>
      <c r="J714" s="499" t="str">
        <f>IF(AND(Noty!G714=0,Noty!H714=0),"ukryj","odkryj")</f>
        <v>ukryj</v>
      </c>
      <c r="K714" s="200"/>
      <c r="L714" s="200"/>
      <c r="M714" s="200"/>
      <c r="N714" s="371"/>
    </row>
    <row r="715" spans="1:32" s="174" customFormat="1" ht="13.75" thickBot="1" x14ac:dyDescent="0.3">
      <c r="A715" s="509"/>
      <c r="B715" s="520"/>
      <c r="C715" s="202"/>
      <c r="D715" s="202"/>
      <c r="E715" s="196"/>
      <c r="F715" s="196"/>
      <c r="G715" s="196"/>
      <c r="H715" s="191"/>
      <c r="I715" s="192"/>
      <c r="J715" s="499" t="str">
        <f>Noty!J714</f>
        <v>ukryj</v>
      </c>
      <c r="K715" s="200"/>
      <c r="L715" s="200"/>
      <c r="M715" s="200"/>
      <c r="N715" s="371"/>
    </row>
    <row r="716" spans="1:32" s="174" customFormat="1" ht="15.75" thickBot="1" x14ac:dyDescent="0.35">
      <c r="A716" s="1180">
        <f>IF(K716="n/a",A707,A707+1)</f>
        <v>1</v>
      </c>
      <c r="B716" s="1182"/>
      <c r="C716" s="1388" t="s">
        <v>9892</v>
      </c>
      <c r="D716" s="1388"/>
      <c r="E716" s="1388"/>
      <c r="F716" s="1388"/>
      <c r="G716" s="1388"/>
      <c r="H716" s="1388"/>
      <c r="I716" s="1388"/>
      <c r="J716" s="499" t="str">
        <f>IF(Noty!K716="n/a","ukryj","odkryj")</f>
        <v>odkryj</v>
      </c>
      <c r="K716" s="1213" t="str">
        <f>IF(AND(K732="n/a",K718="n/a"),"n/a","")</f>
        <v/>
      </c>
      <c r="L716" s="971" t="str">
        <f>A716&amp;"."&amp;B716</f>
        <v>1.</v>
      </c>
      <c r="M716" s="200"/>
      <c r="N716" s="1101" t="s">
        <v>9378</v>
      </c>
      <c r="O716" s="489" t="str">
        <f>A716&amp;"."&amp;B716</f>
        <v>1.</v>
      </c>
    </row>
    <row r="717" spans="1:32" s="174" customFormat="1" ht="13.75" thickBot="1" x14ac:dyDescent="0.3">
      <c r="A717" s="509"/>
      <c r="B717" s="520"/>
      <c r="C717" s="416"/>
      <c r="D717" s="416"/>
      <c r="E717" s="196"/>
      <c r="F717" s="196"/>
      <c r="G717" s="196"/>
      <c r="H717" s="196"/>
      <c r="I717" s="196"/>
      <c r="J717" s="499" t="str">
        <f>Noty!J716</f>
        <v>odkryj</v>
      </c>
      <c r="K717" s="200"/>
      <c r="L717" s="200"/>
      <c r="M717" s="200"/>
      <c r="N717" s="371"/>
    </row>
    <row r="718" spans="1:32" s="174" customFormat="1" ht="13.75" thickBot="1" x14ac:dyDescent="0.3">
      <c r="A718" s="509"/>
      <c r="B718" s="520"/>
      <c r="C718" s="202"/>
      <c r="D718" s="202"/>
      <c r="E718" s="196"/>
      <c r="F718" s="196"/>
      <c r="G718" s="251"/>
      <c r="H718" s="999" t="str">
        <f>+Input!$P$7</f>
        <v>31.12.2020</v>
      </c>
      <c r="I718" s="1000" t="str">
        <f>+Input!$P$11</f>
        <v>31.12.2019</v>
      </c>
      <c r="J718" s="499" t="str">
        <f>IF(Noty!K718="n/a","ukryj","odkryj")</f>
        <v>ukryj</v>
      </c>
      <c r="K718" s="1222" t="str">
        <f>IF(Input!D133="nie","n/a","")</f>
        <v>n/a</v>
      </c>
      <c r="L718" s="200"/>
      <c r="M718" s="200"/>
      <c r="N718" s="371"/>
    </row>
    <row r="719" spans="1:32" s="174" customFormat="1" x14ac:dyDescent="0.25">
      <c r="A719" s="509"/>
      <c r="B719" s="520"/>
      <c r="C719" s="202"/>
      <c r="D719" s="202"/>
      <c r="E719" s="196"/>
      <c r="F719" s="196"/>
      <c r="G719" s="196"/>
      <c r="H719" s="544"/>
      <c r="I719" s="544"/>
      <c r="J719" s="499" t="str">
        <f>Noty!J718</f>
        <v>ukryj</v>
      </c>
      <c r="K719" s="200"/>
      <c r="L719" s="200"/>
      <c r="M719" s="200"/>
      <c r="N719" s="371"/>
    </row>
    <row r="720" spans="1:32" s="174" customFormat="1" x14ac:dyDescent="0.25">
      <c r="A720" s="509"/>
      <c r="B720" s="520"/>
      <c r="C720" s="202" t="s">
        <v>7564</v>
      </c>
      <c r="D720" s="202"/>
      <c r="E720" s="196"/>
      <c r="F720" s="196"/>
      <c r="G720" s="251"/>
      <c r="H720" s="802"/>
      <c r="I720" s="802"/>
      <c r="J720" s="499" t="str">
        <f>IF(AND(Noty!H720=0,Noty!I720=0),"ukryj","odkryj")</f>
        <v>ukryj</v>
      </c>
      <c r="K720" s="200"/>
      <c r="L720" s="200"/>
      <c r="M720" s="200"/>
      <c r="N720" s="371"/>
      <c r="AE720" s="257" t="s">
        <v>9893</v>
      </c>
      <c r="AF720" s="257" t="s">
        <v>9894</v>
      </c>
    </row>
    <row r="721" spans="1:32" s="174" customFormat="1" x14ac:dyDescent="0.25">
      <c r="A721" s="509"/>
      <c r="B721" s="520"/>
      <c r="C721" s="420" t="s">
        <v>9895</v>
      </c>
      <c r="D721" s="612"/>
      <c r="E721" s="196"/>
      <c r="F721" s="196"/>
      <c r="G721" s="251"/>
      <c r="H721" s="802"/>
      <c r="I721" s="802"/>
      <c r="J721" s="499" t="str">
        <f>IF(AND(Noty!H721=0,Noty!I721=0),"ukryj","odkryj")</f>
        <v>ukryj</v>
      </c>
      <c r="K721" s="200"/>
      <c r="L721" s="200"/>
      <c r="M721" s="200"/>
      <c r="N721" s="371"/>
      <c r="AE721" s="257" t="s">
        <v>9896</v>
      </c>
      <c r="AF721" s="257" t="s">
        <v>9897</v>
      </c>
    </row>
    <row r="722" spans="1:32" s="174" customFormat="1" x14ac:dyDescent="0.25">
      <c r="A722" s="509"/>
      <c r="B722" s="520"/>
      <c r="C722" s="420" t="s">
        <v>9898</v>
      </c>
      <c r="D722" s="612"/>
      <c r="E722" s="196"/>
      <c r="F722" s="196"/>
      <c r="G722" s="251"/>
      <c r="H722" s="802"/>
      <c r="I722" s="802"/>
      <c r="J722" s="499" t="str">
        <f>IF(AND(Noty!H722=0,Noty!I722=0),"ukryj","odkryj")</f>
        <v>ukryj</v>
      </c>
      <c r="K722" s="200"/>
      <c r="L722" s="200"/>
      <c r="M722" s="200"/>
      <c r="N722" s="371"/>
      <c r="AE722" s="257" t="s">
        <v>9899</v>
      </c>
      <c r="AF722" s="257" t="s">
        <v>9900</v>
      </c>
    </row>
    <row r="723" spans="1:32" s="174" customFormat="1" x14ac:dyDescent="0.25">
      <c r="A723" s="509"/>
      <c r="B723" s="520"/>
      <c r="C723" s="202" t="s">
        <v>7608</v>
      </c>
      <c r="D723" s="202"/>
      <c r="E723" s="196"/>
      <c r="F723" s="196"/>
      <c r="G723" s="251"/>
      <c r="H723" s="802"/>
      <c r="I723" s="802"/>
      <c r="J723" s="499" t="str">
        <f>IF(AND(Noty!H723=0,Noty!I723=0),"ukryj","odkryj")</f>
        <v>ukryj</v>
      </c>
      <c r="K723" s="200"/>
      <c r="L723" s="200"/>
      <c r="M723" s="200"/>
      <c r="N723" s="371"/>
      <c r="AE723" s="257" t="s">
        <v>9901</v>
      </c>
      <c r="AF723" s="257" t="s">
        <v>9902</v>
      </c>
    </row>
    <row r="724" spans="1:32" s="174" customFormat="1" x14ac:dyDescent="0.25">
      <c r="A724" s="509"/>
      <c r="B724" s="520"/>
      <c r="C724" s="420" t="s">
        <v>9898</v>
      </c>
      <c r="D724" s="612"/>
      <c r="E724" s="196"/>
      <c r="F724" s="196"/>
      <c r="G724" s="251"/>
      <c r="H724" s="802"/>
      <c r="I724" s="802"/>
      <c r="J724" s="499" t="str">
        <f>IF(AND(Noty!H724=0,Noty!I724=0),"ukryj","odkryj")</f>
        <v>ukryj</v>
      </c>
      <c r="K724" s="200"/>
      <c r="L724" s="200"/>
      <c r="M724" s="200"/>
      <c r="N724" s="371"/>
      <c r="AE724" s="257" t="s">
        <v>9903</v>
      </c>
      <c r="AF724" s="257" t="s">
        <v>9904</v>
      </c>
    </row>
    <row r="725" spans="1:32" s="174" customFormat="1" x14ac:dyDescent="0.25">
      <c r="A725" s="509"/>
      <c r="B725" s="520"/>
      <c r="C725" s="202" t="s">
        <v>9905</v>
      </c>
      <c r="D725" s="202"/>
      <c r="E725" s="196"/>
      <c r="F725" s="196"/>
      <c r="G725" s="251"/>
      <c r="H725" s="802"/>
      <c r="I725" s="802"/>
      <c r="J725" s="499" t="str">
        <f>IF(AND(Noty!H725=0,Noty!I725=0),"ukryj","odkryj")</f>
        <v>ukryj</v>
      </c>
      <c r="K725" s="200"/>
      <c r="L725" s="200"/>
      <c r="M725" s="200"/>
      <c r="N725" s="371"/>
      <c r="AE725" s="257" t="s">
        <v>9906</v>
      </c>
      <c r="AF725" s="257" t="s">
        <v>9907</v>
      </c>
    </row>
    <row r="726" spans="1:32" s="174" customFormat="1" x14ac:dyDescent="0.25">
      <c r="A726" s="509"/>
      <c r="B726" s="520"/>
      <c r="C726" s="420" t="s">
        <v>9908</v>
      </c>
      <c r="D726" s="612"/>
      <c r="E726" s="196"/>
      <c r="F726" s="196"/>
      <c r="G726" s="251"/>
      <c r="H726" s="802"/>
      <c r="I726" s="802"/>
      <c r="J726" s="499" t="str">
        <f>IF(AND(Noty!H726=0,Noty!I726=0),"ukryj","odkryj")</f>
        <v>ukryj</v>
      </c>
      <c r="K726" s="200"/>
      <c r="L726" s="200"/>
      <c r="M726" s="200"/>
      <c r="N726" s="371"/>
      <c r="AE726" s="257" t="s">
        <v>9909</v>
      </c>
      <c r="AF726" s="257" t="s">
        <v>9910</v>
      </c>
    </row>
    <row r="727" spans="1:32" s="174" customFormat="1" x14ac:dyDescent="0.25">
      <c r="A727" s="509"/>
      <c r="B727" s="520"/>
      <c r="C727" s="202"/>
      <c r="D727" s="202"/>
      <c r="E727" s="196"/>
      <c r="F727" s="196"/>
      <c r="G727" s="251"/>
      <c r="H727" s="803">
        <f>SUM(H720:H726)</f>
        <v>0</v>
      </c>
      <c r="I727" s="803">
        <f>SUM(I720:I726)</f>
        <v>0</v>
      </c>
      <c r="J727" s="499" t="str">
        <f>IF(AND(Noty!H727=0,Noty!I727=0),"ukryj","odkryj")</f>
        <v>ukryj</v>
      </c>
      <c r="K727" s="200"/>
      <c r="L727" s="200"/>
      <c r="M727" s="200"/>
      <c r="N727" s="371"/>
    </row>
    <row r="728" spans="1:32" s="174" customFormat="1" x14ac:dyDescent="0.25">
      <c r="A728" s="509"/>
      <c r="B728" s="520"/>
      <c r="C728" s="973" t="s">
        <v>9911</v>
      </c>
      <c r="D728" s="610"/>
      <c r="E728" s="251"/>
      <c r="F728" s="251"/>
      <c r="G728" s="251"/>
      <c r="H728" s="974"/>
      <c r="I728" s="975"/>
      <c r="J728" s="499" t="str">
        <f>Noty!J727</f>
        <v>ukryj</v>
      </c>
      <c r="K728" s="200"/>
      <c r="L728" s="200"/>
      <c r="M728" s="200"/>
      <c r="N728" s="371"/>
    </row>
    <row r="729" spans="1:32" s="174" customFormat="1" x14ac:dyDescent="0.25">
      <c r="A729" s="509"/>
      <c r="B729" s="520"/>
      <c r="C729" s="202"/>
      <c r="D729" s="202"/>
      <c r="E729" s="196"/>
      <c r="F729" s="196"/>
      <c r="G729" s="196"/>
      <c r="H729" s="205"/>
      <c r="I729" s="205"/>
      <c r="J729" s="499" t="str">
        <f>Noty!J727</f>
        <v>ukryj</v>
      </c>
      <c r="K729" s="200"/>
      <c r="L729" s="200"/>
      <c r="M729" s="200"/>
      <c r="N729" s="371"/>
    </row>
    <row r="730" spans="1:32" s="174" customFormat="1" x14ac:dyDescent="0.25">
      <c r="A730" s="509"/>
      <c r="B730" s="520"/>
      <c r="C730" s="240" t="s">
        <v>7724</v>
      </c>
      <c r="D730" s="202"/>
      <c r="E730" s="196"/>
      <c r="F730" s="196"/>
      <c r="G730" s="196"/>
      <c r="H730" s="205"/>
      <c r="I730" s="205"/>
      <c r="J730" s="499" t="str">
        <f>"ukryj"</f>
        <v>ukryj</v>
      </c>
      <c r="K730" s="200"/>
      <c r="L730" s="200"/>
      <c r="M730" s="200"/>
      <c r="N730" s="371"/>
    </row>
    <row r="731" spans="1:32" s="174" customFormat="1" ht="13.75" thickBot="1" x14ac:dyDescent="0.3">
      <c r="A731" s="509"/>
      <c r="B731" s="520"/>
      <c r="C731" s="202"/>
      <c r="D731" s="202"/>
      <c r="E731" s="196"/>
      <c r="F731" s="196"/>
      <c r="G731" s="196"/>
      <c r="H731" s="205"/>
      <c r="I731" s="205"/>
      <c r="J731" s="499" t="str">
        <f>Noty!J730</f>
        <v>ukryj</v>
      </c>
      <c r="K731" s="200"/>
      <c r="L731" s="200"/>
      <c r="M731" s="200"/>
      <c r="N731" s="371"/>
    </row>
    <row r="732" spans="1:32" s="174" customFormat="1" ht="13.75" thickBot="1" x14ac:dyDescent="0.3">
      <c r="A732" s="509"/>
      <c r="B732" s="520"/>
      <c r="C732" s="202" t="s">
        <v>9912</v>
      </c>
      <c r="D732" s="202"/>
      <c r="E732" s="196"/>
      <c r="F732" s="196"/>
      <c r="G732" s="196"/>
      <c r="H732" s="205"/>
      <c r="I732" s="205"/>
      <c r="J732" s="499" t="str">
        <f>IF(Noty!K732="n/a","ukryj","odkryj")</f>
        <v>odkryj</v>
      </c>
      <c r="K732" s="1222" t="str">
        <f>IF(Noty!J718="","n/a","")</f>
        <v/>
      </c>
      <c r="L732" s="200"/>
      <c r="M732" s="200"/>
      <c r="N732" s="371"/>
    </row>
    <row r="733" spans="1:32" s="174" customFormat="1" ht="13.75" thickBot="1" x14ac:dyDescent="0.3">
      <c r="A733" s="509"/>
      <c r="B733" s="520"/>
      <c r="C733" s="202"/>
      <c r="D733" s="202"/>
      <c r="E733" s="196"/>
      <c r="F733" s="196"/>
      <c r="G733" s="196"/>
      <c r="H733" s="205"/>
      <c r="I733" s="205"/>
      <c r="J733" s="499" t="str">
        <f>Noty!J732</f>
        <v>odkryj</v>
      </c>
      <c r="K733" s="200"/>
      <c r="L733" s="200"/>
      <c r="M733" s="200"/>
      <c r="N733" s="371"/>
    </row>
    <row r="734" spans="1:32" s="174" customFormat="1" ht="15.75" thickBot="1" x14ac:dyDescent="0.35">
      <c r="A734" s="1180">
        <f>IF(K734="n/a",A716,A716+1)</f>
        <v>1</v>
      </c>
      <c r="B734" s="1182"/>
      <c r="C734" s="1467" t="s">
        <v>9913</v>
      </c>
      <c r="D734" s="1467"/>
      <c r="E734" s="1467"/>
      <c r="F734" s="1467"/>
      <c r="G734" s="1467"/>
      <c r="H734" s="1467"/>
      <c r="I734" s="1467"/>
      <c r="J734" s="499" t="str">
        <f>IF(Noty!K734="n/a","ukryj","odkryj")</f>
        <v>ukryj</v>
      </c>
      <c r="K734" s="1213" t="str">
        <f>IF(Input!D134="nie","n/a","")</f>
        <v>n/a</v>
      </c>
      <c r="L734" s="971" t="str">
        <f>A734&amp;"."&amp;B734</f>
        <v>1.</v>
      </c>
      <c r="M734" s="200"/>
      <c r="N734" s="1101" t="s">
        <v>9378</v>
      </c>
      <c r="O734" s="489" t="str">
        <f>A734&amp;"."&amp;B734</f>
        <v>1.</v>
      </c>
    </row>
    <row r="735" spans="1:32" s="174" customFormat="1" x14ac:dyDescent="0.25">
      <c r="A735" s="509"/>
      <c r="B735" s="520"/>
      <c r="C735" s="421" t="s">
        <v>9914</v>
      </c>
      <c r="D735" s="416"/>
      <c r="E735" s="196"/>
      <c r="F735" s="196"/>
      <c r="G735" s="196"/>
      <c r="H735" s="196"/>
      <c r="I735" s="196"/>
      <c r="J735" s="499" t="str">
        <f>Noty!J734</f>
        <v>ukryj</v>
      </c>
      <c r="K735" s="200"/>
      <c r="L735" s="200"/>
      <c r="M735" s="200"/>
      <c r="N735" s="371"/>
    </row>
    <row r="736" spans="1:32" s="174" customFormat="1" ht="44.2" customHeight="1" x14ac:dyDescent="0.25">
      <c r="A736" s="509"/>
      <c r="B736" s="520"/>
      <c r="C736" s="545" t="s">
        <v>9915</v>
      </c>
      <c r="D736" s="1005"/>
      <c r="E736" s="9"/>
      <c r="F736" s="1469" t="s">
        <v>9916</v>
      </c>
      <c r="G736" s="1469"/>
      <c r="H736" s="1469" t="s">
        <v>9917</v>
      </c>
      <c r="I736" s="1469"/>
      <c r="J736" s="499" t="str">
        <f>Noty!J735</f>
        <v>ukryj</v>
      </c>
      <c r="K736" s="200"/>
      <c r="L736" s="200"/>
      <c r="M736" s="200"/>
      <c r="N736" s="371"/>
    </row>
    <row r="737" spans="1:32" s="174" customFormat="1" ht="21.8" customHeight="1" x14ac:dyDescent="0.25">
      <c r="A737" s="509"/>
      <c r="B737" s="520"/>
      <c r="C737" s="572"/>
      <c r="D737" s="1005"/>
      <c r="E737" s="9"/>
      <c r="F737" s="1000" t="str">
        <f>+Input!$P$7</f>
        <v>31.12.2020</v>
      </c>
      <c r="G737" s="1000" t="str">
        <f>+Input!$P$11</f>
        <v>31.12.2019</v>
      </c>
      <c r="H737" s="1000" t="str">
        <f>+Input!$P$7</f>
        <v>31.12.2020</v>
      </c>
      <c r="I737" s="1000" t="str">
        <f>+Input!$P$11</f>
        <v>31.12.2019</v>
      </c>
      <c r="J737" s="499" t="str">
        <f>Noty!J736</f>
        <v>ukryj</v>
      </c>
      <c r="K737" s="200"/>
      <c r="L737" s="200"/>
      <c r="M737" s="200"/>
      <c r="N737" s="371"/>
    </row>
    <row r="738" spans="1:32" s="174" customFormat="1" x14ac:dyDescent="0.25">
      <c r="A738" s="509"/>
      <c r="B738" s="520"/>
      <c r="C738" s="423" t="s">
        <v>9881</v>
      </c>
      <c r="D738" s="1005"/>
      <c r="E738" s="9"/>
      <c r="F738" s="639"/>
      <c r="G738" s="639"/>
      <c r="H738" s="639"/>
      <c r="I738" s="639"/>
      <c r="J738" s="499" t="str">
        <f>IF(AND(Noty!F738=0,Noty!G738=0,Noty!H738=0,Noty!I738=0),"ukryj","odkryj")</f>
        <v>ukryj</v>
      </c>
      <c r="K738" s="200"/>
      <c r="L738" s="200"/>
      <c r="M738" s="200"/>
      <c r="N738" s="371"/>
      <c r="AC738" s="257" t="s">
        <v>9918</v>
      </c>
      <c r="AD738" s="257" t="s">
        <v>9919</v>
      </c>
      <c r="AE738" s="257" t="s">
        <v>9920</v>
      </c>
      <c r="AF738" s="257" t="s">
        <v>9921</v>
      </c>
    </row>
    <row r="739" spans="1:32" s="174" customFormat="1" x14ac:dyDescent="0.25">
      <c r="A739" s="509"/>
      <c r="B739" s="520"/>
      <c r="C739" s="423" t="s">
        <v>9922</v>
      </c>
      <c r="D739" s="1005"/>
      <c r="E739" s="9"/>
      <c r="F739" s="639"/>
      <c r="G739" s="639"/>
      <c r="H739" s="639"/>
      <c r="I739" s="639"/>
      <c r="J739" s="499" t="str">
        <f>IF(AND(Noty!F739=0,Noty!G739=0,Noty!H739=0,Noty!I739=0),"ukryj","odkryj")</f>
        <v>ukryj</v>
      </c>
      <c r="K739" s="200"/>
      <c r="L739" s="200"/>
      <c r="M739" s="200"/>
      <c r="N739" s="371"/>
      <c r="AC739" s="257" t="s">
        <v>9923</v>
      </c>
      <c r="AD739" s="257" t="s">
        <v>9924</v>
      </c>
      <c r="AE739" s="257" t="s">
        <v>9925</v>
      </c>
      <c r="AF739" s="257" t="s">
        <v>9926</v>
      </c>
    </row>
    <row r="740" spans="1:32" s="174" customFormat="1" x14ac:dyDescent="0.25">
      <c r="A740" s="509"/>
      <c r="B740" s="520"/>
      <c r="C740" s="423" t="s">
        <v>9927</v>
      </c>
      <c r="D740" s="1005"/>
      <c r="E740" s="9"/>
      <c r="F740" s="639"/>
      <c r="G740" s="639"/>
      <c r="H740" s="639"/>
      <c r="I740" s="639"/>
      <c r="J740" s="499" t="str">
        <f>IF(AND(Noty!F740=0,Noty!G740=0,Noty!H740=0,Noty!I740=0),"ukryj","odkryj")</f>
        <v>ukryj</v>
      </c>
      <c r="K740" s="200"/>
      <c r="L740" s="200"/>
      <c r="M740" s="200"/>
      <c r="N740" s="371"/>
      <c r="AC740" s="257" t="s">
        <v>9928</v>
      </c>
      <c r="AD740" s="257" t="s">
        <v>9929</v>
      </c>
      <c r="AE740" s="257" t="s">
        <v>9930</v>
      </c>
      <c r="AF740" s="257" t="s">
        <v>9931</v>
      </c>
    </row>
    <row r="741" spans="1:32" s="174" customFormat="1" x14ac:dyDescent="0.25">
      <c r="A741" s="509"/>
      <c r="B741" s="520"/>
      <c r="C741" s="423" t="s">
        <v>9879</v>
      </c>
      <c r="D741" s="1005"/>
      <c r="E741" s="9"/>
      <c r="F741" s="639"/>
      <c r="G741" s="639"/>
      <c r="H741" s="639"/>
      <c r="I741" s="639"/>
      <c r="J741" s="499" t="str">
        <f>IF(AND(Noty!F741=0,Noty!G741=0,Noty!H741=0,Noty!I741=0),"ukryj","odkryj")</f>
        <v>ukryj</v>
      </c>
      <c r="K741" s="200"/>
      <c r="L741" s="200"/>
      <c r="M741" s="200"/>
      <c r="N741" s="371"/>
      <c r="AC741" s="257" t="s">
        <v>9932</v>
      </c>
      <c r="AD741" s="257" t="s">
        <v>9933</v>
      </c>
      <c r="AE741" s="257" t="s">
        <v>9934</v>
      </c>
      <c r="AF741" s="257" t="s">
        <v>9935</v>
      </c>
    </row>
    <row r="742" spans="1:32" s="174" customFormat="1" x14ac:dyDescent="0.25">
      <c r="A742" s="509"/>
      <c r="B742" s="520"/>
      <c r="C742" s="388" t="s">
        <v>9280</v>
      </c>
      <c r="D742" s="1005"/>
      <c r="E742" s="9"/>
      <c r="F742" s="803">
        <f>SUM(F738:F741)</f>
        <v>0</v>
      </c>
      <c r="G742" s="803">
        <f>SUM(G738:G741)</f>
        <v>0</v>
      </c>
      <c r="H742" s="803">
        <f>SUM(H738:H741)</f>
        <v>0</v>
      </c>
      <c r="I742" s="803">
        <f>SUM(I738:I741)</f>
        <v>0</v>
      </c>
      <c r="J742" s="499" t="str">
        <f>IF(AND(Noty!F742=0,Noty!G742=0,Noty!H742=0,Noty!I742=0),"ukryj","odkryj")</f>
        <v>ukryj</v>
      </c>
      <c r="K742" s="200"/>
      <c r="L742" s="200"/>
      <c r="M742" s="200"/>
      <c r="N742" s="371"/>
    </row>
    <row r="743" spans="1:32" s="174" customFormat="1" x14ac:dyDescent="0.25">
      <c r="A743" s="509"/>
      <c r="B743" s="520"/>
      <c r="C743" s="1470" t="s">
        <v>9936</v>
      </c>
      <c r="D743" s="1470"/>
      <c r="E743" s="1470"/>
      <c r="F743" s="680"/>
      <c r="G743" s="680"/>
      <c r="H743" s="681" t="s">
        <v>9937</v>
      </c>
      <c r="I743" s="681" t="s">
        <v>9937</v>
      </c>
      <c r="J743" s="499" t="str">
        <f>Noty!J742</f>
        <v>ukryj</v>
      </c>
      <c r="K743" s="200"/>
      <c r="L743" s="200"/>
      <c r="M743" s="200"/>
      <c r="N743" s="371"/>
    </row>
    <row r="744" spans="1:32" s="174" customFormat="1" ht="55.5" customHeight="1" x14ac:dyDescent="0.25">
      <c r="A744" s="509"/>
      <c r="B744" s="520"/>
      <c r="C744" s="992" t="s">
        <v>9938</v>
      </c>
      <c r="D744" s="1006"/>
      <c r="E744" s="1006"/>
      <c r="F744" s="803">
        <f>F742+F743</f>
        <v>0</v>
      </c>
      <c r="G744" s="803">
        <f>G742+G743</f>
        <v>0</v>
      </c>
      <c r="H744" s="803">
        <f>H742</f>
        <v>0</v>
      </c>
      <c r="I744" s="803">
        <f>I742</f>
        <v>0</v>
      </c>
      <c r="J744" s="499" t="str">
        <f>IF(AND(Noty!F744=0,Noty!G744=0,Noty!H744=0,Noty!I744=0),"ukryj","odkryj")</f>
        <v>ukryj</v>
      </c>
      <c r="K744" s="200"/>
      <c r="L744" s="200"/>
      <c r="M744" s="200"/>
      <c r="N744" s="371"/>
    </row>
    <row r="745" spans="1:32" s="174" customFormat="1" x14ac:dyDescent="0.25">
      <c r="A745" s="509"/>
      <c r="B745" s="520"/>
      <c r="C745" s="423" t="s">
        <v>9939</v>
      </c>
      <c r="D745" s="1005"/>
      <c r="E745" s="9"/>
      <c r="F745" s="1007"/>
      <c r="G745" s="1007"/>
      <c r="H745" s="802"/>
      <c r="I745" s="802"/>
      <c r="J745" s="499" t="str">
        <f>IF(AND(Noty!H745=0,Noty!I745=0),"ukryj","odkryj")</f>
        <v>ukryj</v>
      </c>
      <c r="K745" s="200"/>
      <c r="L745" s="200"/>
      <c r="M745" s="200"/>
      <c r="N745" s="371"/>
      <c r="AE745" s="174" t="s">
        <v>9940</v>
      </c>
      <c r="AF745" s="174" t="s">
        <v>9941</v>
      </c>
    </row>
    <row r="746" spans="1:32" s="174" customFormat="1" x14ac:dyDescent="0.25">
      <c r="A746" s="509"/>
      <c r="B746" s="520"/>
      <c r="C746" s="422" t="s">
        <v>9942</v>
      </c>
      <c r="D746" s="1005"/>
      <c r="E746" s="9"/>
      <c r="F746" s="1007"/>
      <c r="G746" s="1007"/>
      <c r="H746" s="803">
        <f>H744-H745</f>
        <v>0</v>
      </c>
      <c r="I746" s="803">
        <f>I744-I745</f>
        <v>0</v>
      </c>
      <c r="J746" s="499" t="str">
        <f>IF(AND(Noty!H746=0,Noty!I746=0),"ukryj","odkryj")</f>
        <v>ukryj</v>
      </c>
      <c r="K746" s="200"/>
      <c r="L746" s="200"/>
      <c r="M746" s="200"/>
      <c r="N746" s="371"/>
    </row>
    <row r="747" spans="1:32" s="174" customFormat="1" ht="13.75" thickBot="1" x14ac:dyDescent="0.3">
      <c r="A747" s="509"/>
      <c r="B747" s="520"/>
      <c r="C747" s="416"/>
      <c r="D747" s="416"/>
      <c r="E747" s="196"/>
      <c r="F747" s="196"/>
      <c r="G747" s="196"/>
      <c r="H747" s="196"/>
      <c r="I747" s="196"/>
      <c r="J747" s="499" t="str">
        <f>Noty!J746</f>
        <v>ukryj</v>
      </c>
      <c r="K747" s="200"/>
      <c r="L747" s="200"/>
      <c r="M747" s="200"/>
      <c r="N747" s="371"/>
    </row>
    <row r="748" spans="1:32" s="174" customFormat="1" ht="15.75" thickBot="1" x14ac:dyDescent="0.35">
      <c r="A748" s="1180">
        <f>IF(K748="n/a",A734,A734+ 1)</f>
        <v>1</v>
      </c>
      <c r="B748" s="1182"/>
      <c r="C748" s="1387" t="s">
        <v>9943</v>
      </c>
      <c r="D748" s="1387"/>
      <c r="E748" s="1387"/>
      <c r="F748" s="1387"/>
      <c r="G748" s="1387"/>
      <c r="H748" s="1387"/>
      <c r="I748" s="1387"/>
      <c r="J748" s="499" t="str">
        <f>IF(Noty!K748="n/a","ukryj","odkryj")</f>
        <v>ukryj</v>
      </c>
      <c r="K748" s="1213" t="str">
        <f>IF(Input!D135="nie","n/a","")</f>
        <v>n/a</v>
      </c>
      <c r="L748" s="971" t="str">
        <f>A748&amp;"."&amp;B748</f>
        <v>1.</v>
      </c>
      <c r="M748" s="498"/>
      <c r="N748" s="1101" t="s">
        <v>9378</v>
      </c>
      <c r="O748" s="489" t="str">
        <f>A748&amp;"."&amp;B748</f>
        <v>1.</v>
      </c>
    </row>
    <row r="749" spans="1:32" s="174" customFormat="1" x14ac:dyDescent="0.25">
      <c r="A749" s="508"/>
      <c r="B749" s="520"/>
      <c r="C749" s="424"/>
      <c r="D749" s="195"/>
      <c r="E749" s="682"/>
      <c r="F749" s="682"/>
      <c r="G749" s="682"/>
      <c r="H749" s="683"/>
      <c r="I749" s="683"/>
      <c r="J749" s="499" t="str">
        <f>Noty!J748</f>
        <v>ukryj</v>
      </c>
      <c r="L749" s="971"/>
      <c r="M749" s="498"/>
      <c r="N749" s="488"/>
      <c r="O749" s="489"/>
    </row>
    <row r="750" spans="1:32" s="174" customFormat="1" x14ac:dyDescent="0.25">
      <c r="A750" s="508"/>
      <c r="B750" s="520"/>
      <c r="C750" s="423" t="s">
        <v>9944</v>
      </c>
      <c r="D750" s="195"/>
      <c r="E750" s="682"/>
      <c r="F750" s="682"/>
      <c r="G750" s="682"/>
      <c r="H750" s="612"/>
      <c r="I750" s="612"/>
      <c r="J750" s="499" t="str">
        <f>Noty!J757</f>
        <v>ukryj</v>
      </c>
      <c r="L750" s="971"/>
      <c r="M750" s="498"/>
      <c r="N750" s="488"/>
      <c r="O750" s="489"/>
    </row>
    <row r="751" spans="1:32" s="174" customFormat="1" x14ac:dyDescent="0.25">
      <c r="A751" s="508"/>
      <c r="B751" s="520"/>
      <c r="C751" s="423"/>
      <c r="D751" s="195"/>
      <c r="E751" s="682"/>
      <c r="F751" s="682"/>
      <c r="G751" s="682"/>
      <c r="H751" s="612"/>
      <c r="I751" s="612"/>
      <c r="J751" s="499" t="str">
        <f>Noty!J750</f>
        <v>ukryj</v>
      </c>
      <c r="L751" s="971"/>
      <c r="M751" s="498"/>
      <c r="N751" s="488"/>
      <c r="O751" s="489"/>
    </row>
    <row r="752" spans="1:32" s="174" customFormat="1" x14ac:dyDescent="0.25">
      <c r="A752" s="508"/>
      <c r="B752" s="520"/>
      <c r="C752" s="423"/>
      <c r="D752" s="195"/>
      <c r="E752" s="682"/>
      <c r="F752" s="682"/>
      <c r="G752" s="685"/>
      <c r="H752" s="999" t="str">
        <f>+Input!$P$7</f>
        <v>31.12.2020</v>
      </c>
      <c r="I752" s="999" t="str">
        <f>+Input!$P$11</f>
        <v>31.12.2019</v>
      </c>
      <c r="J752" s="499" t="str">
        <f>Noty!J751</f>
        <v>ukryj</v>
      </c>
      <c r="L752" s="971"/>
      <c r="M752" s="498"/>
      <c r="N752" s="488"/>
      <c r="O752" s="489"/>
    </row>
    <row r="753" spans="1:32" s="174" customFormat="1" x14ac:dyDescent="0.25">
      <c r="A753" s="508"/>
      <c r="B753" s="520"/>
      <c r="C753" s="423"/>
      <c r="D753" s="195"/>
      <c r="E753" s="682"/>
      <c r="F753" s="682"/>
      <c r="G753" s="682"/>
      <c r="H753" s="683"/>
      <c r="I753" s="683"/>
      <c r="J753" s="499" t="str">
        <f>Noty!J752</f>
        <v>ukryj</v>
      </c>
      <c r="L753" s="971"/>
      <c r="M753" s="498"/>
      <c r="N753" s="488"/>
      <c r="O753" s="489"/>
    </row>
    <row r="754" spans="1:32" s="174" customFormat="1" x14ac:dyDescent="0.25">
      <c r="A754" s="508"/>
      <c r="B754" s="520"/>
      <c r="C754" s="976" t="s">
        <v>9945</v>
      </c>
      <c r="D754" s="684"/>
      <c r="E754" s="685"/>
      <c r="F754" s="685"/>
      <c r="G754" s="685"/>
      <c r="H754" s="686"/>
      <c r="I754" s="686"/>
      <c r="J754" s="499" t="str">
        <f>Noty!J757</f>
        <v>ukryj</v>
      </c>
      <c r="L754" s="971"/>
      <c r="M754" s="498"/>
      <c r="N754" s="488"/>
      <c r="O754" s="489"/>
    </row>
    <row r="755" spans="1:32" s="174" customFormat="1" x14ac:dyDescent="0.25">
      <c r="A755" s="508"/>
      <c r="B755" s="520"/>
      <c r="C755" s="976" t="s">
        <v>9946</v>
      </c>
      <c r="D755" s="684"/>
      <c r="E755" s="685"/>
      <c r="F755" s="685"/>
      <c r="G755" s="685"/>
      <c r="H755" s="639"/>
      <c r="I755" s="639"/>
      <c r="J755" s="499" t="str">
        <f>IF(AND(Noty!H755=0,Noty!I755=0),"ukryj","odkryj")</f>
        <v>ukryj</v>
      </c>
      <c r="L755" s="971"/>
      <c r="M755" s="498"/>
      <c r="N755" s="488"/>
      <c r="O755" s="489"/>
      <c r="AE755" s="174" t="s">
        <v>9947</v>
      </c>
      <c r="AF755" s="174" t="s">
        <v>9948</v>
      </c>
    </row>
    <row r="756" spans="1:32" s="174" customFormat="1" x14ac:dyDescent="0.25">
      <c r="A756" s="508"/>
      <c r="B756" s="520"/>
      <c r="C756" s="976" t="s">
        <v>9949</v>
      </c>
      <c r="D756" s="684"/>
      <c r="E756" s="685"/>
      <c r="F756" s="685"/>
      <c r="G756" s="685"/>
      <c r="H756" s="639"/>
      <c r="I756" s="639"/>
      <c r="J756" s="499" t="str">
        <f>IF(AND(Noty!H756=0,Noty!I756=0),"ukryj","odkryj")</f>
        <v>ukryj</v>
      </c>
      <c r="L756" s="971"/>
      <c r="M756" s="498"/>
      <c r="N756" s="488"/>
      <c r="O756" s="489"/>
      <c r="AE756" s="174" t="s">
        <v>9950</v>
      </c>
      <c r="AF756" s="174" t="s">
        <v>9951</v>
      </c>
    </row>
    <row r="757" spans="1:32" s="174" customFormat="1" x14ac:dyDescent="0.25">
      <c r="A757" s="508"/>
      <c r="B757" s="520"/>
      <c r="C757" s="423"/>
      <c r="D757" s="195"/>
      <c r="E757" s="682"/>
      <c r="F757" s="682"/>
      <c r="G757" s="685"/>
      <c r="H757" s="803">
        <f>SUM(H755:H756)</f>
        <v>0</v>
      </c>
      <c r="I757" s="803">
        <f>SUM(I755:I756)</f>
        <v>0</v>
      </c>
      <c r="J757" s="499" t="str">
        <f>IF(AND(Noty!H757=0,Noty!I757=0),"ukryj","odkryj")</f>
        <v>ukryj</v>
      </c>
      <c r="L757" s="971"/>
      <c r="M757" s="498"/>
      <c r="N757" s="488"/>
      <c r="O757" s="489"/>
    </row>
    <row r="758" spans="1:32" s="174" customFormat="1" x14ac:dyDescent="0.25">
      <c r="A758" s="508"/>
      <c r="B758" s="520"/>
      <c r="C758" s="423"/>
      <c r="D758" s="195"/>
      <c r="E758" s="682"/>
      <c r="F758" s="682"/>
      <c r="G758" s="682"/>
      <c r="H758" s="191"/>
      <c r="I758" s="191"/>
      <c r="J758" s="499" t="str">
        <f>Noty!J757</f>
        <v>ukryj</v>
      </c>
      <c r="L758" s="971"/>
      <c r="M758" s="498"/>
      <c r="N758" s="488"/>
      <c r="O758" s="489"/>
    </row>
    <row r="759" spans="1:32" s="174" customFormat="1" x14ac:dyDescent="0.25">
      <c r="A759" s="508"/>
      <c r="B759" s="520"/>
      <c r="C759" s="423" t="s">
        <v>9952</v>
      </c>
      <c r="D759" s="195"/>
      <c r="E759" s="682"/>
      <c r="F759" s="682"/>
      <c r="G759" s="682"/>
      <c r="H759" s="683"/>
      <c r="I759" s="683"/>
      <c r="J759" s="499" t="str">
        <f>Noty!J766</f>
        <v>ukryj</v>
      </c>
      <c r="L759" s="971"/>
      <c r="M759" s="498"/>
      <c r="N759" s="488"/>
      <c r="O759" s="489"/>
    </row>
    <row r="760" spans="1:32" s="174" customFormat="1" x14ac:dyDescent="0.25">
      <c r="A760" s="508"/>
      <c r="B760" s="520"/>
      <c r="C760" s="423"/>
      <c r="D760" s="195"/>
      <c r="E760" s="682"/>
      <c r="F760" s="682"/>
      <c r="G760" s="682"/>
      <c r="H760" s="683"/>
      <c r="I760" s="683"/>
      <c r="J760" s="499" t="str">
        <f>Noty!J759</f>
        <v>ukryj</v>
      </c>
      <c r="L760" s="971"/>
      <c r="M760" s="498"/>
      <c r="N760" s="488"/>
      <c r="O760" s="489"/>
    </row>
    <row r="761" spans="1:32" s="174" customFormat="1" x14ac:dyDescent="0.25">
      <c r="A761" s="508"/>
      <c r="B761" s="520"/>
      <c r="C761" s="423"/>
      <c r="D761" s="195"/>
      <c r="E761" s="682"/>
      <c r="F761" s="682"/>
      <c r="G761" s="685"/>
      <c r="H761" s="999" t="str">
        <f>+Input!$P$7</f>
        <v>31.12.2020</v>
      </c>
      <c r="I761" s="999" t="str">
        <f>+Input!$P$11</f>
        <v>31.12.2019</v>
      </c>
      <c r="J761" s="499" t="str">
        <f>Noty!J760</f>
        <v>ukryj</v>
      </c>
      <c r="L761" s="971"/>
      <c r="M761" s="498"/>
      <c r="N761" s="488"/>
      <c r="O761" s="489"/>
    </row>
    <row r="762" spans="1:32" s="174" customFormat="1" x14ac:dyDescent="0.25">
      <c r="A762" s="508"/>
      <c r="B762" s="520"/>
      <c r="C762" s="423"/>
      <c r="D762" s="195"/>
      <c r="E762" s="682"/>
      <c r="F762" s="682"/>
      <c r="G762" s="682"/>
      <c r="H762" s="966"/>
      <c r="I762" s="966"/>
      <c r="J762" s="499" t="str">
        <f>Noty!J761</f>
        <v>ukryj</v>
      </c>
      <c r="L762" s="971"/>
      <c r="M762" s="498"/>
      <c r="N762" s="488"/>
      <c r="O762" s="489"/>
    </row>
    <row r="763" spans="1:32" s="174" customFormat="1" x14ac:dyDescent="0.25">
      <c r="A763" s="508"/>
      <c r="B763" s="520"/>
      <c r="C763" s="977" t="s">
        <v>9953</v>
      </c>
      <c r="D763" s="684"/>
      <c r="E763" s="685"/>
      <c r="F763" s="685"/>
      <c r="G763" s="685"/>
      <c r="H763" s="687"/>
      <c r="I763" s="687"/>
      <c r="J763" s="499" t="str">
        <f>Noty!J766</f>
        <v>ukryj</v>
      </c>
      <c r="L763" s="971"/>
      <c r="M763" s="498"/>
      <c r="N763" s="488"/>
      <c r="O763" s="489"/>
    </row>
    <row r="764" spans="1:32" s="174" customFormat="1" x14ac:dyDescent="0.25">
      <c r="A764" s="508"/>
      <c r="B764" s="520"/>
      <c r="C764" s="977" t="s">
        <v>9946</v>
      </c>
      <c r="D764" s="684"/>
      <c r="E764" s="685"/>
      <c r="F764" s="685"/>
      <c r="G764" s="685"/>
      <c r="H764" s="639"/>
      <c r="I764" s="639"/>
      <c r="J764" s="499" t="str">
        <f>IF(AND(Noty!H764=0,Noty!I764=0),"ukryj","odkryj")</f>
        <v>ukryj</v>
      </c>
      <c r="L764" s="971"/>
      <c r="M764" s="498"/>
      <c r="N764" s="488"/>
      <c r="O764" s="489"/>
      <c r="AE764" s="174" t="s">
        <v>9954</v>
      </c>
      <c r="AF764" s="174" t="s">
        <v>9955</v>
      </c>
    </row>
    <row r="765" spans="1:32" s="174" customFormat="1" x14ac:dyDescent="0.25">
      <c r="A765" s="508"/>
      <c r="B765" s="520"/>
      <c r="C765" s="977" t="s">
        <v>9949</v>
      </c>
      <c r="D765" s="684"/>
      <c r="E765" s="685"/>
      <c r="F765" s="685"/>
      <c r="G765" s="685"/>
      <c r="H765" s="639"/>
      <c r="I765" s="639"/>
      <c r="J765" s="499" t="str">
        <f>IF(AND(Noty!H765=0,Noty!I765=0),"ukryj","odkryj")</f>
        <v>ukryj</v>
      </c>
      <c r="L765" s="971"/>
      <c r="M765" s="498"/>
      <c r="N765" s="488"/>
      <c r="O765" s="489"/>
      <c r="AE765" s="174" t="s">
        <v>9956</v>
      </c>
      <c r="AF765" s="174" t="s">
        <v>9957</v>
      </c>
    </row>
    <row r="766" spans="1:32" s="174" customFormat="1" x14ac:dyDescent="0.25">
      <c r="A766" s="508"/>
      <c r="B766" s="520"/>
      <c r="C766" s="424"/>
      <c r="D766" s="195"/>
      <c r="E766" s="682"/>
      <c r="F766" s="682"/>
      <c r="G766" s="685"/>
      <c r="H766" s="803">
        <f>SUM(H764:H765)</f>
        <v>0</v>
      </c>
      <c r="I766" s="803">
        <f>SUM(I764:I765)</f>
        <v>0</v>
      </c>
      <c r="J766" s="499" t="str">
        <f>IF(AND(Noty!H766=0,Noty!I766=0),"ukryj","odkryj")</f>
        <v>ukryj</v>
      </c>
      <c r="L766" s="971"/>
      <c r="M766" s="498"/>
      <c r="N766" s="488"/>
      <c r="O766" s="489"/>
    </row>
    <row r="767" spans="1:32" s="174" customFormat="1" ht="13.75" thickBot="1" x14ac:dyDescent="0.3">
      <c r="A767" s="508"/>
      <c r="B767" s="520"/>
      <c r="C767" s="424"/>
      <c r="D767" s="195"/>
      <c r="E767" s="196"/>
      <c r="F767" s="196"/>
      <c r="G767" s="196"/>
      <c r="H767" s="196"/>
      <c r="I767" s="196"/>
      <c r="J767" s="499" t="str">
        <f>Noty!J766</f>
        <v>ukryj</v>
      </c>
      <c r="K767" s="394"/>
      <c r="M767" s="394"/>
      <c r="N767" s="371"/>
    </row>
    <row r="768" spans="1:32" s="174" customFormat="1" ht="15.75" thickBot="1" x14ac:dyDescent="0.35">
      <c r="A768" s="1180">
        <f>IF(K768="n/a",A748,A748+ 1)</f>
        <v>1</v>
      </c>
      <c r="B768" s="1182"/>
      <c r="C768" s="1388" t="s">
        <v>9958</v>
      </c>
      <c r="D768" s="1388"/>
      <c r="E768" s="1388"/>
      <c r="F768" s="1388"/>
      <c r="G768" s="1388"/>
      <c r="H768" s="1388"/>
      <c r="I768" s="1388"/>
      <c r="J768" s="499" t="str">
        <f>IF(Noty!K768="n/a","ukryj","odkryj")</f>
        <v>ukryj</v>
      </c>
      <c r="K768" s="1213" t="str">
        <f>IF(AND(K770="n/a",K780="n/a"),"n/a","")</f>
        <v>n/a</v>
      </c>
      <c r="L768" s="492" t="str">
        <f>A768&amp;"."&amp;B768</f>
        <v>1.</v>
      </c>
      <c r="M768" s="476"/>
      <c r="N768" s="1101" t="s">
        <v>9378</v>
      </c>
      <c r="O768" s="489" t="str">
        <f>A768&amp;"."&amp;B768</f>
        <v>1.</v>
      </c>
    </row>
    <row r="769" spans="1:32" s="174" customFormat="1" ht="13.75" thickBot="1" x14ac:dyDescent="0.3">
      <c r="A769" s="508"/>
      <c r="B769" s="520"/>
      <c r="C769" s="195"/>
      <c r="D769" s="195"/>
      <c r="E769" s="196"/>
      <c r="F769" s="196"/>
      <c r="G769" s="196"/>
      <c r="H769" s="196"/>
      <c r="I769" s="196"/>
      <c r="J769" s="499" t="str">
        <f>Noty!J768</f>
        <v>ukryj</v>
      </c>
      <c r="K769" s="200"/>
      <c r="L769" s="200"/>
      <c r="M769" s="200"/>
      <c r="N769" s="371"/>
    </row>
    <row r="770" spans="1:32" s="174" customFormat="1" ht="15.75" thickBot="1" x14ac:dyDescent="0.35">
      <c r="A770" s="1183">
        <f>A768</f>
        <v>1</v>
      </c>
      <c r="B770" s="1184">
        <f>IF(K770="n/a",0,1)</f>
        <v>0</v>
      </c>
      <c r="C770" s="1389" t="s">
        <v>9959</v>
      </c>
      <c r="D770" s="1389"/>
      <c r="E770" s="1389"/>
      <c r="F770" s="1389"/>
      <c r="G770" s="1389"/>
      <c r="H770" s="1389"/>
      <c r="I770" s="1389"/>
      <c r="J770" s="499" t="str">
        <f>IF(Noty!K770="n/a","ukryj","odkryj")</f>
        <v>ukryj</v>
      </c>
      <c r="K770" s="1213" t="str">
        <f>IF(Input!D137="nie","n/a","")</f>
        <v>n/a</v>
      </c>
      <c r="L770" s="492" t="str">
        <f>A770&amp;"."&amp;B770</f>
        <v>1.0</v>
      </c>
      <c r="M770" s="200"/>
      <c r="N770" s="1101" t="s">
        <v>9378</v>
      </c>
      <c r="O770" s="489" t="str">
        <f>A770&amp;"."&amp;B770</f>
        <v>1.0</v>
      </c>
    </row>
    <row r="771" spans="1:32" s="174" customFormat="1" x14ac:dyDescent="0.25">
      <c r="A771" s="508"/>
      <c r="B771" s="520"/>
      <c r="C771" s="1386"/>
      <c r="D771" s="1386"/>
      <c r="E771" s="1386"/>
      <c r="F771" s="200"/>
      <c r="G771" s="9"/>
      <c r="H771" s="999" t="str">
        <f>+Input!$P$7</f>
        <v>31.12.2020</v>
      </c>
      <c r="I771" s="1000" t="str">
        <f>+Input!$P$11</f>
        <v>31.12.2019</v>
      </c>
      <c r="J771" s="499" t="str">
        <f>Noty!J770</f>
        <v>ukryj</v>
      </c>
      <c r="K771" s="200"/>
      <c r="L771" s="200"/>
      <c r="M771" s="200"/>
      <c r="N771" s="371"/>
    </row>
    <row r="772" spans="1:32" s="174" customFormat="1" x14ac:dyDescent="0.25">
      <c r="A772" s="508"/>
      <c r="B772" s="520"/>
      <c r="C772" s="1386"/>
      <c r="D772" s="1386"/>
      <c r="E772" s="1386"/>
      <c r="F772" s="200"/>
      <c r="G772" s="200"/>
      <c r="H772" s="200"/>
      <c r="I772" s="200"/>
      <c r="J772" s="499" t="str">
        <f>Noty!J771</f>
        <v>ukryj</v>
      </c>
      <c r="K772" s="200"/>
      <c r="L772" s="200"/>
      <c r="M772" s="200"/>
      <c r="N772" s="371"/>
    </row>
    <row r="773" spans="1:32" s="174" customFormat="1" x14ac:dyDescent="0.25">
      <c r="A773" s="508"/>
      <c r="B773" s="520"/>
      <c r="C773" s="1392"/>
      <c r="D773" s="1392"/>
      <c r="E773" s="1392"/>
      <c r="F773" s="1392"/>
      <c r="G773" s="1008"/>
      <c r="H773" s="639"/>
      <c r="I773" s="639"/>
      <c r="J773" s="499" t="str">
        <f>IF(AND(Noty!H773=0,Noty!I773=0),"ukryj","odkryj")</f>
        <v>ukryj</v>
      </c>
      <c r="K773" s="200"/>
      <c r="L773" s="200"/>
      <c r="M773" s="200"/>
      <c r="N773" s="371"/>
      <c r="AE773" s="257" t="s">
        <v>9960</v>
      </c>
      <c r="AF773" s="257" t="s">
        <v>9961</v>
      </c>
    </row>
    <row r="774" spans="1:32" s="174" customFormat="1" x14ac:dyDescent="0.25">
      <c r="A774" s="508"/>
      <c r="B774" s="520"/>
      <c r="C774" s="1392"/>
      <c r="D774" s="1392"/>
      <c r="E774" s="1392"/>
      <c r="F774" s="1392"/>
      <c r="G774" s="1008"/>
      <c r="H774" s="802"/>
      <c r="I774" s="802"/>
      <c r="J774" s="499" t="str">
        <f>IF(AND(Noty!H774=0,Noty!I774=0),"ukryj","odkryj")</f>
        <v>ukryj</v>
      </c>
      <c r="K774" s="200"/>
      <c r="L774" s="200"/>
      <c r="M774" s="200"/>
      <c r="N774" s="371"/>
      <c r="AE774" s="257" t="s">
        <v>9962</v>
      </c>
      <c r="AF774" s="257" t="s">
        <v>9963</v>
      </c>
    </row>
    <row r="775" spans="1:32" s="174" customFormat="1" x14ac:dyDescent="0.25">
      <c r="A775" s="508"/>
      <c r="B775" s="520"/>
      <c r="C775" s="1392"/>
      <c r="D775" s="1392"/>
      <c r="E775" s="1392"/>
      <c r="F775" s="1392"/>
      <c r="G775" s="1008"/>
      <c r="H775" s="802"/>
      <c r="I775" s="802"/>
      <c r="J775" s="499" t="str">
        <f>IF(AND(Noty!H775=0,Noty!I775=0),"ukryj","odkryj")</f>
        <v>ukryj</v>
      </c>
      <c r="K775" s="200"/>
      <c r="L775" s="200"/>
      <c r="M775" s="200"/>
      <c r="N775" s="371"/>
      <c r="AE775" s="257" t="s">
        <v>9964</v>
      </c>
      <c r="AF775" s="257" t="s">
        <v>9965</v>
      </c>
    </row>
    <row r="776" spans="1:32" s="174" customFormat="1" x14ac:dyDescent="0.25">
      <c r="A776" s="508"/>
      <c r="B776" s="520"/>
      <c r="C776" s="1392"/>
      <c r="D776" s="1392"/>
      <c r="E776" s="1392"/>
      <c r="F776" s="1392"/>
      <c r="G776" s="1008"/>
      <c r="H776" s="802"/>
      <c r="I776" s="802"/>
      <c r="J776" s="499" t="str">
        <f>IF(AND(Noty!H776=0,Noty!I776=0),"ukryj","odkryj")</f>
        <v>ukryj</v>
      </c>
      <c r="K776" s="200"/>
      <c r="L776" s="200"/>
      <c r="M776" s="200"/>
      <c r="N776" s="371"/>
      <c r="AE776" s="257" t="s">
        <v>9966</v>
      </c>
      <c r="AF776" s="257" t="s">
        <v>9967</v>
      </c>
    </row>
    <row r="777" spans="1:32" s="174" customFormat="1" x14ac:dyDescent="0.25">
      <c r="A777" s="508"/>
      <c r="B777" s="520"/>
      <c r="C777" s="1392"/>
      <c r="D777" s="1392"/>
      <c r="E777" s="1392"/>
      <c r="F777" s="1392"/>
      <c r="G777" s="1008"/>
      <c r="H777" s="802"/>
      <c r="I777" s="802"/>
      <c r="J777" s="499" t="str">
        <f>IF(AND(Noty!H777=0,Noty!I777=0),"ukryj","odkryj")</f>
        <v>ukryj</v>
      </c>
      <c r="K777" s="200"/>
      <c r="L777" s="200"/>
      <c r="M777" s="200"/>
      <c r="N777" s="371"/>
      <c r="AE777" s="257" t="s">
        <v>9968</v>
      </c>
      <c r="AF777" s="257" t="s">
        <v>9969</v>
      </c>
    </row>
    <row r="778" spans="1:32" s="174" customFormat="1" x14ac:dyDescent="0.25">
      <c r="A778" s="508"/>
      <c r="B778" s="520"/>
      <c r="C778" s="425"/>
      <c r="D778" s="688"/>
      <c r="E778" s="688"/>
      <c r="F778" s="688"/>
      <c r="G778" s="251"/>
      <c r="H778" s="803">
        <f>SUM(H773:H777)</f>
        <v>0</v>
      </c>
      <c r="I778" s="803">
        <f>SUM(I773:I777)</f>
        <v>0</v>
      </c>
      <c r="J778" s="499" t="str">
        <f>IF(AND(Noty!H778=0,Noty!I778=0),"ukryj","odkryj")</f>
        <v>ukryj</v>
      </c>
      <c r="K778" s="200"/>
      <c r="L778" s="200"/>
      <c r="M778" s="200"/>
      <c r="N778" s="371"/>
    </row>
    <row r="779" spans="1:32" s="174" customFormat="1" ht="13.75" thickBot="1" x14ac:dyDescent="0.3">
      <c r="A779" s="508"/>
      <c r="B779" s="520"/>
      <c r="C779" s="425"/>
      <c r="D779" s="688"/>
      <c r="E779" s="688"/>
      <c r="F779" s="688"/>
      <c r="G779" s="196"/>
      <c r="H779" s="191"/>
      <c r="I779" s="191"/>
      <c r="J779" s="499" t="str">
        <f>Noty!J778</f>
        <v>ukryj</v>
      </c>
      <c r="K779" s="200"/>
      <c r="L779" s="496"/>
      <c r="M779" s="200"/>
      <c r="N779" s="371"/>
    </row>
    <row r="780" spans="1:32" s="174" customFormat="1" ht="15.75" customHeight="1" thickBot="1" x14ac:dyDescent="0.35">
      <c r="A780" s="1183">
        <f>A768</f>
        <v>1</v>
      </c>
      <c r="B780" s="1184">
        <f>IF(K780="n/a",B770,B770+1)</f>
        <v>0</v>
      </c>
      <c r="C780" s="1468" t="s">
        <v>9970</v>
      </c>
      <c r="D780" s="1468"/>
      <c r="E780" s="1468"/>
      <c r="F780" s="1468"/>
      <c r="G780" s="1468"/>
      <c r="H780" s="1468"/>
      <c r="I780" s="1468"/>
      <c r="J780" s="499" t="str">
        <f>IF(Noty!K780="n/a","ukryj","odkryj")</f>
        <v>ukryj</v>
      </c>
      <c r="K780" s="1213" t="str">
        <f>IF(Input!D138="nie","n/a","")</f>
        <v>n/a</v>
      </c>
      <c r="L780" s="492" t="str">
        <f>A780&amp;"."&amp;B780</f>
        <v>1.0</v>
      </c>
      <c r="M780" s="200"/>
      <c r="N780" s="1101" t="s">
        <v>9378</v>
      </c>
      <c r="O780" s="489" t="str">
        <f>A780&amp;"."&amp;B780</f>
        <v>1.0</v>
      </c>
    </row>
    <row r="781" spans="1:32" s="174" customFormat="1" x14ac:dyDescent="0.25">
      <c r="A781" s="508"/>
      <c r="B781" s="520"/>
      <c r="C781" s="1386"/>
      <c r="D781" s="1386"/>
      <c r="E781" s="1386"/>
      <c r="F781" s="200"/>
      <c r="G781" s="9"/>
      <c r="H781" s="999" t="str">
        <f>+Input!$P$7</f>
        <v>31.12.2020</v>
      </c>
      <c r="I781" s="1000" t="str">
        <f>+Input!$P$11</f>
        <v>31.12.2019</v>
      </c>
      <c r="J781" s="499" t="str">
        <f>Noty!J780</f>
        <v>ukryj</v>
      </c>
      <c r="K781" s="200"/>
      <c r="L781" s="200"/>
      <c r="M781" s="200"/>
      <c r="N781" s="371"/>
    </row>
    <row r="782" spans="1:32" s="174" customFormat="1" x14ac:dyDescent="0.25">
      <c r="A782" s="508"/>
      <c r="B782" s="520"/>
      <c r="C782" s="1386"/>
      <c r="D782" s="1386"/>
      <c r="E782" s="1386"/>
      <c r="F782" s="200"/>
      <c r="G782" s="200"/>
      <c r="H782" s="200"/>
      <c r="I782" s="200"/>
      <c r="J782" s="499" t="str">
        <f>Noty!J781</f>
        <v>ukryj</v>
      </c>
      <c r="K782" s="200"/>
      <c r="L782" s="200"/>
      <c r="M782" s="200"/>
      <c r="N782" s="371"/>
      <c r="AE782" s="257"/>
      <c r="AF782" s="257"/>
    </row>
    <row r="783" spans="1:32" s="174" customFormat="1" x14ac:dyDescent="0.25">
      <c r="A783" s="508"/>
      <c r="B783" s="520"/>
      <c r="C783" s="1392"/>
      <c r="D783" s="1392"/>
      <c r="E783" s="1392"/>
      <c r="F783" s="1392"/>
      <c r="G783" s="1008"/>
      <c r="H783" s="639"/>
      <c r="I783" s="639"/>
      <c r="J783" s="499" t="str">
        <f>IF(AND(Noty!H783=0,Noty!I783=0),"ukryj","odkryj")</f>
        <v>ukryj</v>
      </c>
      <c r="K783" s="200"/>
      <c r="L783" s="200"/>
      <c r="M783" s="200"/>
      <c r="N783" s="371"/>
      <c r="AE783" s="257" t="s">
        <v>9971</v>
      </c>
      <c r="AF783" s="257" t="s">
        <v>9972</v>
      </c>
    </row>
    <row r="784" spans="1:32" s="174" customFormat="1" x14ac:dyDescent="0.25">
      <c r="A784" s="508"/>
      <c r="B784" s="520"/>
      <c r="C784" s="1392"/>
      <c r="D784" s="1392"/>
      <c r="E784" s="1392"/>
      <c r="F784" s="1392"/>
      <c r="G784" s="1008"/>
      <c r="H784" s="802"/>
      <c r="I784" s="802"/>
      <c r="J784" s="499" t="str">
        <f>IF(AND(Noty!H784=0,Noty!I784=0),"ukryj","odkryj")</f>
        <v>ukryj</v>
      </c>
      <c r="K784" s="200"/>
      <c r="L784" s="200"/>
      <c r="M784" s="200"/>
      <c r="N784" s="371"/>
      <c r="AE784" s="257" t="s">
        <v>9973</v>
      </c>
      <c r="AF784" s="257" t="s">
        <v>9974</v>
      </c>
    </row>
    <row r="785" spans="1:32" s="174" customFormat="1" x14ac:dyDescent="0.25">
      <c r="A785" s="508"/>
      <c r="B785" s="520"/>
      <c r="C785" s="1392"/>
      <c r="D785" s="1392"/>
      <c r="E785" s="1392"/>
      <c r="F785" s="1392"/>
      <c r="G785" s="1008"/>
      <c r="H785" s="802"/>
      <c r="I785" s="802"/>
      <c r="J785" s="499" t="str">
        <f>IF(AND(Noty!H785=0,Noty!I785=0),"ukryj","odkryj")</f>
        <v>ukryj</v>
      </c>
      <c r="K785" s="200"/>
      <c r="L785" s="200"/>
      <c r="M785" s="200"/>
      <c r="N785" s="371"/>
      <c r="AE785" s="257" t="s">
        <v>9975</v>
      </c>
      <c r="AF785" s="257" t="s">
        <v>9976</v>
      </c>
    </row>
    <row r="786" spans="1:32" s="174" customFormat="1" x14ac:dyDescent="0.25">
      <c r="A786" s="508"/>
      <c r="B786" s="520"/>
      <c r="C786" s="1392"/>
      <c r="D786" s="1392"/>
      <c r="E786" s="1392"/>
      <c r="F786" s="1392"/>
      <c r="G786" s="1008"/>
      <c r="H786" s="802"/>
      <c r="I786" s="802"/>
      <c r="J786" s="499" t="str">
        <f>IF(AND(Noty!H786=0,Noty!I786=0),"ukryj","odkryj")</f>
        <v>ukryj</v>
      </c>
      <c r="K786" s="200"/>
      <c r="L786" s="200"/>
      <c r="M786" s="200"/>
      <c r="N786" s="371"/>
      <c r="AE786" s="257" t="s">
        <v>9977</v>
      </c>
      <c r="AF786" s="257" t="s">
        <v>9978</v>
      </c>
    </row>
    <row r="787" spans="1:32" s="174" customFormat="1" x14ac:dyDescent="0.25">
      <c r="A787" s="508"/>
      <c r="B787" s="520"/>
      <c r="C787" s="1392"/>
      <c r="D787" s="1392"/>
      <c r="E787" s="1392"/>
      <c r="F787" s="1392"/>
      <c r="G787" s="1008"/>
      <c r="H787" s="802"/>
      <c r="I787" s="802"/>
      <c r="J787" s="499" t="str">
        <f>IF(AND(Noty!H787=0,Noty!I787=0),"ukryj","odkryj")</f>
        <v>ukryj</v>
      </c>
      <c r="K787" s="200"/>
      <c r="L787" s="200"/>
      <c r="M787" s="200"/>
      <c r="N787" s="371"/>
      <c r="AE787" s="257" t="s">
        <v>9979</v>
      </c>
      <c r="AF787" s="257" t="s">
        <v>9980</v>
      </c>
    </row>
    <row r="788" spans="1:32" s="174" customFormat="1" x14ac:dyDescent="0.25">
      <c r="A788" s="508"/>
      <c r="B788" s="520"/>
      <c r="C788" s="538"/>
      <c r="D788" s="538"/>
      <c r="E788" s="200"/>
      <c r="F788" s="200"/>
      <c r="G788" s="9"/>
      <c r="H788" s="803">
        <f>SUM(H783:H787)</f>
        <v>0</v>
      </c>
      <c r="I788" s="803">
        <f>SUM(I783:I787)</f>
        <v>0</v>
      </c>
      <c r="J788" s="499" t="str">
        <f>IF(AND(Noty!H788=0,Noty!I788=0),"ukryj","odkryj")</f>
        <v>ukryj</v>
      </c>
      <c r="K788" s="200"/>
      <c r="L788" s="200"/>
      <c r="M788" s="200"/>
      <c r="N788" s="371"/>
    </row>
    <row r="789" spans="1:32" s="174" customFormat="1" x14ac:dyDescent="0.25">
      <c r="A789" s="489"/>
      <c r="B789" s="520"/>
      <c r="C789" s="378"/>
      <c r="D789" s="378"/>
      <c r="E789" s="196"/>
      <c r="F789" s="196"/>
      <c r="G789" s="196"/>
      <c r="H789" s="581"/>
      <c r="I789" s="581"/>
      <c r="J789" s="499" t="str">
        <f>IF(AND(Noty!H789=0,Noty!I789=0),"ukryj","odkryj")</f>
        <v>ukryj</v>
      </c>
      <c r="K789" s="200"/>
      <c r="L789" s="200"/>
      <c r="M789" s="200"/>
      <c r="N789" s="371"/>
    </row>
    <row r="790" spans="1:32" s="174" customFormat="1" x14ac:dyDescent="0.25">
      <c r="A790" s="508"/>
      <c r="B790" s="520"/>
      <c r="C790" s="1382" t="s">
        <v>9981</v>
      </c>
      <c r="D790" s="1382"/>
      <c r="E790" s="1382"/>
      <c r="F790" s="1382"/>
      <c r="G790" s="1382"/>
      <c r="H790" s="1382"/>
      <c r="I790" s="1382"/>
      <c r="J790" s="499" t="str">
        <f>Noty!J788</f>
        <v>ukryj</v>
      </c>
      <c r="K790" s="200"/>
      <c r="L790" s="200"/>
      <c r="M790" s="200"/>
      <c r="N790" s="371"/>
    </row>
    <row r="791" spans="1:32" s="174" customFormat="1" ht="13.75" thickBot="1" x14ac:dyDescent="0.3">
      <c r="A791" s="508"/>
      <c r="B791" s="520"/>
      <c r="C791" s="195"/>
      <c r="D791" s="195"/>
      <c r="E791" s="196"/>
      <c r="F791" s="196"/>
      <c r="G791" s="196"/>
      <c r="H791" s="196"/>
      <c r="I791" s="196"/>
      <c r="J791" s="499" t="str">
        <f>Noty!J790</f>
        <v>ukryj</v>
      </c>
      <c r="K791" s="200"/>
      <c r="L791" s="496"/>
      <c r="M791" s="200"/>
      <c r="N791" s="371"/>
    </row>
    <row r="792" spans="1:32" s="174" customFormat="1" ht="15.75" thickBot="1" x14ac:dyDescent="0.35">
      <c r="A792" s="1180">
        <f>+IF(K792="n/a",A780,A780+1)</f>
        <v>1</v>
      </c>
      <c r="B792" s="1182"/>
      <c r="C792" s="1387" t="s">
        <v>9982</v>
      </c>
      <c r="D792" s="1387"/>
      <c r="E792" s="1387"/>
      <c r="F792" s="1387"/>
      <c r="G792" s="1387"/>
      <c r="H792" s="1387"/>
      <c r="I792" s="1387"/>
      <c r="J792" s="499" t="str">
        <f>IF(Noty!K792="n/a","ukryj","odkryj")</f>
        <v>ukryj</v>
      </c>
      <c r="K792" s="1213" t="str">
        <f>IF(AND(K794="n/a",K798="n/a",K809="n/a"),"n/a","")</f>
        <v>n/a</v>
      </c>
      <c r="L792" s="971" t="str">
        <f>A792&amp;"."&amp;B792</f>
        <v>1.</v>
      </c>
      <c r="M792" s="498"/>
      <c r="N792" s="1101" t="s">
        <v>9378</v>
      </c>
      <c r="O792" s="489" t="str">
        <f>A792&amp;"."&amp;B792</f>
        <v>1.</v>
      </c>
    </row>
    <row r="793" spans="1:32" s="174" customFormat="1" ht="13.75" thickBot="1" x14ac:dyDescent="0.3">
      <c r="A793" s="508"/>
      <c r="B793" s="520"/>
      <c r="C793" s="424"/>
      <c r="D793" s="195"/>
      <c r="E793" s="196"/>
      <c r="F793" s="196"/>
      <c r="G793" s="196"/>
      <c r="H793" s="196"/>
      <c r="I793" s="196"/>
      <c r="J793" s="499" t="str">
        <f>Noty!J792</f>
        <v>ukryj</v>
      </c>
      <c r="K793" s="394"/>
      <c r="M793" s="394"/>
      <c r="N793" s="371"/>
    </row>
    <row r="794" spans="1:32" s="174" customFormat="1" ht="15.75" thickBot="1" x14ac:dyDescent="0.35">
      <c r="A794" s="1183">
        <f>A792</f>
        <v>1</v>
      </c>
      <c r="B794" s="1184">
        <f>IF(K794="n/a",0,1)</f>
        <v>0</v>
      </c>
      <c r="C794" s="1282" t="s">
        <v>9983</v>
      </c>
      <c r="D794" s="1282"/>
      <c r="E794" s="1282"/>
      <c r="F794" s="1282"/>
      <c r="G794" s="1282"/>
      <c r="H794" s="1282"/>
      <c r="I794" s="1282"/>
      <c r="J794" s="499" t="str">
        <f>IF(Noty!K794="n/a","ukryj","odkryj")</f>
        <v>ukryj</v>
      </c>
      <c r="K794" s="1213" t="str">
        <f>IF(Input!D140="nie","n/a","")</f>
        <v>n/a</v>
      </c>
      <c r="L794" s="971" t="str">
        <f>A794&amp;"."&amp;B794</f>
        <v>1.0</v>
      </c>
      <c r="M794" s="394"/>
      <c r="N794" s="1101" t="s">
        <v>9378</v>
      </c>
      <c r="O794" s="489" t="str">
        <f>A794&amp;"."&amp;B794</f>
        <v>1.0</v>
      </c>
    </row>
    <row r="795" spans="1:32" s="174" customFormat="1" x14ac:dyDescent="0.25">
      <c r="A795" s="513"/>
      <c r="B795" s="523"/>
      <c r="C795" s="426"/>
      <c r="D795" s="195"/>
      <c r="E795" s="196"/>
      <c r="F795" s="196"/>
      <c r="G795" s="196"/>
      <c r="H795" s="196"/>
      <c r="I795" s="196"/>
      <c r="J795" s="499" t="str">
        <f>Noty!J794</f>
        <v>ukryj</v>
      </c>
      <c r="K795" s="394"/>
      <c r="M795" s="394"/>
      <c r="N795" s="371"/>
    </row>
    <row r="796" spans="1:32" s="174" customFormat="1" x14ac:dyDescent="0.25">
      <c r="A796" s="513"/>
      <c r="B796" s="523"/>
      <c r="C796" s="1382" t="s">
        <v>9984</v>
      </c>
      <c r="D796" s="1382"/>
      <c r="E796" s="1382"/>
      <c r="F796" s="1382"/>
      <c r="G796" s="1382"/>
      <c r="H796" s="1382"/>
      <c r="I796" s="1382"/>
      <c r="J796" s="499" t="s">
        <v>5125</v>
      </c>
      <c r="K796" s="394"/>
      <c r="M796" s="394"/>
      <c r="N796" s="371"/>
    </row>
    <row r="797" spans="1:32" s="174" customFormat="1" ht="13.75" thickBot="1" x14ac:dyDescent="0.3">
      <c r="A797" s="513"/>
      <c r="B797" s="523"/>
      <c r="C797" s="426"/>
      <c r="D797" s="195"/>
      <c r="E797" s="196"/>
      <c r="F797" s="196"/>
      <c r="G797" s="196"/>
      <c r="H797" s="196"/>
      <c r="I797" s="196"/>
      <c r="J797" s="499" t="str">
        <f>Noty!J796</f>
        <v>ukryj</v>
      </c>
      <c r="K797" s="394"/>
      <c r="L797" s="427"/>
      <c r="M797" s="394"/>
      <c r="N797" s="371"/>
    </row>
    <row r="798" spans="1:32" s="174" customFormat="1" ht="30.8" customHeight="1" thickBot="1" x14ac:dyDescent="0.35">
      <c r="A798" s="1183">
        <f>A792</f>
        <v>1</v>
      </c>
      <c r="B798" s="1184">
        <f>IF(K798="n/a",B794,B794+1)</f>
        <v>0</v>
      </c>
      <c r="C798" s="1282" t="s">
        <v>9985</v>
      </c>
      <c r="D798" s="1282"/>
      <c r="E798" s="1282"/>
      <c r="F798" s="1282"/>
      <c r="G798" s="1282"/>
      <c r="H798" s="1282"/>
      <c r="I798" s="1282"/>
      <c r="J798" s="499" t="str">
        <f>IF(Noty!K798="n/a","ukryj","odkryj")</f>
        <v>ukryj</v>
      </c>
      <c r="K798" s="1213" t="str">
        <f>IF(Input!D141="nie","n/a","")</f>
        <v>n/a</v>
      </c>
      <c r="L798" s="971" t="str">
        <f>A798&amp;"."&amp;B798</f>
        <v>1.0</v>
      </c>
      <c r="M798" s="394"/>
      <c r="N798" s="1101" t="s">
        <v>9378</v>
      </c>
      <c r="O798" s="489" t="str">
        <f>A798&amp;"."&amp;B798</f>
        <v>1.0</v>
      </c>
    </row>
    <row r="799" spans="1:32" s="174" customFormat="1" x14ac:dyDescent="0.25">
      <c r="A799" s="508"/>
      <c r="B799" s="520"/>
      <c r="C799" s="424"/>
      <c r="D799" s="195"/>
      <c r="E799" s="196"/>
      <c r="F799" s="196"/>
      <c r="G799" s="196"/>
      <c r="H799" s="196"/>
      <c r="I799" s="196"/>
      <c r="J799" s="499" t="str">
        <f>Noty!J798</f>
        <v>ukryj</v>
      </c>
      <c r="K799" s="394"/>
      <c r="L799" s="394"/>
      <c r="M799" s="394"/>
      <c r="N799" s="371"/>
    </row>
    <row r="800" spans="1:32" s="174" customFormat="1" ht="27" customHeight="1" x14ac:dyDescent="0.25">
      <c r="A800" s="508"/>
      <c r="B800" s="520"/>
      <c r="C800" s="543" t="s">
        <v>9986</v>
      </c>
      <c r="D800" s="195"/>
      <c r="E800" s="689" t="s">
        <v>9987</v>
      </c>
      <c r="F800" s="1395" t="s">
        <v>9988</v>
      </c>
      <c r="G800" s="1395"/>
      <c r="H800" s="1395"/>
      <c r="I800" s="1395"/>
      <c r="J800" s="499" t="str">
        <f>Noty!J799</f>
        <v>ukryj</v>
      </c>
      <c r="K800" s="394"/>
      <c r="L800" s="394"/>
      <c r="M800" s="394"/>
      <c r="N800" s="371"/>
    </row>
    <row r="801" spans="1:32" s="174" customFormat="1" ht="29.3" customHeight="1" x14ac:dyDescent="0.25">
      <c r="A801" s="508"/>
      <c r="B801" s="520"/>
      <c r="C801" s="424"/>
      <c r="D801" s="195"/>
      <c r="E801" s="825"/>
      <c r="F801" s="1396" t="s">
        <v>9989</v>
      </c>
      <c r="G801" s="1396"/>
      <c r="H801" s="1396" t="s">
        <v>9828</v>
      </c>
      <c r="I801" s="1396"/>
      <c r="J801" s="499" t="str">
        <f>Noty!J800</f>
        <v>ukryj</v>
      </c>
      <c r="K801" s="394"/>
      <c r="L801" s="394"/>
      <c r="M801" s="394"/>
      <c r="N801" s="371"/>
    </row>
    <row r="802" spans="1:32" s="174" customFormat="1" ht="13.6" customHeight="1" x14ac:dyDescent="0.25">
      <c r="A802" s="508"/>
      <c r="B802" s="520"/>
      <c r="C802" s="1393"/>
      <c r="D802" s="1393"/>
      <c r="E802" s="802"/>
      <c r="F802" s="1394"/>
      <c r="G802" s="1394"/>
      <c r="H802" s="1394"/>
      <c r="I802" s="1394"/>
      <c r="J802" s="499" t="str">
        <f>IF(AND(Noty!E802=0,Noty!F802=0,Noty!H802=0),"ukryj","odkryj")</f>
        <v>ukryj</v>
      </c>
      <c r="K802" s="200"/>
      <c r="L802" s="200"/>
      <c r="M802" s="200"/>
      <c r="N802" s="371"/>
    </row>
    <row r="803" spans="1:32" s="174" customFormat="1" ht="13.6" customHeight="1" x14ac:dyDescent="0.25">
      <c r="A803" s="508"/>
      <c r="B803" s="520"/>
      <c r="C803" s="1393"/>
      <c r="D803" s="1393"/>
      <c r="E803" s="802"/>
      <c r="F803" s="1298"/>
      <c r="G803" s="1298"/>
      <c r="H803" s="1298"/>
      <c r="I803" s="1298"/>
      <c r="J803" s="499" t="str">
        <f>IF(AND(Noty!E803=0,Noty!F803=0,Noty!H803=0),"ukryj","odkryj")</f>
        <v>ukryj</v>
      </c>
      <c r="K803" s="200"/>
      <c r="L803" s="200"/>
      <c r="M803" s="200"/>
      <c r="N803" s="371"/>
    </row>
    <row r="804" spans="1:32" s="174" customFormat="1" ht="13.6" customHeight="1" x14ac:dyDescent="0.25">
      <c r="A804" s="508"/>
      <c r="B804" s="520"/>
      <c r="C804" s="1393"/>
      <c r="D804" s="1393"/>
      <c r="E804" s="802"/>
      <c r="F804" s="1298"/>
      <c r="G804" s="1298"/>
      <c r="H804" s="1298"/>
      <c r="I804" s="1298"/>
      <c r="J804" s="499" t="str">
        <f>IF(AND(Noty!E804=0,Noty!F804=0,Noty!H804=0),"ukryj","odkryj")</f>
        <v>ukryj</v>
      </c>
      <c r="K804" s="200"/>
      <c r="L804" s="200"/>
      <c r="M804" s="200"/>
      <c r="N804" s="371"/>
    </row>
    <row r="805" spans="1:32" s="174" customFormat="1" ht="13.6" customHeight="1" x14ac:dyDescent="0.25">
      <c r="A805" s="508"/>
      <c r="B805" s="520"/>
      <c r="C805" s="1393"/>
      <c r="D805" s="1393"/>
      <c r="E805" s="802"/>
      <c r="F805" s="1298"/>
      <c r="G805" s="1298"/>
      <c r="H805" s="1298"/>
      <c r="I805" s="1298"/>
      <c r="J805" s="499" t="str">
        <f>IF(AND(Noty!E805=0,Noty!F805=0,Noty!H805=0),"ukryj","odkryj")</f>
        <v>ukryj</v>
      </c>
      <c r="K805" s="200"/>
      <c r="L805" s="200"/>
      <c r="M805" s="200"/>
      <c r="N805" s="371"/>
    </row>
    <row r="806" spans="1:32" s="174" customFormat="1" ht="13.6" customHeight="1" x14ac:dyDescent="0.25">
      <c r="A806" s="508"/>
      <c r="B806" s="520"/>
      <c r="C806" s="1393"/>
      <c r="D806" s="1393"/>
      <c r="E806" s="802"/>
      <c r="F806" s="1301"/>
      <c r="G806" s="1301"/>
      <c r="H806" s="1301"/>
      <c r="I806" s="1301"/>
      <c r="J806" s="499" t="str">
        <f>IF(AND(Noty!E806=0,Noty!F806=0,Noty!H806=0),"ukryj","odkryj")</f>
        <v>ukryj</v>
      </c>
      <c r="K806" s="200"/>
      <c r="L806" s="200"/>
      <c r="M806" s="200"/>
      <c r="N806" s="371"/>
    </row>
    <row r="807" spans="1:32" s="174" customFormat="1" x14ac:dyDescent="0.25">
      <c r="A807" s="508"/>
      <c r="B807" s="520"/>
      <c r="C807" s="195"/>
      <c r="D807" s="195"/>
      <c r="E807" s="803">
        <f>SUM(E802:E806)</f>
        <v>0</v>
      </c>
      <c r="F807" s="1300">
        <f>SUM(F802:G806)</f>
        <v>0</v>
      </c>
      <c r="G807" s="1300"/>
      <c r="H807" s="1300">
        <f>SUM(H802:I806)</f>
        <v>0</v>
      </c>
      <c r="I807" s="1300"/>
      <c r="J807" s="499" t="str">
        <f>IF(AND(Noty!E807=0,Noty!F807=0,Noty!H807=0),"ukryj","odkryj")</f>
        <v>ukryj</v>
      </c>
      <c r="K807" s="200"/>
      <c r="L807" s="200"/>
      <c r="M807" s="200"/>
      <c r="N807" s="371"/>
    </row>
    <row r="808" spans="1:32" s="174" customFormat="1" ht="13.75" thickBot="1" x14ac:dyDescent="0.3">
      <c r="A808" s="508"/>
      <c r="B808" s="520"/>
      <c r="C808" s="424"/>
      <c r="D808" s="195"/>
      <c r="E808" s="196"/>
      <c r="F808" s="196"/>
      <c r="G808" s="196"/>
      <c r="H808" s="196"/>
      <c r="I808" s="196"/>
      <c r="J808" s="499" t="str">
        <f>Noty!J807</f>
        <v>ukryj</v>
      </c>
      <c r="K808" s="200"/>
      <c r="L808" s="200"/>
      <c r="M808" s="200"/>
      <c r="N808" s="371"/>
    </row>
    <row r="809" spans="1:32" s="174" customFormat="1" ht="15.75" customHeight="1" thickBot="1" x14ac:dyDescent="0.35">
      <c r="A809" s="1183">
        <f>A798</f>
        <v>1</v>
      </c>
      <c r="B809" s="1184">
        <f>IF(K809="n/a",B798,B798+1)</f>
        <v>0</v>
      </c>
      <c r="C809" s="1282" t="s">
        <v>9990</v>
      </c>
      <c r="D809" s="1282"/>
      <c r="E809" s="1282"/>
      <c r="F809" s="1282"/>
      <c r="G809" s="1282"/>
      <c r="H809" s="1282"/>
      <c r="I809" s="1282"/>
      <c r="J809" s="499" t="str">
        <f>IF(Noty!K809="n/a","ukryj","odkryj")</f>
        <v>ukryj</v>
      </c>
      <c r="K809" s="1213" t="str">
        <f>IF(Input!D142="nie","n/a","")</f>
        <v>n/a</v>
      </c>
      <c r="L809" s="971" t="str">
        <f>A809&amp;"."&amp;B809</f>
        <v>1.0</v>
      </c>
      <c r="M809" s="394"/>
      <c r="N809" s="1101" t="s">
        <v>9378</v>
      </c>
      <c r="O809" s="489" t="str">
        <f>A809&amp;"."&amp;B809</f>
        <v>1.0</v>
      </c>
    </row>
    <row r="810" spans="1:32" s="174" customFormat="1" x14ac:dyDescent="0.25">
      <c r="A810" s="513"/>
      <c r="B810" s="523"/>
      <c r="C810" s="426"/>
      <c r="D810" s="195"/>
      <c r="E810" s="196"/>
      <c r="F810" s="196"/>
      <c r="G810" s="196"/>
      <c r="H810" s="196"/>
      <c r="I810" s="196"/>
      <c r="J810" s="499" t="str">
        <f>Noty!J809</f>
        <v>ukryj</v>
      </c>
      <c r="K810" s="394"/>
      <c r="L810" s="394"/>
      <c r="M810" s="394"/>
      <c r="N810" s="371"/>
    </row>
    <row r="811" spans="1:32" s="174" customFormat="1" ht="31.6" customHeight="1" x14ac:dyDescent="0.25">
      <c r="A811" s="513"/>
      <c r="B811" s="523"/>
      <c r="C811" s="426"/>
      <c r="D811" s="195"/>
      <c r="E811" s="196"/>
      <c r="F811" s="196"/>
      <c r="G811" s="251"/>
      <c r="H811" s="1009" t="str">
        <f>CONCATENATE(Input!$P$6," -",Input!$P$7)</f>
        <v>01.01.2020 -31.12.2020</v>
      </c>
      <c r="I811" s="999" t="str">
        <f>CONCATENATE(Input!$P$10," -",Input!$P$11)</f>
        <v>01.01.2019 -31.12.2019</v>
      </c>
      <c r="J811" s="499" t="str">
        <f>Noty!J810</f>
        <v>ukryj</v>
      </c>
      <c r="K811" s="394"/>
      <c r="L811" s="394"/>
      <c r="M811" s="394"/>
      <c r="N811" s="371"/>
    </row>
    <row r="812" spans="1:32" s="174" customFormat="1" ht="27.85" customHeight="1" x14ac:dyDescent="0.25">
      <c r="A812" s="508"/>
      <c r="B812" s="520"/>
      <c r="C812" s="1308" t="s">
        <v>9991</v>
      </c>
      <c r="D812" s="1308"/>
      <c r="E812" s="1308"/>
      <c r="F812" s="1308"/>
      <c r="G812" s="995"/>
      <c r="H812" s="800">
        <f>I818</f>
        <v>0</v>
      </c>
      <c r="I812" s="639"/>
      <c r="J812" s="499" t="str">
        <f>IF(AND(Noty!H812=0,Noty!I812=0),"ukryj","odkryj")</f>
        <v>ukryj</v>
      </c>
      <c r="K812" s="200"/>
      <c r="L812" s="200"/>
      <c r="M812" s="200"/>
      <c r="N812" s="371"/>
      <c r="AE812" s="257" t="s">
        <v>9992</v>
      </c>
      <c r="AF812" s="257" t="s">
        <v>9993</v>
      </c>
    </row>
    <row r="813" spans="1:32" s="174" customFormat="1" x14ac:dyDescent="0.25">
      <c r="A813" s="508"/>
      <c r="B813" s="520"/>
      <c r="C813" s="257" t="s">
        <v>9994</v>
      </c>
      <c r="D813" s="202"/>
      <c r="E813" s="612"/>
      <c r="F813" s="822"/>
      <c r="G813" s="200"/>
      <c r="H813" s="544"/>
      <c r="I813" s="544"/>
      <c r="J813" s="499" t="str">
        <f>Noty!J812</f>
        <v>ukryj</v>
      </c>
      <c r="K813" s="200"/>
      <c r="L813" s="200"/>
      <c r="M813" s="200"/>
      <c r="N813" s="371"/>
    </row>
    <row r="814" spans="1:32" s="174" customFormat="1" x14ac:dyDescent="0.25">
      <c r="A814" s="508"/>
      <c r="B814" s="520"/>
      <c r="C814" s="806" t="s">
        <v>8874</v>
      </c>
      <c r="D814" s="651"/>
      <c r="E814" s="612"/>
      <c r="F814" s="822"/>
      <c r="G814" s="9"/>
      <c r="H814" s="800">
        <f>SUM(H815)</f>
        <v>0</v>
      </c>
      <c r="I814" s="800">
        <f>SUM(I815)</f>
        <v>0</v>
      </c>
      <c r="J814" s="499" t="str">
        <f>IF(AND(Noty!H814=0,Noty!I814=0),"ukryj","odkryj")</f>
        <v>ukryj</v>
      </c>
      <c r="K814" s="200"/>
      <c r="L814" s="200"/>
      <c r="M814" s="200"/>
      <c r="N814" s="371"/>
      <c r="AE814" s="257" t="s">
        <v>9995</v>
      </c>
      <c r="AF814" s="257" t="s">
        <v>9996</v>
      </c>
    </row>
    <row r="815" spans="1:32" s="174" customFormat="1" x14ac:dyDescent="0.25">
      <c r="A815" s="508"/>
      <c r="B815" s="520"/>
      <c r="C815" s="546"/>
      <c r="D815" s="581"/>
      <c r="E815" s="612"/>
      <c r="F815" s="651"/>
      <c r="G815" s="9"/>
      <c r="H815" s="639"/>
      <c r="I815" s="639"/>
      <c r="J815" s="499" t="str">
        <f>IF(AND(Noty!H815=0,Noty!I815=0),"ukryj","odkryj")</f>
        <v>ukryj</v>
      </c>
      <c r="K815" s="200"/>
      <c r="L815" s="200"/>
      <c r="M815" s="200"/>
      <c r="N815" s="371"/>
      <c r="AE815" s="257" t="s">
        <v>9997</v>
      </c>
      <c r="AF815" s="257" t="s">
        <v>9998</v>
      </c>
    </row>
    <row r="816" spans="1:32" s="174" customFormat="1" x14ac:dyDescent="0.25">
      <c r="A816" s="508"/>
      <c r="B816" s="520"/>
      <c r="C816" s="806" t="s">
        <v>8882</v>
      </c>
      <c r="D816" s="651"/>
      <c r="E816" s="612"/>
      <c r="F816" s="822"/>
      <c r="G816" s="9"/>
      <c r="H816" s="800">
        <f>SUM(H817)</f>
        <v>0</v>
      </c>
      <c r="I816" s="800">
        <f>SUM(I817)</f>
        <v>0</v>
      </c>
      <c r="J816" s="499" t="str">
        <f>IF(AND(Noty!H816=0,Noty!I816=0),"ukryj","odkryj")</f>
        <v>ukryj</v>
      </c>
      <c r="K816" s="200"/>
      <c r="L816" s="200"/>
      <c r="M816" s="200"/>
      <c r="N816" s="371"/>
      <c r="AE816" s="257" t="s">
        <v>9999</v>
      </c>
      <c r="AF816" s="257" t="s">
        <v>10000</v>
      </c>
    </row>
    <row r="817" spans="1:32" s="174" customFormat="1" x14ac:dyDescent="0.25">
      <c r="A817" s="508"/>
      <c r="B817" s="520"/>
      <c r="C817" s="546"/>
      <c r="D817" s="581"/>
      <c r="E817" s="612"/>
      <c r="F817" s="651"/>
      <c r="G817" s="9"/>
      <c r="H817" s="639"/>
      <c r="I817" s="639"/>
      <c r="J817" s="499" t="str">
        <f>IF(AND(Noty!H817=0,Noty!I817=0),"ukryj","odkryj")</f>
        <v>ukryj</v>
      </c>
      <c r="K817" s="200"/>
      <c r="L817" s="200"/>
      <c r="M817" s="200"/>
      <c r="N817" s="371"/>
      <c r="AE817" s="257" t="s">
        <v>10001</v>
      </c>
      <c r="AF817" s="257" t="s">
        <v>10002</v>
      </c>
    </row>
    <row r="818" spans="1:32" s="174" customFormat="1" ht="28.5" customHeight="1" x14ac:dyDescent="0.25">
      <c r="A818" s="508"/>
      <c r="B818" s="520"/>
      <c r="C818" s="1308" t="s">
        <v>10003</v>
      </c>
      <c r="D818" s="1308"/>
      <c r="E818" s="1308"/>
      <c r="F818" s="1308"/>
      <c r="G818" s="995"/>
      <c r="H818" s="803">
        <f>H812+H814+H816</f>
        <v>0</v>
      </c>
      <c r="I818" s="803">
        <f>I812+I814+I816</f>
        <v>0</v>
      </c>
      <c r="J818" s="499" t="str">
        <f>IF(AND(Noty!H818=0,Noty!I818=0),"ukryj","odkryj")</f>
        <v>ukryj</v>
      </c>
      <c r="K818" s="200"/>
      <c r="L818" s="200"/>
      <c r="M818" s="200"/>
      <c r="N818" s="371"/>
      <c r="AE818" s="257" t="s">
        <v>10004</v>
      </c>
      <c r="AF818" s="257" t="s">
        <v>10005</v>
      </c>
    </row>
    <row r="819" spans="1:32" s="174" customFormat="1" ht="13.75" thickBot="1" x14ac:dyDescent="0.3">
      <c r="A819" s="508"/>
      <c r="B819" s="520"/>
      <c r="C819" s="195"/>
      <c r="D819" s="195"/>
      <c r="E819" s="196"/>
      <c r="F819" s="196"/>
      <c r="G819" s="196"/>
      <c r="H819" s="196"/>
      <c r="I819" s="196"/>
      <c r="J819" s="499" t="str">
        <f>Noty!J818</f>
        <v>ukryj</v>
      </c>
      <c r="K819" s="200"/>
      <c r="L819" s="200"/>
      <c r="M819" s="200"/>
      <c r="N819" s="371"/>
    </row>
    <row r="820" spans="1:32" s="228" customFormat="1" ht="15.75" customHeight="1" thickBot="1" x14ac:dyDescent="0.35">
      <c r="A820" s="1180">
        <f>IF(K820="n/a",A809,A809+1)</f>
        <v>1</v>
      </c>
      <c r="B820" s="1187"/>
      <c r="C820" s="1471" t="s">
        <v>10006</v>
      </c>
      <c r="D820" s="1471"/>
      <c r="E820" s="1471"/>
      <c r="F820" s="1471"/>
      <c r="G820" s="1471"/>
      <c r="H820" s="1471"/>
      <c r="I820" s="1471"/>
      <c r="J820" s="499" t="str">
        <f>IF(Noty!K820="n/a","ukryj","odkryj")</f>
        <v>ukryj</v>
      </c>
      <c r="K820" s="1213" t="str">
        <f>IF(AND(K822="n/a",K847="n/a",K872="n/a",K889="n/a"),"n/a","")</f>
        <v>n/a</v>
      </c>
      <c r="L820" s="971" t="str">
        <f>A820&amp;"."&amp;B820</f>
        <v>1.</v>
      </c>
      <c r="N820" s="1101" t="s">
        <v>9378</v>
      </c>
      <c r="O820" s="489" t="str">
        <f>A820&amp;"."&amp;B820</f>
        <v>1.</v>
      </c>
    </row>
    <row r="821" spans="1:32" s="228" customFormat="1" ht="13.6" customHeight="1" thickBot="1" x14ac:dyDescent="0.3">
      <c r="B821" s="428"/>
      <c r="C821" s="429"/>
      <c r="D821" s="634"/>
      <c r="E821" s="690"/>
      <c r="F821" s="690"/>
      <c r="G821" s="690"/>
      <c r="H821" s="690"/>
      <c r="I821" s="690"/>
      <c r="J821" s="499" t="str">
        <f>Noty!J820</f>
        <v>ukryj</v>
      </c>
      <c r="N821" s="380"/>
    </row>
    <row r="822" spans="1:32" s="228" customFormat="1" ht="15.75" customHeight="1" thickBot="1" x14ac:dyDescent="0.35">
      <c r="A822" s="1183">
        <f>A820</f>
        <v>1</v>
      </c>
      <c r="B822" s="1184">
        <f>IF(K822="n/a",0,1)</f>
        <v>0</v>
      </c>
      <c r="C822" s="1462" t="s">
        <v>10007</v>
      </c>
      <c r="D822" s="1462"/>
      <c r="E822" s="1462"/>
      <c r="F822" s="1462"/>
      <c r="G822" s="1462"/>
      <c r="H822" s="1462"/>
      <c r="I822" s="1462"/>
      <c r="J822" s="499" t="str">
        <f>IF(Noty!K822="n/a","ukryj","odkryj")</f>
        <v>ukryj</v>
      </c>
      <c r="K822" s="1213" t="str">
        <f>IF(Input!D144="nie","n/a","")</f>
        <v>n/a</v>
      </c>
      <c r="L822" s="971" t="str">
        <f>A822&amp;"."&amp;B822</f>
        <v>1.0</v>
      </c>
      <c r="N822" s="1101" t="s">
        <v>9378</v>
      </c>
      <c r="O822" s="489" t="str">
        <f>A822&amp;"."&amp;B822</f>
        <v>1.0</v>
      </c>
    </row>
    <row r="823" spans="1:32" s="228" customFormat="1" ht="14.25" customHeight="1" x14ac:dyDescent="0.25">
      <c r="B823" s="428"/>
      <c r="C823" s="428"/>
      <c r="D823" s="691"/>
      <c r="E823" s="691"/>
      <c r="F823" s="691"/>
      <c r="G823" s="690"/>
      <c r="H823" s="690"/>
      <c r="I823" s="690"/>
      <c r="J823" s="499" t="str">
        <f>Noty!J822</f>
        <v>ukryj</v>
      </c>
      <c r="N823" s="380"/>
    </row>
    <row r="824" spans="1:32" s="226" customFormat="1" x14ac:dyDescent="0.25">
      <c r="A824" s="228"/>
      <c r="B824" s="428"/>
      <c r="C824" s="547" t="s">
        <v>10008</v>
      </c>
      <c r="D824" s="692"/>
      <c r="E824" s="692"/>
      <c r="F824" s="692"/>
      <c r="G824" s="1010"/>
      <c r="H824" s="999" t="str">
        <f>+Input!$P$7</f>
        <v>31.12.2020</v>
      </c>
      <c r="I824" s="1000" t="str">
        <f>+Input!$P$11</f>
        <v>31.12.2019</v>
      </c>
      <c r="J824" s="499" t="str">
        <f>Noty!J823</f>
        <v>ukryj</v>
      </c>
      <c r="N824" s="430"/>
    </row>
    <row r="825" spans="1:32" s="228" customFormat="1" ht="13.6" customHeight="1" x14ac:dyDescent="0.25">
      <c r="B825" s="428"/>
      <c r="C825" s="431" t="s">
        <v>10009</v>
      </c>
      <c r="D825" s="634"/>
      <c r="E825" s="634"/>
      <c r="F825" s="634"/>
      <c r="G825" s="762"/>
      <c r="H825" s="800">
        <f>SUM(H826:H828)</f>
        <v>0</v>
      </c>
      <c r="I825" s="800">
        <f>SUM(I826:I828)</f>
        <v>0</v>
      </c>
      <c r="J825" s="499" t="str">
        <f>IF(AND(Noty!H825=0,Noty!I825=0),"ukryj","odkryj")</f>
        <v>ukryj</v>
      </c>
      <c r="N825" s="380"/>
    </row>
    <row r="826" spans="1:32" s="228" customFormat="1" ht="13.6" customHeight="1" x14ac:dyDescent="0.25">
      <c r="B826" s="428"/>
      <c r="C826" s="432"/>
      <c r="D826" s="762"/>
      <c r="E826" s="762"/>
      <c r="F826" s="762"/>
      <c r="G826" s="762"/>
      <c r="H826" s="639"/>
      <c r="I826" s="639"/>
      <c r="J826" s="499" t="str">
        <f>IF(AND(Noty!H826=0,Noty!I826=0),"ukryj","odkryj")</f>
        <v>ukryj</v>
      </c>
      <c r="N826" s="380"/>
      <c r="AE826" s="257" t="s">
        <v>10010</v>
      </c>
      <c r="AF826" s="257" t="s">
        <v>10011</v>
      </c>
    </row>
    <row r="827" spans="1:32" s="228" customFormat="1" ht="13.6" customHeight="1" x14ac:dyDescent="0.25">
      <c r="B827" s="428"/>
      <c r="C827" s="433"/>
      <c r="D827" s="762"/>
      <c r="E827" s="762"/>
      <c r="F827" s="762"/>
      <c r="G827" s="762"/>
      <c r="H827" s="802"/>
      <c r="I827" s="802"/>
      <c r="J827" s="499" t="str">
        <f>IF(AND(Noty!H827=0,Noty!I827=0),"ukryj","odkryj")</f>
        <v>ukryj</v>
      </c>
      <c r="N827" s="380"/>
      <c r="AE827" s="257" t="s">
        <v>10012</v>
      </c>
      <c r="AF827" s="257" t="s">
        <v>10013</v>
      </c>
    </row>
    <row r="828" spans="1:32" s="228" customFormat="1" ht="13.6" customHeight="1" x14ac:dyDescent="0.25">
      <c r="B828" s="428"/>
      <c r="C828" s="433"/>
      <c r="D828" s="762"/>
      <c r="E828" s="762"/>
      <c r="F828" s="762"/>
      <c r="G828" s="762"/>
      <c r="H828" s="802"/>
      <c r="I828" s="802"/>
      <c r="J828" s="499" t="str">
        <f>IF(AND(Noty!H828=0,Noty!I828=0),"ukryj","odkryj")</f>
        <v>ukryj</v>
      </c>
      <c r="N828" s="380"/>
      <c r="AE828" s="257" t="s">
        <v>10014</v>
      </c>
      <c r="AF828" s="257" t="s">
        <v>10015</v>
      </c>
    </row>
    <row r="829" spans="1:32" s="228" customFormat="1" ht="13.6" customHeight="1" x14ac:dyDescent="0.25">
      <c r="B829" s="428"/>
      <c r="C829" s="431" t="s">
        <v>10016</v>
      </c>
      <c r="D829" s="634"/>
      <c r="E829" s="634"/>
      <c r="F829" s="634"/>
      <c r="G829" s="762"/>
      <c r="H829" s="800">
        <f>SUM(H830:H832)</f>
        <v>0</v>
      </c>
      <c r="I829" s="800">
        <f>SUM(I830:I832)</f>
        <v>0</v>
      </c>
      <c r="J829" s="499" t="str">
        <f>IF(AND(Noty!H829=0,Noty!I829=0),"ukryj","odkryj")</f>
        <v>ukryj</v>
      </c>
      <c r="N829" s="380"/>
    </row>
    <row r="830" spans="1:32" s="228" customFormat="1" ht="13.6" customHeight="1" x14ac:dyDescent="0.25">
      <c r="B830" s="428"/>
      <c r="C830" s="433"/>
      <c r="D830" s="762"/>
      <c r="E830" s="762"/>
      <c r="F830" s="762"/>
      <c r="G830" s="762"/>
      <c r="H830" s="639"/>
      <c r="I830" s="639"/>
      <c r="J830" s="499" t="str">
        <f>IF(AND(Noty!H830=0,Noty!I830=0),"ukryj","odkryj")</f>
        <v>ukryj</v>
      </c>
      <c r="N830" s="380"/>
      <c r="AE830" s="257" t="s">
        <v>10017</v>
      </c>
      <c r="AF830" s="257" t="s">
        <v>10018</v>
      </c>
    </row>
    <row r="831" spans="1:32" s="228" customFormat="1" ht="13.6" customHeight="1" x14ac:dyDescent="0.25">
      <c r="B831" s="428"/>
      <c r="C831" s="433"/>
      <c r="D831" s="762"/>
      <c r="E831" s="762"/>
      <c r="F831" s="762"/>
      <c r="G831" s="762"/>
      <c r="H831" s="802"/>
      <c r="I831" s="802"/>
      <c r="J831" s="499" t="str">
        <f>IF(AND(Noty!H831=0,Noty!I831=0),"ukryj","odkryj")</f>
        <v>ukryj</v>
      </c>
      <c r="N831" s="380"/>
      <c r="AE831" s="257" t="s">
        <v>10019</v>
      </c>
      <c r="AF831" s="257" t="s">
        <v>10020</v>
      </c>
    </row>
    <row r="832" spans="1:32" s="228" customFormat="1" ht="13.6" customHeight="1" x14ac:dyDescent="0.25">
      <c r="B832" s="428"/>
      <c r="C832" s="433"/>
      <c r="D832" s="762"/>
      <c r="E832" s="762"/>
      <c r="F832" s="762"/>
      <c r="G832" s="762"/>
      <c r="H832" s="802"/>
      <c r="I832" s="802"/>
      <c r="J832" s="499" t="str">
        <f>IF(AND(Noty!H832=0,Noty!I832=0),"ukryj","odkryj")</f>
        <v>ukryj</v>
      </c>
      <c r="N832" s="380"/>
      <c r="AE832" s="257" t="s">
        <v>10021</v>
      </c>
      <c r="AF832" s="257" t="s">
        <v>10022</v>
      </c>
    </row>
    <row r="833" spans="1:32" s="228" customFormat="1" ht="13.6" customHeight="1" x14ac:dyDescent="0.25">
      <c r="B833" s="428"/>
      <c r="C833" s="431" t="s">
        <v>10023</v>
      </c>
      <c r="D833" s="634"/>
      <c r="E833" s="634"/>
      <c r="F833" s="634"/>
      <c r="G833" s="762"/>
      <c r="H833" s="800">
        <f>SUM(H834:H836)</f>
        <v>0</v>
      </c>
      <c r="I833" s="800">
        <f>SUM(I834:I836)</f>
        <v>0</v>
      </c>
      <c r="J833" s="499" t="str">
        <f>IF(AND(Noty!H833=0,Noty!I833=0),"ukryj","odkryj")</f>
        <v>ukryj</v>
      </c>
      <c r="N833" s="380"/>
    </row>
    <row r="834" spans="1:32" s="228" customFormat="1" ht="13.6" customHeight="1" x14ac:dyDescent="0.25">
      <c r="B834" s="428"/>
      <c r="C834" s="433"/>
      <c r="D834" s="762"/>
      <c r="E834" s="762"/>
      <c r="F834" s="762"/>
      <c r="G834" s="762"/>
      <c r="H834" s="639"/>
      <c r="I834" s="639"/>
      <c r="J834" s="499" t="str">
        <f>IF(AND(Noty!H834=0,Noty!I834=0),"ukryj","odkryj")</f>
        <v>ukryj</v>
      </c>
      <c r="N834" s="380"/>
      <c r="AE834" s="257" t="s">
        <v>10024</v>
      </c>
      <c r="AF834" s="257" t="s">
        <v>10025</v>
      </c>
    </row>
    <row r="835" spans="1:32" s="228" customFormat="1" ht="13.6" customHeight="1" x14ac:dyDescent="0.25">
      <c r="B835" s="428"/>
      <c r="C835" s="433"/>
      <c r="D835" s="762"/>
      <c r="E835" s="762"/>
      <c r="F835" s="762"/>
      <c r="G835" s="762"/>
      <c r="H835" s="802"/>
      <c r="I835" s="802"/>
      <c r="J835" s="499" t="str">
        <f>IF(AND(Noty!H835=0,Noty!I835=0),"ukryj","odkryj")</f>
        <v>ukryj</v>
      </c>
      <c r="N835" s="380"/>
      <c r="AE835" s="257" t="s">
        <v>10026</v>
      </c>
      <c r="AF835" s="257" t="s">
        <v>10027</v>
      </c>
    </row>
    <row r="836" spans="1:32" s="228" customFormat="1" ht="13.6" customHeight="1" x14ac:dyDescent="0.25">
      <c r="B836" s="428"/>
      <c r="C836" s="433"/>
      <c r="D836" s="762"/>
      <c r="E836" s="762"/>
      <c r="F836" s="762"/>
      <c r="G836" s="762"/>
      <c r="H836" s="802"/>
      <c r="I836" s="802"/>
      <c r="J836" s="499" t="str">
        <f>IF(AND(Noty!H836=0,Noty!I836=0),"ukryj","odkryj")</f>
        <v>ukryj</v>
      </c>
      <c r="N836" s="380"/>
      <c r="AE836" s="257" t="s">
        <v>10028</v>
      </c>
      <c r="AF836" s="257" t="s">
        <v>10029</v>
      </c>
    </row>
    <row r="837" spans="1:32" s="228" customFormat="1" ht="13.6" customHeight="1" x14ac:dyDescent="0.25">
      <c r="B837" s="428"/>
      <c r="C837" s="431" t="s">
        <v>10030</v>
      </c>
      <c r="D837" s="634"/>
      <c r="E837" s="634"/>
      <c r="F837" s="634"/>
      <c r="G837" s="762"/>
      <c r="H837" s="800">
        <f>SUM(H838:H840)</f>
        <v>0</v>
      </c>
      <c r="I837" s="800">
        <f>SUM(I838:I840)</f>
        <v>0</v>
      </c>
      <c r="J837" s="499" t="str">
        <f>IF(AND(Noty!H837=0,Noty!I837=0),"ukryj","odkryj")</f>
        <v>ukryj</v>
      </c>
      <c r="N837" s="380"/>
    </row>
    <row r="838" spans="1:32" s="228" customFormat="1" ht="13.6" customHeight="1" x14ac:dyDescent="0.25">
      <c r="B838" s="428"/>
      <c r="C838" s="433"/>
      <c r="D838" s="762"/>
      <c r="E838" s="762"/>
      <c r="F838" s="762"/>
      <c r="G838" s="762"/>
      <c r="H838" s="639"/>
      <c r="I838" s="639"/>
      <c r="J838" s="499" t="str">
        <f>IF(AND(Noty!H838=0,Noty!I838=0),"ukryj","odkryj")</f>
        <v>ukryj</v>
      </c>
      <c r="N838" s="380"/>
      <c r="AE838" s="257" t="s">
        <v>10031</v>
      </c>
      <c r="AF838" s="257" t="s">
        <v>10032</v>
      </c>
    </row>
    <row r="839" spans="1:32" s="228" customFormat="1" ht="13.6" customHeight="1" x14ac:dyDescent="0.25">
      <c r="B839" s="428"/>
      <c r="C839" s="433"/>
      <c r="D839" s="762"/>
      <c r="E839" s="762"/>
      <c r="F839" s="762"/>
      <c r="G839" s="762"/>
      <c r="H839" s="802"/>
      <c r="I839" s="802"/>
      <c r="J839" s="499" t="str">
        <f>IF(AND(Noty!H839=0,Noty!I839=0),"ukryj","odkryj")</f>
        <v>ukryj</v>
      </c>
      <c r="N839" s="380"/>
      <c r="AE839" s="257" t="s">
        <v>10033</v>
      </c>
      <c r="AF839" s="257" t="s">
        <v>10034</v>
      </c>
    </row>
    <row r="840" spans="1:32" s="228" customFormat="1" ht="13.6" customHeight="1" x14ac:dyDescent="0.25">
      <c r="B840" s="428"/>
      <c r="C840" s="433"/>
      <c r="D840" s="762"/>
      <c r="E840" s="762"/>
      <c r="F840" s="762"/>
      <c r="G840" s="762"/>
      <c r="H840" s="802"/>
      <c r="I840" s="802"/>
      <c r="J840" s="499" t="str">
        <f>IF(AND(Noty!H840=0,Noty!I840=0),"ukryj","odkryj")</f>
        <v>ukryj</v>
      </c>
      <c r="N840" s="380"/>
      <c r="AE840" s="257" t="s">
        <v>10035</v>
      </c>
      <c r="AF840" s="257" t="s">
        <v>10036</v>
      </c>
    </row>
    <row r="841" spans="1:32" s="228" customFormat="1" ht="13.6" customHeight="1" x14ac:dyDescent="0.25">
      <c r="B841" s="428"/>
      <c r="C841" s="431" t="s">
        <v>10037</v>
      </c>
      <c r="D841" s="634"/>
      <c r="E841" s="634"/>
      <c r="F841" s="634"/>
      <c r="G841" s="762"/>
      <c r="H841" s="800">
        <f>SUM(H842:H844)</f>
        <v>0</v>
      </c>
      <c r="I841" s="800">
        <f>SUM(I842:I844)</f>
        <v>0</v>
      </c>
      <c r="J841" s="499" t="str">
        <f>IF(AND(Noty!H841=0,Noty!I841=0),"ukryj","odkryj")</f>
        <v>ukryj</v>
      </c>
      <c r="N841" s="380"/>
    </row>
    <row r="842" spans="1:32" s="228" customFormat="1" ht="13.6" customHeight="1" x14ac:dyDescent="0.25">
      <c r="B842" s="428"/>
      <c r="C842" s="433"/>
      <c r="D842" s="762"/>
      <c r="E842" s="762"/>
      <c r="F842" s="762"/>
      <c r="G842" s="762"/>
      <c r="H842" s="639"/>
      <c r="I842" s="639"/>
      <c r="J842" s="499" t="str">
        <f>IF(AND(Noty!H842=0,Noty!I842=0),"ukryj","odkryj")</f>
        <v>ukryj</v>
      </c>
      <c r="N842" s="380"/>
      <c r="AE842" s="257" t="s">
        <v>10038</v>
      </c>
      <c r="AF842" s="257" t="s">
        <v>10039</v>
      </c>
    </row>
    <row r="843" spans="1:32" s="228" customFormat="1" ht="13.6" customHeight="1" x14ac:dyDescent="0.25">
      <c r="B843" s="428"/>
      <c r="C843" s="433"/>
      <c r="D843" s="762"/>
      <c r="E843" s="762"/>
      <c r="F843" s="762"/>
      <c r="G843" s="762"/>
      <c r="H843" s="802"/>
      <c r="I843" s="802"/>
      <c r="J843" s="499" t="str">
        <f>IF(AND(Noty!H843=0,Noty!I843=0),"ukryj","odkryj")</f>
        <v>ukryj</v>
      </c>
      <c r="N843" s="380"/>
      <c r="AE843" s="257" t="s">
        <v>10040</v>
      </c>
      <c r="AF843" s="257" t="s">
        <v>10041</v>
      </c>
    </row>
    <row r="844" spans="1:32" s="228" customFormat="1" ht="13.6" customHeight="1" x14ac:dyDescent="0.25">
      <c r="B844" s="428"/>
      <c r="C844" s="433"/>
      <c r="D844" s="762"/>
      <c r="E844" s="762"/>
      <c r="F844" s="762"/>
      <c r="G844" s="762"/>
      <c r="H844" s="802"/>
      <c r="I844" s="802"/>
      <c r="J844" s="499" t="str">
        <f>IF(AND(Noty!H844=0,Noty!I844=0),"ukryj","odkryj")</f>
        <v>ukryj</v>
      </c>
      <c r="N844" s="380"/>
      <c r="AE844" s="257" t="s">
        <v>10042</v>
      </c>
      <c r="AF844" s="257" t="s">
        <v>10043</v>
      </c>
    </row>
    <row r="845" spans="1:32" s="228" customFormat="1" ht="13.6" customHeight="1" x14ac:dyDescent="0.25">
      <c r="B845" s="428"/>
      <c r="C845" s="428"/>
      <c r="D845" s="693"/>
      <c r="E845" s="634"/>
      <c r="F845" s="634"/>
      <c r="G845" s="762"/>
      <c r="H845" s="803">
        <f>H825+H829+H833+H837+H841</f>
        <v>0</v>
      </c>
      <c r="I845" s="803">
        <f>I825+I829+I833+I837+I841</f>
        <v>0</v>
      </c>
      <c r="J845" s="499" t="str">
        <f>IF(AND(Noty!H845=0,Noty!I845=0),"ukryj","odkryj")</f>
        <v>ukryj</v>
      </c>
      <c r="N845" s="380"/>
    </row>
    <row r="846" spans="1:32" s="228" customFormat="1" ht="13.6" customHeight="1" thickBot="1" x14ac:dyDescent="0.3">
      <c r="B846" s="428"/>
      <c r="C846" s="428"/>
      <c r="D846" s="690"/>
      <c r="E846" s="690"/>
      <c r="F846" s="690"/>
      <c r="G846" s="690"/>
      <c r="H846" s="690"/>
      <c r="I846" s="690"/>
      <c r="J846" s="499" t="str">
        <f>Noty!J845</f>
        <v>ukryj</v>
      </c>
      <c r="L846" s="230"/>
      <c r="N846" s="380"/>
    </row>
    <row r="847" spans="1:32" s="228" customFormat="1" ht="15.75" customHeight="1" thickBot="1" x14ac:dyDescent="0.35">
      <c r="A847" s="1183">
        <f>A820</f>
        <v>1</v>
      </c>
      <c r="B847" s="1184">
        <f>IF(K847="n/a",B822,B822+1)</f>
        <v>0</v>
      </c>
      <c r="C847" s="1462" t="s">
        <v>10044</v>
      </c>
      <c r="D847" s="1462"/>
      <c r="E847" s="1462"/>
      <c r="F847" s="1462"/>
      <c r="G847" s="1462"/>
      <c r="H847" s="1462"/>
      <c r="I847" s="1462"/>
      <c r="J847" s="499" t="str">
        <f>IF(Noty!K847="n/a","ukryj","odkryj")</f>
        <v>ukryj</v>
      </c>
      <c r="K847" s="1213" t="str">
        <f>IF(Input!D145="nie","n/a","")</f>
        <v>n/a</v>
      </c>
      <c r="L847" s="971" t="str">
        <f>A847&amp;"."&amp;B847</f>
        <v>1.0</v>
      </c>
      <c r="N847" s="1101" t="s">
        <v>9378</v>
      </c>
      <c r="O847" s="489" t="str">
        <f>A847&amp;"."&amp;B847</f>
        <v>1.0</v>
      </c>
    </row>
    <row r="848" spans="1:32" s="228" customFormat="1" x14ac:dyDescent="0.25">
      <c r="B848" s="428"/>
      <c r="C848" s="428"/>
      <c r="D848" s="691"/>
      <c r="E848" s="691"/>
      <c r="F848" s="691"/>
      <c r="G848" s="690"/>
      <c r="H848" s="690"/>
      <c r="I848" s="690"/>
      <c r="J848" s="499" t="str">
        <f>Noty!J847</f>
        <v>ukryj</v>
      </c>
      <c r="N848" s="380"/>
    </row>
    <row r="849" spans="1:14" s="226" customFormat="1" ht="81" customHeight="1" x14ac:dyDescent="0.25">
      <c r="A849" s="228"/>
      <c r="B849" s="1401" t="s">
        <v>10008</v>
      </c>
      <c r="C849" s="1401"/>
      <c r="D849" s="694" t="s">
        <v>10045</v>
      </c>
      <c r="E849" s="694" t="s">
        <v>10046</v>
      </c>
      <c r="F849" s="694" t="s">
        <v>10047</v>
      </c>
      <c r="G849" s="694" t="s">
        <v>10048</v>
      </c>
      <c r="H849" s="694" t="s">
        <v>10049</v>
      </c>
      <c r="I849" s="694" t="s">
        <v>10050</v>
      </c>
      <c r="J849" s="499" t="str">
        <f>Noty!J848</f>
        <v>ukryj</v>
      </c>
      <c r="N849" s="430"/>
    </row>
    <row r="850" spans="1:14" s="228" customFormat="1" ht="27" customHeight="1" x14ac:dyDescent="0.25">
      <c r="B850" s="1399" t="s">
        <v>10009</v>
      </c>
      <c r="C850" s="1399"/>
      <c r="D850" s="695"/>
      <c r="E850" s="676">
        <f>SUM(E851:E853)</f>
        <v>0</v>
      </c>
      <c r="F850" s="676">
        <f>SUM(F851:F853)</f>
        <v>0</v>
      </c>
      <c r="G850" s="676">
        <f>SUM(G851:G853)</f>
        <v>0</v>
      </c>
      <c r="H850" s="676">
        <f>SUM(H851:H853)</f>
        <v>0</v>
      </c>
      <c r="I850" s="676">
        <f>SUM(I851:I853)</f>
        <v>0</v>
      </c>
      <c r="J850" s="499" t="str">
        <f>IF(Noty!E850=0,"ukryj","odkryj")</f>
        <v>ukryj</v>
      </c>
      <c r="N850" s="380"/>
    </row>
    <row r="851" spans="1:14" s="228" customFormat="1" ht="13.6" customHeight="1" x14ac:dyDescent="0.25">
      <c r="B851" s="435"/>
      <c r="C851" s="436"/>
      <c r="D851" s="675"/>
      <c r="E851" s="675"/>
      <c r="F851" s="675"/>
      <c r="G851" s="675"/>
      <c r="H851" s="675"/>
      <c r="I851" s="675"/>
      <c r="J851" s="499" t="str">
        <f>IF(Noty!E851=0,"ukryj","odkryj")</f>
        <v>ukryj</v>
      </c>
      <c r="N851" s="380"/>
    </row>
    <row r="852" spans="1:14" s="228" customFormat="1" ht="13.6" customHeight="1" x14ac:dyDescent="0.25">
      <c r="B852" s="435"/>
      <c r="C852" s="436"/>
      <c r="D852" s="675"/>
      <c r="E852" s="675"/>
      <c r="F852" s="675"/>
      <c r="G852" s="675"/>
      <c r="H852" s="675"/>
      <c r="I852" s="675"/>
      <c r="J852" s="499" t="str">
        <f>IF(Noty!E852=0,"ukryj","odkryj")</f>
        <v>ukryj</v>
      </c>
      <c r="N852" s="380"/>
    </row>
    <row r="853" spans="1:14" s="228" customFormat="1" ht="13.6" customHeight="1" x14ac:dyDescent="0.25">
      <c r="B853" s="435"/>
      <c r="C853" s="436"/>
      <c r="D853" s="675"/>
      <c r="E853" s="675"/>
      <c r="F853" s="675"/>
      <c r="G853" s="675"/>
      <c r="H853" s="675"/>
      <c r="I853" s="675"/>
      <c r="J853" s="499" t="str">
        <f>IF(Noty!E853=0,"ukryj","odkryj")</f>
        <v>ukryj</v>
      </c>
      <c r="N853" s="380"/>
    </row>
    <row r="854" spans="1:14" s="228" customFormat="1" ht="27" customHeight="1" x14ac:dyDescent="0.25">
      <c r="B854" s="1399" t="s">
        <v>10016</v>
      </c>
      <c r="C854" s="1399"/>
      <c r="D854" s="695"/>
      <c r="E854" s="676">
        <f>SUM(E855:E857)</f>
        <v>0</v>
      </c>
      <c r="F854" s="676">
        <f>SUM(F855:F857)</f>
        <v>0</v>
      </c>
      <c r="G854" s="676">
        <f>SUM(G855:G857)</f>
        <v>0</v>
      </c>
      <c r="H854" s="676">
        <f>SUM(H855:H857)</f>
        <v>0</v>
      </c>
      <c r="I854" s="676">
        <f>SUM(I855:I857)</f>
        <v>0</v>
      </c>
      <c r="J854" s="499" t="str">
        <f>IF(Noty!E854=0,"ukryj","odkryj")</f>
        <v>ukryj</v>
      </c>
      <c r="N854" s="380"/>
    </row>
    <row r="855" spans="1:14" s="228" customFormat="1" ht="13.6" customHeight="1" x14ac:dyDescent="0.25">
      <c r="B855" s="435"/>
      <c r="C855" s="436"/>
      <c r="D855" s="675"/>
      <c r="E855" s="675"/>
      <c r="F855" s="675"/>
      <c r="G855" s="675"/>
      <c r="H855" s="675"/>
      <c r="I855" s="675"/>
      <c r="J855" s="499" t="str">
        <f>IF(Noty!E855=0,"ukryj","odkryj")</f>
        <v>ukryj</v>
      </c>
      <c r="N855" s="380"/>
    </row>
    <row r="856" spans="1:14" s="228" customFormat="1" ht="13.6" customHeight="1" x14ac:dyDescent="0.25">
      <c r="B856" s="435"/>
      <c r="C856" s="436"/>
      <c r="D856" s="675"/>
      <c r="E856" s="675"/>
      <c r="F856" s="675"/>
      <c r="G856" s="675"/>
      <c r="H856" s="675"/>
      <c r="I856" s="675"/>
      <c r="J856" s="499" t="str">
        <f>IF(Noty!E856=0,"ukryj","odkryj")</f>
        <v>ukryj</v>
      </c>
      <c r="N856" s="380"/>
    </row>
    <row r="857" spans="1:14" s="228" customFormat="1" ht="13.6" customHeight="1" x14ac:dyDescent="0.25">
      <c r="B857" s="435"/>
      <c r="C857" s="436"/>
      <c r="D857" s="675"/>
      <c r="E857" s="675"/>
      <c r="F857" s="675"/>
      <c r="G857" s="675"/>
      <c r="H857" s="675"/>
      <c r="I857" s="675"/>
      <c r="J857" s="499" t="str">
        <f>IF(Noty!E857=0,"ukryj","odkryj")</f>
        <v>ukryj</v>
      </c>
      <c r="N857" s="380"/>
    </row>
    <row r="858" spans="1:14" s="228" customFormat="1" ht="27" customHeight="1" x14ac:dyDescent="0.25">
      <c r="B858" s="1399" t="s">
        <v>10023</v>
      </c>
      <c r="C858" s="1399"/>
      <c r="D858" s="695"/>
      <c r="E858" s="676">
        <f>SUM(E859:E861)</f>
        <v>0</v>
      </c>
      <c r="F858" s="676">
        <f>SUM(F859:F861)</f>
        <v>0</v>
      </c>
      <c r="G858" s="676">
        <f>SUM(G859:G861)</f>
        <v>0</v>
      </c>
      <c r="H858" s="676">
        <f>SUM(H859:H861)</f>
        <v>0</v>
      </c>
      <c r="I858" s="676">
        <f>SUM(I859:I861)</f>
        <v>0</v>
      </c>
      <c r="J858" s="499" t="str">
        <f>IF(Noty!E858=0,"ukryj","odkryj")</f>
        <v>ukryj</v>
      </c>
      <c r="N858" s="380"/>
    </row>
    <row r="859" spans="1:14" s="228" customFormat="1" ht="13.6" customHeight="1" x14ac:dyDescent="0.25">
      <c r="B859" s="435"/>
      <c r="C859" s="436"/>
      <c r="D859" s="675"/>
      <c r="E859" s="675"/>
      <c r="F859" s="675"/>
      <c r="G859" s="675"/>
      <c r="H859" s="675"/>
      <c r="I859" s="675"/>
      <c r="J859" s="499" t="str">
        <f>IF(Noty!E859=0,"ukryj","odkryj")</f>
        <v>ukryj</v>
      </c>
      <c r="N859" s="380"/>
    </row>
    <row r="860" spans="1:14" s="228" customFormat="1" ht="13.6" customHeight="1" x14ac:dyDescent="0.25">
      <c r="B860" s="435"/>
      <c r="C860" s="436"/>
      <c r="D860" s="675"/>
      <c r="E860" s="675"/>
      <c r="F860" s="675"/>
      <c r="G860" s="675"/>
      <c r="H860" s="675"/>
      <c r="I860" s="675"/>
      <c r="J860" s="499" t="str">
        <f>IF(Noty!E860=0,"ukryj","odkryj")</f>
        <v>ukryj</v>
      </c>
      <c r="N860" s="380"/>
    </row>
    <row r="861" spans="1:14" s="228" customFormat="1" ht="13.6" customHeight="1" x14ac:dyDescent="0.25">
      <c r="B861" s="435"/>
      <c r="C861" s="436"/>
      <c r="D861" s="675"/>
      <c r="E861" s="675"/>
      <c r="F861" s="675"/>
      <c r="G861" s="675"/>
      <c r="H861" s="675"/>
      <c r="I861" s="675"/>
      <c r="J861" s="499" t="str">
        <f>IF(Noty!E861=0,"ukryj","odkryj")</f>
        <v>ukryj</v>
      </c>
      <c r="N861" s="380"/>
    </row>
    <row r="862" spans="1:14" s="228" customFormat="1" ht="27" customHeight="1" x14ac:dyDescent="0.25">
      <c r="B862" s="1399" t="s">
        <v>10030</v>
      </c>
      <c r="C862" s="1399"/>
      <c r="D862" s="695"/>
      <c r="E862" s="676">
        <f>SUM(E863:E865)</f>
        <v>0</v>
      </c>
      <c r="F862" s="676">
        <f>SUM(F863:F865)</f>
        <v>0</v>
      </c>
      <c r="G862" s="676">
        <f>SUM(G863:G865)</f>
        <v>0</v>
      </c>
      <c r="H862" s="676">
        <f>SUM(H863:H865)</f>
        <v>0</v>
      </c>
      <c r="I862" s="676">
        <f>SUM(I863:I865)</f>
        <v>0</v>
      </c>
      <c r="J862" s="499" t="str">
        <f>IF(Noty!E862=0,"ukryj","odkryj")</f>
        <v>ukryj</v>
      </c>
      <c r="N862" s="380"/>
    </row>
    <row r="863" spans="1:14" s="228" customFormat="1" ht="13.6" customHeight="1" x14ac:dyDescent="0.25">
      <c r="B863" s="435"/>
      <c r="C863" s="436"/>
      <c r="D863" s="675"/>
      <c r="E863" s="675"/>
      <c r="F863" s="675"/>
      <c r="G863" s="675"/>
      <c r="H863" s="675"/>
      <c r="I863" s="675"/>
      <c r="J863" s="499" t="str">
        <f>IF(Noty!E863=0,"ukryj","odkryj")</f>
        <v>ukryj</v>
      </c>
      <c r="N863" s="380"/>
    </row>
    <row r="864" spans="1:14" s="228" customFormat="1" ht="13.6" customHeight="1" x14ac:dyDescent="0.25">
      <c r="B864" s="435"/>
      <c r="C864" s="436"/>
      <c r="D864" s="675"/>
      <c r="E864" s="675"/>
      <c r="F864" s="675"/>
      <c r="G864" s="675"/>
      <c r="H864" s="675"/>
      <c r="I864" s="675"/>
      <c r="J864" s="499" t="str">
        <f>IF(Noty!E864=0,"ukryj","odkryj")</f>
        <v>ukryj</v>
      </c>
      <c r="N864" s="380"/>
    </row>
    <row r="865" spans="1:32" s="228" customFormat="1" ht="13.6" customHeight="1" x14ac:dyDescent="0.25">
      <c r="B865" s="435"/>
      <c r="C865" s="436"/>
      <c r="D865" s="675"/>
      <c r="E865" s="675"/>
      <c r="F865" s="675"/>
      <c r="G865" s="675"/>
      <c r="H865" s="675"/>
      <c r="I865" s="675"/>
      <c r="J865" s="499" t="str">
        <f>IF(Noty!E865=0,"ukryj","odkryj")</f>
        <v>ukryj</v>
      </c>
      <c r="N865" s="380"/>
    </row>
    <row r="866" spans="1:32" s="228" customFormat="1" ht="40.6" customHeight="1" x14ac:dyDescent="0.25">
      <c r="B866" s="1399" t="s">
        <v>10037</v>
      </c>
      <c r="C866" s="1399"/>
      <c r="D866" s="695"/>
      <c r="E866" s="676">
        <f>SUM(E867:E869)</f>
        <v>0</v>
      </c>
      <c r="F866" s="676">
        <f>SUM(F867:F869)</f>
        <v>0</v>
      </c>
      <c r="G866" s="676">
        <f>SUM(G867:G869)</f>
        <v>0</v>
      </c>
      <c r="H866" s="676">
        <f>SUM(H867:H869)</f>
        <v>0</v>
      </c>
      <c r="I866" s="676">
        <f>SUM(I867:I869)</f>
        <v>0</v>
      </c>
      <c r="J866" s="499" t="str">
        <f>IF(Noty!E866=0,"ukryj","odkryj")</f>
        <v>ukryj</v>
      </c>
      <c r="N866" s="380"/>
    </row>
    <row r="867" spans="1:32" s="228" customFormat="1" ht="13.6" customHeight="1" x14ac:dyDescent="0.25">
      <c r="B867" s="437"/>
      <c r="C867" s="438"/>
      <c r="D867" s="675"/>
      <c r="E867" s="675"/>
      <c r="F867" s="675"/>
      <c r="G867" s="675"/>
      <c r="H867" s="675"/>
      <c r="I867" s="675"/>
      <c r="J867" s="499" t="str">
        <f>IF(Noty!E867=0,"ukryj","odkryj")</f>
        <v>ukryj</v>
      </c>
      <c r="N867" s="380"/>
    </row>
    <row r="868" spans="1:32" s="228" customFormat="1" ht="13.6" customHeight="1" x14ac:dyDescent="0.25">
      <c r="B868" s="437"/>
      <c r="C868" s="438"/>
      <c r="D868" s="675"/>
      <c r="E868" s="675"/>
      <c r="F868" s="675"/>
      <c r="G868" s="675"/>
      <c r="H868" s="675"/>
      <c r="I868" s="675"/>
      <c r="J868" s="499" t="str">
        <f>IF(Noty!E868=0,"ukryj","odkryj")</f>
        <v>ukryj</v>
      </c>
      <c r="N868" s="380"/>
    </row>
    <row r="869" spans="1:32" s="228" customFormat="1" ht="13.6" customHeight="1" x14ac:dyDescent="0.25">
      <c r="B869" s="437"/>
      <c r="C869" s="438"/>
      <c r="D869" s="675"/>
      <c r="E869" s="675"/>
      <c r="F869" s="675"/>
      <c r="G869" s="675"/>
      <c r="H869" s="675"/>
      <c r="I869" s="675"/>
      <c r="J869" s="499" t="str">
        <f>IF(Noty!E869=0,"ukryj","odkryj")</f>
        <v>ukryj</v>
      </c>
      <c r="N869" s="380"/>
    </row>
    <row r="870" spans="1:32" s="228" customFormat="1" ht="13.6" customHeight="1" x14ac:dyDescent="0.25">
      <c r="B870" s="428"/>
      <c r="C870" s="434"/>
      <c r="D870" s="696"/>
      <c r="E870" s="836">
        <f>E850+E854+E858+E862+E866</f>
        <v>0</v>
      </c>
      <c r="F870" s="836">
        <f>F850+F854+F858+F862+F866</f>
        <v>0</v>
      </c>
      <c r="G870" s="836">
        <f>G850+G854+G858+G862+G866</f>
        <v>0</v>
      </c>
      <c r="H870" s="836">
        <f>H850+H854+H858+H862+H866</f>
        <v>0</v>
      </c>
      <c r="I870" s="836">
        <f>I850+I854+I858+I862+I866</f>
        <v>0</v>
      </c>
      <c r="J870" s="499" t="str">
        <f>IF(Noty!E870=0,"ukryj","odkryj")</f>
        <v>ukryj</v>
      </c>
      <c r="N870" s="380"/>
    </row>
    <row r="871" spans="1:32" s="228" customFormat="1" ht="13.6" customHeight="1" thickBot="1" x14ac:dyDescent="0.3">
      <c r="B871" s="428"/>
      <c r="C871" s="428"/>
      <c r="D871" s="634"/>
      <c r="E871" s="634"/>
      <c r="F871" s="697"/>
      <c r="G871" s="697"/>
      <c r="H871" s="697"/>
      <c r="I871" s="697"/>
      <c r="J871" s="499" t="str">
        <f>Noty!J870</f>
        <v>ukryj</v>
      </c>
      <c r="L871" s="230"/>
      <c r="N871" s="380"/>
    </row>
    <row r="872" spans="1:32" s="228" customFormat="1" ht="15.75" customHeight="1" thickBot="1" x14ac:dyDescent="0.35">
      <c r="A872" s="1183">
        <f>A820</f>
        <v>1</v>
      </c>
      <c r="B872" s="1184">
        <f>IF(K872="n/a",B847,B847+1)</f>
        <v>0</v>
      </c>
      <c r="C872" s="1369" t="s">
        <v>10051</v>
      </c>
      <c r="D872" s="1369"/>
      <c r="E872" s="1369"/>
      <c r="F872" s="1369"/>
      <c r="G872" s="1369"/>
      <c r="H872" s="1369"/>
      <c r="I872" s="1369"/>
      <c r="J872" s="499" t="str">
        <f>IF(Noty!K872="n/a","ukryj","odkryj")</f>
        <v>ukryj</v>
      </c>
      <c r="K872" s="1213" t="str">
        <f>IF(Input!D146="nie","n/a","")</f>
        <v>n/a</v>
      </c>
      <c r="L872" s="971" t="str">
        <f>A872&amp;"."&amp;B872</f>
        <v>1.0</v>
      </c>
      <c r="N872" s="1101" t="s">
        <v>9378</v>
      </c>
      <c r="O872" s="489" t="str">
        <f>A872&amp;"."&amp;B872</f>
        <v>1.0</v>
      </c>
    </row>
    <row r="873" spans="1:32" s="228" customFormat="1" x14ac:dyDescent="0.25">
      <c r="B873" s="428"/>
      <c r="C873" s="428"/>
      <c r="D873" s="645"/>
      <c r="E873" s="645"/>
      <c r="F873" s="645"/>
      <c r="G873" s="645"/>
      <c r="H873" s="698"/>
      <c r="I873" s="634"/>
      <c r="J873" s="499" t="str">
        <f>Noty!J872</f>
        <v>ukryj</v>
      </c>
      <c r="N873" s="380"/>
    </row>
    <row r="874" spans="1:32" s="228" customFormat="1" ht="26.2" x14ac:dyDescent="0.3">
      <c r="B874" s="428"/>
      <c r="C874" s="1400" t="s">
        <v>10052</v>
      </c>
      <c r="D874" s="1400"/>
      <c r="E874" s="634"/>
      <c r="F874"/>
      <c r="G874"/>
      <c r="H874" s="699" t="str">
        <f>CONCATENATE("Stan na ",Input!$C$7)</f>
        <v>Stan na 31.12.2020</v>
      </c>
      <c r="I874" s="699" t="str">
        <f>CONCATENATE("Stan na ",Input!$C$11)</f>
        <v>Stan na 31.12.2019</v>
      </c>
      <c r="J874" s="499" t="str">
        <f>Noty!J873</f>
        <v>ukryj</v>
      </c>
      <c r="N874" s="380"/>
      <c r="AC874"/>
      <c r="AD874"/>
    </row>
    <row r="875" spans="1:32" s="228" customFormat="1" ht="13.6" customHeight="1" x14ac:dyDescent="0.3">
      <c r="B875" s="428"/>
      <c r="C875" s="428"/>
      <c r="D875" s="700"/>
      <c r="E875" s="634"/>
      <c r="F875"/>
      <c r="G875"/>
      <c r="H875" s="701"/>
      <c r="I875" s="701"/>
      <c r="J875" s="499" t="str">
        <f>Noty!J874</f>
        <v>ukryj</v>
      </c>
      <c r="N875" s="380"/>
      <c r="AC875"/>
      <c r="AD875"/>
    </row>
    <row r="876" spans="1:32" s="228" customFormat="1" ht="27" customHeight="1" x14ac:dyDescent="0.3">
      <c r="B876" s="428"/>
      <c r="C876" s="1397" t="s">
        <v>10053</v>
      </c>
      <c r="D876" s="1397"/>
      <c r="E876" s="1397"/>
      <c r="F876"/>
      <c r="G876"/>
      <c r="H876" s="702">
        <f>SUM(F877:F879)</f>
        <v>0</v>
      </c>
      <c r="I876" s="702">
        <f>SUM(G877:G879)</f>
        <v>0</v>
      </c>
      <c r="J876" s="499" t="str">
        <f>IF(AND(Noty!F876=0,Noty!G876=0),"ukryj","odkryj")</f>
        <v>ukryj</v>
      </c>
      <c r="N876" s="380"/>
      <c r="AC876"/>
      <c r="AD876"/>
    </row>
    <row r="877" spans="1:32" s="228" customFormat="1" ht="13.6" customHeight="1" x14ac:dyDescent="0.3">
      <c r="B877" s="428"/>
      <c r="C877" s="1398"/>
      <c r="D877" s="1398"/>
      <c r="E877" s="1398"/>
      <c r="F877"/>
      <c r="G877"/>
      <c r="H877" s="703"/>
      <c r="I877" s="703"/>
      <c r="J877" s="499" t="str">
        <f>IF(AND(Noty!F877=0,Noty!G877=0),"ukryj","odkryj")</f>
        <v>ukryj</v>
      </c>
      <c r="N877" s="380"/>
      <c r="AC877"/>
      <c r="AD877"/>
      <c r="AE877" s="228" t="s">
        <v>10054</v>
      </c>
      <c r="AF877" s="228" t="s">
        <v>10055</v>
      </c>
    </row>
    <row r="878" spans="1:32" s="228" customFormat="1" ht="13.6" customHeight="1" x14ac:dyDescent="0.3">
      <c r="B878" s="428"/>
      <c r="C878" s="1398"/>
      <c r="D878" s="1398"/>
      <c r="E878" s="1398"/>
      <c r="F878"/>
      <c r="G878"/>
      <c r="H878" s="703"/>
      <c r="I878" s="703"/>
      <c r="J878" s="499" t="str">
        <f>IF(AND(Noty!F878=0,Noty!G878=0),"ukryj","odkryj")</f>
        <v>ukryj</v>
      </c>
      <c r="N878" s="380"/>
      <c r="AC878"/>
      <c r="AD878"/>
      <c r="AE878" s="228" t="s">
        <v>10056</v>
      </c>
      <c r="AF878" s="228" t="s">
        <v>10057</v>
      </c>
    </row>
    <row r="879" spans="1:32" s="228" customFormat="1" ht="13.6" customHeight="1" x14ac:dyDescent="0.3">
      <c r="B879" s="428"/>
      <c r="C879" s="1398"/>
      <c r="D879" s="1398"/>
      <c r="E879" s="1398"/>
      <c r="F879"/>
      <c r="G879"/>
      <c r="H879" s="703"/>
      <c r="I879" s="703"/>
      <c r="J879" s="499" t="str">
        <f>IF(AND(Noty!F879=0,Noty!G879=0),"ukryj","odkryj")</f>
        <v>ukryj</v>
      </c>
      <c r="N879" s="380"/>
      <c r="AC879"/>
      <c r="AD879"/>
      <c r="AE879" s="228" t="s">
        <v>10058</v>
      </c>
      <c r="AF879" s="228" t="s">
        <v>10059</v>
      </c>
    </row>
    <row r="880" spans="1:32" s="228" customFormat="1" ht="27.85" customHeight="1" x14ac:dyDescent="0.3">
      <c r="B880" s="428"/>
      <c r="C880" s="1397" t="s">
        <v>10060</v>
      </c>
      <c r="D880" s="1397"/>
      <c r="E880" s="1397"/>
      <c r="F880"/>
      <c r="G880"/>
      <c r="H880" s="702">
        <f>SUM(F881:F882)</f>
        <v>0</v>
      </c>
      <c r="I880" s="702">
        <f>SUM(G881:G882)</f>
        <v>0</v>
      </c>
      <c r="J880" s="499" t="str">
        <f>IF(AND(Noty!F880=0,Noty!G880=0),"ukryj","odkryj")</f>
        <v>ukryj</v>
      </c>
      <c r="N880" s="380"/>
      <c r="AC880"/>
      <c r="AD880"/>
    </row>
    <row r="881" spans="1:32" s="228" customFormat="1" ht="13.6" customHeight="1" x14ac:dyDescent="0.3">
      <c r="B881" s="428"/>
      <c r="C881" s="1398"/>
      <c r="D881" s="1398"/>
      <c r="E881" s="1398"/>
      <c r="F881"/>
      <c r="G881"/>
      <c r="H881" s="703"/>
      <c r="I881" s="703"/>
      <c r="J881" s="499" t="str">
        <f>IF(AND(Noty!F881=0,Noty!G881=0),"ukryj","odkryj")</f>
        <v>ukryj</v>
      </c>
      <c r="N881" s="380"/>
      <c r="AC881"/>
      <c r="AD881"/>
      <c r="AE881" s="228" t="s">
        <v>10061</v>
      </c>
      <c r="AF881" s="228" t="s">
        <v>10062</v>
      </c>
    </row>
    <row r="882" spans="1:32" s="228" customFormat="1" ht="13.6" customHeight="1" x14ac:dyDescent="0.3">
      <c r="B882" s="428"/>
      <c r="C882" s="1398"/>
      <c r="D882" s="1398"/>
      <c r="E882" s="1398"/>
      <c r="F882"/>
      <c r="G882"/>
      <c r="H882" s="703"/>
      <c r="I882" s="703"/>
      <c r="J882" s="499" t="str">
        <f>IF(AND(Noty!F882=0,Noty!G882=0),"ukryj","odkryj")</f>
        <v>ukryj</v>
      </c>
      <c r="N882" s="380"/>
      <c r="AC882"/>
      <c r="AD882"/>
      <c r="AE882" s="228" t="s">
        <v>10063</v>
      </c>
      <c r="AF882" s="228" t="s">
        <v>10064</v>
      </c>
    </row>
    <row r="883" spans="1:32" s="228" customFormat="1" ht="40.6" customHeight="1" x14ac:dyDescent="0.3">
      <c r="B883" s="428"/>
      <c r="C883" s="1397" t="s">
        <v>10065</v>
      </c>
      <c r="D883" s="1397"/>
      <c r="E883" s="1397"/>
      <c r="F883"/>
      <c r="G883"/>
      <c r="H883" s="702">
        <f>SUM(F884:F886)</f>
        <v>0</v>
      </c>
      <c r="I883" s="702">
        <f>SUM(G884:G886)</f>
        <v>0</v>
      </c>
      <c r="J883" s="499" t="str">
        <f>IF(AND(Noty!F883=0,Noty!G883=0),"ukryj","odkryj")</f>
        <v>ukryj</v>
      </c>
      <c r="N883" s="380"/>
      <c r="AC883"/>
      <c r="AD883"/>
    </row>
    <row r="884" spans="1:32" s="228" customFormat="1" ht="13.6" customHeight="1" x14ac:dyDescent="0.3">
      <c r="B884" s="428"/>
      <c r="C884" s="1398"/>
      <c r="D884" s="1398"/>
      <c r="E884" s="1398"/>
      <c r="F884"/>
      <c r="G884"/>
      <c r="H884" s="703"/>
      <c r="I884" s="703"/>
      <c r="J884" s="499" t="str">
        <f>IF(AND(Noty!F884=0,Noty!G884=0),"ukryj","odkryj")</f>
        <v>ukryj</v>
      </c>
      <c r="N884" s="380"/>
      <c r="AC884"/>
      <c r="AD884"/>
      <c r="AE884" s="228" t="s">
        <v>10066</v>
      </c>
      <c r="AF884" s="228" t="s">
        <v>10067</v>
      </c>
    </row>
    <row r="885" spans="1:32" s="228" customFormat="1" ht="13.6" customHeight="1" x14ac:dyDescent="0.3">
      <c r="B885" s="428"/>
      <c r="C885" s="1398"/>
      <c r="D885" s="1398"/>
      <c r="E885" s="1398"/>
      <c r="F885"/>
      <c r="G885"/>
      <c r="H885" s="703"/>
      <c r="I885" s="703"/>
      <c r="J885" s="499" t="str">
        <f>IF(AND(Noty!F885=0,Noty!G885=0),"ukryj","odkryj")</f>
        <v>ukryj</v>
      </c>
      <c r="N885" s="380"/>
      <c r="AC885"/>
      <c r="AD885"/>
      <c r="AE885" s="228" t="s">
        <v>10068</v>
      </c>
      <c r="AF885" s="228" t="s">
        <v>10069</v>
      </c>
    </row>
    <row r="886" spans="1:32" s="228" customFormat="1" ht="13.6" customHeight="1" x14ac:dyDescent="0.3">
      <c r="B886" s="428"/>
      <c r="C886" s="1398"/>
      <c r="D886" s="1398"/>
      <c r="E886" s="1398"/>
      <c r="F886"/>
      <c r="G886"/>
      <c r="H886" s="703"/>
      <c r="I886" s="703"/>
      <c r="J886" s="499" t="str">
        <f>IF(AND(Noty!F886=0,Noty!G886=0),"ukryj","odkryj")</f>
        <v>ukryj</v>
      </c>
      <c r="N886" s="380"/>
      <c r="AC886"/>
      <c r="AD886"/>
      <c r="AE886" s="228" t="s">
        <v>10070</v>
      </c>
      <c r="AF886" s="228" t="s">
        <v>10071</v>
      </c>
    </row>
    <row r="887" spans="1:32" s="228" customFormat="1" ht="13.6" customHeight="1" x14ac:dyDescent="0.3">
      <c r="B887" s="428"/>
      <c r="C887" s="428"/>
      <c r="D887" s="816"/>
      <c r="E887" s="634"/>
      <c r="F887"/>
      <c r="G887"/>
      <c r="H887" s="619">
        <f>SUM(F876:F886)</f>
        <v>0</v>
      </c>
      <c r="I887" s="619">
        <f>SUM(G876:G886)</f>
        <v>0</v>
      </c>
      <c r="J887" s="499" t="str">
        <f>IF(AND(Noty!F887=0,Noty!G887=0),"ukryj","odkryj")</f>
        <v>ukryj</v>
      </c>
      <c r="N887" s="380"/>
      <c r="AC887"/>
      <c r="AD887"/>
    </row>
    <row r="888" spans="1:32" s="228" customFormat="1" ht="13.6" customHeight="1" thickBot="1" x14ac:dyDescent="0.35">
      <c r="B888" s="428"/>
      <c r="C888" s="428"/>
      <c r="D888" s="634"/>
      <c r="E888" s="634"/>
      <c r="F888"/>
      <c r="G888"/>
      <c r="H888" s="634"/>
      <c r="I888" s="634"/>
      <c r="J888" s="499" t="str">
        <f>Noty!J875</f>
        <v>ukryj</v>
      </c>
      <c r="L888" s="230"/>
      <c r="N888" s="380"/>
      <c r="AC888"/>
      <c r="AD888"/>
    </row>
    <row r="889" spans="1:32" s="228" customFormat="1" ht="15.75" thickBot="1" x14ac:dyDescent="0.35">
      <c r="A889" s="1183">
        <f>A820</f>
        <v>1</v>
      </c>
      <c r="B889" s="1184">
        <f>IF(K889="n/a",B872,B872+1)</f>
        <v>0</v>
      </c>
      <c r="C889" s="1472" t="s">
        <v>10072</v>
      </c>
      <c r="D889" s="1472"/>
      <c r="E889" s="1472"/>
      <c r="F889" s="1472"/>
      <c r="G889" s="1472"/>
      <c r="H889" s="1472"/>
      <c r="I889" s="1472"/>
      <c r="J889" s="499" t="str">
        <f>IF(Noty!K889="n/a","ukryj","odkryj")</f>
        <v>ukryj</v>
      </c>
      <c r="K889" s="1213" t="str">
        <f>IF(Input!D147="nie","n/a","")</f>
        <v>n/a</v>
      </c>
      <c r="L889" s="971" t="str">
        <f>A889&amp;"."&amp;B889</f>
        <v>1.0</v>
      </c>
      <c r="N889" s="1101" t="s">
        <v>9378</v>
      </c>
      <c r="O889" s="489" t="str">
        <f>A889&amp;"."&amp;B889</f>
        <v>1.0</v>
      </c>
    </row>
    <row r="890" spans="1:32" s="228" customFormat="1" x14ac:dyDescent="0.25">
      <c r="A890" s="440"/>
      <c r="B890" s="440"/>
      <c r="C890" s="440"/>
      <c r="D890" s="704"/>
      <c r="E890" s="704"/>
      <c r="F890" s="704"/>
      <c r="G890" s="704"/>
      <c r="H890" s="704"/>
      <c r="I890" s="634"/>
      <c r="J890" s="499" t="str">
        <f>Noty!J889</f>
        <v>ukryj</v>
      </c>
      <c r="K890" s="440"/>
      <c r="L890" s="440"/>
      <c r="N890" s="380"/>
    </row>
    <row r="891" spans="1:32" s="228" customFormat="1" ht="39.799999999999997" customHeight="1" x14ac:dyDescent="0.25">
      <c r="A891" s="440"/>
      <c r="B891" s="440"/>
      <c r="C891" s="1402" t="s">
        <v>10073</v>
      </c>
      <c r="D891" s="1402"/>
      <c r="E891" s="1402"/>
      <c r="F891" s="1402"/>
      <c r="G891" s="1402"/>
      <c r="H891" s="1402"/>
      <c r="I891" s="1402"/>
      <c r="J891" s="499" t="str">
        <f>Noty!J890</f>
        <v>ukryj</v>
      </c>
      <c r="K891" s="440"/>
      <c r="L891" s="440"/>
      <c r="N891" s="380"/>
    </row>
    <row r="892" spans="1:32" s="228" customFormat="1" x14ac:dyDescent="0.25">
      <c r="A892" s="440"/>
      <c r="B892" s="440"/>
      <c r="C892" s="441"/>
      <c r="D892" s="1403"/>
      <c r="E892" s="1403"/>
      <c r="F892" s="1403"/>
      <c r="G892" s="1403"/>
      <c r="H892" s="1403"/>
      <c r="I892" s="634"/>
      <c r="J892" s="499" t="str">
        <f>Noty!J891</f>
        <v>ukryj</v>
      </c>
      <c r="K892" s="440"/>
      <c r="L892" s="440"/>
      <c r="N892" s="380"/>
    </row>
    <row r="893" spans="1:32" s="228" customFormat="1" ht="26.2" customHeight="1" x14ac:dyDescent="0.25">
      <c r="A893" s="440"/>
      <c r="B893" s="440"/>
      <c r="C893" s="1402" t="s">
        <v>10074</v>
      </c>
      <c r="D893" s="1402"/>
      <c r="E893" s="1402"/>
      <c r="F893" s="1402"/>
      <c r="G893" s="1402"/>
      <c r="H893" s="1402"/>
      <c r="I893" s="1402"/>
      <c r="J893" s="499" t="str">
        <f>Noty!J892</f>
        <v>ukryj</v>
      </c>
      <c r="K893" s="440"/>
      <c r="L893" s="440"/>
      <c r="N893" s="380"/>
    </row>
    <row r="894" spans="1:32" s="228" customFormat="1" x14ac:dyDescent="0.25">
      <c r="A894" s="440"/>
      <c r="B894" s="440"/>
      <c r="C894" s="441"/>
      <c r="D894" s="705"/>
      <c r="E894" s="706"/>
      <c r="F894" s="706"/>
      <c r="G894" s="706"/>
      <c r="H894" s="706"/>
      <c r="I894" s="634"/>
      <c r="J894" s="499" t="str">
        <f>Noty!J893</f>
        <v>ukryj</v>
      </c>
      <c r="K894" s="440"/>
      <c r="L894" s="440"/>
      <c r="N894" s="380"/>
    </row>
    <row r="895" spans="1:32" s="228" customFormat="1" ht="63.85" customHeight="1" x14ac:dyDescent="0.25">
      <c r="A895" s="440"/>
      <c r="B895" s="440"/>
      <c r="C895" s="828" t="s">
        <v>10075</v>
      </c>
      <c r="D895" s="1404" t="s">
        <v>10076</v>
      </c>
      <c r="E895" s="1404"/>
      <c r="F895" s="1404" t="s">
        <v>10077</v>
      </c>
      <c r="G895" s="1404"/>
      <c r="H895" s="1404" t="s">
        <v>10078</v>
      </c>
      <c r="I895" s="1404"/>
      <c r="J895" s="499" t="str">
        <f>Noty!J894</f>
        <v>ukryj</v>
      </c>
      <c r="K895" s="442"/>
      <c r="L895" s="442"/>
      <c r="N895" s="380"/>
    </row>
    <row r="896" spans="1:32" s="228" customFormat="1" x14ac:dyDescent="0.25">
      <c r="A896" s="440"/>
      <c r="B896" s="440"/>
      <c r="C896" s="548"/>
      <c r="D896" s="1319"/>
      <c r="E896" s="1319"/>
      <c r="F896" s="1319"/>
      <c r="G896" s="1319"/>
      <c r="H896" s="1319"/>
      <c r="I896" s="1319"/>
      <c r="J896" s="499" t="str">
        <f>Noty!J895</f>
        <v>ukryj</v>
      </c>
      <c r="K896" s="440"/>
      <c r="L896" s="440"/>
      <c r="N896" s="380"/>
    </row>
    <row r="897" spans="1:14" s="228" customFormat="1" x14ac:dyDescent="0.25">
      <c r="A897" s="440"/>
      <c r="B897" s="440"/>
      <c r="C897" s="548"/>
      <c r="D897" s="1319"/>
      <c r="E897" s="1319"/>
      <c r="F897" s="1319"/>
      <c r="G897" s="1319"/>
      <c r="H897" s="1319"/>
      <c r="I897" s="1319"/>
      <c r="J897" s="499" t="str">
        <f>Noty!J896</f>
        <v>ukryj</v>
      </c>
      <c r="K897" s="440"/>
      <c r="L897" s="440"/>
      <c r="N897" s="380"/>
    </row>
    <row r="898" spans="1:14" s="228" customFormat="1" x14ac:dyDescent="0.25">
      <c r="A898" s="440"/>
      <c r="B898" s="440"/>
      <c r="C898" s="548"/>
      <c r="D898" s="1319"/>
      <c r="E898" s="1319"/>
      <c r="F898" s="1319"/>
      <c r="G898" s="1319"/>
      <c r="H898" s="1319"/>
      <c r="I898" s="1319"/>
      <c r="J898" s="499" t="str">
        <f>Noty!J897</f>
        <v>ukryj</v>
      </c>
      <c r="K898" s="440"/>
      <c r="L898" s="440"/>
      <c r="N898" s="380"/>
    </row>
    <row r="899" spans="1:14" s="228" customFormat="1" x14ac:dyDescent="0.25">
      <c r="A899" s="440"/>
      <c r="B899" s="440"/>
      <c r="C899" s="441"/>
      <c r="D899" s="191"/>
      <c r="E899" s="191"/>
      <c r="F899" s="191"/>
      <c r="G899" s="191"/>
      <c r="H899" s="706"/>
      <c r="I899" s="634"/>
      <c r="J899" s="499" t="str">
        <f>Noty!J898</f>
        <v>ukryj</v>
      </c>
      <c r="K899" s="440"/>
      <c r="L899" s="440"/>
      <c r="N899" s="380"/>
    </row>
    <row r="900" spans="1:14" s="228" customFormat="1" ht="24.75" customHeight="1" x14ac:dyDescent="0.25">
      <c r="A900" s="440"/>
      <c r="B900" s="440"/>
      <c r="C900" s="1406" t="s">
        <v>10079</v>
      </c>
      <c r="D900" s="1406"/>
      <c r="E900" s="1406"/>
      <c r="F900" s="1406"/>
      <c r="G900" s="1406"/>
      <c r="H900" s="1406"/>
      <c r="I900" s="1406"/>
      <c r="J900" s="499" t="str">
        <f>Noty!J899</f>
        <v>ukryj</v>
      </c>
      <c r="K900" s="440"/>
      <c r="L900" s="440"/>
      <c r="N900" s="380"/>
    </row>
    <row r="901" spans="1:14" s="228" customFormat="1" x14ac:dyDescent="0.25">
      <c r="A901" s="440"/>
      <c r="B901" s="440"/>
      <c r="C901" s="440"/>
      <c r="D901" s="705"/>
      <c r="E901" s="706"/>
      <c r="F901" s="706"/>
      <c r="G901" s="706"/>
      <c r="H901" s="706"/>
      <c r="I901" s="634"/>
      <c r="J901" s="499" t="str">
        <f>Noty!J900</f>
        <v>ukryj</v>
      </c>
      <c r="K901" s="440"/>
      <c r="L901" s="440"/>
      <c r="N901" s="380"/>
    </row>
    <row r="902" spans="1:14" s="228" customFormat="1" ht="12.8" customHeight="1" x14ac:dyDescent="0.25">
      <c r="A902" s="440"/>
      <c r="B902" s="440"/>
      <c r="C902" s="1407" t="s">
        <v>10080</v>
      </c>
      <c r="D902" s="1407"/>
      <c r="E902" s="1404" t="s">
        <v>10081</v>
      </c>
      <c r="F902" s="1404" t="s">
        <v>10076</v>
      </c>
      <c r="G902" s="1404"/>
      <c r="H902" s="1404" t="s">
        <v>10082</v>
      </c>
      <c r="I902" s="1404"/>
      <c r="J902" s="499" t="str">
        <f>Noty!J901</f>
        <v>ukryj</v>
      </c>
      <c r="K902" s="442"/>
      <c r="L902" s="442"/>
      <c r="N902" s="380"/>
    </row>
    <row r="903" spans="1:14" s="228" customFormat="1" ht="89.2" customHeight="1" x14ac:dyDescent="0.25">
      <c r="A903" s="440"/>
      <c r="B903" s="440"/>
      <c r="C903" s="1407"/>
      <c r="D903" s="1407"/>
      <c r="E903" s="1404"/>
      <c r="F903" s="1404"/>
      <c r="G903" s="1404"/>
      <c r="H903" s="827" t="s">
        <v>10083</v>
      </c>
      <c r="I903" s="827" t="s">
        <v>10084</v>
      </c>
      <c r="J903" s="499" t="str">
        <f>Noty!J902</f>
        <v>ukryj</v>
      </c>
      <c r="K903" s="442"/>
      <c r="L903" s="442"/>
      <c r="N903" s="380"/>
    </row>
    <row r="904" spans="1:14" s="228" customFormat="1" x14ac:dyDescent="0.25">
      <c r="A904" s="440"/>
      <c r="B904" s="440"/>
      <c r="C904" s="1405"/>
      <c r="D904" s="1405"/>
      <c r="E904" s="703"/>
      <c r="F904" s="1319"/>
      <c r="G904" s="1319"/>
      <c r="H904" s="703"/>
      <c r="I904" s="703"/>
      <c r="J904" s="499" t="str">
        <f>Noty!J903</f>
        <v>ukryj</v>
      </c>
      <c r="K904" s="444"/>
      <c r="L904" s="444"/>
      <c r="N904" s="380"/>
    </row>
    <row r="905" spans="1:14" s="228" customFormat="1" x14ac:dyDescent="0.25">
      <c r="A905" s="440"/>
      <c r="B905" s="440"/>
      <c r="C905" s="1405"/>
      <c r="D905" s="1405"/>
      <c r="E905" s="703"/>
      <c r="F905" s="1319"/>
      <c r="G905" s="1319"/>
      <c r="H905" s="703"/>
      <c r="I905" s="703"/>
      <c r="J905" s="499" t="str">
        <f>Noty!J904</f>
        <v>ukryj</v>
      </c>
      <c r="K905" s="444"/>
      <c r="L905" s="444"/>
      <c r="N905" s="380"/>
    </row>
    <row r="906" spans="1:14" s="228" customFormat="1" x14ac:dyDescent="0.25">
      <c r="A906" s="440"/>
      <c r="B906" s="440"/>
      <c r="C906" s="1405"/>
      <c r="D906" s="1405"/>
      <c r="E906" s="703"/>
      <c r="F906" s="1319"/>
      <c r="G906" s="1319"/>
      <c r="H906" s="703"/>
      <c r="I906" s="703"/>
      <c r="J906" s="499" t="str">
        <f>Noty!J905</f>
        <v>ukryj</v>
      </c>
      <c r="K906" s="444"/>
      <c r="L906" s="444"/>
      <c r="N906" s="380"/>
    </row>
    <row r="907" spans="1:14" s="228" customFormat="1" x14ac:dyDescent="0.25">
      <c r="A907" s="440"/>
      <c r="B907" s="440"/>
      <c r="C907" s="440"/>
      <c r="D907" s="191"/>
      <c r="E907" s="191"/>
      <c r="F907" s="191"/>
      <c r="G907" s="191"/>
      <c r="H907" s="191"/>
      <c r="I907" s="634"/>
      <c r="J907" s="499" t="str">
        <f>Noty!J906</f>
        <v>ukryj</v>
      </c>
      <c r="K907" s="443"/>
      <c r="L907" s="443"/>
      <c r="N907" s="380"/>
    </row>
    <row r="908" spans="1:14" s="228" customFormat="1" ht="44.2" customHeight="1" x14ac:dyDescent="0.25">
      <c r="A908" s="826"/>
      <c r="B908" s="826"/>
      <c r="C908" s="1402" t="s">
        <v>10085</v>
      </c>
      <c r="D908" s="1402"/>
      <c r="E908" s="1402"/>
      <c r="F908" s="1402"/>
      <c r="G908" s="1402"/>
      <c r="H908" s="1402"/>
      <c r="I908" s="1402"/>
      <c r="J908" s="499" t="str">
        <f>Noty!J907</f>
        <v>ukryj</v>
      </c>
      <c r="K908" s="445"/>
      <c r="L908" s="445"/>
      <c r="N908" s="380"/>
    </row>
    <row r="909" spans="1:14" s="228" customFormat="1" x14ac:dyDescent="0.25">
      <c r="A909" s="440"/>
      <c r="B909" s="440"/>
      <c r="C909" s="440"/>
      <c r="D909" s="705"/>
      <c r="E909" s="706"/>
      <c r="F909" s="706"/>
      <c r="G909" s="706"/>
      <c r="H909" s="706"/>
      <c r="I909" s="634"/>
      <c r="J909" s="499" t="str">
        <f>Noty!J908</f>
        <v>ukryj</v>
      </c>
      <c r="K909" s="440"/>
      <c r="L909" s="440"/>
      <c r="N909" s="380"/>
    </row>
    <row r="910" spans="1:14" s="228" customFormat="1" ht="51.75" customHeight="1" x14ac:dyDescent="0.25">
      <c r="A910" s="440"/>
      <c r="B910" s="440"/>
      <c r="C910" s="1474" t="s">
        <v>10086</v>
      </c>
      <c r="D910" s="1474"/>
      <c r="E910" s="1475" t="s">
        <v>10087</v>
      </c>
      <c r="F910" s="1475"/>
      <c r="G910" s="1475" t="s">
        <v>10088</v>
      </c>
      <c r="H910" s="1475"/>
      <c r="I910" s="1475"/>
      <c r="J910" s="499" t="str">
        <f>Noty!J909</f>
        <v>ukryj</v>
      </c>
      <c r="K910" s="442"/>
      <c r="L910" s="442"/>
      <c r="N910" s="380"/>
    </row>
    <row r="911" spans="1:14" s="228" customFormat="1" ht="30.8" customHeight="1" x14ac:dyDescent="0.25">
      <c r="A911" s="440"/>
      <c r="B911" s="440"/>
      <c r="C911" s="829" t="s">
        <v>10089</v>
      </c>
      <c r="D911" s="830" t="s">
        <v>10090</v>
      </c>
      <c r="E911" s="1475"/>
      <c r="F911" s="1475"/>
      <c r="G911" s="1475"/>
      <c r="H911" s="1475"/>
      <c r="I911" s="1475"/>
      <c r="J911" s="499" t="str">
        <f>Noty!J910</f>
        <v>ukryj</v>
      </c>
      <c r="K911" s="442"/>
      <c r="L911" s="442"/>
      <c r="N911" s="380"/>
    </row>
    <row r="912" spans="1:14" s="228" customFormat="1" ht="14.4" customHeight="1" x14ac:dyDescent="0.25">
      <c r="A912" s="440"/>
      <c r="B912" s="440"/>
      <c r="C912" s="548"/>
      <c r="D912" s="703"/>
      <c r="E912" s="1319"/>
      <c r="F912" s="1319"/>
      <c r="G912" s="1319"/>
      <c r="H912" s="1319"/>
      <c r="I912" s="1319"/>
      <c r="J912" s="499" t="str">
        <f>Noty!J911</f>
        <v>ukryj</v>
      </c>
      <c r="K912" s="440"/>
      <c r="L912" s="440"/>
      <c r="N912" s="380"/>
    </row>
    <row r="913" spans="1:32" s="228" customFormat="1" x14ac:dyDescent="0.25">
      <c r="A913" s="440"/>
      <c r="B913" s="440"/>
      <c r="C913" s="548"/>
      <c r="D913" s="703"/>
      <c r="E913" s="1319"/>
      <c r="F913" s="1319"/>
      <c r="G913" s="1319"/>
      <c r="H913" s="1319"/>
      <c r="I913" s="1319"/>
      <c r="J913" s="499" t="str">
        <f>Noty!J912</f>
        <v>ukryj</v>
      </c>
      <c r="K913" s="440"/>
      <c r="L913" s="440"/>
      <c r="N913" s="380"/>
    </row>
    <row r="914" spans="1:32" s="228" customFormat="1" ht="13.75" thickBot="1" x14ac:dyDescent="0.3">
      <c r="A914" s="440"/>
      <c r="B914" s="440"/>
      <c r="C914" s="440"/>
      <c r="D914" s="707"/>
      <c r="E914" s="707"/>
      <c r="F914" s="707"/>
      <c r="G914" s="1473"/>
      <c r="H914" s="1473"/>
      <c r="I914" s="634"/>
      <c r="J914" s="499" t="str">
        <f>Noty!J913</f>
        <v>ukryj</v>
      </c>
      <c r="K914" s="440"/>
      <c r="L914" s="440"/>
      <c r="N914" s="380"/>
    </row>
    <row r="915" spans="1:32" s="200" customFormat="1" ht="15.75" customHeight="1" thickBot="1" x14ac:dyDescent="0.35">
      <c r="A915" s="1180">
        <f>IF(K915="n/a",A889,A889+1)</f>
        <v>1</v>
      </c>
      <c r="B915" s="1182"/>
      <c r="C915" s="1388" t="s">
        <v>10091</v>
      </c>
      <c r="D915" s="1388"/>
      <c r="E915" s="1388"/>
      <c r="F915" s="1388"/>
      <c r="G915" s="1388"/>
      <c r="H915" s="1388"/>
      <c r="I915" s="1388"/>
      <c r="J915" s="499" t="str">
        <f>IF(Noty!K915="n/a","ukryj","odkryj")</f>
        <v>ukryj</v>
      </c>
      <c r="K915" s="1213" t="str">
        <f>IF(AND(K917="n/a",K931="n/a"),"n/a","")</f>
        <v>n/a</v>
      </c>
      <c r="L915" s="492" t="str">
        <f>A915&amp;"."&amp;B915</f>
        <v>1.</v>
      </c>
      <c r="N915" s="1101" t="s">
        <v>9378</v>
      </c>
      <c r="O915" s="489" t="str">
        <f>A915&amp;"."&amp;B915</f>
        <v>1.</v>
      </c>
    </row>
    <row r="916" spans="1:32" s="200" customFormat="1" ht="13.6" customHeight="1" thickBot="1" x14ac:dyDescent="0.3">
      <c r="A916" s="508"/>
      <c r="B916" s="520"/>
      <c r="C916" s="195"/>
      <c r="D916" s="195"/>
      <c r="E916" s="196"/>
      <c r="F916" s="196"/>
      <c r="G916" s="196"/>
      <c r="H916" s="196"/>
      <c r="I916" s="196"/>
      <c r="J916" s="499" t="str">
        <f>Noty!J915</f>
        <v>ukryj</v>
      </c>
      <c r="K916" s="257"/>
      <c r="N916" s="387"/>
    </row>
    <row r="917" spans="1:32" s="200" customFormat="1" ht="15.75" customHeight="1" thickBot="1" x14ac:dyDescent="0.35">
      <c r="A917" s="1183">
        <f>A915</f>
        <v>1</v>
      </c>
      <c r="B917" s="1184">
        <f>IF(K917="n/a",0,1)</f>
        <v>0</v>
      </c>
      <c r="C917" s="1389" t="s">
        <v>10092</v>
      </c>
      <c r="D917" s="1389"/>
      <c r="E917" s="1389"/>
      <c r="F917" s="1389"/>
      <c r="G917" s="1389"/>
      <c r="H917" s="1389"/>
      <c r="I917" s="1389"/>
      <c r="J917" s="499" t="str">
        <f>IF(Noty!K917="n/a","ukryj","odkryj")</f>
        <v>ukryj</v>
      </c>
      <c r="K917" s="1213" t="str">
        <f>IF(Input!D149="nie","n/a","")</f>
        <v>n/a</v>
      </c>
      <c r="L917" s="971" t="str">
        <f>A917&amp;"."&amp;B917</f>
        <v>1.0</v>
      </c>
      <c r="N917" s="1101" t="s">
        <v>9378</v>
      </c>
      <c r="O917" s="489" t="str">
        <f>A917&amp;"."&amp;B917</f>
        <v>1.0</v>
      </c>
    </row>
    <row r="918" spans="1:32" s="200" customFormat="1" ht="31.6" customHeight="1" x14ac:dyDescent="0.25">
      <c r="A918" s="509"/>
      <c r="B918" s="520"/>
      <c r="E918" s="196"/>
      <c r="F918" s="196"/>
      <c r="G918" s="251"/>
      <c r="H918" s="999" t="str">
        <f>CONCATENATE(Input!$P$6," -",Input!$P$7)</f>
        <v>01.01.2020 -31.12.2020</v>
      </c>
      <c r="I918" s="999" t="str">
        <f>CONCATENATE(Input!$P$10," -",Input!$P$11)</f>
        <v>01.01.2019 -31.12.2019</v>
      </c>
      <c r="J918" s="499" t="str">
        <f>Noty!J917</f>
        <v>ukryj</v>
      </c>
      <c r="N918" s="387"/>
    </row>
    <row r="919" spans="1:32" s="200" customFormat="1" ht="13.6" customHeight="1" x14ac:dyDescent="0.25">
      <c r="A919" s="509"/>
      <c r="B919" s="520"/>
      <c r="E919" s="196"/>
      <c r="F919" s="196"/>
      <c r="G919" s="196"/>
      <c r="H919" s="196"/>
      <c r="I919" s="196"/>
      <c r="J919" s="499" t="str">
        <f>Noty!J918</f>
        <v>ukryj</v>
      </c>
      <c r="N919" s="387"/>
    </row>
    <row r="920" spans="1:32" s="200" customFormat="1" ht="27" customHeight="1" x14ac:dyDescent="0.25">
      <c r="A920" s="509"/>
      <c r="B920" s="520"/>
      <c r="C920" s="1427" t="s">
        <v>10093</v>
      </c>
      <c r="D920" s="1427"/>
      <c r="E920" s="1427"/>
      <c r="F920" s="1427"/>
      <c r="G920" s="196"/>
      <c r="H920" s="192"/>
      <c r="I920" s="192"/>
      <c r="J920" s="499" t="str">
        <f>Noty!J919</f>
        <v>ukryj</v>
      </c>
      <c r="K920" s="489"/>
      <c r="N920" s="387"/>
    </row>
    <row r="921" spans="1:32" s="200" customFormat="1" ht="13.6" customHeight="1" x14ac:dyDescent="0.25">
      <c r="A921" s="509"/>
      <c r="B921" s="520"/>
      <c r="C921" s="1408"/>
      <c r="D921" s="1408"/>
      <c r="E921" s="1408"/>
      <c r="F921" s="1408"/>
      <c r="G921" s="1011"/>
      <c r="H921" s="639"/>
      <c r="I921" s="639"/>
      <c r="J921" s="499" t="str">
        <f>IF(AND(Noty!H921=0,Noty!I921=0),"ukryj","odkryj")</f>
        <v>ukryj</v>
      </c>
      <c r="K921" s="489"/>
      <c r="N921" s="387"/>
      <c r="AE921" s="257" t="s">
        <v>10094</v>
      </c>
      <c r="AF921" s="257" t="s">
        <v>10095</v>
      </c>
    </row>
    <row r="922" spans="1:32" s="200" customFormat="1" ht="13.6" customHeight="1" x14ac:dyDescent="0.25">
      <c r="A922" s="509"/>
      <c r="B922" s="520"/>
      <c r="C922" s="1408"/>
      <c r="D922" s="1408"/>
      <c r="E922" s="1408"/>
      <c r="F922" s="1408"/>
      <c r="G922" s="1011"/>
      <c r="H922" s="639"/>
      <c r="I922" s="639"/>
      <c r="J922" s="499" t="str">
        <f>IF(AND(Noty!H922=0,Noty!I922=0),"ukryj","odkryj")</f>
        <v>ukryj</v>
      </c>
      <c r="K922" s="489"/>
      <c r="N922" s="387"/>
      <c r="AE922" s="257" t="s">
        <v>10096</v>
      </c>
      <c r="AF922" s="257" t="s">
        <v>10097</v>
      </c>
    </row>
    <row r="923" spans="1:32" s="200" customFormat="1" ht="13.6" customHeight="1" x14ac:dyDescent="0.25">
      <c r="A923" s="509"/>
      <c r="B923" s="520"/>
      <c r="C923" s="841"/>
      <c r="D923" s="841"/>
      <c r="E923" s="841"/>
      <c r="F923" s="202"/>
      <c r="G923" s="251"/>
      <c r="H923" s="803">
        <f>SUM(H921:H922)</f>
        <v>0</v>
      </c>
      <c r="I923" s="803">
        <f>SUM(I921:I922)</f>
        <v>0</v>
      </c>
      <c r="J923" s="499" t="str">
        <f>IF(AND(Noty!H923=0,Noty!I923=0),"ukryj","odkryj")</f>
        <v>ukryj</v>
      </c>
      <c r="K923" s="489"/>
      <c r="N923" s="387"/>
    </row>
    <row r="924" spans="1:32" s="200" customFormat="1" ht="27" customHeight="1" x14ac:dyDescent="0.25">
      <c r="A924" s="509"/>
      <c r="B924" s="520"/>
      <c r="C924" s="1427" t="s">
        <v>10098</v>
      </c>
      <c r="D924" s="1427"/>
      <c r="E924" s="1427"/>
      <c r="F924" s="1427"/>
      <c r="G924" s="831"/>
      <c r="H924" s="192"/>
      <c r="I924" s="192"/>
      <c r="J924" s="499" t="str">
        <f>Noty!J923</f>
        <v>ukryj</v>
      </c>
      <c r="K924" s="489"/>
      <c r="N924" s="387"/>
    </row>
    <row r="925" spans="1:32" s="200" customFormat="1" ht="13.6" customHeight="1" x14ac:dyDescent="0.25">
      <c r="A925" s="509"/>
      <c r="B925" s="520"/>
      <c r="C925" s="1386" t="s">
        <v>10099</v>
      </c>
      <c r="D925" s="1386"/>
      <c r="E925" s="1386"/>
      <c r="F925" s="1386"/>
      <c r="G925" s="251"/>
      <c r="H925" s="639"/>
      <c r="I925" s="639"/>
      <c r="J925" s="499" t="str">
        <f>IF(AND(Noty!H925=0,Noty!I925=0),"ukryj","odkryj")</f>
        <v>ukryj</v>
      </c>
      <c r="K925" s="489"/>
      <c r="N925" s="387"/>
      <c r="AE925" s="257" t="s">
        <v>10100</v>
      </c>
      <c r="AF925" s="257" t="s">
        <v>10101</v>
      </c>
    </row>
    <row r="926" spans="1:32" s="200" customFormat="1" ht="13.6" customHeight="1" x14ac:dyDescent="0.25">
      <c r="A926" s="509"/>
      <c r="B926" s="520"/>
      <c r="C926" s="1386" t="s">
        <v>10102</v>
      </c>
      <c r="D926" s="1386"/>
      <c r="E926" s="1386"/>
      <c r="F926" s="1386"/>
      <c r="G926" s="251"/>
      <c r="H926" s="639"/>
      <c r="I926" s="639"/>
      <c r="J926" s="499" t="str">
        <f>IF(AND(Noty!H926=0,Noty!I926=0),"ukryj","odkryj")</f>
        <v>ukryj</v>
      </c>
      <c r="N926" s="387"/>
      <c r="AE926" s="257" t="s">
        <v>10103</v>
      </c>
      <c r="AF926" s="257" t="s">
        <v>10104</v>
      </c>
    </row>
    <row r="927" spans="1:32" s="200" customFormat="1" ht="13.6" customHeight="1" x14ac:dyDescent="0.25">
      <c r="A927" s="509"/>
      <c r="B927" s="520"/>
      <c r="C927" s="195"/>
      <c r="D927" s="195"/>
      <c r="E927" s="196"/>
      <c r="F927" s="196"/>
      <c r="G927" s="251"/>
      <c r="H927" s="803">
        <f>SUM(H925:H926)</f>
        <v>0</v>
      </c>
      <c r="I927" s="803">
        <f>SUM(I925:I926)</f>
        <v>0</v>
      </c>
      <c r="J927" s="499" t="str">
        <f>IF(AND(Noty!H927=0,Noty!I927=0),"ukryj","odkryj")</f>
        <v>ukryj</v>
      </c>
      <c r="N927" s="387"/>
    </row>
    <row r="928" spans="1:32" s="200" customFormat="1" ht="13.6" customHeight="1" x14ac:dyDescent="0.25">
      <c r="A928" s="509"/>
      <c r="B928" s="520"/>
      <c r="C928" s="195"/>
      <c r="D928" s="195"/>
      <c r="E928" s="196"/>
      <c r="F928" s="196"/>
      <c r="G928" s="196"/>
      <c r="H928" s="196"/>
      <c r="I928" s="377"/>
      <c r="J928" s="499" t="str">
        <f>Noty!J927</f>
        <v>ukryj</v>
      </c>
      <c r="N928" s="387"/>
    </row>
    <row r="929" spans="1:32" s="200" customFormat="1" ht="27.85" customHeight="1" x14ac:dyDescent="0.25">
      <c r="A929" s="509"/>
      <c r="B929" s="520"/>
      <c r="C929" s="1413" t="s">
        <v>10105</v>
      </c>
      <c r="D929" s="1413"/>
      <c r="E929" s="1413"/>
      <c r="F929" s="1413"/>
      <c r="G929" s="1413"/>
      <c r="H929" s="1413"/>
      <c r="I929" s="1413"/>
      <c r="J929" s="499" t="s">
        <v>5125</v>
      </c>
      <c r="N929" s="387"/>
    </row>
    <row r="930" spans="1:32" s="200" customFormat="1" ht="13.6" customHeight="1" thickBot="1" x14ac:dyDescent="0.3">
      <c r="A930" s="509"/>
      <c r="B930" s="520"/>
      <c r="C930" s="195"/>
      <c r="D930" s="195"/>
      <c r="E930" s="196"/>
      <c r="F930" s="196"/>
      <c r="G930" s="196"/>
      <c r="H930" s="196"/>
      <c r="I930" s="191"/>
      <c r="J930" s="499" t="str">
        <f>Noty!J929</f>
        <v>ukryj</v>
      </c>
      <c r="N930" s="387"/>
    </row>
    <row r="931" spans="1:32" s="200" customFormat="1" ht="15.75" customHeight="1" thickBot="1" x14ac:dyDescent="0.35">
      <c r="A931" s="1183">
        <f>A915</f>
        <v>1</v>
      </c>
      <c r="B931" s="1184">
        <f>IF(K931="n/a",B917,B917+1)</f>
        <v>0</v>
      </c>
      <c r="C931" s="1282" t="s">
        <v>10106</v>
      </c>
      <c r="D931" s="1282"/>
      <c r="E931" s="1282"/>
      <c r="F931" s="1282"/>
      <c r="G931" s="1282"/>
      <c r="H931" s="1282"/>
      <c r="I931" s="1282"/>
      <c r="J931" s="499" t="str">
        <f>IF(Noty!K931="n/a","ukryj","odkryj")</f>
        <v>ukryj</v>
      </c>
      <c r="K931" s="1213" t="str">
        <f>IF(Input!D150="nie","n/a","")</f>
        <v>n/a</v>
      </c>
      <c r="L931" s="971" t="str">
        <f>A931&amp;"."&amp;B931</f>
        <v>1.0</v>
      </c>
      <c r="N931" s="1101" t="s">
        <v>9378</v>
      </c>
      <c r="O931" s="489" t="str">
        <f>A931&amp;"."&amp;B931</f>
        <v>1.0</v>
      </c>
    </row>
    <row r="932" spans="1:32" s="200" customFormat="1" ht="13.6" customHeight="1" x14ac:dyDescent="0.25">
      <c r="A932" s="508"/>
      <c r="B932" s="520"/>
      <c r="C932" s="195"/>
      <c r="D932" s="195"/>
      <c r="E932" s="196"/>
      <c r="F932" s="196"/>
      <c r="G932" s="196"/>
      <c r="H932" s="196"/>
      <c r="I932" s="191"/>
      <c r="J932" s="499" t="str">
        <f>Noty!J931</f>
        <v>ukryj</v>
      </c>
      <c r="N932" s="387"/>
    </row>
    <row r="933" spans="1:32" s="200" customFormat="1" ht="27" customHeight="1" x14ac:dyDescent="0.25">
      <c r="A933" s="508"/>
      <c r="B933" s="520"/>
      <c r="E933" s="196"/>
      <c r="F933" s="196"/>
      <c r="G933" s="251"/>
      <c r="H933" s="999" t="str">
        <f>CONCATENATE(Input!$P$6," -",Input!$P$7)</f>
        <v>01.01.2020 -31.12.2020</v>
      </c>
      <c r="I933" s="999" t="str">
        <f>CONCATENATE(Input!$P$10," -",Input!$P$11)</f>
        <v>01.01.2019 -31.12.2019</v>
      </c>
      <c r="J933" s="499" t="str">
        <f>Noty!J932</f>
        <v>ukryj</v>
      </c>
      <c r="N933" s="387"/>
    </row>
    <row r="934" spans="1:32" s="200" customFormat="1" ht="13.6" customHeight="1" x14ac:dyDescent="0.25">
      <c r="A934" s="508"/>
      <c r="B934" s="520"/>
      <c r="E934" s="196"/>
      <c r="F934" s="196"/>
      <c r="G934" s="196"/>
      <c r="H934" s="196"/>
      <c r="I934" s="196"/>
      <c r="J934" s="499" t="str">
        <f>Noty!J933</f>
        <v>ukryj</v>
      </c>
      <c r="N934" s="387"/>
    </row>
    <row r="935" spans="1:32" s="200" customFormat="1" ht="13.6" customHeight="1" x14ac:dyDescent="0.25">
      <c r="A935" s="508"/>
      <c r="B935" s="520"/>
      <c r="C935" s="185" t="s">
        <v>10107</v>
      </c>
      <c r="D935" s="185"/>
      <c r="E935" s="185"/>
      <c r="F935" s="185"/>
      <c r="H935" s="549"/>
      <c r="I935" s="549"/>
      <c r="J935" s="499" t="str">
        <f>Noty!J934</f>
        <v>ukryj</v>
      </c>
      <c r="K935" s="489"/>
      <c r="N935" s="387"/>
    </row>
    <row r="936" spans="1:32" s="200" customFormat="1" ht="13.6" customHeight="1" x14ac:dyDescent="0.25">
      <c r="A936" s="508"/>
      <c r="B936" s="520"/>
      <c r="C936" s="1408"/>
      <c r="D936" s="1408"/>
      <c r="E936" s="1408"/>
      <c r="F936" s="1408"/>
      <c r="G936" s="1011"/>
      <c r="H936" s="639"/>
      <c r="I936" s="639"/>
      <c r="J936" s="499" t="str">
        <f>IF(AND(Noty!H936=0,Noty!I936=0),"ukryj","odkryj")</f>
        <v>ukryj</v>
      </c>
      <c r="K936" s="489"/>
      <c r="N936" s="387"/>
      <c r="AE936" s="257" t="s">
        <v>10108</v>
      </c>
      <c r="AF936" s="257" t="s">
        <v>10109</v>
      </c>
    </row>
    <row r="937" spans="1:32" s="200" customFormat="1" ht="13.6" customHeight="1" x14ac:dyDescent="0.25">
      <c r="A937" s="508"/>
      <c r="B937" s="520"/>
      <c r="C937" s="1408"/>
      <c r="D937" s="1408"/>
      <c r="E937" s="1408"/>
      <c r="F937" s="1408"/>
      <c r="G937" s="1011"/>
      <c r="H937" s="802"/>
      <c r="I937" s="802"/>
      <c r="J937" s="499" t="str">
        <f>IF(AND(Noty!H937=0,Noty!I937=0),"ukryj","odkryj")</f>
        <v>ukryj</v>
      </c>
      <c r="K937" s="489"/>
      <c r="N937" s="387"/>
      <c r="AE937" s="257" t="s">
        <v>10110</v>
      </c>
      <c r="AF937" s="257" t="s">
        <v>10111</v>
      </c>
    </row>
    <row r="938" spans="1:32" s="200" customFormat="1" ht="13.6" customHeight="1" x14ac:dyDescent="0.25">
      <c r="A938" s="508"/>
      <c r="B938" s="520"/>
      <c r="C938" s="967"/>
      <c r="D938" s="581"/>
      <c r="E938" s="581"/>
      <c r="F938" s="581"/>
      <c r="G938" s="9"/>
      <c r="H938" s="803">
        <f>SUM(H936:H937)</f>
        <v>0</v>
      </c>
      <c r="I938" s="803">
        <f>SUM(I936:I937)</f>
        <v>0</v>
      </c>
      <c r="J938" s="499" t="str">
        <f>IF(AND(Noty!H938=0,Noty!I938=0),"ukryj","odkryj")</f>
        <v>ukryj</v>
      </c>
      <c r="K938" s="489"/>
      <c r="N938" s="387"/>
    </row>
    <row r="939" spans="1:32" s="200" customFormat="1" ht="13.6" customHeight="1" x14ac:dyDescent="0.25">
      <c r="A939" s="508"/>
      <c r="B939" s="520"/>
      <c r="C939" s="185" t="s">
        <v>10112</v>
      </c>
      <c r="D939" s="185"/>
      <c r="E939" s="185"/>
      <c r="F939" s="185"/>
      <c r="H939" s="549"/>
      <c r="I939" s="549"/>
      <c r="J939" s="499" t="str">
        <f>Noty!J938</f>
        <v>ukryj</v>
      </c>
      <c r="K939" s="489"/>
      <c r="N939" s="387"/>
    </row>
    <row r="940" spans="1:32" s="200" customFormat="1" ht="13.6" customHeight="1" x14ac:dyDescent="0.25">
      <c r="A940" s="508"/>
      <c r="B940" s="520"/>
      <c r="C940" s="1408"/>
      <c r="D940" s="1408"/>
      <c r="E940" s="1408"/>
      <c r="F940" s="1408"/>
      <c r="G940" s="1011"/>
      <c r="H940" s="639"/>
      <c r="I940" s="639"/>
      <c r="J940" s="499" t="str">
        <f>IF(AND(Noty!H940=0,Noty!I940=0),"ukryj","odkryj")</f>
        <v>ukryj</v>
      </c>
      <c r="K940" s="372"/>
      <c r="N940" s="387"/>
      <c r="AE940" s="257" t="s">
        <v>10113</v>
      </c>
      <c r="AF940" s="257" t="s">
        <v>10114</v>
      </c>
    </row>
    <row r="941" spans="1:32" s="200" customFormat="1" ht="13.6" customHeight="1" x14ac:dyDescent="0.25">
      <c r="A941" s="508"/>
      <c r="B941" s="520"/>
      <c r="C941" s="1408"/>
      <c r="D941" s="1408"/>
      <c r="E941" s="1408"/>
      <c r="F941" s="1408"/>
      <c r="G941" s="1011"/>
      <c r="H941" s="802"/>
      <c r="I941" s="802"/>
      <c r="J941" s="499" t="str">
        <f>IF(AND(Noty!H941=0,Noty!I941=0),"ukryj","odkryj")</f>
        <v>ukryj</v>
      </c>
      <c r="N941" s="387"/>
      <c r="AE941" s="257" t="s">
        <v>10115</v>
      </c>
      <c r="AF941" s="257" t="s">
        <v>10116</v>
      </c>
    </row>
    <row r="942" spans="1:32" s="200" customFormat="1" ht="13.6" customHeight="1" x14ac:dyDescent="0.25">
      <c r="A942" s="508"/>
      <c r="B942" s="520"/>
      <c r="C942" s="204"/>
      <c r="D942" s="204"/>
      <c r="G942" s="9"/>
      <c r="H942" s="803">
        <f>SUM(H940:H941)</f>
        <v>0</v>
      </c>
      <c r="I942" s="803">
        <f>SUM(I940:I941)</f>
        <v>0</v>
      </c>
      <c r="J942" s="499" t="str">
        <f>IF(AND(Noty!H942=0,Noty!I942=0),"ukryj","odkryj")</f>
        <v>ukryj</v>
      </c>
      <c r="N942" s="387"/>
    </row>
    <row r="943" spans="1:32" s="200" customFormat="1" ht="13.6" customHeight="1" x14ac:dyDescent="0.25">
      <c r="A943" s="508"/>
      <c r="B943" s="520"/>
      <c r="C943" s="195"/>
      <c r="D943" s="195"/>
      <c r="E943" s="196"/>
      <c r="F943" s="196"/>
      <c r="G943" s="196"/>
      <c r="H943" s="196"/>
      <c r="I943" s="196"/>
      <c r="J943" s="499" t="str">
        <f>Noty!J942</f>
        <v>ukryj</v>
      </c>
      <c r="N943" s="387"/>
    </row>
    <row r="944" spans="1:32" s="200" customFormat="1" ht="26.2" customHeight="1" x14ac:dyDescent="0.25">
      <c r="A944" s="508"/>
      <c r="B944" s="520"/>
      <c r="C944" s="1413" t="s">
        <v>10117</v>
      </c>
      <c r="D944" s="1413"/>
      <c r="E944" s="1413"/>
      <c r="F944" s="1413"/>
      <c r="G944" s="1413"/>
      <c r="H944" s="1413"/>
      <c r="I944" s="1413"/>
      <c r="J944" s="499" t="s">
        <v>5125</v>
      </c>
      <c r="N944" s="387"/>
    </row>
    <row r="945" spans="1:32" s="200" customFormat="1" ht="13.6" customHeight="1" thickBot="1" x14ac:dyDescent="0.3">
      <c r="A945" s="508"/>
      <c r="B945" s="520"/>
      <c r="C945" s="195"/>
      <c r="D945" s="195"/>
      <c r="E945" s="196"/>
      <c r="F945" s="196"/>
      <c r="G945" s="196"/>
      <c r="H945" s="196"/>
      <c r="I945" s="196"/>
      <c r="J945" s="499" t="str">
        <f>Noty!J944</f>
        <v>ukryj</v>
      </c>
      <c r="N945" s="387"/>
    </row>
    <row r="946" spans="1:32" s="200" customFormat="1" ht="13.6" customHeight="1" thickBot="1" x14ac:dyDescent="0.35">
      <c r="A946" s="1188">
        <f>IF(K946="n/a",A931,A931+1)</f>
        <v>1</v>
      </c>
      <c r="B946" s="1189"/>
      <c r="C946" s="1415" t="s">
        <v>10118</v>
      </c>
      <c r="D946" s="1415"/>
      <c r="E946" s="1415"/>
      <c r="F946" s="1415"/>
      <c r="G946" s="1415"/>
      <c r="H946" s="1415"/>
      <c r="I946" s="1415"/>
      <c r="J946" s="499" t="str">
        <f>IF(Noty!K946="n/a","ukryj","odkryj")</f>
        <v>ukryj</v>
      </c>
      <c r="K946" s="1223" t="str">
        <f>IF(Input!D151="nie","n/a","")</f>
        <v>n/a</v>
      </c>
      <c r="L946" s="1130" t="str">
        <f>A946&amp;"."&amp;B946</f>
        <v>1.</v>
      </c>
      <c r="N946" s="1138" t="s">
        <v>9378</v>
      </c>
      <c r="O946" s="200" t="str">
        <f>A946&amp;"."&amp;B946</f>
        <v>1.</v>
      </c>
    </row>
    <row r="947" spans="1:32" s="200" customFormat="1" ht="13.6" customHeight="1" x14ac:dyDescent="0.25">
      <c r="A947" s="508"/>
      <c r="B947" s="520"/>
      <c r="C947" s="195"/>
      <c r="D947" s="195"/>
      <c r="E947" s="196"/>
      <c r="F947" s="196"/>
      <c r="G947" s="196"/>
      <c r="H947" s="196"/>
      <c r="I947" s="196"/>
      <c r="J947" s="499" t="str">
        <f>Noty!J946</f>
        <v>ukryj</v>
      </c>
      <c r="N947" s="387"/>
    </row>
    <row r="948" spans="1:32" s="200" customFormat="1" ht="25.55" x14ac:dyDescent="0.25">
      <c r="A948" s="508"/>
      <c r="B948" s="520"/>
      <c r="C948" s="195"/>
      <c r="D948" s="195"/>
      <c r="E948" s="196"/>
      <c r="F948" s="196"/>
      <c r="G948" s="196"/>
      <c r="H948" s="1133" t="str">
        <f>CONCATENATE(Input!$P$6," - ",Input!$P$7)</f>
        <v>01.01.2020 - 31.12.2020</v>
      </c>
      <c r="I948" s="1133" t="str">
        <f>CONCATENATE(Input!$P$10," - ",Input!$P$11)</f>
        <v>01.01.2019 - 31.12.2019</v>
      </c>
      <c r="J948" s="499" t="str">
        <f>Noty!J947</f>
        <v>ukryj</v>
      </c>
      <c r="N948" s="387"/>
    </row>
    <row r="949" spans="1:32" s="200" customFormat="1" ht="13.6" customHeight="1" x14ac:dyDescent="0.25">
      <c r="A949" s="508"/>
      <c r="B949" s="520"/>
      <c r="C949" s="1130" t="s">
        <v>10119</v>
      </c>
      <c r="D949" s="195"/>
      <c r="E949" s="196"/>
      <c r="F949" s="196"/>
      <c r="G949" s="196"/>
      <c r="H949" s="1134"/>
      <c r="I949" s="1134"/>
      <c r="J949" s="1135" t="str">
        <f>IF(AND(Noty!H949=0,Noty!I949=0),"ukryj","odkryj")</f>
        <v>ukryj</v>
      </c>
      <c r="N949" s="387"/>
      <c r="AE949" s="200" t="s">
        <v>10120</v>
      </c>
      <c r="AF949" s="200" t="s">
        <v>10121</v>
      </c>
    </row>
    <row r="950" spans="1:32" s="200" customFormat="1" ht="13.6" customHeight="1" x14ac:dyDescent="0.3">
      <c r="A950" s="508"/>
      <c r="B950" s="520"/>
      <c r="C950" s="1130"/>
      <c r="D950" s="195"/>
      <c r="E950" s="196"/>
      <c r="F950" s="196"/>
      <c r="G950" s="196"/>
      <c r="H950"/>
      <c r="I950"/>
      <c r="J950" s="1135" t="str">
        <f>Noty!J949</f>
        <v>ukryj</v>
      </c>
      <c r="N950" s="387"/>
    </row>
    <row r="951" spans="1:32" s="200" customFormat="1" ht="13.6" customHeight="1" x14ac:dyDescent="0.25">
      <c r="A951" s="508"/>
      <c r="B951" s="520"/>
      <c r="C951" s="1130" t="s">
        <v>10122</v>
      </c>
      <c r="D951" s="195"/>
      <c r="E951" s="196"/>
      <c r="F951" s="196"/>
      <c r="G951" s="196"/>
      <c r="H951" s="1134"/>
      <c r="I951" s="1134"/>
      <c r="J951" s="1135" t="str">
        <f>IF(AND(Noty!H951=0,Noty!I951=0),"ukryj","odkryj")</f>
        <v>ukryj</v>
      </c>
      <c r="N951" s="387"/>
      <c r="AE951" s="200" t="s">
        <v>10123</v>
      </c>
      <c r="AF951" s="200" t="s">
        <v>10124</v>
      </c>
    </row>
    <row r="952" spans="1:32" s="200" customFormat="1" ht="13.6" customHeight="1" x14ac:dyDescent="0.25">
      <c r="A952" s="508"/>
      <c r="B952" s="520"/>
      <c r="C952" s="1178" t="s">
        <v>10125</v>
      </c>
      <c r="D952" s="195"/>
      <c r="E952" s="196"/>
      <c r="F952" s="196"/>
      <c r="G952" s="196"/>
      <c r="H952" s="1134"/>
      <c r="I952" s="1134"/>
      <c r="J952" s="1135" t="str">
        <f>IF(AND(Noty!H952=0,Noty!I952=0),"ukryj","odkryj")</f>
        <v>ukryj</v>
      </c>
      <c r="N952" s="387"/>
      <c r="AE952" s="200" t="s">
        <v>10126</v>
      </c>
      <c r="AF952" s="200" t="s">
        <v>10127</v>
      </c>
    </row>
    <row r="953" spans="1:32" s="200" customFormat="1" ht="13.6" customHeight="1" x14ac:dyDescent="0.25">
      <c r="A953" s="508"/>
      <c r="B953" s="520"/>
      <c r="C953" s="1178" t="s">
        <v>10128</v>
      </c>
      <c r="D953" s="195"/>
      <c r="E953" s="196"/>
      <c r="F953" s="196"/>
      <c r="G953" s="196"/>
      <c r="H953" s="1134"/>
      <c r="I953" s="1134"/>
      <c r="J953" s="1135" t="str">
        <f>IF(AND(Noty!H953=0,Noty!I953=0),"ukryj","odkryj")</f>
        <v>ukryj</v>
      </c>
      <c r="N953" s="387"/>
      <c r="AE953" s="200" t="s">
        <v>10129</v>
      </c>
      <c r="AF953" s="200" t="s">
        <v>10130</v>
      </c>
    </row>
    <row r="954" spans="1:32" s="200" customFormat="1" ht="13.6" customHeight="1" x14ac:dyDescent="0.25">
      <c r="A954" s="508"/>
      <c r="B954" s="520"/>
      <c r="C954" s="1178" t="s">
        <v>10131</v>
      </c>
      <c r="D954" s="195"/>
      <c r="E954" s="196"/>
      <c r="F954" s="196"/>
      <c r="G954" s="196"/>
      <c r="H954" s="1134"/>
      <c r="I954" s="1134"/>
      <c r="J954" s="1135" t="str">
        <f>IF(AND(Noty!H954=0,Noty!I954=0),"ukryj","odkryj")</f>
        <v>ukryj</v>
      </c>
      <c r="N954" s="387"/>
      <c r="AE954" s="200" t="s">
        <v>10132</v>
      </c>
      <c r="AF954" s="200" t="s">
        <v>10133</v>
      </c>
    </row>
    <row r="955" spans="1:32" s="200" customFormat="1" ht="13.6" customHeight="1" x14ac:dyDescent="0.25">
      <c r="A955" s="508"/>
      <c r="B955" s="520"/>
      <c r="C955" s="1178" t="s">
        <v>10134</v>
      </c>
      <c r="D955" s="195"/>
      <c r="E955" s="196"/>
      <c r="F955" s="196"/>
      <c r="G955" s="196"/>
      <c r="H955" s="1134"/>
      <c r="I955" s="1134"/>
      <c r="J955" s="1135" t="str">
        <f>IF(AND(Noty!H955=0,Noty!I955=0),"ukryj","odkryj")</f>
        <v>ukryj</v>
      </c>
      <c r="N955" s="387"/>
      <c r="AE955" s="200" t="s">
        <v>10135</v>
      </c>
      <c r="AF955" s="200" t="s">
        <v>10136</v>
      </c>
    </row>
    <row r="956" spans="1:32" s="200" customFormat="1" ht="13.6" customHeight="1" x14ac:dyDescent="0.25">
      <c r="A956" s="508"/>
      <c r="B956" s="520"/>
      <c r="C956" s="1178" t="s">
        <v>10137</v>
      </c>
      <c r="D956" s="195"/>
      <c r="E956" s="196"/>
      <c r="F956" s="196"/>
      <c r="G956" s="196"/>
      <c r="H956" s="1134"/>
      <c r="I956" s="1134"/>
      <c r="J956" s="1135" t="str">
        <f>IF(AND(Noty!H956=0,Noty!I956=0),"ukryj","odkryj")</f>
        <v>ukryj</v>
      </c>
      <c r="N956" s="387"/>
      <c r="AE956" s="200" t="s">
        <v>10138</v>
      </c>
      <c r="AF956" s="200" t="s">
        <v>10139</v>
      </c>
    </row>
    <row r="957" spans="1:32" s="200" customFormat="1" ht="13.6" customHeight="1" x14ac:dyDescent="0.25">
      <c r="A957" s="508"/>
      <c r="B957" s="520"/>
      <c r="C957" s="1178" t="s">
        <v>10140</v>
      </c>
      <c r="D957" s="195"/>
      <c r="E957" s="196"/>
      <c r="F957" s="196"/>
      <c r="G957" s="196"/>
      <c r="H957" s="1134"/>
      <c r="I957" s="1134"/>
      <c r="J957" s="1135" t="str">
        <f>IF(AND(Noty!H957=0,Noty!I957=0),"ukryj","odkryj")</f>
        <v>ukryj</v>
      </c>
      <c r="N957" s="387"/>
      <c r="AE957" s="200" t="s">
        <v>10141</v>
      </c>
      <c r="AF957" s="200" t="s">
        <v>10142</v>
      </c>
    </row>
    <row r="958" spans="1:32" s="200" customFormat="1" ht="13.6" customHeight="1" x14ac:dyDescent="0.25">
      <c r="A958" s="508"/>
      <c r="B958" s="520"/>
      <c r="C958" s="1178" t="s">
        <v>10143</v>
      </c>
      <c r="D958" s="195"/>
      <c r="E958" s="196"/>
      <c r="F958" s="196"/>
      <c r="G958" s="196"/>
      <c r="H958" s="1134"/>
      <c r="I958" s="1134"/>
      <c r="J958" s="1135" t="str">
        <f>IF(AND(Noty!H958=0,Noty!I958=0),"ukryj","odkryj")</f>
        <v>ukryj</v>
      </c>
      <c r="N958" s="387"/>
    </row>
    <row r="959" spans="1:32" s="200" customFormat="1" ht="13.6" customHeight="1" x14ac:dyDescent="0.25">
      <c r="A959" s="508"/>
      <c r="B959" s="520"/>
      <c r="C959" s="195"/>
      <c r="D959" s="195"/>
      <c r="E959" s="196"/>
      <c r="F959" s="196"/>
      <c r="G959" s="196"/>
      <c r="H959" s="196"/>
      <c r="I959" s="196"/>
      <c r="J959" s="499" t="str">
        <f>Noty!J958</f>
        <v>ukryj</v>
      </c>
      <c r="N959" s="387"/>
    </row>
    <row r="960" spans="1:32" s="200" customFormat="1" ht="13.6" customHeight="1" x14ac:dyDescent="0.25">
      <c r="A960" s="508"/>
      <c r="B960" s="520"/>
      <c r="C960" s="224" t="s">
        <v>10144</v>
      </c>
      <c r="D960" s="195"/>
      <c r="E960" s="196"/>
      <c r="F960" s="196"/>
      <c r="G960" s="196"/>
      <c r="H960" s="196"/>
      <c r="I960" s="196"/>
      <c r="J960" s="499" t="str">
        <f>IF(Noty!J946="odkryj",IF(Noty!J949="odkryj","ukryj","odkryj"),"ukryj")</f>
        <v>ukryj</v>
      </c>
      <c r="N960" s="387"/>
    </row>
    <row r="961" spans="1:32" s="200" customFormat="1" ht="13.6" customHeight="1" thickBot="1" x14ac:dyDescent="0.3">
      <c r="A961" s="508"/>
      <c r="B961" s="520"/>
      <c r="C961" s="195"/>
      <c r="D961" s="195"/>
      <c r="E961" s="196"/>
      <c r="F961" s="196"/>
      <c r="G961" s="196"/>
      <c r="H961" s="196"/>
      <c r="I961" s="196"/>
      <c r="J961" s="499" t="str">
        <f>Noty!J960</f>
        <v>ukryj</v>
      </c>
      <c r="N961" s="387"/>
    </row>
    <row r="962" spans="1:32" s="200" customFormat="1" ht="15.75" customHeight="1" thickBot="1" x14ac:dyDescent="0.35">
      <c r="A962" s="1180">
        <f>IF(K962="n/a",A946,A946+1)</f>
        <v>1</v>
      </c>
      <c r="B962" s="1182"/>
      <c r="C962" s="1388" t="s">
        <v>8599</v>
      </c>
      <c r="D962" s="1388"/>
      <c r="E962" s="1388"/>
      <c r="F962" s="1388"/>
      <c r="G962" s="1388"/>
      <c r="H962" s="1388"/>
      <c r="I962" s="1388"/>
      <c r="J962" s="499" t="str">
        <f>IF(Noty!K962="n/a","ukryj","odkryj")</f>
        <v>ukryj</v>
      </c>
      <c r="K962" s="1213" t="str">
        <f>IF(Input!D152="nie","n/a","")</f>
        <v>n/a</v>
      </c>
      <c r="L962" s="492" t="str">
        <f>A962&amp;"."&amp;B962</f>
        <v>1.</v>
      </c>
      <c r="N962" s="1101" t="s">
        <v>9378</v>
      </c>
      <c r="O962" s="489" t="str">
        <f>A962&amp;"."&amp;B962</f>
        <v>1.</v>
      </c>
    </row>
    <row r="963" spans="1:32" s="200" customFormat="1" ht="13.6" customHeight="1" x14ac:dyDescent="0.25">
      <c r="A963" s="508"/>
      <c r="B963" s="520"/>
      <c r="C963" s="1414" t="s">
        <v>10145</v>
      </c>
      <c r="D963" s="1414"/>
      <c r="E963" s="1414"/>
      <c r="F963" s="1414"/>
      <c r="G963" s="1414"/>
      <c r="H963" s="1414"/>
      <c r="I963" s="1414"/>
      <c r="J963" s="499" t="str">
        <f>Noty!J962</f>
        <v>ukryj</v>
      </c>
      <c r="N963" s="387"/>
    </row>
    <row r="964" spans="1:32" s="200" customFormat="1" ht="27" customHeight="1" x14ac:dyDescent="0.25">
      <c r="A964" s="508"/>
      <c r="B964" s="520"/>
      <c r="C964" s="195"/>
      <c r="D964" s="195"/>
      <c r="E964" s="196"/>
      <c r="F964" s="196"/>
      <c r="G964" s="251"/>
      <c r="H964" s="999" t="str">
        <f>CONCATENATE(Input!$P$6," -",Input!$P$7)</f>
        <v>01.01.2020 -31.12.2020</v>
      </c>
      <c r="I964" s="999" t="str">
        <f>CONCATENATE(Input!$P$10," -",Input!$P$11)</f>
        <v>01.01.2019 -31.12.2019</v>
      </c>
      <c r="J964" s="499" t="str">
        <f>Noty!J963</f>
        <v>ukryj</v>
      </c>
      <c r="N964" s="387"/>
    </row>
    <row r="965" spans="1:32" s="200" customFormat="1" ht="13.6" customHeight="1" x14ac:dyDescent="0.25">
      <c r="A965" s="508"/>
      <c r="B965" s="520"/>
      <c r="C965" s="195"/>
      <c r="D965" s="195"/>
      <c r="E965" s="196"/>
      <c r="F965" s="196"/>
      <c r="G965" s="196"/>
      <c r="H965" s="196"/>
      <c r="I965" s="196"/>
      <c r="J965" s="499" t="str">
        <f>Noty!J964</f>
        <v>ukryj</v>
      </c>
      <c r="N965" s="387"/>
    </row>
    <row r="966" spans="1:32" s="200" customFormat="1" ht="13.6" customHeight="1" x14ac:dyDescent="0.25">
      <c r="A966" s="508"/>
      <c r="B966" s="520"/>
      <c r="C966" s="550" t="s">
        <v>10146</v>
      </c>
      <c r="E966" s="708"/>
      <c r="F966" s="708"/>
      <c r="G966" s="196"/>
      <c r="H966" s="196"/>
      <c r="I966" s="196"/>
      <c r="J966" s="499" t="str">
        <f>Noty!J970</f>
        <v>ukryj</v>
      </c>
      <c r="N966" s="387"/>
    </row>
    <row r="967" spans="1:32" s="200" customFormat="1" ht="13.6" customHeight="1" x14ac:dyDescent="0.25">
      <c r="A967" s="508"/>
      <c r="B967" s="520"/>
      <c r="C967" s="439" t="s">
        <v>10147</v>
      </c>
      <c r="E967" s="698"/>
      <c r="F967" s="698"/>
      <c r="G967" s="251"/>
      <c r="H967" s="639"/>
      <c r="I967" s="639"/>
      <c r="J967" s="499" t="str">
        <f>IF(AND(Noty!H967=0,Noty!I967=0),"ukryj","odkryj")</f>
        <v>ukryj</v>
      </c>
      <c r="N967" s="387"/>
      <c r="AE967" s="257" t="s">
        <v>10148</v>
      </c>
      <c r="AF967" s="257" t="s">
        <v>10149</v>
      </c>
    </row>
    <row r="968" spans="1:32" s="200" customFormat="1" ht="13.6" customHeight="1" x14ac:dyDescent="0.25">
      <c r="A968" s="508"/>
      <c r="B968" s="520"/>
      <c r="C968" s="439" t="s">
        <v>10150</v>
      </c>
      <c r="E968" s="698"/>
      <c r="F968" s="698"/>
      <c r="G968" s="251"/>
      <c r="H968" s="639"/>
      <c r="I968" s="639"/>
      <c r="J968" s="499" t="str">
        <f>IF(AND(Noty!H968=0,Noty!I968=0),"ukryj","odkryj")</f>
        <v>ukryj</v>
      </c>
      <c r="N968" s="387"/>
      <c r="AE968" s="257" t="s">
        <v>10151</v>
      </c>
      <c r="AF968" s="257" t="s">
        <v>10152</v>
      </c>
    </row>
    <row r="969" spans="1:32" s="200" customFormat="1" ht="13.6" customHeight="1" x14ac:dyDescent="0.25">
      <c r="A969" s="508"/>
      <c r="B969" s="520"/>
      <c r="C969" s="439" t="s">
        <v>10153</v>
      </c>
      <c r="E969" s="698"/>
      <c r="F969" s="698"/>
      <c r="G969" s="251"/>
      <c r="H969" s="639"/>
      <c r="I969" s="639"/>
      <c r="J969" s="499" t="str">
        <f>IF(AND(Noty!H969=0,Noty!I969=0),"ukryj","odkryj")</f>
        <v>ukryj</v>
      </c>
      <c r="N969" s="387"/>
      <c r="AE969" s="257" t="s">
        <v>10154</v>
      </c>
      <c r="AF969" s="257" t="s">
        <v>10155</v>
      </c>
    </row>
    <row r="970" spans="1:32" s="200" customFormat="1" ht="13.6" customHeight="1" x14ac:dyDescent="0.25">
      <c r="A970" s="508"/>
      <c r="B970" s="520"/>
      <c r="C970" s="439"/>
      <c r="E970" s="698"/>
      <c r="F970" s="698"/>
      <c r="G970" s="251"/>
      <c r="H970" s="803">
        <f>SUM(H967:H969)</f>
        <v>0</v>
      </c>
      <c r="I970" s="803">
        <f>SUM(I967:I969)</f>
        <v>0</v>
      </c>
      <c r="J970" s="499" t="str">
        <f>IF(AND(Noty!H970=0,Noty!I970=0),"ukryj","odkryj")</f>
        <v>ukryj</v>
      </c>
      <c r="N970" s="387"/>
    </row>
    <row r="971" spans="1:32" s="200" customFormat="1" ht="13.6" customHeight="1" x14ac:dyDescent="0.25">
      <c r="A971" s="508"/>
      <c r="B971" s="520"/>
      <c r="C971" s="204"/>
      <c r="E971" s="709"/>
      <c r="F971" s="709"/>
      <c r="G971" s="196"/>
      <c r="H971" s="710"/>
      <c r="I971" s="710"/>
      <c r="J971" s="499" t="str">
        <f>Noty!J970</f>
        <v>ukryj</v>
      </c>
      <c r="N971" s="387"/>
    </row>
    <row r="972" spans="1:32" s="200" customFormat="1" ht="13.6" customHeight="1" x14ac:dyDescent="0.25">
      <c r="A972" s="508"/>
      <c r="B972" s="520"/>
      <c r="C972" s="550" t="s">
        <v>8613</v>
      </c>
      <c r="G972" s="196"/>
      <c r="H972" s="549"/>
      <c r="I972" s="549"/>
      <c r="J972" s="499" t="str">
        <f>Noty!J979</f>
        <v>ukryj</v>
      </c>
      <c r="N972" s="387"/>
    </row>
    <row r="973" spans="1:32" s="200" customFormat="1" ht="13.6" customHeight="1" x14ac:dyDescent="0.25">
      <c r="A973" s="508"/>
      <c r="B973" s="520"/>
      <c r="C973" s="439" t="s">
        <v>10147</v>
      </c>
      <c r="G973" s="251"/>
      <c r="H973" s="639"/>
      <c r="I973" s="639"/>
      <c r="J973" s="499" t="str">
        <f>IF(AND(Noty!H973=0,Noty!I973=0),"ukryj","odkryj")</f>
        <v>ukryj</v>
      </c>
      <c r="N973" s="387"/>
      <c r="AE973" s="257" t="s">
        <v>10156</v>
      </c>
      <c r="AF973" s="257" t="s">
        <v>10157</v>
      </c>
    </row>
    <row r="974" spans="1:32" s="200" customFormat="1" ht="13.6" customHeight="1" x14ac:dyDescent="0.25">
      <c r="A974" s="508"/>
      <c r="B974" s="520"/>
      <c r="C974" s="439" t="s">
        <v>10150</v>
      </c>
      <c r="G974" s="251"/>
      <c r="H974" s="639"/>
      <c r="I974" s="639"/>
      <c r="J974" s="499" t="str">
        <f>IF(AND(Noty!H974=0,Noty!I974=0),"ukryj","odkryj")</f>
        <v>ukryj</v>
      </c>
      <c r="N974" s="387"/>
      <c r="AE974" s="257" t="s">
        <v>10158</v>
      </c>
      <c r="AF974" s="257" t="s">
        <v>10159</v>
      </c>
    </row>
    <row r="975" spans="1:32" s="200" customFormat="1" ht="13.6" customHeight="1" x14ac:dyDescent="0.25">
      <c r="A975" s="508"/>
      <c r="B975" s="520"/>
      <c r="C975" s="439" t="s">
        <v>10160</v>
      </c>
      <c r="G975" s="251"/>
      <c r="H975" s="639"/>
      <c r="I975" s="639"/>
      <c r="J975" s="499" t="str">
        <f>IF(AND(Noty!H975=0,Noty!I975=0),"ukryj","odkryj")</f>
        <v>ukryj</v>
      </c>
      <c r="N975" s="387"/>
      <c r="AE975" s="257" t="s">
        <v>10161</v>
      </c>
      <c r="AF975" s="257" t="s">
        <v>10162</v>
      </c>
    </row>
    <row r="976" spans="1:32" s="200" customFormat="1" ht="13.6" customHeight="1" x14ac:dyDescent="0.25">
      <c r="A976" s="508"/>
      <c r="B976" s="520"/>
      <c r="C976" s="439" t="s">
        <v>10163</v>
      </c>
      <c r="G976" s="251"/>
      <c r="H976" s="639"/>
      <c r="I976" s="639"/>
      <c r="J976" s="499" t="str">
        <f>IF(AND(Noty!H976=0,Noty!I976=0),"ukryj","odkryj")</f>
        <v>ukryj</v>
      </c>
      <c r="N976" s="387"/>
      <c r="AE976" s="257" t="s">
        <v>10164</v>
      </c>
      <c r="AF976" s="257" t="s">
        <v>10165</v>
      </c>
    </row>
    <row r="977" spans="1:32" s="200" customFormat="1" ht="13.6" customHeight="1" x14ac:dyDescent="0.25">
      <c r="A977" s="508"/>
      <c r="B977" s="520"/>
      <c r="C977" s="439" t="s">
        <v>10166</v>
      </c>
      <c r="G977" s="251"/>
      <c r="H977" s="639"/>
      <c r="I977" s="639"/>
      <c r="J977" s="499" t="str">
        <f>IF(AND(Noty!H977=0,Noty!I977=0),"ukryj","odkryj")</f>
        <v>ukryj</v>
      </c>
      <c r="N977" s="387"/>
      <c r="AE977" s="257" t="s">
        <v>10167</v>
      </c>
      <c r="AF977" s="257" t="s">
        <v>10168</v>
      </c>
    </row>
    <row r="978" spans="1:32" s="200" customFormat="1" ht="13.6" customHeight="1" x14ac:dyDescent="0.25">
      <c r="A978" s="508"/>
      <c r="B978" s="520"/>
      <c r="C978" s="439" t="s">
        <v>10169</v>
      </c>
      <c r="G978" s="251"/>
      <c r="H978" s="639"/>
      <c r="I978" s="639"/>
      <c r="J978" s="499" t="str">
        <f>IF(AND(Noty!H978=0,Noty!I978=0),"ukryj","odkryj")</f>
        <v>ukryj</v>
      </c>
      <c r="N978" s="387"/>
      <c r="AE978" s="257" t="s">
        <v>10170</v>
      </c>
      <c r="AF978" s="257" t="s">
        <v>10171</v>
      </c>
    </row>
    <row r="979" spans="1:32" s="200" customFormat="1" ht="13.6" customHeight="1" x14ac:dyDescent="0.25">
      <c r="A979" s="508"/>
      <c r="B979" s="520"/>
      <c r="C979" s="551"/>
      <c r="G979" s="251"/>
      <c r="H979" s="803">
        <f>SUM(H973:H978)</f>
        <v>0</v>
      </c>
      <c r="I979" s="803">
        <f>SUM(I973:I978)</f>
        <v>0</v>
      </c>
      <c r="J979" s="499" t="str">
        <f>IF(AND(Noty!H979=0,Noty!I979=0),"ukryj","odkryj")</f>
        <v>ukryj</v>
      </c>
      <c r="N979" s="387"/>
    </row>
    <row r="980" spans="1:32" s="200" customFormat="1" ht="13.6" customHeight="1" x14ac:dyDescent="0.25">
      <c r="A980" s="508"/>
      <c r="B980" s="520"/>
      <c r="C980" s="204"/>
      <c r="E980" s="709"/>
      <c r="F980" s="709"/>
      <c r="G980" s="196"/>
      <c r="H980" s="710"/>
      <c r="I980" s="710"/>
      <c r="J980" s="499" t="str">
        <f>Noty!J979</f>
        <v>ukryj</v>
      </c>
      <c r="N980" s="387"/>
    </row>
    <row r="981" spans="1:32" s="200" customFormat="1" ht="13.6" customHeight="1" x14ac:dyDescent="0.25">
      <c r="A981" s="508"/>
      <c r="B981" s="520"/>
      <c r="C981" s="233" t="s">
        <v>8608</v>
      </c>
      <c r="E981" s="709"/>
      <c r="F981" s="709"/>
      <c r="G981" s="251"/>
      <c r="H981" s="639"/>
      <c r="I981" s="639"/>
      <c r="J981" s="499" t="str">
        <f>IF(AND(Noty!H981=0,Noty!I981=0),"ukryj","odkryj")</f>
        <v>ukryj</v>
      </c>
      <c r="N981" s="387"/>
      <c r="AE981" s="257" t="s">
        <v>10172</v>
      </c>
      <c r="AF981" s="257" t="s">
        <v>10173</v>
      </c>
    </row>
    <row r="982" spans="1:32" s="200" customFormat="1" ht="13.6" customHeight="1" x14ac:dyDescent="0.25">
      <c r="A982" s="508"/>
      <c r="B982" s="520"/>
      <c r="C982" s="233"/>
      <c r="E982" s="709"/>
      <c r="F982" s="709"/>
      <c r="G982" s="196"/>
      <c r="H982" s="561"/>
      <c r="I982" s="561"/>
      <c r="J982" s="499" t="str">
        <f>Noty!J981</f>
        <v>ukryj</v>
      </c>
      <c r="N982" s="387"/>
    </row>
    <row r="983" spans="1:32" s="200" customFormat="1" ht="13.6" customHeight="1" x14ac:dyDescent="0.25">
      <c r="A983" s="508"/>
      <c r="B983" s="520"/>
      <c r="C983" s="550" t="s">
        <v>10174</v>
      </c>
      <c r="E983" s="708"/>
      <c r="F983" s="708"/>
      <c r="G983" s="196"/>
      <c r="H983" s="711"/>
      <c r="I983" s="711"/>
      <c r="J983" s="499" t="str">
        <f>Noty!J986</f>
        <v>ukryj</v>
      </c>
      <c r="N983" s="387"/>
    </row>
    <row r="984" spans="1:32" s="200" customFormat="1" ht="13.6" customHeight="1" x14ac:dyDescent="0.25">
      <c r="A984" s="508"/>
      <c r="B984" s="520"/>
      <c r="C984" s="439" t="s">
        <v>10175</v>
      </c>
      <c r="E984" s="708"/>
      <c r="F984" s="708"/>
      <c r="G984" s="251"/>
      <c r="H984" s="639"/>
      <c r="I984" s="639"/>
      <c r="J984" s="499" t="str">
        <f>IF(AND(Noty!H984=0,Noty!I984=0),"ukryj","odkryj")</f>
        <v>ukryj</v>
      </c>
      <c r="N984" s="387"/>
      <c r="AE984" s="257" t="s">
        <v>10176</v>
      </c>
      <c r="AF984" s="257" t="s">
        <v>10177</v>
      </c>
    </row>
    <row r="985" spans="1:32" s="200" customFormat="1" ht="13.6" customHeight="1" x14ac:dyDescent="0.25">
      <c r="A985" s="508"/>
      <c r="B985" s="520"/>
      <c r="C985" s="439" t="s">
        <v>10178</v>
      </c>
      <c r="E985" s="698"/>
      <c r="F985" s="698"/>
      <c r="G985" s="251"/>
      <c r="H985" s="639"/>
      <c r="I985" s="639"/>
      <c r="J985" s="499" t="str">
        <f>IF(AND(Noty!H985=0,Noty!I985=0),"ukryj","odkryj")</f>
        <v>ukryj</v>
      </c>
      <c r="N985" s="387"/>
      <c r="AE985" s="257" t="s">
        <v>10179</v>
      </c>
      <c r="AF985" s="257" t="s">
        <v>10180</v>
      </c>
    </row>
    <row r="986" spans="1:32" s="200" customFormat="1" ht="13.6" customHeight="1" x14ac:dyDescent="0.25">
      <c r="A986" s="508"/>
      <c r="B986" s="520"/>
      <c r="C986" s="195"/>
      <c r="D986" s="195"/>
      <c r="E986" s="196"/>
      <c r="F986" s="196"/>
      <c r="G986" s="251"/>
      <c r="H986" s="803">
        <f>SUM(H984:H985)</f>
        <v>0</v>
      </c>
      <c r="I986" s="803">
        <f>SUM(I984:I985)</f>
        <v>0</v>
      </c>
      <c r="J986" s="499" t="str">
        <f>IF(AND(Noty!H986=0,Noty!I986=0),"ukryj","odkryj")</f>
        <v>ukryj</v>
      </c>
      <c r="N986" s="387"/>
    </row>
    <row r="987" spans="1:32" s="200" customFormat="1" ht="13.6" customHeight="1" x14ac:dyDescent="0.25">
      <c r="A987" s="508"/>
      <c r="B987" s="520"/>
      <c r="C987" s="195"/>
      <c r="D987" s="195"/>
      <c r="E987" s="196"/>
      <c r="F987" s="196"/>
      <c r="G987" s="196"/>
      <c r="H987" s="712"/>
      <c r="I987" s="712"/>
      <c r="J987" s="499" t="str">
        <f>Noty!J986</f>
        <v>ukryj</v>
      </c>
      <c r="N987" s="387"/>
    </row>
    <row r="988" spans="1:32" s="200" customFormat="1" ht="13.6" customHeight="1" x14ac:dyDescent="0.25">
      <c r="A988" s="508"/>
      <c r="B988" s="520"/>
      <c r="C988" s="195" t="s">
        <v>9280</v>
      </c>
      <c r="D988" s="708"/>
      <c r="E988" s="196"/>
      <c r="F988" s="196"/>
      <c r="G988" s="251"/>
      <c r="H988" s="803">
        <f>H970+H981+H986+H979</f>
        <v>0</v>
      </c>
      <c r="I988" s="803">
        <f>I970+I981+I986+I979</f>
        <v>0</v>
      </c>
      <c r="J988" s="499" t="str">
        <f>IF(AND(Noty!H988=0,Noty!I988=0),"ukryj","odkryj")</f>
        <v>ukryj</v>
      </c>
      <c r="N988" s="387"/>
    </row>
    <row r="989" spans="1:32" s="200" customFormat="1" ht="13.6" customHeight="1" thickBot="1" x14ac:dyDescent="0.3">
      <c r="A989" s="508"/>
      <c r="B989" s="520"/>
      <c r="C989" s="195"/>
      <c r="D989" s="708"/>
      <c r="E989" s="196"/>
      <c r="F989" s="196"/>
      <c r="G989" s="196"/>
      <c r="H989" s="196"/>
      <c r="I989" s="377"/>
      <c r="J989" s="499" t="str">
        <f>Noty!J988</f>
        <v>ukryj</v>
      </c>
      <c r="N989" s="387"/>
    </row>
    <row r="990" spans="1:32" s="200" customFormat="1" ht="15.75" customHeight="1" thickBot="1" x14ac:dyDescent="0.35">
      <c r="A990" s="1180">
        <f>IF(K990="n/a",A962,A962+1)</f>
        <v>1</v>
      </c>
      <c r="B990" s="1182"/>
      <c r="C990" s="1388" t="s">
        <v>8621</v>
      </c>
      <c r="D990" s="1388"/>
      <c r="E990" s="1388"/>
      <c r="F990" s="1388"/>
      <c r="G990" s="1388"/>
      <c r="H990" s="1388"/>
      <c r="I990" s="1388"/>
      <c r="J990" s="499" t="str">
        <f>IF(Noty!K990="n/a","ukryj","odkryj")</f>
        <v>ukryj</v>
      </c>
      <c r="K990" s="1213" t="str">
        <f>IF(Input!D153="nie","n/a","")</f>
        <v>n/a</v>
      </c>
      <c r="L990" s="492" t="str">
        <f>A990&amp;"."&amp;B990</f>
        <v>1.</v>
      </c>
      <c r="N990" s="1101" t="s">
        <v>9378</v>
      </c>
      <c r="O990" s="489" t="str">
        <f>A990&amp;"."&amp;B990</f>
        <v>1.</v>
      </c>
    </row>
    <row r="991" spans="1:32" s="200" customFormat="1" ht="13.6" customHeight="1" x14ac:dyDescent="0.25">
      <c r="A991" s="508"/>
      <c r="B991" s="520"/>
      <c r="C991" s="1414" t="s">
        <v>10145</v>
      </c>
      <c r="D991" s="1414"/>
      <c r="E991" s="1414"/>
      <c r="F991" s="1414"/>
      <c r="G991" s="1414"/>
      <c r="H991" s="1414"/>
      <c r="I991" s="1414"/>
      <c r="J991" s="499" t="str">
        <f>Noty!J990</f>
        <v>ukryj</v>
      </c>
      <c r="K991" s="971"/>
      <c r="N991" s="387"/>
    </row>
    <row r="992" spans="1:32" s="200" customFormat="1" ht="27" customHeight="1" x14ac:dyDescent="0.25">
      <c r="A992" s="508"/>
      <c r="B992" s="520"/>
      <c r="C992" s="195"/>
      <c r="D992" s="195"/>
      <c r="E992" s="196"/>
      <c r="F992" s="196"/>
      <c r="G992" s="251"/>
      <c r="H992" s="999" t="str">
        <f>CONCATENATE(Input!$P$6," -",Input!$P$7)</f>
        <v>01.01.2020 -31.12.2020</v>
      </c>
      <c r="I992" s="999" t="str">
        <f>CONCATENATE(Input!$P$10," -",Input!$P$11)</f>
        <v>01.01.2019 -31.12.2019</v>
      </c>
      <c r="J992" s="499" t="str">
        <f>Noty!J991</f>
        <v>ukryj</v>
      </c>
      <c r="K992" s="971"/>
      <c r="N992" s="387"/>
    </row>
    <row r="993" spans="1:32" s="200" customFormat="1" ht="13.6" customHeight="1" x14ac:dyDescent="0.25">
      <c r="A993" s="508"/>
      <c r="B993" s="520"/>
      <c r="C993" s="195"/>
      <c r="D993" s="195"/>
      <c r="E993" s="196"/>
      <c r="F993" s="196"/>
      <c r="G993" s="196"/>
      <c r="H993" s="196"/>
      <c r="I993" s="196"/>
      <c r="J993" s="499" t="str">
        <f>Noty!J992</f>
        <v>ukryj</v>
      </c>
      <c r="K993" s="971"/>
      <c r="N993" s="387"/>
    </row>
    <row r="994" spans="1:32" s="200" customFormat="1" ht="13.6" customHeight="1" x14ac:dyDescent="0.25">
      <c r="A994" s="508"/>
      <c r="B994" s="520"/>
      <c r="C994" s="550" t="s">
        <v>10181</v>
      </c>
      <c r="G994" s="196"/>
      <c r="J994" s="499" t="str">
        <f>Noty!J998</f>
        <v>ukryj</v>
      </c>
      <c r="K994" s="971"/>
      <c r="N994" s="387"/>
    </row>
    <row r="995" spans="1:32" s="200" customFormat="1" ht="13.6" customHeight="1" x14ac:dyDescent="0.25">
      <c r="A995" s="508"/>
      <c r="B995" s="520"/>
      <c r="C995" s="439" t="s">
        <v>10147</v>
      </c>
      <c r="G995" s="251"/>
      <c r="H995" s="639"/>
      <c r="I995" s="639"/>
      <c r="J995" s="499" t="str">
        <f>IF(AND(Noty!H995=0,Noty!I995=0),"ukryj","odkryj")</f>
        <v>ukryj</v>
      </c>
      <c r="K995" s="971"/>
      <c r="N995" s="387"/>
      <c r="AE995" s="257" t="s">
        <v>10182</v>
      </c>
      <c r="AF995" s="257" t="s">
        <v>10183</v>
      </c>
    </row>
    <row r="996" spans="1:32" s="200" customFormat="1" ht="13.6" customHeight="1" x14ac:dyDescent="0.25">
      <c r="A996" s="508"/>
      <c r="B996" s="520"/>
      <c r="C996" s="439" t="s">
        <v>10150</v>
      </c>
      <c r="G996" s="251"/>
      <c r="H996" s="639"/>
      <c r="I996" s="639"/>
      <c r="J996" s="499" t="str">
        <f>IF(AND(Noty!H996=0,Noty!I996=0),"ukryj","odkryj")</f>
        <v>ukryj</v>
      </c>
      <c r="K996" s="971"/>
      <c r="N996" s="387"/>
      <c r="AE996" s="257" t="s">
        <v>10184</v>
      </c>
      <c r="AF996" s="257" t="s">
        <v>10185</v>
      </c>
    </row>
    <row r="997" spans="1:32" s="200" customFormat="1" ht="13.6" customHeight="1" x14ac:dyDescent="0.25">
      <c r="A997" s="508"/>
      <c r="B997" s="520"/>
      <c r="C997" s="439" t="s">
        <v>10160</v>
      </c>
      <c r="G997" s="251"/>
      <c r="H997" s="639"/>
      <c r="I997" s="639"/>
      <c r="J997" s="499" t="str">
        <f>IF(AND(Noty!H997=0,Noty!I997=0),"ukryj","odkryj")</f>
        <v>ukryj</v>
      </c>
      <c r="K997" s="971"/>
      <c r="N997" s="387"/>
      <c r="AE997" s="257" t="s">
        <v>10186</v>
      </c>
      <c r="AF997" s="257" t="s">
        <v>10187</v>
      </c>
    </row>
    <row r="998" spans="1:32" s="200" customFormat="1" ht="13.6" customHeight="1" x14ac:dyDescent="0.25">
      <c r="A998" s="508"/>
      <c r="B998" s="520"/>
      <c r="C998" s="439"/>
      <c r="G998" s="251"/>
      <c r="H998" s="803">
        <f>SUM(H995:H997)</f>
        <v>0</v>
      </c>
      <c r="I998" s="803">
        <f>SUM(I995:I997)</f>
        <v>0</v>
      </c>
      <c r="J998" s="499" t="str">
        <f>IF(AND(Noty!H998=0,Noty!I998=0),"ukryj","odkryj")</f>
        <v>ukryj</v>
      </c>
      <c r="K998" s="971"/>
      <c r="N998" s="387"/>
    </row>
    <row r="999" spans="1:32" s="200" customFormat="1" ht="13.6" customHeight="1" x14ac:dyDescent="0.25">
      <c r="A999" s="508"/>
      <c r="B999" s="520"/>
      <c r="C999" s="439"/>
      <c r="G999" s="196"/>
      <c r="H999" s="711"/>
      <c r="I999" s="711"/>
      <c r="J999" s="499" t="str">
        <f>Noty!J998</f>
        <v>ukryj</v>
      </c>
      <c r="K999" s="971"/>
      <c r="N999" s="387"/>
    </row>
    <row r="1000" spans="1:32" s="200" customFormat="1" ht="13.6" customHeight="1" x14ac:dyDescent="0.25">
      <c r="A1000" s="508"/>
      <c r="B1000" s="520"/>
      <c r="C1000" s="550" t="s">
        <v>8613</v>
      </c>
      <c r="G1000" s="196"/>
      <c r="H1000" s="549"/>
      <c r="I1000" s="549"/>
      <c r="J1000" s="499" t="str">
        <f>Noty!J1007</f>
        <v>ukryj</v>
      </c>
      <c r="K1000" s="971"/>
      <c r="N1000" s="387"/>
    </row>
    <row r="1001" spans="1:32" s="200" customFormat="1" ht="13.6" customHeight="1" x14ac:dyDescent="0.25">
      <c r="A1001" s="508"/>
      <c r="B1001" s="520"/>
      <c r="C1001" s="439" t="s">
        <v>10147</v>
      </c>
      <c r="G1001" s="251"/>
      <c r="H1001" s="639"/>
      <c r="I1001" s="639"/>
      <c r="J1001" s="499" t="str">
        <f>IF(AND(Noty!H1001=0,Noty!I1001=0),"ukryj","odkryj")</f>
        <v>ukryj</v>
      </c>
      <c r="K1001" s="971"/>
      <c r="N1001" s="387"/>
      <c r="AE1001" s="257" t="s">
        <v>10188</v>
      </c>
      <c r="AF1001" s="257" t="s">
        <v>10189</v>
      </c>
    </row>
    <row r="1002" spans="1:32" s="200" customFormat="1" ht="13.6" customHeight="1" x14ac:dyDescent="0.25">
      <c r="A1002" s="508"/>
      <c r="B1002" s="520"/>
      <c r="C1002" s="439" t="s">
        <v>10150</v>
      </c>
      <c r="G1002" s="251"/>
      <c r="H1002" s="639"/>
      <c r="I1002" s="639"/>
      <c r="J1002" s="499" t="str">
        <f>IF(AND(Noty!H1002=0,Noty!I1002=0),"ukryj","odkryj")</f>
        <v>ukryj</v>
      </c>
      <c r="K1002" s="971"/>
      <c r="N1002" s="387"/>
      <c r="AE1002" s="257" t="s">
        <v>10190</v>
      </c>
      <c r="AF1002" s="257" t="s">
        <v>10191</v>
      </c>
    </row>
    <row r="1003" spans="1:32" s="200" customFormat="1" ht="13.6" customHeight="1" x14ac:dyDescent="0.25">
      <c r="A1003" s="508"/>
      <c r="B1003" s="520"/>
      <c r="C1003" s="439" t="s">
        <v>10160</v>
      </c>
      <c r="G1003" s="251"/>
      <c r="H1003" s="639"/>
      <c r="I1003" s="639"/>
      <c r="J1003" s="499" t="str">
        <f>IF(AND(Noty!H1003=0,Noty!I1003=0),"ukryj","odkryj")</f>
        <v>ukryj</v>
      </c>
      <c r="K1003" s="971"/>
      <c r="N1003" s="387"/>
      <c r="AE1003" s="257" t="s">
        <v>10192</v>
      </c>
      <c r="AF1003" s="257" t="s">
        <v>10193</v>
      </c>
    </row>
    <row r="1004" spans="1:32" s="200" customFormat="1" ht="13.6" customHeight="1" x14ac:dyDescent="0.25">
      <c r="A1004" s="508"/>
      <c r="B1004" s="520"/>
      <c r="C1004" s="439" t="s">
        <v>10163</v>
      </c>
      <c r="G1004" s="251"/>
      <c r="H1004" s="639"/>
      <c r="I1004" s="639"/>
      <c r="J1004" s="499" t="str">
        <f>IF(AND(Noty!H1004=0,Noty!I1004=0),"ukryj","odkryj")</f>
        <v>ukryj</v>
      </c>
      <c r="K1004" s="971"/>
      <c r="N1004" s="387"/>
      <c r="AE1004" s="257" t="s">
        <v>10194</v>
      </c>
      <c r="AF1004" s="257" t="s">
        <v>10195</v>
      </c>
    </row>
    <row r="1005" spans="1:32" s="200" customFormat="1" ht="13.6" customHeight="1" x14ac:dyDescent="0.25">
      <c r="A1005" s="508"/>
      <c r="B1005" s="520"/>
      <c r="C1005" s="439" t="s">
        <v>10166</v>
      </c>
      <c r="G1005" s="251"/>
      <c r="H1005" s="639"/>
      <c r="I1005" s="639"/>
      <c r="J1005" s="499" t="str">
        <f>IF(AND(Noty!H1005=0,Noty!I1005=0),"ukryj","odkryj")</f>
        <v>ukryj</v>
      </c>
      <c r="K1005" s="971"/>
      <c r="N1005" s="387"/>
      <c r="AE1005" s="257" t="s">
        <v>10196</v>
      </c>
      <c r="AF1005" s="257" t="s">
        <v>10197</v>
      </c>
    </row>
    <row r="1006" spans="1:32" s="200" customFormat="1" ht="13.6" customHeight="1" x14ac:dyDescent="0.25">
      <c r="A1006" s="508"/>
      <c r="B1006" s="520"/>
      <c r="C1006" s="439" t="s">
        <v>10169</v>
      </c>
      <c r="G1006" s="251"/>
      <c r="H1006" s="639"/>
      <c r="I1006" s="639"/>
      <c r="J1006" s="499" t="str">
        <f>IF(AND(Noty!H1006=0,Noty!I1006=0),"ukryj","odkryj")</f>
        <v>ukryj</v>
      </c>
      <c r="K1006" s="971"/>
      <c r="N1006" s="387"/>
      <c r="AE1006" s="257" t="s">
        <v>10198</v>
      </c>
      <c r="AF1006" s="257" t="s">
        <v>10199</v>
      </c>
    </row>
    <row r="1007" spans="1:32" s="200" customFormat="1" ht="13.6" customHeight="1" x14ac:dyDescent="0.25">
      <c r="A1007" s="508"/>
      <c r="B1007" s="520"/>
      <c r="C1007" s="439"/>
      <c r="G1007" s="251"/>
      <c r="H1007" s="803">
        <f>SUM(H1001:H1006)</f>
        <v>0</v>
      </c>
      <c r="I1007" s="803">
        <f>SUM(I1001:I1006)</f>
        <v>0</v>
      </c>
      <c r="J1007" s="499" t="str">
        <f>IF(AND(Noty!H1007=0,Noty!I1007=0),"ukryj","odkryj")</f>
        <v>ukryj</v>
      </c>
      <c r="K1007" s="971"/>
      <c r="N1007" s="387"/>
    </row>
    <row r="1008" spans="1:32" s="200" customFormat="1" ht="13.6" customHeight="1" x14ac:dyDescent="0.25">
      <c r="A1008" s="508"/>
      <c r="B1008" s="520"/>
      <c r="C1008" s="550" t="s">
        <v>10174</v>
      </c>
      <c r="G1008" s="196"/>
      <c r="H1008" s="549"/>
      <c r="I1008" s="549"/>
      <c r="J1008" s="499" t="str">
        <f>Noty!J1012</f>
        <v>ukryj</v>
      </c>
      <c r="K1008" s="971"/>
      <c r="N1008" s="387"/>
    </row>
    <row r="1009" spans="1:32" s="200" customFormat="1" ht="13.6" customHeight="1" x14ac:dyDescent="0.25">
      <c r="A1009" s="508"/>
      <c r="B1009" s="520"/>
      <c r="C1009" s="552" t="s">
        <v>10175</v>
      </c>
      <c r="G1009" s="251"/>
      <c r="H1009" s="639"/>
      <c r="I1009" s="639"/>
      <c r="J1009" s="499" t="str">
        <f>IF(AND(Noty!H1009=0,Noty!I1009=0),"ukryj","odkryj")</f>
        <v>ukryj</v>
      </c>
      <c r="K1009" s="971"/>
      <c r="N1009" s="387"/>
      <c r="AE1009" s="257" t="s">
        <v>10200</v>
      </c>
      <c r="AF1009" s="257" t="s">
        <v>10201</v>
      </c>
    </row>
    <row r="1010" spans="1:32" s="200" customFormat="1" ht="13.6" customHeight="1" x14ac:dyDescent="0.25">
      <c r="A1010" s="508"/>
      <c r="B1010" s="520"/>
      <c r="C1010" s="439" t="s">
        <v>10202</v>
      </c>
      <c r="G1010" s="251"/>
      <c r="H1010" s="639"/>
      <c r="I1010" s="639"/>
      <c r="J1010" s="499" t="str">
        <f>IF(AND(Noty!H1010=0,Noty!I1010=0),"ukryj","odkryj")</f>
        <v>ukryj</v>
      </c>
      <c r="K1010" s="971"/>
      <c r="N1010" s="387"/>
      <c r="AE1010" s="257" t="s">
        <v>10203</v>
      </c>
      <c r="AF1010" s="257" t="s">
        <v>10204</v>
      </c>
    </row>
    <row r="1011" spans="1:32" s="200" customFormat="1" ht="13.6" customHeight="1" x14ac:dyDescent="0.25">
      <c r="A1011" s="508"/>
      <c r="B1011" s="520"/>
      <c r="C1011" s="439" t="s">
        <v>10205</v>
      </c>
      <c r="G1011" s="251"/>
      <c r="H1011" s="639"/>
      <c r="I1011" s="639"/>
      <c r="J1011" s="499" t="str">
        <f>IF(AND(Noty!H1011=0,Noty!I1011=0),"ukryj","odkryj")</f>
        <v>ukryj</v>
      </c>
      <c r="K1011" s="971"/>
      <c r="N1011" s="387"/>
      <c r="AE1011" s="257" t="s">
        <v>10206</v>
      </c>
      <c r="AF1011" s="257" t="s">
        <v>10207</v>
      </c>
    </row>
    <row r="1012" spans="1:32" s="200" customFormat="1" ht="13.6" customHeight="1" x14ac:dyDescent="0.25">
      <c r="A1012" s="508"/>
      <c r="B1012" s="520"/>
      <c r="C1012" s="195"/>
      <c r="D1012" s="713"/>
      <c r="G1012" s="251"/>
      <c r="H1012" s="803">
        <f>SUM(H1009:H1011)</f>
        <v>0</v>
      </c>
      <c r="I1012" s="803">
        <f>SUM(I1009:I1011)</f>
        <v>0</v>
      </c>
      <c r="J1012" s="499" t="str">
        <f>IF(AND(Noty!H1012=0,Noty!I1012=0),"ukryj","odkryj")</f>
        <v>ukryj</v>
      </c>
      <c r="K1012" s="971"/>
      <c r="N1012" s="387"/>
      <c r="AE1012" s="257"/>
      <c r="AF1012" s="257"/>
    </row>
    <row r="1013" spans="1:32" s="200" customFormat="1" ht="13.6" customHeight="1" x14ac:dyDescent="0.25">
      <c r="A1013" s="508"/>
      <c r="B1013" s="520"/>
      <c r="C1013" s="195"/>
      <c r="D1013" s="713"/>
      <c r="G1013" s="196"/>
      <c r="H1013" s="712"/>
      <c r="I1013" s="712"/>
      <c r="J1013" s="499" t="str">
        <f>Noty!J1012</f>
        <v>ukryj</v>
      </c>
      <c r="K1013" s="971"/>
      <c r="N1013" s="387"/>
      <c r="AE1013" s="257"/>
      <c r="AF1013" s="257"/>
    </row>
    <row r="1014" spans="1:32" s="200" customFormat="1" ht="13.6" customHeight="1" x14ac:dyDescent="0.25">
      <c r="A1014" s="508"/>
      <c r="B1014" s="520"/>
      <c r="C1014" s="195" t="s">
        <v>9280</v>
      </c>
      <c r="D1014" s="708"/>
      <c r="E1014" s="196"/>
      <c r="F1014" s="196"/>
      <c r="G1014" s="251"/>
      <c r="H1014" s="803">
        <f>H998+H1007+H1012</f>
        <v>0</v>
      </c>
      <c r="I1014" s="803">
        <f>I998+I1007+I1012</f>
        <v>0</v>
      </c>
      <c r="J1014" s="499" t="str">
        <f>IF(AND(Noty!H1014=0,Noty!I1014=0),"ukryj","odkryj")</f>
        <v>ukryj</v>
      </c>
      <c r="K1014" s="971"/>
      <c r="N1014" s="387"/>
      <c r="AE1014" s="257"/>
      <c r="AF1014" s="257"/>
    </row>
    <row r="1015" spans="1:32" s="200" customFormat="1" ht="13.6" customHeight="1" thickBot="1" x14ac:dyDescent="0.3">
      <c r="A1015" s="508"/>
      <c r="B1015" s="520"/>
      <c r="C1015" s="195"/>
      <c r="D1015" s="195"/>
      <c r="E1015" s="196"/>
      <c r="F1015" s="196"/>
      <c r="G1015" s="196"/>
      <c r="H1015" s="196"/>
      <c r="I1015" s="196"/>
      <c r="J1015" s="499" t="str">
        <f>Noty!J1014</f>
        <v>ukryj</v>
      </c>
      <c r="K1015" s="971"/>
      <c r="N1015" s="387"/>
    </row>
    <row r="1016" spans="1:32" s="447" customFormat="1" ht="15.75" thickBot="1" x14ac:dyDescent="0.35">
      <c r="A1016" s="1180">
        <f>IF(K1016="n/a",A990,A990+1)</f>
        <v>1</v>
      </c>
      <c r="B1016" s="1190"/>
      <c r="C1016" s="1416" t="s">
        <v>10208</v>
      </c>
      <c r="D1016" s="1416"/>
      <c r="E1016" s="1416"/>
      <c r="F1016" s="1416"/>
      <c r="G1016" s="1416"/>
      <c r="H1016" s="1416"/>
      <c r="I1016" s="1416"/>
      <c r="J1016" s="499" t="str">
        <f>IF(Noty!K1016="n/a","ukryj","odkryj")</f>
        <v>ukryj</v>
      </c>
      <c r="K1016" s="1213" t="str">
        <f>IF(AND(K1018="n/a",K1035="n/a",K1067="n/a"),"n/a","")</f>
        <v>n/a</v>
      </c>
      <c r="L1016" s="492" t="str">
        <f>A1016&amp;"."&amp;B1016</f>
        <v>1.</v>
      </c>
      <c r="M1016" s="450"/>
      <c r="N1016" s="1101" t="s">
        <v>9378</v>
      </c>
      <c r="O1016" s="489" t="str">
        <f>A1016&amp;"."&amp;B1016</f>
        <v>1.</v>
      </c>
    </row>
    <row r="1017" spans="1:32" s="447" customFormat="1" ht="13.75" thickBot="1" x14ac:dyDescent="0.3">
      <c r="A1017" s="508"/>
      <c r="B1017" s="466"/>
      <c r="C1017" s="448"/>
      <c r="D1017" s="716"/>
      <c r="E1017" s="715"/>
      <c r="F1017" s="715"/>
      <c r="G1017" s="715"/>
      <c r="H1017" s="715"/>
      <c r="I1017" s="714"/>
      <c r="J1017" s="499" t="str">
        <f>Noty!J1016</f>
        <v>ukryj</v>
      </c>
      <c r="K1017" s="500"/>
      <c r="L1017" s="200"/>
      <c r="M1017" s="450"/>
      <c r="N1017" s="451"/>
    </row>
    <row r="1018" spans="1:32" s="447" customFormat="1" ht="15.75" thickBot="1" x14ac:dyDescent="0.35">
      <c r="A1018" s="1183">
        <f>A1016</f>
        <v>1</v>
      </c>
      <c r="B1018" s="1184">
        <f>IF(K1018="n/a",0,1)</f>
        <v>0</v>
      </c>
      <c r="C1018" s="1417" t="s">
        <v>10209</v>
      </c>
      <c r="D1018" s="1417"/>
      <c r="E1018" s="1417"/>
      <c r="F1018" s="1417"/>
      <c r="G1018" s="1417"/>
      <c r="H1018" s="1417"/>
      <c r="I1018" s="1417"/>
      <c r="J1018" s="499" t="str">
        <f>IF(Noty!K1018="n/a","ukryj","odkryj")</f>
        <v>ukryj</v>
      </c>
      <c r="K1018" s="1213" t="str">
        <f>IF(Input!D155="nie","n/a","")</f>
        <v>n/a</v>
      </c>
      <c r="L1018" s="492" t="str">
        <f>A1018&amp;"."&amp;B1018</f>
        <v>1.0</v>
      </c>
      <c r="M1018" s="450"/>
      <c r="N1018" s="1101" t="s">
        <v>9378</v>
      </c>
      <c r="O1018" s="489" t="str">
        <f>A1018&amp;"."&amp;B1018</f>
        <v>1.0</v>
      </c>
    </row>
    <row r="1019" spans="1:32" s="447" customFormat="1" x14ac:dyDescent="0.25">
      <c r="A1019" s="509"/>
      <c r="B1019" s="466"/>
      <c r="C1019" s="1414" t="s">
        <v>10145</v>
      </c>
      <c r="D1019" s="1414"/>
      <c r="E1019" s="1414"/>
      <c r="F1019" s="1414"/>
      <c r="G1019" s="1414"/>
      <c r="H1019" s="1414"/>
      <c r="I1019" s="1414"/>
      <c r="J1019" s="499" t="str">
        <f>Noty!J1018</f>
        <v>ukryj</v>
      </c>
      <c r="K1019" s="500"/>
      <c r="L1019" s="200"/>
      <c r="M1019" s="450"/>
      <c r="N1019" s="451"/>
    </row>
    <row r="1020" spans="1:32" s="447" customFormat="1" x14ac:dyDescent="0.25">
      <c r="A1020" s="1409"/>
      <c r="B1020" s="466"/>
      <c r="C1020" s="1410" t="s">
        <v>10210</v>
      </c>
      <c r="D1020" s="1411" t="s">
        <v>10211</v>
      </c>
      <c r="E1020" s="1411"/>
      <c r="F1020" s="1411"/>
      <c r="G1020" s="1411"/>
      <c r="H1020" s="1411"/>
      <c r="I1020" s="1411"/>
      <c r="J1020" s="499" t="str">
        <f>Noty!J1019</f>
        <v>ukryj</v>
      </c>
      <c r="K1020" s="452"/>
      <c r="L1020" s="452"/>
      <c r="M1020" s="452"/>
      <c r="N1020" s="453"/>
    </row>
    <row r="1021" spans="1:32" s="447" customFormat="1" ht="32.25" customHeight="1" x14ac:dyDescent="0.25">
      <c r="A1021" s="1409"/>
      <c r="B1021" s="466"/>
      <c r="C1021" s="1410"/>
      <c r="D1021" s="1412" t="s">
        <v>10212</v>
      </c>
      <c r="E1021" s="1412"/>
      <c r="F1021" s="1412" t="s">
        <v>10213</v>
      </c>
      <c r="G1021" s="1412"/>
      <c r="H1021" s="1412"/>
      <c r="I1021" s="1412"/>
      <c r="J1021" s="499" t="str">
        <f>Noty!J1020</f>
        <v>ukryj</v>
      </c>
      <c r="K1021" s="452"/>
      <c r="L1021" s="452"/>
      <c r="M1021" s="452"/>
      <c r="N1021" s="453"/>
    </row>
    <row r="1022" spans="1:32" s="447" customFormat="1" ht="25.55" customHeight="1" x14ac:dyDescent="0.25">
      <c r="A1022" s="1409"/>
      <c r="B1022" s="466"/>
      <c r="C1022" s="1410"/>
      <c r="D1022" s="1412"/>
      <c r="E1022" s="1412"/>
      <c r="F1022" s="1102" t="s">
        <v>10214</v>
      </c>
      <c r="G1022" s="1102" t="s">
        <v>10215</v>
      </c>
      <c r="H1022" s="1412" t="s">
        <v>10216</v>
      </c>
      <c r="I1022" s="1412"/>
      <c r="J1022" s="499" t="str">
        <f>Noty!J1021</f>
        <v>ukryj</v>
      </c>
      <c r="K1022" s="452"/>
      <c r="L1022" s="452"/>
      <c r="M1022" s="452"/>
      <c r="N1022" s="453"/>
    </row>
    <row r="1023" spans="1:32" s="447" customFormat="1" ht="15.05" customHeight="1" x14ac:dyDescent="0.25">
      <c r="A1023" s="832"/>
      <c r="B1023" s="467"/>
      <c r="C1023" s="833" t="s">
        <v>10217</v>
      </c>
      <c r="D1023" s="1298"/>
      <c r="E1023" s="1298"/>
      <c r="F1023" s="802"/>
      <c r="G1023" s="802"/>
      <c r="H1023" s="1295"/>
      <c r="I1023" s="1295"/>
      <c r="J1023" s="499" t="str">
        <f>IF(AND(Noty!D1023=0,Noty!F1023=0,Noty!H1023=0),"ukryj","odkryj")</f>
        <v>ukryj</v>
      </c>
      <c r="K1023" s="450"/>
      <c r="L1023" s="450"/>
      <c r="M1023" s="450"/>
      <c r="N1023" s="451"/>
    </row>
    <row r="1024" spans="1:32" s="447" customFormat="1" ht="55.5" customHeight="1" x14ac:dyDescent="0.25">
      <c r="A1024" s="832"/>
      <c r="B1024" s="467"/>
      <c r="C1024" s="470" t="s">
        <v>10218</v>
      </c>
      <c r="D1024" s="1298"/>
      <c r="E1024" s="1298"/>
      <c r="F1024" s="802"/>
      <c r="G1024" s="802"/>
      <c r="H1024" s="1298"/>
      <c r="I1024" s="1298"/>
      <c r="J1024" s="499" t="str">
        <f>IF(AND(Noty!D1024=0,Noty!F1024=0,Noty!H1024=0),"ukryj","odkryj")</f>
        <v>ukryj</v>
      </c>
      <c r="K1024" s="450"/>
      <c r="L1024" s="455"/>
      <c r="M1024" s="455"/>
      <c r="N1024" s="456"/>
    </row>
    <row r="1025" spans="1:32" s="447" customFormat="1" ht="13.6" customHeight="1" x14ac:dyDescent="0.25">
      <c r="A1025" s="832"/>
      <c r="B1025" s="467"/>
      <c r="C1025" s="833" t="s">
        <v>10219</v>
      </c>
      <c r="D1025" s="1298"/>
      <c r="E1025" s="1298"/>
      <c r="F1025" s="802"/>
      <c r="G1025" s="802"/>
      <c r="H1025" s="1295"/>
      <c r="I1025" s="1295"/>
      <c r="J1025" s="499" t="str">
        <f>IF(AND(Noty!D1025=0,Noty!F1025=0,Noty!H1025=0),"ukryj","odkryj")</f>
        <v>ukryj</v>
      </c>
      <c r="K1025" s="450"/>
      <c r="L1025" s="450"/>
      <c r="M1025" s="450"/>
      <c r="N1025" s="451"/>
    </row>
    <row r="1026" spans="1:32" s="447" customFormat="1" ht="54" customHeight="1" x14ac:dyDescent="0.25">
      <c r="A1026" s="832"/>
      <c r="B1026" s="467"/>
      <c r="C1026" s="470" t="s">
        <v>10218</v>
      </c>
      <c r="D1026" s="1298"/>
      <c r="E1026" s="1298"/>
      <c r="F1026" s="802"/>
      <c r="G1026" s="802"/>
      <c r="H1026" s="1298"/>
      <c r="I1026" s="1298"/>
      <c r="J1026" s="499" t="str">
        <f>IF(AND(Noty!D1026=0,Noty!F1026=0,Noty!H1026=0),"ukryj","odkryj")</f>
        <v>ukryj</v>
      </c>
      <c r="K1026" s="450"/>
      <c r="L1026" s="455"/>
      <c r="M1026" s="455"/>
      <c r="N1026" s="456"/>
    </row>
    <row r="1027" spans="1:32" s="447" customFormat="1" ht="25.55" customHeight="1" x14ac:dyDescent="0.25">
      <c r="A1027" s="832"/>
      <c r="B1027" s="467"/>
      <c r="C1027" s="833" t="s">
        <v>9905</v>
      </c>
      <c r="D1027" s="1298"/>
      <c r="E1027" s="1298"/>
      <c r="F1027" s="802"/>
      <c r="G1027" s="802"/>
      <c r="H1027" s="1295"/>
      <c r="I1027" s="1295"/>
      <c r="J1027" s="499" t="str">
        <f>IF(AND(Noty!D1027=0,Noty!F1027=0,Noty!H1027=0),"ukryj","odkryj")</f>
        <v>ukryj</v>
      </c>
      <c r="K1027" s="450"/>
      <c r="L1027" s="450"/>
      <c r="M1027" s="450"/>
      <c r="N1027" s="451"/>
    </row>
    <row r="1028" spans="1:32" s="447" customFormat="1" ht="53.2" customHeight="1" x14ac:dyDescent="0.25">
      <c r="A1028" s="832"/>
      <c r="B1028" s="467"/>
      <c r="C1028" s="470" t="s">
        <v>10218</v>
      </c>
      <c r="D1028" s="1298"/>
      <c r="E1028" s="1298"/>
      <c r="F1028" s="802"/>
      <c r="G1028" s="802"/>
      <c r="H1028" s="1298"/>
      <c r="I1028" s="1298"/>
      <c r="J1028" s="499" t="str">
        <f>IF(AND(Noty!D1028=0,Noty!F1028=0,Noty!H1028=0),"ukryj","odkryj")</f>
        <v>ukryj</v>
      </c>
      <c r="K1028" s="450"/>
      <c r="L1028" s="455"/>
      <c r="M1028" s="455"/>
      <c r="N1028" s="456"/>
    </row>
    <row r="1029" spans="1:32" s="447" customFormat="1" ht="25.55" customHeight="1" x14ac:dyDescent="0.25">
      <c r="A1029" s="832"/>
      <c r="B1029" s="467"/>
      <c r="C1029" s="833" t="s">
        <v>9798</v>
      </c>
      <c r="D1029" s="1298"/>
      <c r="E1029" s="1298"/>
      <c r="F1029" s="802"/>
      <c r="G1029" s="802"/>
      <c r="H1029" s="1295"/>
      <c r="I1029" s="1295"/>
      <c r="J1029" s="499" t="str">
        <f>IF(AND(Noty!D1029=0,Noty!F1029=0,Noty!H1029=0),"ukryj","odkryj")</f>
        <v>ukryj</v>
      </c>
      <c r="K1029" s="450"/>
      <c r="L1029" s="450"/>
      <c r="M1029" s="450"/>
      <c r="N1029" s="451"/>
    </row>
    <row r="1030" spans="1:32" s="447" customFormat="1" ht="54" customHeight="1" x14ac:dyDescent="0.25">
      <c r="A1030" s="832"/>
      <c r="B1030" s="467"/>
      <c r="C1030" s="470" t="s">
        <v>10218</v>
      </c>
      <c r="D1030" s="1298"/>
      <c r="E1030" s="1298"/>
      <c r="F1030" s="802"/>
      <c r="G1030" s="802"/>
      <c r="H1030" s="1298"/>
      <c r="I1030" s="1298"/>
      <c r="J1030" s="499" t="str">
        <f>IF(AND(Noty!D1030=0,Noty!F1030=0,Noty!H1030=0),"ukryj","odkryj")</f>
        <v>ukryj</v>
      </c>
      <c r="K1030" s="450"/>
      <c r="L1030" s="455"/>
      <c r="M1030" s="455"/>
      <c r="N1030" s="456"/>
    </row>
    <row r="1031" spans="1:32" s="447" customFormat="1" ht="25.55" customHeight="1" x14ac:dyDescent="0.25">
      <c r="A1031" s="832"/>
      <c r="B1031" s="467"/>
      <c r="C1031" s="833" t="s">
        <v>10220</v>
      </c>
      <c r="D1031" s="1298"/>
      <c r="E1031" s="1298"/>
      <c r="F1031" s="802"/>
      <c r="G1031" s="802"/>
      <c r="H1031" s="1295"/>
      <c r="I1031" s="1295"/>
      <c r="J1031" s="499" t="str">
        <f>IF(AND(Noty!D1031=0,Noty!F1031=0,Noty!H1031=0),"ukryj","odkryj")</f>
        <v>ukryj</v>
      </c>
      <c r="K1031" s="450"/>
      <c r="L1031" s="450"/>
      <c r="M1031" s="450"/>
      <c r="N1031" s="451"/>
    </row>
    <row r="1032" spans="1:32" s="447" customFormat="1" ht="53.2" customHeight="1" x14ac:dyDescent="0.25">
      <c r="A1032" s="832"/>
      <c r="B1032" s="467"/>
      <c r="C1032" s="470" t="s">
        <v>10218</v>
      </c>
      <c r="D1032" s="1301"/>
      <c r="E1032" s="1301"/>
      <c r="F1032" s="804"/>
      <c r="G1032" s="804"/>
      <c r="H1032" s="1301"/>
      <c r="I1032" s="1301"/>
      <c r="J1032" s="499" t="str">
        <f>IF(AND(Noty!D1032=0,Noty!F1032=0,Noty!H1032=0),"ukryj","odkryj")</f>
        <v>ukryj</v>
      </c>
      <c r="K1032" s="450"/>
      <c r="L1032" s="455"/>
      <c r="M1032" s="455"/>
      <c r="N1032" s="456"/>
    </row>
    <row r="1033" spans="1:32" s="447" customFormat="1" x14ac:dyDescent="0.25">
      <c r="A1033" s="832"/>
      <c r="B1033" s="828"/>
      <c r="C1033" s="457"/>
      <c r="D1033" s="1300">
        <f>D1023+D1025+D1027+D1029+D1031</f>
        <v>0</v>
      </c>
      <c r="E1033" s="1300"/>
      <c r="F1033" s="803">
        <f>F1023+F1025+F1027+F1029+F1031</f>
        <v>0</v>
      </c>
      <c r="G1033" s="803"/>
      <c r="H1033" s="1300">
        <f>H1023+H1025+H1027+H1029+H1031</f>
        <v>0</v>
      </c>
      <c r="I1033" s="1300"/>
      <c r="J1033" s="499" t="str">
        <f>IF(AND(Noty!D1033=0,Noty!F1033=0,Noty!H1033=0),"ukryj","odkryj")</f>
        <v>ukryj</v>
      </c>
      <c r="K1033" s="450"/>
      <c r="L1033" s="450"/>
      <c r="M1033" s="450"/>
      <c r="N1033" s="451"/>
    </row>
    <row r="1034" spans="1:32" s="447" customFormat="1" ht="13.75" thickBot="1" x14ac:dyDescent="0.3">
      <c r="A1034" s="458"/>
      <c r="B1034" s="828"/>
      <c r="C1034" s="457"/>
      <c r="D1034" s="717"/>
      <c r="E1034" s="718"/>
      <c r="F1034" s="718"/>
      <c r="G1034" s="718"/>
      <c r="H1034" s="718"/>
      <c r="I1034" s="719"/>
      <c r="J1034" s="499" t="str">
        <f>Noty!J1033</f>
        <v>ukryj</v>
      </c>
      <c r="K1034" s="450"/>
      <c r="L1034" s="501"/>
      <c r="M1034" s="450"/>
      <c r="N1034" s="451"/>
    </row>
    <row r="1035" spans="1:32" s="447" customFormat="1" ht="15.75" thickBot="1" x14ac:dyDescent="0.35">
      <c r="A1035" s="1183">
        <f>A1016</f>
        <v>1</v>
      </c>
      <c r="B1035" s="1184">
        <f>IF(K1035="n/a",B1018,B1018+1)</f>
        <v>0</v>
      </c>
      <c r="C1035" s="1417" t="s">
        <v>8683</v>
      </c>
      <c r="D1035" s="1417"/>
      <c r="E1035" s="1417"/>
      <c r="F1035" s="1417"/>
      <c r="G1035" s="1417"/>
      <c r="H1035" s="1417"/>
      <c r="I1035" s="1417"/>
      <c r="J1035" s="499" t="str">
        <f>IF(Noty!K1035="n/a","ukryj","odkryj")</f>
        <v>ukryj</v>
      </c>
      <c r="K1035" s="1213" t="str">
        <f>IF(Input!D156="nie","n/a","")</f>
        <v>n/a</v>
      </c>
      <c r="L1035" s="492" t="str">
        <f>A1035&amp;"."&amp;B1035</f>
        <v>1.0</v>
      </c>
      <c r="M1035" s="450"/>
      <c r="N1035" s="1101" t="s">
        <v>9378</v>
      </c>
      <c r="O1035" s="489" t="str">
        <f>A1035&amp;"."&amp;B1035</f>
        <v>1.0</v>
      </c>
    </row>
    <row r="1036" spans="1:32" s="447" customFormat="1" x14ac:dyDescent="0.25">
      <c r="A1036" s="458"/>
      <c r="B1036" s="828"/>
      <c r="C1036" s="1414" t="s">
        <v>10145</v>
      </c>
      <c r="D1036" s="1414"/>
      <c r="E1036" s="1414"/>
      <c r="F1036" s="1414"/>
      <c r="G1036" s="1414"/>
      <c r="H1036" s="1414"/>
      <c r="I1036" s="1414"/>
      <c r="J1036" s="499" t="str">
        <f>Noty!J1035</f>
        <v>ukryj</v>
      </c>
      <c r="K1036" s="450"/>
      <c r="L1036" s="450"/>
      <c r="M1036" s="450"/>
      <c r="N1036" s="451"/>
    </row>
    <row r="1037" spans="1:32" s="447" customFormat="1" ht="27.85" customHeight="1" x14ac:dyDescent="0.25">
      <c r="A1037" s="832"/>
      <c r="B1037" s="466"/>
      <c r="C1037" s="553" t="s">
        <v>9485</v>
      </c>
      <c r="E1037" s="714"/>
      <c r="F1037" s="714"/>
      <c r="G1037" s="1012"/>
      <c r="H1037" s="1013" t="str">
        <f>CONCATENATE(Input!$P$6," -",Input!$P$7)</f>
        <v>01.01.2020 -31.12.2020</v>
      </c>
      <c r="I1037" s="1013" t="str">
        <f>CONCATENATE(Input!$P$10," -",Input!$P$11)</f>
        <v>01.01.2019 -31.12.2019</v>
      </c>
      <c r="J1037" s="499" t="str">
        <f>Noty!J1036</f>
        <v>ukryj</v>
      </c>
      <c r="K1037" s="450"/>
      <c r="L1037" s="450"/>
      <c r="M1037" s="450"/>
      <c r="N1037" s="451"/>
    </row>
    <row r="1038" spans="1:32" s="447" customFormat="1" ht="13.6" customHeight="1" x14ac:dyDescent="0.25">
      <c r="A1038" s="832"/>
      <c r="B1038" s="466"/>
      <c r="C1038" s="461" t="s">
        <v>10221</v>
      </c>
      <c r="E1038" s="612"/>
      <c r="F1038" s="612"/>
      <c r="G1038" s="720"/>
      <c r="H1038" s="720"/>
      <c r="I1038" s="720"/>
      <c r="J1038" s="499" t="str">
        <f>Noty!J1045</f>
        <v>ukryj</v>
      </c>
      <c r="K1038" s="461"/>
      <c r="L1038" s="461"/>
      <c r="M1038" s="461"/>
      <c r="N1038" s="462"/>
      <c r="AE1038" s="257"/>
      <c r="AF1038" s="257"/>
    </row>
    <row r="1039" spans="1:32" s="447" customFormat="1" x14ac:dyDescent="0.25">
      <c r="A1039" s="832"/>
      <c r="B1039" s="467"/>
      <c r="C1039" s="450" t="s">
        <v>10222</v>
      </c>
      <c r="E1039" s="714"/>
      <c r="F1039" s="714"/>
      <c r="G1039" s="1012"/>
      <c r="H1039" s="639"/>
      <c r="I1039" s="639"/>
      <c r="J1039" s="499" t="str">
        <f>IF(AND(Noty!H1039=0,Noty!I1039=0),"ukryj","odkryj")</f>
        <v>ukryj</v>
      </c>
      <c r="K1039" s="450"/>
      <c r="L1039" s="450"/>
      <c r="M1039" s="450"/>
      <c r="N1039" s="451"/>
      <c r="AE1039" s="257" t="s">
        <v>10223</v>
      </c>
      <c r="AF1039" s="257" t="s">
        <v>10224</v>
      </c>
    </row>
    <row r="1040" spans="1:32" s="447" customFormat="1" ht="30.8" customHeight="1" x14ac:dyDescent="0.25">
      <c r="A1040" s="832"/>
      <c r="B1040" s="467"/>
      <c r="C1040" s="1419" t="s">
        <v>10225</v>
      </c>
      <c r="D1040" s="1419"/>
      <c r="E1040" s="1419"/>
      <c r="F1040" s="1419"/>
      <c r="G1040" s="1014"/>
      <c r="H1040" s="639"/>
      <c r="I1040" s="639"/>
      <c r="J1040" s="499" t="str">
        <f>IF(AND(Noty!H1040=0,Noty!I1040=0),"ukryj","odkryj")</f>
        <v>ukryj</v>
      </c>
      <c r="K1040" s="450"/>
      <c r="L1040" s="450"/>
      <c r="M1040" s="450"/>
      <c r="N1040" s="451"/>
      <c r="AE1040" s="257" t="s">
        <v>10226</v>
      </c>
      <c r="AF1040" s="257" t="s">
        <v>10227</v>
      </c>
    </row>
    <row r="1041" spans="1:32" s="447" customFormat="1" x14ac:dyDescent="0.25">
      <c r="A1041" s="832"/>
      <c r="B1041" s="467"/>
      <c r="C1041" s="450" t="s">
        <v>10228</v>
      </c>
      <c r="E1041" s="714"/>
      <c r="F1041" s="714"/>
      <c r="G1041" s="1012"/>
      <c r="H1041" s="639"/>
      <c r="I1041" s="639"/>
      <c r="J1041" s="499" t="str">
        <f>IF(AND(Noty!H1041=0,Noty!I1041=0),"ukryj","odkryj")</f>
        <v>ukryj</v>
      </c>
      <c r="K1041" s="450"/>
      <c r="L1041" s="450"/>
      <c r="M1041" s="450"/>
      <c r="N1041" s="451"/>
      <c r="AE1041" s="257" t="s">
        <v>10229</v>
      </c>
      <c r="AF1041" s="257" t="s">
        <v>10230</v>
      </c>
    </row>
    <row r="1042" spans="1:32" s="447" customFormat="1" x14ac:dyDescent="0.25">
      <c r="A1042" s="832"/>
      <c r="B1042" s="467"/>
      <c r="C1042" s="450" t="s">
        <v>10231</v>
      </c>
      <c r="E1042" s="714"/>
      <c r="F1042" s="714"/>
      <c r="G1042" s="1012"/>
      <c r="H1042" s="639"/>
      <c r="I1042" s="639"/>
      <c r="J1042" s="499" t="str">
        <f>IF(AND(Noty!H1042=0,Noty!I1042=0),"ukryj","odkryj")</f>
        <v>ukryj</v>
      </c>
      <c r="K1042" s="450"/>
      <c r="L1042" s="450"/>
      <c r="M1042" s="450"/>
      <c r="N1042" s="451"/>
      <c r="AE1042" s="257" t="s">
        <v>10232</v>
      </c>
      <c r="AF1042" s="257" t="s">
        <v>10233</v>
      </c>
    </row>
    <row r="1043" spans="1:32" s="447" customFormat="1" x14ac:dyDescent="0.25">
      <c r="A1043" s="832"/>
      <c r="B1043" s="467"/>
      <c r="C1043" s="450" t="s">
        <v>10234</v>
      </c>
      <c r="E1043" s="714"/>
      <c r="F1043" s="714"/>
      <c r="G1043" s="1012"/>
      <c r="H1043" s="639"/>
      <c r="I1043" s="639"/>
      <c r="J1043" s="499" t="str">
        <f>IF(AND(Noty!H1043=0,Noty!I1043=0),"ukryj","odkryj")</f>
        <v>ukryj</v>
      </c>
      <c r="K1043" s="450"/>
      <c r="L1043" s="450"/>
      <c r="M1043" s="450"/>
      <c r="N1043" s="451"/>
      <c r="AE1043" s="257" t="s">
        <v>10235</v>
      </c>
      <c r="AF1043" s="257" t="s">
        <v>10236</v>
      </c>
    </row>
    <row r="1044" spans="1:32" s="447" customFormat="1" x14ac:dyDescent="0.25">
      <c r="A1044" s="832"/>
      <c r="B1044" s="467"/>
      <c r="C1044" s="450" t="s">
        <v>10237</v>
      </c>
      <c r="E1044" s="714"/>
      <c r="F1044" s="714"/>
      <c r="G1044" s="1012"/>
      <c r="H1044" s="802"/>
      <c r="I1044" s="802"/>
      <c r="J1044" s="499" t="str">
        <f>IF(AND(Noty!H1044=0,Noty!I1044=0),"ukryj","odkryj")</f>
        <v>ukryj</v>
      </c>
      <c r="K1044" s="450"/>
      <c r="L1044" s="450"/>
      <c r="M1044" s="450"/>
      <c r="N1044" s="451"/>
      <c r="AE1044" s="257" t="s">
        <v>10238</v>
      </c>
      <c r="AF1044" s="257" t="s">
        <v>10239</v>
      </c>
    </row>
    <row r="1045" spans="1:32" s="447" customFormat="1" x14ac:dyDescent="0.25">
      <c r="A1045" s="832"/>
      <c r="B1045" s="467"/>
      <c r="C1045" s="454"/>
      <c r="D1045" s="716"/>
      <c r="E1045" s="714"/>
      <c r="F1045" s="714"/>
      <c r="G1045" s="1012"/>
      <c r="H1045" s="803">
        <f>SUM(H1039:H1044)</f>
        <v>0</v>
      </c>
      <c r="I1045" s="803">
        <f>SUM(I1039:I1044)</f>
        <v>0</v>
      </c>
      <c r="J1045" s="499" t="str">
        <f>IF(AND(Noty!H1045=0,Noty!I1045=0),"ukryj","odkryj")</f>
        <v>ukryj</v>
      </c>
      <c r="K1045" s="450"/>
      <c r="L1045" s="450"/>
      <c r="M1045" s="450"/>
      <c r="N1045" s="451"/>
    </row>
    <row r="1046" spans="1:32" s="447" customFormat="1" x14ac:dyDescent="0.25">
      <c r="A1046" s="832"/>
      <c r="B1046" s="467"/>
      <c r="C1046" s="454"/>
      <c r="D1046" s="716"/>
      <c r="E1046" s="714"/>
      <c r="F1046" s="714"/>
      <c r="G1046" s="714"/>
      <c r="H1046" s="714"/>
      <c r="J1046" s="499" t="str">
        <f>Noty!J1045</f>
        <v>ukryj</v>
      </c>
      <c r="K1046" s="450"/>
      <c r="L1046" s="450"/>
      <c r="M1046" s="450"/>
      <c r="N1046" s="451"/>
    </row>
    <row r="1047" spans="1:32" s="447" customFormat="1" ht="13.6" customHeight="1" x14ac:dyDescent="0.25">
      <c r="A1047" s="832"/>
      <c r="B1047" s="466"/>
      <c r="C1047" s="553" t="s">
        <v>10240</v>
      </c>
      <c r="E1047" s="612"/>
      <c r="F1047" s="612"/>
      <c r="G1047" s="720"/>
      <c r="H1047" s="720"/>
      <c r="J1047" s="499" t="str">
        <f>Noty!J1065</f>
        <v>ukryj</v>
      </c>
      <c r="K1047" s="461"/>
      <c r="L1047" s="461"/>
      <c r="M1047" s="461"/>
      <c r="N1047" s="462"/>
    </row>
    <row r="1048" spans="1:32" s="447" customFormat="1" x14ac:dyDescent="0.25">
      <c r="A1048" s="832"/>
      <c r="B1048" s="466"/>
      <c r="C1048" s="553" t="s">
        <v>10241</v>
      </c>
      <c r="D1048" s="714"/>
      <c r="E1048" s="714"/>
      <c r="G1048" s="714"/>
      <c r="H1048" s="714"/>
      <c r="I1048" s="714"/>
      <c r="J1048" s="499" t="str">
        <f>Noty!J1055</f>
        <v>ukryj</v>
      </c>
      <c r="K1048" s="450"/>
      <c r="L1048" s="450"/>
      <c r="M1048" s="450"/>
      <c r="N1048" s="451"/>
    </row>
    <row r="1049" spans="1:32" s="447" customFormat="1" x14ac:dyDescent="0.25">
      <c r="A1049" s="832"/>
      <c r="B1049" s="467"/>
      <c r="C1049" s="463" t="s">
        <v>10222</v>
      </c>
      <c r="D1049" s="714"/>
      <c r="E1049" s="714"/>
      <c r="G1049" s="1012"/>
      <c r="H1049" s="639"/>
      <c r="I1049" s="639"/>
      <c r="J1049" s="499" t="str">
        <f>IF(AND(Noty!H1049=0,Noty!I1049=0),"ukryj","odkryj")</f>
        <v>ukryj</v>
      </c>
      <c r="K1049" s="450"/>
      <c r="L1049" s="450"/>
      <c r="M1049" s="450"/>
      <c r="N1049" s="451"/>
      <c r="AE1049" s="257" t="s">
        <v>10242</v>
      </c>
      <c r="AF1049" s="257" t="s">
        <v>10243</v>
      </c>
    </row>
    <row r="1050" spans="1:32" s="447" customFormat="1" ht="25.55" customHeight="1" x14ac:dyDescent="0.25">
      <c r="A1050" s="832"/>
      <c r="B1050" s="467"/>
      <c r="C1050" s="1418" t="s">
        <v>10225</v>
      </c>
      <c r="D1050" s="1418"/>
      <c r="E1050" s="1418"/>
      <c r="F1050" s="1418"/>
      <c r="G1050" s="1012"/>
      <c r="H1050" s="639"/>
      <c r="I1050" s="639"/>
      <c r="J1050" s="499" t="str">
        <f>IF(AND(Noty!H1050=0,Noty!I1050=0),"ukryj","odkryj")</f>
        <v>ukryj</v>
      </c>
      <c r="K1050" s="450"/>
      <c r="L1050" s="450"/>
      <c r="M1050" s="450"/>
      <c r="N1050" s="451"/>
      <c r="AE1050" s="257" t="s">
        <v>10244</v>
      </c>
      <c r="AF1050" s="257" t="s">
        <v>10245</v>
      </c>
    </row>
    <row r="1051" spans="1:32" s="447" customFormat="1" x14ac:dyDescent="0.25">
      <c r="A1051" s="832"/>
      <c r="B1051" s="467"/>
      <c r="C1051" s="463" t="s">
        <v>10228</v>
      </c>
      <c r="D1051" s="714"/>
      <c r="E1051" s="714"/>
      <c r="G1051" s="1012"/>
      <c r="H1051" s="639"/>
      <c r="I1051" s="639"/>
      <c r="J1051" s="499" t="str">
        <f>IF(AND(Noty!H1051=0,Noty!I1051=0),"ukryj","odkryj")</f>
        <v>ukryj</v>
      </c>
      <c r="K1051" s="450"/>
      <c r="L1051" s="450"/>
      <c r="M1051" s="450"/>
      <c r="N1051" s="451"/>
      <c r="AE1051" s="257" t="s">
        <v>10246</v>
      </c>
      <c r="AF1051" s="257" t="s">
        <v>10247</v>
      </c>
    </row>
    <row r="1052" spans="1:32" s="447" customFormat="1" x14ac:dyDescent="0.25">
      <c r="A1052" s="832"/>
      <c r="B1052" s="467"/>
      <c r="C1052" s="463" t="s">
        <v>10231</v>
      </c>
      <c r="D1052" s="714"/>
      <c r="E1052" s="714"/>
      <c r="G1052" s="1012"/>
      <c r="H1052" s="639"/>
      <c r="I1052" s="639"/>
      <c r="J1052" s="499" t="str">
        <f>IF(AND(Noty!H1052=0,Noty!I1052=0),"ukryj","odkryj")</f>
        <v>ukryj</v>
      </c>
      <c r="K1052" s="450"/>
      <c r="L1052" s="450"/>
      <c r="M1052" s="450"/>
      <c r="N1052" s="451"/>
      <c r="AE1052" s="257" t="s">
        <v>10248</v>
      </c>
      <c r="AF1052" s="257" t="s">
        <v>10249</v>
      </c>
    </row>
    <row r="1053" spans="1:32" s="447" customFormat="1" x14ac:dyDescent="0.25">
      <c r="A1053" s="832"/>
      <c r="B1053" s="467"/>
      <c r="C1053" s="463" t="s">
        <v>10234</v>
      </c>
      <c r="D1053" s="714"/>
      <c r="E1053" s="714"/>
      <c r="G1053" s="1012"/>
      <c r="H1053" s="639"/>
      <c r="I1053" s="639"/>
      <c r="J1053" s="499" t="str">
        <f>IF(AND(Noty!H1053=0,Noty!I1053=0),"ukryj","odkryj")</f>
        <v>ukryj</v>
      </c>
      <c r="K1053" s="450"/>
      <c r="L1053" s="450"/>
      <c r="M1053" s="450"/>
      <c r="N1053" s="451"/>
      <c r="AE1053" s="257" t="s">
        <v>10250</v>
      </c>
      <c r="AF1053" s="257" t="s">
        <v>10251</v>
      </c>
    </row>
    <row r="1054" spans="1:32" s="447" customFormat="1" x14ac:dyDescent="0.25">
      <c r="A1054" s="832"/>
      <c r="B1054" s="467"/>
      <c r="C1054" s="463" t="s">
        <v>10237</v>
      </c>
      <c r="D1054" s="714"/>
      <c r="E1054" s="714"/>
      <c r="G1054" s="1012"/>
      <c r="H1054" s="639"/>
      <c r="I1054" s="639"/>
      <c r="J1054" s="499" t="str">
        <f>IF(AND(Noty!H1054=0,Noty!I1054=0),"ukryj","odkryj")</f>
        <v>ukryj</v>
      </c>
      <c r="K1054" s="450"/>
      <c r="L1054" s="450"/>
      <c r="M1054" s="450"/>
      <c r="N1054" s="451"/>
      <c r="AE1054" s="257" t="s">
        <v>10252</v>
      </c>
      <c r="AF1054" s="257" t="s">
        <v>10253</v>
      </c>
    </row>
    <row r="1055" spans="1:32" s="447" customFormat="1" x14ac:dyDescent="0.25">
      <c r="A1055" s="832"/>
      <c r="B1055" s="467"/>
      <c r="C1055" s="449"/>
      <c r="D1055" s="714"/>
      <c r="E1055" s="714"/>
      <c r="G1055" s="1012"/>
      <c r="H1055" s="803">
        <f>SUM(H1049:H1054)</f>
        <v>0</v>
      </c>
      <c r="I1055" s="803">
        <f>SUM(I1049:I1054)</f>
        <v>0</v>
      </c>
      <c r="J1055" s="499" t="str">
        <f>IF(AND(Noty!H1055=0,Noty!I1055=0),"ukryj","odkryj")</f>
        <v>ukryj</v>
      </c>
      <c r="K1055" s="450"/>
      <c r="L1055" s="450"/>
      <c r="M1055" s="450"/>
      <c r="N1055" s="451"/>
    </row>
    <row r="1056" spans="1:32" s="447" customFormat="1" x14ac:dyDescent="0.25">
      <c r="A1056" s="832"/>
      <c r="B1056" s="467"/>
      <c r="C1056" s="449"/>
      <c r="D1056" s="714"/>
      <c r="E1056" s="714"/>
      <c r="G1056" s="714"/>
      <c r="H1056" s="191"/>
      <c r="I1056" s="191"/>
      <c r="J1056" s="499" t="str">
        <f>Noty!J1055</f>
        <v>ukryj</v>
      </c>
      <c r="K1056" s="450"/>
      <c r="L1056" s="450"/>
      <c r="M1056" s="450"/>
      <c r="N1056" s="451"/>
    </row>
    <row r="1057" spans="1:32" s="447" customFormat="1" x14ac:dyDescent="0.25">
      <c r="A1057" s="832"/>
      <c r="B1057" s="466"/>
      <c r="C1057" s="461" t="s">
        <v>10254</v>
      </c>
      <c r="D1057" s="720"/>
      <c r="E1057" s="720"/>
      <c r="G1057" s="720"/>
      <c r="H1057" s="721"/>
      <c r="I1057" s="721"/>
      <c r="J1057" s="499" t="str">
        <f>Noty!J1063</f>
        <v>ukryj</v>
      </c>
      <c r="K1057" s="461"/>
      <c r="L1057" s="461"/>
      <c r="M1057" s="461"/>
      <c r="N1057" s="462"/>
    </row>
    <row r="1058" spans="1:32" s="447" customFormat="1" x14ac:dyDescent="0.25">
      <c r="A1058" s="832"/>
      <c r="B1058" s="467"/>
      <c r="C1058" s="463" t="s">
        <v>10222</v>
      </c>
      <c r="D1058" s="714"/>
      <c r="E1058" s="714"/>
      <c r="G1058" s="1012"/>
      <c r="H1058" s="639"/>
      <c r="I1058" s="639"/>
      <c r="J1058" s="499" t="str">
        <f>IF(AND(Noty!H1058=0,Noty!I1058=0),"ukryj","odkryj")</f>
        <v>ukryj</v>
      </c>
      <c r="K1058" s="450"/>
      <c r="L1058" s="450"/>
      <c r="M1058" s="450"/>
      <c r="N1058" s="451"/>
      <c r="AE1058" s="257" t="s">
        <v>10255</v>
      </c>
      <c r="AF1058" s="257" t="s">
        <v>10256</v>
      </c>
    </row>
    <row r="1059" spans="1:32" s="447" customFormat="1" x14ac:dyDescent="0.25">
      <c r="A1059" s="832"/>
      <c r="B1059" s="467"/>
      <c r="C1059" s="463" t="s">
        <v>10228</v>
      </c>
      <c r="D1059" s="714"/>
      <c r="E1059" s="714"/>
      <c r="G1059" s="1012"/>
      <c r="H1059" s="639"/>
      <c r="I1059" s="639"/>
      <c r="J1059" s="499" t="str">
        <f>IF(AND(Noty!H1059=0,Noty!I1059=0),"ukryj","odkryj")</f>
        <v>ukryj</v>
      </c>
      <c r="K1059" s="450"/>
      <c r="L1059" s="450"/>
      <c r="M1059" s="450"/>
      <c r="N1059" s="451"/>
      <c r="AE1059" s="257" t="s">
        <v>10257</v>
      </c>
      <c r="AF1059" s="257" t="s">
        <v>10258</v>
      </c>
    </row>
    <row r="1060" spans="1:32" s="447" customFormat="1" x14ac:dyDescent="0.25">
      <c r="A1060" s="832"/>
      <c r="B1060" s="467"/>
      <c r="C1060" s="463" t="s">
        <v>10231</v>
      </c>
      <c r="D1060" s="714"/>
      <c r="E1060" s="714"/>
      <c r="G1060" s="1012"/>
      <c r="H1060" s="639"/>
      <c r="I1060" s="639"/>
      <c r="J1060" s="499" t="str">
        <f>IF(AND(Noty!H1060=0,Noty!I1060=0),"ukryj","odkryj")</f>
        <v>ukryj</v>
      </c>
      <c r="K1060" s="450"/>
      <c r="L1060" s="450"/>
      <c r="M1060" s="450"/>
      <c r="N1060" s="451"/>
      <c r="AE1060" s="257" t="s">
        <v>10259</v>
      </c>
      <c r="AF1060" s="257" t="s">
        <v>10260</v>
      </c>
    </row>
    <row r="1061" spans="1:32" s="447" customFormat="1" x14ac:dyDescent="0.25">
      <c r="A1061" s="832"/>
      <c r="B1061" s="467"/>
      <c r="C1061" s="463" t="s">
        <v>10234</v>
      </c>
      <c r="D1061" s="714"/>
      <c r="E1061" s="714"/>
      <c r="G1061" s="1012"/>
      <c r="H1061" s="639"/>
      <c r="I1061" s="639"/>
      <c r="J1061" s="499" t="str">
        <f>IF(AND(Noty!H1061=0,Noty!I1061=0),"ukryj","odkryj")</f>
        <v>ukryj</v>
      </c>
      <c r="K1061" s="450"/>
      <c r="L1061" s="450"/>
      <c r="M1061" s="450"/>
      <c r="N1061" s="451"/>
      <c r="AE1061" s="257" t="s">
        <v>10261</v>
      </c>
      <c r="AF1061" s="257" t="s">
        <v>10262</v>
      </c>
    </row>
    <row r="1062" spans="1:32" s="447" customFormat="1" x14ac:dyDescent="0.25">
      <c r="A1062" s="832"/>
      <c r="B1062" s="467"/>
      <c r="C1062" s="463" t="s">
        <v>10237</v>
      </c>
      <c r="D1062" s="714"/>
      <c r="E1062" s="714"/>
      <c r="G1062" s="1012"/>
      <c r="H1062" s="639"/>
      <c r="I1062" s="639"/>
      <c r="J1062" s="499" t="str">
        <f>IF(AND(Noty!H1062=0,Noty!I1062=0),"ukryj","odkryj")</f>
        <v>ukryj</v>
      </c>
      <c r="K1062" s="450"/>
      <c r="L1062" s="450"/>
      <c r="M1062" s="450"/>
      <c r="N1062" s="451"/>
      <c r="AE1062" s="257" t="s">
        <v>10263</v>
      </c>
      <c r="AF1062" s="257" t="s">
        <v>10264</v>
      </c>
    </row>
    <row r="1063" spans="1:32" s="447" customFormat="1" x14ac:dyDescent="0.25">
      <c r="A1063" s="832"/>
      <c r="B1063" s="467"/>
      <c r="C1063" s="454"/>
      <c r="D1063" s="722"/>
      <c r="E1063" s="714"/>
      <c r="F1063" s="714"/>
      <c r="G1063" s="1012"/>
      <c r="H1063" s="803">
        <f>SUM(H1058:H1062)</f>
        <v>0</v>
      </c>
      <c r="I1063" s="803">
        <f>SUM(I1058:I1062)</f>
        <v>0</v>
      </c>
      <c r="J1063" s="499" t="str">
        <f>IF(AND(Noty!H1063=0,Noty!I1063=0),"ukryj","odkryj")</f>
        <v>ukryj</v>
      </c>
      <c r="K1063" s="450"/>
      <c r="L1063" s="450"/>
      <c r="M1063" s="450"/>
      <c r="N1063" s="451"/>
    </row>
    <row r="1064" spans="1:32" s="447" customFormat="1" x14ac:dyDescent="0.25">
      <c r="A1064" s="832"/>
      <c r="B1064" s="467"/>
      <c r="C1064" s="454"/>
      <c r="D1064" s="716"/>
      <c r="E1064" s="714"/>
      <c r="F1064" s="714"/>
      <c r="G1064" s="714"/>
      <c r="H1064" s="719"/>
      <c r="I1064" s="719"/>
      <c r="J1064" s="499" t="str">
        <f>Noty!J1063</f>
        <v>ukryj</v>
      </c>
      <c r="K1064" s="450"/>
      <c r="L1064" s="450"/>
      <c r="M1064" s="450"/>
      <c r="N1064" s="451"/>
    </row>
    <row r="1065" spans="1:32" s="447" customFormat="1" x14ac:dyDescent="0.25">
      <c r="A1065" s="464"/>
      <c r="B1065" s="467"/>
      <c r="C1065" s="553" t="s">
        <v>10265</v>
      </c>
      <c r="D1065" s="723"/>
      <c r="E1065" s="723"/>
      <c r="F1065" s="723"/>
      <c r="G1065" s="1012"/>
      <c r="H1065" s="803">
        <f>H1045+H1055+H1063</f>
        <v>0</v>
      </c>
      <c r="I1065" s="803">
        <f>I1045+I1055+I1063</f>
        <v>0</v>
      </c>
      <c r="J1065" s="499" t="str">
        <f>IF(AND(Noty!H1065=0,Noty!I1065=0),"ukryj","odkryj")</f>
        <v>ukryj</v>
      </c>
      <c r="K1065" s="450"/>
      <c r="L1065" s="450"/>
      <c r="M1065" s="450"/>
      <c r="N1065" s="451"/>
    </row>
    <row r="1066" spans="1:32" s="447" customFormat="1" ht="13.75" thickBot="1" x14ac:dyDescent="0.3">
      <c r="A1066" s="832"/>
      <c r="B1066" s="467"/>
      <c r="C1066" s="454"/>
      <c r="D1066" s="716"/>
      <c r="E1066" s="714"/>
      <c r="F1066" s="714"/>
      <c r="G1066" s="714"/>
      <c r="H1066" s="714"/>
      <c r="I1066" s="714"/>
      <c r="J1066" s="499" t="str">
        <f>Noty!J1065</f>
        <v>ukryj</v>
      </c>
      <c r="K1066" s="450"/>
      <c r="L1066" s="501"/>
      <c r="M1066" s="450"/>
      <c r="N1066" s="451"/>
    </row>
    <row r="1067" spans="1:32" s="447" customFormat="1" ht="15.75" thickBot="1" x14ac:dyDescent="0.35">
      <c r="A1067" s="1183">
        <f>A1016</f>
        <v>1</v>
      </c>
      <c r="B1067" s="1184">
        <f>IF(K1067="n/a",B1035,B1035+1)</f>
        <v>0</v>
      </c>
      <c r="C1067" s="1417" t="s">
        <v>10266</v>
      </c>
      <c r="D1067" s="1417"/>
      <c r="E1067" s="1417"/>
      <c r="F1067" s="1417"/>
      <c r="G1067" s="1417"/>
      <c r="H1067" s="1417"/>
      <c r="I1067" s="1417"/>
      <c r="J1067" s="499" t="str">
        <f>IF(Noty!K1067="n/a","ukryj","odkryj")</f>
        <v>ukryj</v>
      </c>
      <c r="K1067" s="1213" t="str">
        <f>IF(Input!D157="nie","n/a","")</f>
        <v>n/a</v>
      </c>
      <c r="L1067" s="492" t="str">
        <f>A1067&amp;"."&amp;B1067</f>
        <v>1.0</v>
      </c>
      <c r="M1067" s="450"/>
      <c r="N1067" s="1101" t="s">
        <v>9378</v>
      </c>
      <c r="O1067" s="489" t="str">
        <f>A1067&amp;"."&amp;B1067</f>
        <v>1.0</v>
      </c>
    </row>
    <row r="1068" spans="1:32" s="447" customFormat="1" x14ac:dyDescent="0.25">
      <c r="A1068" s="458"/>
      <c r="B1068" s="828"/>
      <c r="C1068" s="1414" t="s">
        <v>10145</v>
      </c>
      <c r="D1068" s="1414"/>
      <c r="E1068" s="1414"/>
      <c r="F1068" s="1414"/>
      <c r="G1068" s="1414"/>
      <c r="H1068" s="1414"/>
      <c r="I1068" s="1414"/>
      <c r="J1068" s="499" t="s">
        <v>5125</v>
      </c>
      <c r="K1068" s="450"/>
      <c r="L1068" s="450"/>
      <c r="M1068" s="450"/>
      <c r="N1068" s="451"/>
    </row>
    <row r="1069" spans="1:32" s="447" customFormat="1" ht="34.549999999999997" customHeight="1" x14ac:dyDescent="0.25">
      <c r="A1069" s="465"/>
      <c r="B1069" s="466"/>
      <c r="C1069" s="553" t="s">
        <v>9485</v>
      </c>
      <c r="E1069" s="714"/>
      <c r="F1069" s="714"/>
      <c r="G1069" s="1012"/>
      <c r="H1069" s="999" t="str">
        <f>CONCATENATE(Input!$P$6," -",Input!$P$7)</f>
        <v>01.01.2020 -31.12.2020</v>
      </c>
      <c r="I1069" s="999" t="str">
        <f>CONCATENATE(Input!$P$10," -",Input!$P$11)</f>
        <v>01.01.2019 -31.12.2019</v>
      </c>
      <c r="J1069" s="499" t="str">
        <f>Noty!J1067</f>
        <v>ukryj</v>
      </c>
      <c r="K1069" s="450"/>
      <c r="L1069" s="450"/>
      <c r="M1069" s="450"/>
      <c r="N1069" s="451"/>
    </row>
    <row r="1070" spans="1:32" s="447" customFormat="1" x14ac:dyDescent="0.25">
      <c r="A1070" s="465"/>
      <c r="B1070" s="466"/>
      <c r="C1070" s="553" t="s">
        <v>10267</v>
      </c>
      <c r="E1070" s="720"/>
      <c r="F1070" s="720"/>
      <c r="G1070" s="720"/>
      <c r="H1070" s="191"/>
      <c r="I1070" s="191"/>
      <c r="J1070" s="499" t="str">
        <f>Noty!J1074</f>
        <v>ukryj</v>
      </c>
      <c r="K1070" s="461"/>
      <c r="L1070" s="461"/>
      <c r="M1070" s="461"/>
      <c r="N1070" s="462"/>
    </row>
    <row r="1071" spans="1:32" s="447" customFormat="1" x14ac:dyDescent="0.25">
      <c r="A1071" s="465"/>
      <c r="B1071" s="467"/>
      <c r="C1071" s="1398"/>
      <c r="D1071" s="1398"/>
      <c r="E1071" s="1398"/>
      <c r="F1071" s="1398"/>
      <c r="G1071" s="1001"/>
      <c r="H1071" s="639"/>
      <c r="I1071" s="639"/>
      <c r="J1071" s="499" t="str">
        <f>IF(AND(Noty!H1071=0,Noty!I1071=0),"ukryj","odkryj")</f>
        <v>ukryj</v>
      </c>
      <c r="K1071" s="450"/>
      <c r="L1071" s="450"/>
      <c r="M1071" s="450"/>
      <c r="N1071" s="451"/>
      <c r="AE1071" s="257" t="s">
        <v>10268</v>
      </c>
      <c r="AF1071" s="257" t="s">
        <v>10269</v>
      </c>
    </row>
    <row r="1072" spans="1:32" s="447" customFormat="1" x14ac:dyDescent="0.25">
      <c r="A1072" s="465"/>
      <c r="B1072" s="467"/>
      <c r="C1072" s="1398"/>
      <c r="D1072" s="1398"/>
      <c r="E1072" s="1398"/>
      <c r="F1072" s="1398"/>
      <c r="G1072" s="1001"/>
      <c r="H1072" s="802"/>
      <c r="I1072" s="802"/>
      <c r="J1072" s="499" t="str">
        <f>IF(AND(Noty!H1072=0,Noty!I1072=0),"ukryj","odkryj")</f>
        <v>ukryj</v>
      </c>
      <c r="K1072" s="450"/>
      <c r="L1072" s="450"/>
      <c r="M1072" s="450"/>
      <c r="N1072" s="451"/>
      <c r="AE1072" s="257" t="s">
        <v>10270</v>
      </c>
      <c r="AF1072" s="257" t="s">
        <v>10271</v>
      </c>
    </row>
    <row r="1073" spans="1:32" s="447" customFormat="1" x14ac:dyDescent="0.25">
      <c r="A1073" s="465"/>
      <c r="B1073" s="467"/>
      <c r="C1073" s="1398"/>
      <c r="D1073" s="1398"/>
      <c r="E1073" s="1398"/>
      <c r="F1073" s="1398"/>
      <c r="G1073" s="1001"/>
      <c r="H1073" s="802"/>
      <c r="I1073" s="802"/>
      <c r="J1073" s="499" t="str">
        <f>IF(AND(Noty!H1073=0,Noty!I1073=0),"ukryj","odkryj")</f>
        <v>ukryj</v>
      </c>
      <c r="K1073" s="450"/>
      <c r="L1073" s="450"/>
      <c r="M1073" s="450"/>
      <c r="N1073" s="451"/>
      <c r="AE1073" s="257" t="s">
        <v>10272</v>
      </c>
      <c r="AF1073" s="257" t="s">
        <v>10273</v>
      </c>
    </row>
    <row r="1074" spans="1:32" s="447" customFormat="1" x14ac:dyDescent="0.25">
      <c r="A1074" s="465"/>
      <c r="B1074" s="467"/>
      <c r="C1074" s="467"/>
      <c r="D1074" s="716"/>
      <c r="E1074" s="714"/>
      <c r="F1074" s="714"/>
      <c r="G1074" s="1012"/>
      <c r="H1074" s="803">
        <f>SUM(H1071:H1073)</f>
        <v>0</v>
      </c>
      <c r="I1074" s="803">
        <f>SUM(I1071:I1073)</f>
        <v>0</v>
      </c>
      <c r="J1074" s="499" t="str">
        <f>IF(AND(Noty!H1074=0,Noty!I1074=0),"ukryj","odkryj")</f>
        <v>ukryj</v>
      </c>
      <c r="K1074" s="450"/>
      <c r="L1074" s="450"/>
      <c r="M1074" s="450"/>
      <c r="N1074" s="451"/>
    </row>
    <row r="1075" spans="1:32" s="447" customFormat="1" x14ac:dyDescent="0.25">
      <c r="A1075" s="465"/>
      <c r="B1075" s="467"/>
      <c r="C1075" s="467"/>
      <c r="D1075" s="716"/>
      <c r="E1075" s="714"/>
      <c r="F1075" s="714"/>
      <c r="G1075" s="714"/>
      <c r="H1075" s="724"/>
      <c r="I1075" s="724"/>
      <c r="J1075" s="499" t="str">
        <f>Noty!J1074</f>
        <v>ukryj</v>
      </c>
      <c r="K1075" s="450"/>
      <c r="L1075" s="450"/>
      <c r="M1075" s="450"/>
      <c r="N1075" s="451"/>
    </row>
    <row r="1076" spans="1:32" s="447" customFormat="1" x14ac:dyDescent="0.25">
      <c r="A1076" s="465"/>
      <c r="B1076" s="466"/>
      <c r="C1076" s="461" t="s">
        <v>10174</v>
      </c>
      <c r="E1076" s="720"/>
      <c r="F1076" s="720"/>
      <c r="G1076" s="720"/>
      <c r="H1076" s="718"/>
      <c r="I1076" s="718"/>
      <c r="J1076" s="499" t="str">
        <f>Noty!J1083</f>
        <v>ukryj</v>
      </c>
      <c r="K1076" s="461"/>
      <c r="L1076" s="461"/>
      <c r="M1076" s="461"/>
      <c r="N1076" s="462"/>
    </row>
    <row r="1077" spans="1:32" s="447" customFormat="1" ht="12.8" customHeight="1" x14ac:dyDescent="0.25">
      <c r="A1077" s="465"/>
      <c r="B1077" s="467"/>
      <c r="C1077" s="463" t="s">
        <v>10274</v>
      </c>
      <c r="D1077" s="725"/>
      <c r="E1077" s="725"/>
      <c r="F1077" s="725"/>
      <c r="G1077" s="1015"/>
      <c r="H1077" s="639"/>
      <c r="I1077" s="639"/>
      <c r="J1077" s="499" t="str">
        <f>IF(AND(Noty!H1077=0,Noty!I1077=0),"ukryj","odkryj")</f>
        <v>ukryj</v>
      </c>
      <c r="K1077" s="461"/>
      <c r="L1077" s="461"/>
      <c r="M1077" s="461"/>
      <c r="N1077" s="462"/>
      <c r="AE1077" s="257" t="s">
        <v>10275</v>
      </c>
      <c r="AF1077" s="257" t="s">
        <v>10276</v>
      </c>
    </row>
    <row r="1078" spans="1:32" s="447" customFormat="1" ht="12.8" customHeight="1" x14ac:dyDescent="0.25">
      <c r="A1078" s="465"/>
      <c r="B1078" s="467"/>
      <c r="C1078" s="463" t="s">
        <v>10277</v>
      </c>
      <c r="D1078" s="725"/>
      <c r="E1078" s="725"/>
      <c r="F1078" s="725"/>
      <c r="G1078" s="1015"/>
      <c r="H1078" s="803">
        <f>SUM(H1079:H1082)</f>
        <v>0</v>
      </c>
      <c r="I1078" s="803">
        <f>SUM(I1079:I1082)</f>
        <v>0</v>
      </c>
      <c r="J1078" s="499" t="str">
        <f>IF(AND(Noty!H1078=0,Noty!I1078=0),"ukryj","odkryj")</f>
        <v>ukryj</v>
      </c>
      <c r="K1078" s="461"/>
      <c r="L1078" s="461"/>
      <c r="M1078" s="461"/>
      <c r="N1078" s="462"/>
    </row>
    <row r="1079" spans="1:32" s="447" customFormat="1" x14ac:dyDescent="0.25">
      <c r="A1079" s="832"/>
      <c r="B1079" s="467"/>
      <c r="C1079" s="468" t="s">
        <v>10278</v>
      </c>
      <c r="D1079" s="726"/>
      <c r="E1079" s="726"/>
      <c r="F1079" s="726"/>
      <c r="G1079" s="1016"/>
      <c r="H1079" s="639"/>
      <c r="I1079" s="639"/>
      <c r="J1079" s="499" t="str">
        <f>IF(AND(Noty!H1079=0,Noty!I1079=0),"ukryj","odkryj")</f>
        <v>ukryj</v>
      </c>
      <c r="K1079" s="461"/>
      <c r="L1079" s="448"/>
      <c r="M1079" s="448"/>
      <c r="N1079" s="469"/>
      <c r="AE1079" s="257" t="s">
        <v>10279</v>
      </c>
      <c r="AF1079" s="257" t="s">
        <v>10280</v>
      </c>
    </row>
    <row r="1080" spans="1:32" s="447" customFormat="1" x14ac:dyDescent="0.25">
      <c r="A1080" s="832"/>
      <c r="B1080" s="467"/>
      <c r="C1080" s="468" t="s">
        <v>10281</v>
      </c>
      <c r="D1080" s="726"/>
      <c r="E1080" s="726"/>
      <c r="F1080" s="726"/>
      <c r="G1080" s="1016"/>
      <c r="H1080" s="639"/>
      <c r="I1080" s="639"/>
      <c r="J1080" s="499" t="str">
        <f>IF(AND(Noty!H1080=0,Noty!I1080=0),"ukryj","odkryj")</f>
        <v>ukryj</v>
      </c>
      <c r="K1080" s="461"/>
      <c r="L1080" s="448"/>
      <c r="M1080" s="448"/>
      <c r="N1080" s="469"/>
      <c r="AE1080" s="257" t="s">
        <v>10282</v>
      </c>
      <c r="AF1080" s="257" t="s">
        <v>10283</v>
      </c>
    </row>
    <row r="1081" spans="1:32" s="447" customFormat="1" x14ac:dyDescent="0.25">
      <c r="A1081" s="832"/>
      <c r="B1081" s="467"/>
      <c r="C1081" s="468" t="s">
        <v>10284</v>
      </c>
      <c r="D1081" s="727"/>
      <c r="E1081" s="727"/>
      <c r="F1081" s="726"/>
      <c r="G1081" s="1016"/>
      <c r="H1081" s="639"/>
      <c r="I1081" s="639"/>
      <c r="J1081" s="499" t="str">
        <f>IF(AND(Noty!H1081=0,Noty!I1081=0),"ukryj","odkryj")</f>
        <v>ukryj</v>
      </c>
      <c r="K1081" s="461"/>
      <c r="L1081" s="448"/>
      <c r="M1081" s="448"/>
      <c r="N1081" s="469"/>
      <c r="AE1081" s="257" t="s">
        <v>10285</v>
      </c>
      <c r="AF1081" s="257" t="s">
        <v>10286</v>
      </c>
    </row>
    <row r="1082" spans="1:32" s="447" customFormat="1" x14ac:dyDescent="0.25">
      <c r="A1082" s="832"/>
      <c r="B1082" s="467"/>
      <c r="C1082" s="468" t="s">
        <v>10287</v>
      </c>
      <c r="D1082" s="727"/>
      <c r="E1082" s="727"/>
      <c r="F1082" s="726"/>
      <c r="G1082" s="1016"/>
      <c r="H1082" s="639"/>
      <c r="I1082" s="639"/>
      <c r="J1082" s="499" t="str">
        <f>IF(AND(Noty!H1082=0,Noty!I1082=0),"ukryj","odkryj")</f>
        <v>ukryj</v>
      </c>
      <c r="K1082" s="461"/>
      <c r="L1082" s="448"/>
      <c r="M1082" s="448"/>
      <c r="N1082" s="469"/>
      <c r="AE1082" s="257" t="s">
        <v>10288</v>
      </c>
      <c r="AF1082" s="257" t="s">
        <v>10289</v>
      </c>
    </row>
    <row r="1083" spans="1:32" s="447" customFormat="1" x14ac:dyDescent="0.25">
      <c r="A1083" s="465"/>
      <c r="B1083" s="467"/>
      <c r="C1083" s="449"/>
      <c r="D1083" s="714"/>
      <c r="E1083" s="714"/>
      <c r="F1083" s="714"/>
      <c r="G1083" s="1012"/>
      <c r="H1083" s="803">
        <f>SUM(H1077:H1078)</f>
        <v>0</v>
      </c>
      <c r="I1083" s="803">
        <f>SUM(I1077:I1078)</f>
        <v>0</v>
      </c>
      <c r="J1083" s="499" t="str">
        <f>IF(AND(Noty!H1083=0,Noty!I1083=0),"ukryj","odkryj")</f>
        <v>ukryj</v>
      </c>
      <c r="K1083" s="450"/>
      <c r="L1083" s="450"/>
      <c r="M1083" s="450"/>
      <c r="N1083" s="451"/>
    </row>
    <row r="1084" spans="1:32" s="447" customFormat="1" x14ac:dyDescent="0.25">
      <c r="A1084" s="465"/>
      <c r="B1084" s="467"/>
      <c r="C1084" s="449"/>
      <c r="D1084" s="714"/>
      <c r="E1084" s="714"/>
      <c r="F1084" s="714"/>
      <c r="G1084" s="714"/>
      <c r="H1084" s="191"/>
      <c r="I1084" s="191"/>
      <c r="J1084" s="499" t="str">
        <f>Noty!J1083</f>
        <v>ukryj</v>
      </c>
      <c r="K1084" s="450"/>
      <c r="L1084" s="450"/>
      <c r="M1084" s="450"/>
      <c r="N1084" s="451"/>
    </row>
    <row r="1085" spans="1:32" s="447" customFormat="1" x14ac:dyDescent="0.25">
      <c r="A1085" s="465"/>
      <c r="B1085" s="466"/>
      <c r="C1085" s="550" t="s">
        <v>10290</v>
      </c>
      <c r="D1085" s="714"/>
      <c r="E1085" s="714"/>
      <c r="F1085" s="714"/>
      <c r="G1085" s="1012"/>
      <c r="H1085" s="803">
        <f>SUM(H1074,H1083)</f>
        <v>0</v>
      </c>
      <c r="I1085" s="803">
        <f>SUM(I1074,I1083)</f>
        <v>0</v>
      </c>
      <c r="J1085" s="499" t="str">
        <f>IF(AND(Noty!H1085=0,Noty!I1085=0),"ukryj","odkryj")</f>
        <v>ukryj</v>
      </c>
      <c r="K1085" s="450"/>
      <c r="L1085" s="450"/>
      <c r="M1085" s="450"/>
      <c r="N1085" s="451"/>
    </row>
    <row r="1086" spans="1:32" s="447" customFormat="1" ht="13.75" thickBot="1" x14ac:dyDescent="0.3">
      <c r="A1086" s="465"/>
      <c r="B1086" s="467"/>
      <c r="C1086" s="467"/>
      <c r="D1086" s="716"/>
      <c r="E1086" s="714"/>
      <c r="F1086" s="714"/>
      <c r="G1086" s="714"/>
      <c r="H1086" s="714"/>
      <c r="I1086" s="714"/>
      <c r="J1086" s="499" t="str">
        <f>Noty!J1085</f>
        <v>ukryj</v>
      </c>
      <c r="K1086" s="450"/>
      <c r="L1086" s="501"/>
      <c r="M1086" s="450"/>
      <c r="N1086" s="451"/>
    </row>
    <row r="1087" spans="1:32" s="447" customFormat="1" ht="15.75" thickBot="1" x14ac:dyDescent="0.35">
      <c r="A1087" s="1180">
        <f>IF(K1087="n/a",A1067,A1067+1)</f>
        <v>1</v>
      </c>
      <c r="B1087" s="1190"/>
      <c r="C1087" s="1416" t="s">
        <v>10291</v>
      </c>
      <c r="D1087" s="1416"/>
      <c r="E1087" s="1416"/>
      <c r="F1087" s="1416"/>
      <c r="G1087" s="1416"/>
      <c r="H1087" s="1416"/>
      <c r="I1087" s="1416"/>
      <c r="J1087" s="499" t="str">
        <f>IF(Noty!K1087="n/a","ukryj","odkryj")</f>
        <v>ukryj</v>
      </c>
      <c r="K1087" s="1213" t="str">
        <f>IF(AND(K1089="n/a",K1108="n/a",K1131="n/a"),"n/a","")</f>
        <v>n/a</v>
      </c>
      <c r="L1087" s="492" t="str">
        <f>A1087&amp;"."&amp;B1087</f>
        <v>1.</v>
      </c>
      <c r="M1087" s="450"/>
      <c r="N1087" s="1101" t="s">
        <v>9378</v>
      </c>
      <c r="O1087" s="489" t="str">
        <f>A1087&amp;"."&amp;B1087</f>
        <v>1.</v>
      </c>
    </row>
    <row r="1088" spans="1:32" s="447" customFormat="1" ht="13.75" thickBot="1" x14ac:dyDescent="0.3">
      <c r="A1088" s="176"/>
      <c r="B1088" s="200"/>
      <c r="C1088" s="176"/>
      <c r="D1088" s="716"/>
      <c r="E1088" s="200"/>
      <c r="F1088" s="200"/>
      <c r="G1088" s="728"/>
      <c r="H1088" s="728"/>
      <c r="I1088" s="200"/>
      <c r="J1088" s="499" t="str">
        <f>Noty!J1087</f>
        <v>ukryj</v>
      </c>
      <c r="K1088" s="200"/>
      <c r="L1088" s="176"/>
      <c r="M1088" s="200"/>
      <c r="N1088" s="387"/>
    </row>
    <row r="1089" spans="1:15" s="447" customFormat="1" ht="15.75" thickBot="1" x14ac:dyDescent="0.35">
      <c r="A1089" s="1183">
        <f>A1087</f>
        <v>1</v>
      </c>
      <c r="B1089" s="1184">
        <f>IF(K1089="n/a",0,1)</f>
        <v>0</v>
      </c>
      <c r="C1089" s="1417" t="s">
        <v>10292</v>
      </c>
      <c r="D1089" s="1417"/>
      <c r="E1089" s="1417"/>
      <c r="F1089" s="1417"/>
      <c r="G1089" s="1417"/>
      <c r="H1089" s="1417"/>
      <c r="I1089" s="1417"/>
      <c r="J1089" s="499" t="str">
        <f>IF(Noty!K1089="n/a","ukryj","odkryj")</f>
        <v>ukryj</v>
      </c>
      <c r="K1089" s="1213" t="str">
        <f>IF(Input!D159="nie","n/a","")</f>
        <v>n/a</v>
      </c>
      <c r="L1089" s="492" t="str">
        <f>A1089&amp;"."&amp;B1089</f>
        <v>1.0</v>
      </c>
      <c r="M1089" s="200"/>
      <c r="N1089" s="1101" t="s">
        <v>9378</v>
      </c>
      <c r="O1089" s="489" t="str">
        <f>A1089&amp;"."&amp;B1089</f>
        <v>1.0</v>
      </c>
    </row>
    <row r="1090" spans="1:15" s="447" customFormat="1" ht="13.6" customHeight="1" x14ac:dyDescent="0.25">
      <c r="A1090" s="458"/>
      <c r="B1090" s="828"/>
      <c r="C1090" s="1420" t="s">
        <v>10145</v>
      </c>
      <c r="D1090" s="1420"/>
      <c r="E1090" s="1420"/>
      <c r="F1090" s="1420"/>
      <c r="G1090" s="1420"/>
      <c r="H1090" s="1420"/>
      <c r="I1090" s="1420"/>
      <c r="J1090" s="499" t="s">
        <v>5125</v>
      </c>
      <c r="K1090" s="450"/>
      <c r="L1090" s="450"/>
      <c r="M1090" s="450"/>
      <c r="N1090" s="451"/>
    </row>
    <row r="1091" spans="1:15" s="447" customFormat="1" ht="13.6" customHeight="1" x14ac:dyDescent="0.25">
      <c r="A1091" s="1409"/>
      <c r="B1091" s="466"/>
      <c r="C1091" s="1410" t="s">
        <v>10293</v>
      </c>
      <c r="D1091" s="1411" t="s">
        <v>10294</v>
      </c>
      <c r="E1091" s="1411"/>
      <c r="F1091" s="1411"/>
      <c r="G1091" s="1411"/>
      <c r="H1091" s="1411"/>
      <c r="I1091" s="1411"/>
      <c r="J1091" s="499" t="str">
        <f>Noty!J1089</f>
        <v>ukryj</v>
      </c>
      <c r="K1091" s="452"/>
      <c r="L1091" s="452"/>
      <c r="M1091" s="452"/>
      <c r="N1091" s="453"/>
    </row>
    <row r="1092" spans="1:15" s="447" customFormat="1" ht="28.5" customHeight="1" x14ac:dyDescent="0.25">
      <c r="A1092" s="1409"/>
      <c r="B1092" s="466"/>
      <c r="C1092" s="1410"/>
      <c r="D1092" s="1412" t="s">
        <v>10295</v>
      </c>
      <c r="E1092" s="1412"/>
      <c r="F1092" s="1412" t="s">
        <v>10213</v>
      </c>
      <c r="G1092" s="1412"/>
      <c r="H1092" s="1412"/>
      <c r="I1092" s="1412"/>
      <c r="J1092" s="499" t="str">
        <f>Noty!J1091</f>
        <v>ukryj</v>
      </c>
      <c r="K1092" s="452"/>
      <c r="L1092" s="452"/>
      <c r="M1092" s="452"/>
      <c r="N1092" s="453"/>
    </row>
    <row r="1093" spans="1:15" s="447" customFormat="1" ht="25.55" customHeight="1" x14ac:dyDescent="0.25">
      <c r="A1093" s="1409"/>
      <c r="B1093" s="466"/>
      <c r="C1093" s="1410"/>
      <c r="D1093" s="1412"/>
      <c r="E1093" s="1412"/>
      <c r="F1093" s="1102" t="s">
        <v>10214</v>
      </c>
      <c r="G1093" s="1102" t="s">
        <v>10215</v>
      </c>
      <c r="H1093" s="1412" t="s">
        <v>10216</v>
      </c>
      <c r="I1093" s="1412"/>
      <c r="J1093" s="499" t="str">
        <f>Noty!J1092</f>
        <v>ukryj</v>
      </c>
      <c r="K1093" s="452"/>
      <c r="L1093" s="452"/>
      <c r="M1093" s="452"/>
      <c r="N1093" s="453"/>
    </row>
    <row r="1094" spans="1:15" s="447" customFormat="1" ht="46.5" customHeight="1" x14ac:dyDescent="0.25">
      <c r="A1094" s="832"/>
      <c r="B1094" s="467"/>
      <c r="C1094" s="833" t="s">
        <v>10296</v>
      </c>
      <c r="D1094" s="1298"/>
      <c r="E1094" s="1298"/>
      <c r="F1094" s="802"/>
      <c r="G1094" s="802"/>
      <c r="H1094" s="1298"/>
      <c r="I1094" s="1298"/>
      <c r="J1094" s="499" t="str">
        <f>IF(AND(Noty!D1094=0,Noty!F1094=0,Noty!H1094=0),"ukryj","odkryj")</f>
        <v>ukryj</v>
      </c>
      <c r="K1094" s="450"/>
      <c r="L1094" s="450"/>
      <c r="M1094" s="450"/>
      <c r="N1094" s="451"/>
    </row>
    <row r="1095" spans="1:15" s="447" customFormat="1" ht="53.2" customHeight="1" x14ac:dyDescent="0.25">
      <c r="A1095" s="832"/>
      <c r="B1095" s="467"/>
      <c r="C1095" s="833" t="s">
        <v>10297</v>
      </c>
      <c r="D1095" s="1296">
        <f>SUM(D1096:E1100)</f>
        <v>0</v>
      </c>
      <c r="E1095" s="1296"/>
      <c r="F1095" s="800">
        <f>SUM(F1096:G1100)</f>
        <v>0</v>
      </c>
      <c r="G1095" s="800"/>
      <c r="H1095" s="1296">
        <f>SUM(H1096:I1100)</f>
        <v>0</v>
      </c>
      <c r="I1095" s="1296"/>
      <c r="J1095" s="499" t="str">
        <f>IF(AND(Noty!D1095=0,Noty!F1095=0,Noty!H1095=0),"ukryj","odkryj")</f>
        <v>ukryj</v>
      </c>
      <c r="K1095" s="450"/>
      <c r="L1095" s="450"/>
      <c r="M1095" s="450"/>
      <c r="N1095" s="451"/>
    </row>
    <row r="1096" spans="1:15" s="447" customFormat="1" x14ac:dyDescent="0.25">
      <c r="A1096" s="832"/>
      <c r="B1096" s="467"/>
      <c r="C1096" s="554" t="s">
        <v>8390</v>
      </c>
      <c r="D1096" s="1298"/>
      <c r="E1096" s="1298"/>
      <c r="F1096" s="802"/>
      <c r="G1096" s="802"/>
      <c r="H1096" s="1298"/>
      <c r="I1096" s="1298"/>
      <c r="J1096" s="499" t="str">
        <f>IF(AND(Noty!D1096=0,Noty!F1096=0,Noty!H1096=0),"ukryj","odkryj")</f>
        <v>ukryj</v>
      </c>
      <c r="K1096" s="450"/>
      <c r="L1096" s="455"/>
      <c r="M1096" s="455"/>
      <c r="N1096" s="456"/>
    </row>
    <row r="1097" spans="1:15" s="447" customFormat="1" ht="26.2" x14ac:dyDescent="0.25">
      <c r="A1097" s="832"/>
      <c r="B1097" s="467"/>
      <c r="C1097" s="554" t="s">
        <v>10298</v>
      </c>
      <c r="D1097" s="1298"/>
      <c r="E1097" s="1298"/>
      <c r="F1097" s="802"/>
      <c r="G1097" s="802"/>
      <c r="H1097" s="1298"/>
      <c r="I1097" s="1298"/>
      <c r="J1097" s="499" t="str">
        <f>IF(AND(Noty!D1097=0,Noty!F1097=0,Noty!H1097=0),"ukryj","odkryj")</f>
        <v>ukryj</v>
      </c>
      <c r="K1097" s="450"/>
      <c r="L1097" s="455"/>
      <c r="M1097" s="455"/>
      <c r="N1097" s="456"/>
    </row>
    <row r="1098" spans="1:15" s="447" customFormat="1" ht="26.2" x14ac:dyDescent="0.25">
      <c r="A1098" s="832"/>
      <c r="B1098" s="467"/>
      <c r="C1098" s="554" t="s">
        <v>10299</v>
      </c>
      <c r="D1098" s="1298"/>
      <c r="E1098" s="1298"/>
      <c r="F1098" s="802"/>
      <c r="G1098" s="802"/>
      <c r="H1098" s="1298"/>
      <c r="I1098" s="1298"/>
      <c r="J1098" s="499" t="str">
        <f>IF(AND(Noty!D1098=0,Noty!F1098=0,Noty!H1098=0),"ukryj","odkryj")</f>
        <v>ukryj</v>
      </c>
      <c r="K1098" s="450"/>
      <c r="L1098" s="455"/>
      <c r="M1098" s="455"/>
      <c r="N1098" s="456"/>
    </row>
    <row r="1099" spans="1:15" s="447" customFormat="1" ht="26.2" x14ac:dyDescent="0.25">
      <c r="A1099" s="832"/>
      <c r="B1099" s="467"/>
      <c r="C1099" s="554" t="s">
        <v>10300</v>
      </c>
      <c r="D1099" s="1298"/>
      <c r="E1099" s="1298"/>
      <c r="F1099" s="802"/>
      <c r="G1099" s="802"/>
      <c r="H1099" s="1298"/>
      <c r="I1099" s="1298"/>
      <c r="J1099" s="499" t="str">
        <f>IF(AND(Noty!D1099=0,Noty!F1099=0,Noty!H1099=0),"ukryj","odkryj")</f>
        <v>ukryj</v>
      </c>
      <c r="K1099" s="450"/>
      <c r="L1099" s="455"/>
      <c r="M1099" s="455"/>
      <c r="N1099" s="456"/>
    </row>
    <row r="1100" spans="1:15" s="447" customFormat="1" ht="26.2" x14ac:dyDescent="0.25">
      <c r="A1100" s="832"/>
      <c r="B1100" s="467"/>
      <c r="C1100" s="554" t="s">
        <v>10301</v>
      </c>
      <c r="D1100" s="1298"/>
      <c r="E1100" s="1298"/>
      <c r="F1100" s="802"/>
      <c r="G1100" s="802"/>
      <c r="H1100" s="1298"/>
      <c r="I1100" s="1298"/>
      <c r="J1100" s="499" t="str">
        <f>IF(AND(Noty!D1100=0,Noty!F1100=0,Noty!H1100=0),"ukryj","odkryj")</f>
        <v>ukryj</v>
      </c>
      <c r="K1100" s="450"/>
      <c r="L1100" s="455"/>
      <c r="M1100" s="455"/>
      <c r="N1100" s="456"/>
    </row>
    <row r="1101" spans="1:15" s="447" customFormat="1" ht="42.05" customHeight="1" x14ac:dyDescent="0.25">
      <c r="A1101" s="832"/>
      <c r="B1101" s="467"/>
      <c r="C1101" s="833" t="s">
        <v>10302</v>
      </c>
      <c r="D1101" s="1296">
        <f>SUM(D1102:E1104)</f>
        <v>0</v>
      </c>
      <c r="E1101" s="1296"/>
      <c r="F1101" s="800">
        <f>SUM(F1102:G1104)</f>
        <v>0</v>
      </c>
      <c r="G1101" s="800"/>
      <c r="H1101" s="1296">
        <f>SUM(H1102:H1104)</f>
        <v>0</v>
      </c>
      <c r="I1101" s="1296"/>
      <c r="J1101" s="499" t="str">
        <f>IF(AND(Noty!D1101=0,Noty!F1101=0,Noty!H1101=0),"ukryj","odkryj")</f>
        <v>ukryj</v>
      </c>
      <c r="K1101" s="450"/>
      <c r="L1101" s="450"/>
      <c r="M1101" s="450"/>
      <c r="N1101" s="451"/>
    </row>
    <row r="1102" spans="1:15" s="447" customFormat="1" x14ac:dyDescent="0.25">
      <c r="A1102" s="832"/>
      <c r="B1102" s="467"/>
      <c r="C1102" s="554" t="s">
        <v>8390</v>
      </c>
      <c r="D1102" s="1298"/>
      <c r="E1102" s="1298"/>
      <c r="F1102" s="802"/>
      <c r="G1102" s="802"/>
      <c r="H1102" s="1298"/>
      <c r="I1102" s="1298"/>
      <c r="J1102" s="499" t="str">
        <f>IF(AND(Noty!D1102=0,Noty!F1102=0,Noty!H1102=0),"ukryj","odkryj")</f>
        <v>ukryj</v>
      </c>
      <c r="K1102" s="450"/>
      <c r="L1102" s="455"/>
      <c r="M1102" s="455"/>
      <c r="N1102" s="456"/>
    </row>
    <row r="1103" spans="1:15" s="447" customFormat="1" ht="26.2" x14ac:dyDescent="0.25">
      <c r="A1103" s="832"/>
      <c r="B1103" s="467"/>
      <c r="C1103" s="554" t="s">
        <v>10298</v>
      </c>
      <c r="D1103" s="1298"/>
      <c r="E1103" s="1298"/>
      <c r="F1103" s="802"/>
      <c r="G1103" s="802"/>
      <c r="H1103" s="1298"/>
      <c r="I1103" s="1298"/>
      <c r="J1103" s="499" t="str">
        <f>IF(AND(Noty!D1103=0,Noty!F1103=0,Noty!H1103=0),"ukryj","odkryj")</f>
        <v>ukryj</v>
      </c>
      <c r="K1103" s="450"/>
      <c r="L1103" s="455"/>
      <c r="M1103" s="455"/>
      <c r="N1103" s="456"/>
    </row>
    <row r="1104" spans="1:15" s="447" customFormat="1" ht="26.2" x14ac:dyDescent="0.25">
      <c r="A1104" s="832"/>
      <c r="B1104" s="467"/>
      <c r="C1104" s="554" t="s">
        <v>10299</v>
      </c>
      <c r="D1104" s="1298"/>
      <c r="E1104" s="1298"/>
      <c r="F1104" s="802"/>
      <c r="G1104" s="802"/>
      <c r="H1104" s="1298"/>
      <c r="I1104" s="1298"/>
      <c r="J1104" s="499" t="str">
        <f>IF(AND(Noty!D1104=0,Noty!F1104=0,Noty!H1104=0),"ukryj","odkryj")</f>
        <v>ukryj</v>
      </c>
      <c r="K1104" s="450"/>
      <c r="L1104" s="455"/>
      <c r="M1104" s="455"/>
      <c r="N1104" s="456"/>
    </row>
    <row r="1105" spans="1:32" s="447" customFormat="1" x14ac:dyDescent="0.25">
      <c r="A1105" s="832"/>
      <c r="B1105" s="467"/>
      <c r="C1105" s="833" t="s">
        <v>10303</v>
      </c>
      <c r="D1105" s="1301"/>
      <c r="E1105" s="1301"/>
      <c r="F1105" s="804"/>
      <c r="G1105" s="804"/>
      <c r="H1105" s="1301"/>
      <c r="I1105" s="1301"/>
      <c r="J1105" s="499" t="str">
        <f>IF(AND(Noty!D1105=0,Noty!F1105=0,Noty!H1105=0),"ukryj","odkryj")</f>
        <v>ukryj</v>
      </c>
      <c r="K1105" s="450"/>
      <c r="L1105" s="450"/>
      <c r="M1105" s="450"/>
      <c r="N1105" s="451"/>
    </row>
    <row r="1106" spans="1:32" s="447" customFormat="1" x14ac:dyDescent="0.25">
      <c r="A1106" s="464"/>
      <c r="B1106" s="467"/>
      <c r="C1106" s="555"/>
      <c r="D1106" s="1300">
        <f>D1105+D1101+D1095+D1094</f>
        <v>0</v>
      </c>
      <c r="E1106" s="1300"/>
      <c r="F1106" s="803">
        <f>F1105+F1101+F1095+F1094</f>
        <v>0</v>
      </c>
      <c r="G1106" s="803"/>
      <c r="H1106" s="1300">
        <f>H1105+H1101+H1095+H1094</f>
        <v>0</v>
      </c>
      <c r="I1106" s="1300"/>
      <c r="J1106" s="499" t="str">
        <f>IF(AND(Noty!D1106=0,Noty!F1106=0,Noty!H1106=0),"ukryj","odkryj")</f>
        <v>ukryj</v>
      </c>
      <c r="K1106" s="450"/>
      <c r="L1106" s="450"/>
      <c r="M1106" s="450"/>
      <c r="N1106" s="451"/>
    </row>
    <row r="1107" spans="1:32" s="447" customFormat="1" ht="13.75" thickBot="1" x14ac:dyDescent="0.3">
      <c r="A1107" s="832"/>
      <c r="B1107" s="467"/>
      <c r="C1107" s="454"/>
      <c r="D1107" s="716"/>
      <c r="E1107" s="714"/>
      <c r="F1107" s="714"/>
      <c r="G1107" s="714"/>
      <c r="H1107" s="714"/>
      <c r="I1107" s="714"/>
      <c r="J1107" s="499" t="str">
        <f>Noty!J1106</f>
        <v>ukryj</v>
      </c>
      <c r="K1107" s="450"/>
      <c r="L1107" s="501"/>
      <c r="M1107" s="450"/>
      <c r="N1107" s="451"/>
    </row>
    <row r="1108" spans="1:32" s="447" customFormat="1" ht="15.75" thickBot="1" x14ac:dyDescent="0.35">
      <c r="A1108" s="1183">
        <f>A1087</f>
        <v>1</v>
      </c>
      <c r="B1108" s="1184">
        <f>IF(K1108="n/a",B1089,B1089+1)</f>
        <v>0</v>
      </c>
      <c r="C1108" s="1417" t="s">
        <v>8683</v>
      </c>
      <c r="D1108" s="1417"/>
      <c r="E1108" s="1417"/>
      <c r="F1108" s="1417"/>
      <c r="G1108" s="1417"/>
      <c r="H1108" s="1417"/>
      <c r="I1108" s="1417"/>
      <c r="J1108" s="499" t="str">
        <f>IF(Noty!K1108="n/a","ukryj","odkryj")</f>
        <v>ukryj</v>
      </c>
      <c r="K1108" s="1213" t="str">
        <f>IF(Input!D160="nie","n/a","")</f>
        <v>n/a</v>
      </c>
      <c r="L1108" s="492" t="str">
        <f>A1108&amp;"."&amp;B1108</f>
        <v>1.0</v>
      </c>
      <c r="M1108" s="450"/>
      <c r="N1108" s="1101" t="s">
        <v>9378</v>
      </c>
      <c r="O1108" s="489" t="str">
        <f>A1108&amp;"."&amp;B1108</f>
        <v>1.0</v>
      </c>
    </row>
    <row r="1109" spans="1:32" s="447" customFormat="1" x14ac:dyDescent="0.25">
      <c r="A1109" s="458"/>
      <c r="B1109" s="828"/>
      <c r="C1109" s="1414" t="s">
        <v>10145</v>
      </c>
      <c r="D1109" s="1414"/>
      <c r="E1109" s="1414"/>
      <c r="F1109" s="1414"/>
      <c r="G1109" s="1414"/>
      <c r="H1109" s="1414"/>
      <c r="I1109" s="1414"/>
      <c r="J1109" s="499" t="s">
        <v>5125</v>
      </c>
      <c r="K1109" s="450"/>
      <c r="L1109" s="450"/>
      <c r="M1109" s="450"/>
      <c r="N1109" s="451"/>
    </row>
    <row r="1110" spans="1:32" s="447" customFormat="1" ht="28.5" customHeight="1" x14ac:dyDescent="0.25">
      <c r="A1110" s="832"/>
      <c r="B1110" s="466"/>
      <c r="C1110" s="553" t="s">
        <v>9485</v>
      </c>
      <c r="E1110" s="714"/>
      <c r="F1110" s="714"/>
      <c r="G1110" s="1012"/>
      <c r="H1110" s="999" t="str">
        <f>CONCATENATE(Input!$P$6," -",Input!$P$7)</f>
        <v>01.01.2020 -31.12.2020</v>
      </c>
      <c r="I1110" s="999" t="str">
        <f>CONCATENATE(Input!$P$10," -",Input!$P$11)</f>
        <v>01.01.2019 -31.12.2019</v>
      </c>
      <c r="J1110" s="499" t="str">
        <f>Noty!J1108</f>
        <v>ukryj</v>
      </c>
      <c r="K1110" s="450"/>
      <c r="L1110" s="450"/>
      <c r="M1110" s="450"/>
      <c r="N1110" s="451"/>
    </row>
    <row r="1111" spans="1:32" s="447" customFormat="1" x14ac:dyDescent="0.25">
      <c r="A1111" s="832"/>
      <c r="B1111" s="466"/>
      <c r="C1111" s="553" t="s">
        <v>10304</v>
      </c>
      <c r="E1111" s="720"/>
      <c r="F1111" s="720"/>
      <c r="G1111" s="720"/>
      <c r="H1111" s="729"/>
      <c r="I1111" s="729"/>
      <c r="J1111" s="499" t="str">
        <f>Noty!J1119</f>
        <v>ukryj</v>
      </c>
      <c r="K1111" s="461"/>
      <c r="L1111" s="461"/>
      <c r="M1111" s="461"/>
      <c r="N1111" s="462"/>
    </row>
    <row r="1112" spans="1:32" s="447" customFormat="1" x14ac:dyDescent="0.25">
      <c r="A1112" s="832"/>
      <c r="B1112" s="466"/>
      <c r="C1112" s="471" t="s">
        <v>10241</v>
      </c>
      <c r="D1112" s="730"/>
      <c r="E1112" s="730"/>
      <c r="F1112" s="730"/>
      <c r="G1112" s="714"/>
      <c r="H1112" s="714"/>
      <c r="I1112" s="714"/>
      <c r="J1112" s="499" t="str">
        <f>Noty!J1119</f>
        <v>ukryj</v>
      </c>
      <c r="K1112" s="450"/>
      <c r="L1112" s="450"/>
      <c r="M1112" s="450"/>
      <c r="N1112" s="451"/>
    </row>
    <row r="1113" spans="1:32" s="447" customFormat="1" x14ac:dyDescent="0.25">
      <c r="A1113" s="832"/>
      <c r="B1113" s="467"/>
      <c r="C1113" s="472" t="s">
        <v>10222</v>
      </c>
      <c r="D1113" s="730"/>
      <c r="E1113" s="730"/>
      <c r="F1113" s="730"/>
      <c r="G1113" s="1012"/>
      <c r="H1113" s="639"/>
      <c r="I1113" s="639"/>
      <c r="J1113" s="499" t="str">
        <f>IF(AND(Noty!H1113=0,Noty!I1113=0),"ukryj","odkryj")</f>
        <v>ukryj</v>
      </c>
      <c r="K1113" s="450"/>
      <c r="L1113" s="450"/>
      <c r="M1113" s="450"/>
      <c r="N1113" s="451"/>
      <c r="AE1113" s="257" t="s">
        <v>10305</v>
      </c>
      <c r="AF1113" s="257" t="s">
        <v>10306</v>
      </c>
    </row>
    <row r="1114" spans="1:32" s="447" customFormat="1" ht="27.85" customHeight="1" x14ac:dyDescent="0.25">
      <c r="A1114" s="832"/>
      <c r="B1114" s="467"/>
      <c r="C1114" s="1479" t="s">
        <v>10225</v>
      </c>
      <c r="D1114" s="1479"/>
      <c r="E1114" s="1479"/>
      <c r="F1114" s="1479"/>
      <c r="G1114" s="1017"/>
      <c r="H1114" s="639"/>
      <c r="I1114" s="639"/>
      <c r="J1114" s="499" t="str">
        <f>IF(AND(Noty!H1114=0,Noty!I1114=0),"ukryj","odkryj")</f>
        <v>ukryj</v>
      </c>
      <c r="K1114" s="450"/>
      <c r="L1114" s="450"/>
      <c r="M1114" s="450"/>
      <c r="N1114" s="451"/>
      <c r="AE1114" s="257" t="s">
        <v>10307</v>
      </c>
      <c r="AF1114" s="257" t="s">
        <v>10308</v>
      </c>
    </row>
    <row r="1115" spans="1:32" s="447" customFormat="1" x14ac:dyDescent="0.25">
      <c r="A1115" s="832"/>
      <c r="B1115" s="467"/>
      <c r="C1115" s="472" t="s">
        <v>10228</v>
      </c>
      <c r="D1115" s="730"/>
      <c r="E1115" s="730"/>
      <c r="F1115" s="730"/>
      <c r="G1115" s="1012"/>
      <c r="H1115" s="639"/>
      <c r="I1115" s="639"/>
      <c r="J1115" s="499" t="str">
        <f>IF(AND(Noty!H1115=0,Noty!I1115=0),"ukryj","odkryj")</f>
        <v>ukryj</v>
      </c>
      <c r="K1115" s="450"/>
      <c r="L1115" s="450"/>
      <c r="M1115" s="450"/>
      <c r="N1115" s="451"/>
      <c r="AE1115" s="257" t="s">
        <v>10309</v>
      </c>
      <c r="AF1115" s="257" t="s">
        <v>10310</v>
      </c>
    </row>
    <row r="1116" spans="1:32" s="447" customFormat="1" x14ac:dyDescent="0.25">
      <c r="A1116" s="832"/>
      <c r="B1116" s="467"/>
      <c r="C1116" s="472" t="s">
        <v>10231</v>
      </c>
      <c r="D1116" s="730"/>
      <c r="E1116" s="730"/>
      <c r="F1116" s="730"/>
      <c r="G1116" s="1012"/>
      <c r="H1116" s="639"/>
      <c r="I1116" s="639"/>
      <c r="J1116" s="499" t="str">
        <f>IF(AND(Noty!H1116=0,Noty!I1116=0),"ukryj","odkryj")</f>
        <v>ukryj</v>
      </c>
      <c r="K1116" s="450"/>
      <c r="L1116" s="450"/>
      <c r="M1116" s="450"/>
      <c r="N1116" s="451"/>
      <c r="AE1116" s="257" t="s">
        <v>10311</v>
      </c>
      <c r="AF1116" s="257" t="s">
        <v>10312</v>
      </c>
    </row>
    <row r="1117" spans="1:32" s="447" customFormat="1" x14ac:dyDescent="0.25">
      <c r="A1117" s="832"/>
      <c r="B1117" s="467"/>
      <c r="C1117" s="472" t="s">
        <v>10234</v>
      </c>
      <c r="D1117" s="730"/>
      <c r="E1117" s="730"/>
      <c r="F1117" s="730"/>
      <c r="G1117" s="1012"/>
      <c r="H1117" s="639"/>
      <c r="I1117" s="639"/>
      <c r="J1117" s="499" t="str">
        <f>IF(AND(Noty!H1117=0,Noty!I1117=0),"ukryj","odkryj")</f>
        <v>ukryj</v>
      </c>
      <c r="K1117" s="450"/>
      <c r="L1117" s="450"/>
      <c r="M1117" s="450"/>
      <c r="N1117" s="451"/>
      <c r="AE1117" s="257" t="s">
        <v>10313</v>
      </c>
      <c r="AF1117" s="257" t="s">
        <v>10314</v>
      </c>
    </row>
    <row r="1118" spans="1:32" s="447" customFormat="1" x14ac:dyDescent="0.25">
      <c r="A1118" s="832"/>
      <c r="B1118" s="467"/>
      <c r="C1118" s="472" t="s">
        <v>10237</v>
      </c>
      <c r="D1118" s="730"/>
      <c r="E1118" s="730"/>
      <c r="F1118" s="730"/>
      <c r="G1118" s="1012"/>
      <c r="H1118" s="639"/>
      <c r="I1118" s="639"/>
      <c r="J1118" s="499" t="str">
        <f>IF(AND(Noty!H1118=0,Noty!I1118=0),"ukryj","odkryj")</f>
        <v>ukryj</v>
      </c>
      <c r="K1118" s="450"/>
      <c r="L1118" s="450"/>
      <c r="M1118" s="450"/>
      <c r="N1118" s="451"/>
      <c r="AE1118" s="257" t="s">
        <v>10315</v>
      </c>
      <c r="AF1118" s="257" t="s">
        <v>10316</v>
      </c>
    </row>
    <row r="1119" spans="1:32" s="447" customFormat="1" x14ac:dyDescent="0.25">
      <c r="A1119" s="832"/>
      <c r="B1119" s="467"/>
      <c r="C1119" s="449"/>
      <c r="D1119" s="714"/>
      <c r="E1119" s="714"/>
      <c r="F1119" s="714"/>
      <c r="G1119" s="1012"/>
      <c r="H1119" s="803">
        <f>SUM(H1113:H1118)</f>
        <v>0</v>
      </c>
      <c r="I1119" s="803">
        <f>SUM(I1113:I1118)</f>
        <v>0</v>
      </c>
      <c r="J1119" s="499" t="str">
        <f>IF(AND(Noty!H1119=0,Noty!I1119=0),"ukryj","odkryj")</f>
        <v>ukryj</v>
      </c>
      <c r="K1119" s="450"/>
      <c r="L1119" s="450"/>
      <c r="M1119" s="450"/>
      <c r="N1119" s="451"/>
    </row>
    <row r="1120" spans="1:32" s="447" customFormat="1" x14ac:dyDescent="0.25">
      <c r="A1120" s="832"/>
      <c r="B1120" s="467"/>
      <c r="C1120" s="449"/>
      <c r="D1120" s="714"/>
      <c r="E1120" s="714"/>
      <c r="F1120" s="714"/>
      <c r="G1120" s="714"/>
      <c r="H1120" s="561"/>
      <c r="I1120" s="561"/>
      <c r="J1120" s="499" t="str">
        <f>Noty!J1119</f>
        <v>ukryj</v>
      </c>
      <c r="K1120" s="450"/>
      <c r="L1120" s="450"/>
      <c r="M1120" s="450"/>
      <c r="N1120" s="451"/>
    </row>
    <row r="1121" spans="1:32" s="447" customFormat="1" x14ac:dyDescent="0.25">
      <c r="A1121" s="832"/>
      <c r="B1121" s="466"/>
      <c r="C1121" s="461" t="s">
        <v>10254</v>
      </c>
      <c r="D1121" s="720"/>
      <c r="E1121" s="720"/>
      <c r="F1121" s="720"/>
      <c r="G1121" s="720"/>
      <c r="H1121" s="721"/>
      <c r="I1121" s="721"/>
      <c r="J1121" s="499" t="str">
        <f>Noty!J1127</f>
        <v>ukryj</v>
      </c>
      <c r="K1121" s="461"/>
      <c r="L1121" s="461"/>
      <c r="M1121" s="461"/>
      <c r="N1121" s="462"/>
    </row>
    <row r="1122" spans="1:32" s="447" customFormat="1" x14ac:dyDescent="0.25">
      <c r="A1122" s="832"/>
      <c r="B1122" s="467"/>
      <c r="C1122" s="472" t="s">
        <v>10222</v>
      </c>
      <c r="D1122" s="714"/>
      <c r="E1122" s="714"/>
      <c r="F1122" s="714"/>
      <c r="G1122" s="1012"/>
      <c r="H1122" s="639"/>
      <c r="I1122" s="639"/>
      <c r="J1122" s="499" t="str">
        <f>IF(AND(Noty!H1122=0,Noty!I1122=0),"ukryj","odkryj")</f>
        <v>ukryj</v>
      </c>
      <c r="K1122" s="450"/>
      <c r="L1122" s="450"/>
      <c r="M1122" s="450"/>
      <c r="N1122" s="451"/>
      <c r="AE1122" s="257" t="s">
        <v>10317</v>
      </c>
      <c r="AF1122" s="257" t="s">
        <v>10318</v>
      </c>
    </row>
    <row r="1123" spans="1:32" s="447" customFormat="1" x14ac:dyDescent="0.25">
      <c r="A1123" s="832"/>
      <c r="B1123" s="467"/>
      <c r="C1123" s="472" t="s">
        <v>10228</v>
      </c>
      <c r="D1123" s="714"/>
      <c r="E1123" s="714"/>
      <c r="F1123" s="714"/>
      <c r="G1123" s="1012"/>
      <c r="H1123" s="639"/>
      <c r="I1123" s="639"/>
      <c r="J1123" s="499" t="str">
        <f>IF(AND(Noty!H1123=0,Noty!I1123=0),"ukryj","odkryj")</f>
        <v>ukryj</v>
      </c>
      <c r="K1123" s="450"/>
      <c r="L1123" s="450"/>
      <c r="M1123" s="450"/>
      <c r="N1123" s="451"/>
      <c r="AE1123" s="257" t="s">
        <v>10319</v>
      </c>
      <c r="AF1123" s="257" t="s">
        <v>10320</v>
      </c>
    </row>
    <row r="1124" spans="1:32" s="447" customFormat="1" x14ac:dyDescent="0.25">
      <c r="A1124" s="832"/>
      <c r="B1124" s="467"/>
      <c r="C1124" s="472" t="s">
        <v>10231</v>
      </c>
      <c r="D1124" s="714"/>
      <c r="E1124" s="714"/>
      <c r="F1124" s="714"/>
      <c r="G1124" s="1012"/>
      <c r="H1124" s="639"/>
      <c r="I1124" s="639"/>
      <c r="J1124" s="499" t="str">
        <f>IF(AND(Noty!H1124=0,Noty!I1124=0),"ukryj","odkryj")</f>
        <v>ukryj</v>
      </c>
      <c r="K1124" s="450"/>
      <c r="L1124" s="450"/>
      <c r="M1124" s="450"/>
      <c r="N1124" s="451"/>
      <c r="AE1124" s="257" t="s">
        <v>10321</v>
      </c>
      <c r="AF1124" s="257" t="s">
        <v>10322</v>
      </c>
    </row>
    <row r="1125" spans="1:32" s="447" customFormat="1" x14ac:dyDescent="0.25">
      <c r="A1125" s="832"/>
      <c r="B1125" s="467"/>
      <c r="C1125" s="472" t="s">
        <v>10234</v>
      </c>
      <c r="D1125" s="714"/>
      <c r="E1125" s="714"/>
      <c r="F1125" s="714"/>
      <c r="G1125" s="1012"/>
      <c r="H1125" s="639"/>
      <c r="I1125" s="639"/>
      <c r="J1125" s="499" t="str">
        <f>IF(AND(Noty!H1125=0,Noty!I1125=0),"ukryj","odkryj")</f>
        <v>ukryj</v>
      </c>
      <c r="K1125" s="450"/>
      <c r="L1125" s="450"/>
      <c r="M1125" s="450"/>
      <c r="N1125" s="451"/>
      <c r="AE1125" s="257" t="s">
        <v>10323</v>
      </c>
      <c r="AF1125" s="257" t="s">
        <v>10324</v>
      </c>
    </row>
    <row r="1126" spans="1:32" s="447" customFormat="1" x14ac:dyDescent="0.25">
      <c r="A1126" s="832"/>
      <c r="B1126" s="467"/>
      <c r="C1126" s="472" t="s">
        <v>10237</v>
      </c>
      <c r="D1126" s="714"/>
      <c r="E1126" s="714"/>
      <c r="F1126" s="714"/>
      <c r="G1126" s="1012"/>
      <c r="H1126" s="639"/>
      <c r="I1126" s="639"/>
      <c r="J1126" s="499" t="str">
        <f>IF(AND(Noty!H1126=0,Noty!I1126=0),"ukryj","odkryj")</f>
        <v>ukryj</v>
      </c>
      <c r="K1126" s="450"/>
      <c r="L1126" s="450"/>
      <c r="M1126" s="450"/>
      <c r="N1126" s="451"/>
      <c r="AE1126" s="257" t="s">
        <v>10325</v>
      </c>
      <c r="AF1126" s="257" t="s">
        <v>10326</v>
      </c>
    </row>
    <row r="1127" spans="1:32" s="447" customFormat="1" x14ac:dyDescent="0.25">
      <c r="A1127" s="832"/>
      <c r="B1127" s="467"/>
      <c r="C1127" s="454"/>
      <c r="D1127" s="722"/>
      <c r="E1127" s="714"/>
      <c r="F1127" s="714"/>
      <c r="G1127" s="1012"/>
      <c r="H1127" s="803">
        <f>SUM(H1122:H1126)</f>
        <v>0</v>
      </c>
      <c r="I1127" s="803">
        <f>SUM(I1122:I1126)</f>
        <v>0</v>
      </c>
      <c r="J1127" s="499" t="str">
        <f>IF(AND(Noty!H1127=0,Noty!I1127=0),"ukryj","odkryj")</f>
        <v>ukryj</v>
      </c>
      <c r="K1127" s="450"/>
      <c r="L1127" s="450"/>
      <c r="M1127" s="450"/>
      <c r="N1127" s="451"/>
      <c r="AE1127" s="257"/>
      <c r="AF1127" s="257"/>
    </row>
    <row r="1128" spans="1:32" s="447" customFormat="1" x14ac:dyDescent="0.25">
      <c r="A1128" s="832"/>
      <c r="B1128" s="467"/>
      <c r="C1128" s="454"/>
      <c r="D1128" s="722"/>
      <c r="E1128" s="714"/>
      <c r="F1128" s="714"/>
      <c r="G1128" s="714"/>
      <c r="H1128" s="191"/>
      <c r="I1128" s="191"/>
      <c r="J1128" s="499" t="str">
        <f>Noty!J1127</f>
        <v>ukryj</v>
      </c>
      <c r="K1128" s="450"/>
      <c r="L1128" s="450"/>
      <c r="M1128" s="450"/>
      <c r="N1128" s="451"/>
      <c r="AE1128" s="257"/>
      <c r="AF1128" s="257"/>
    </row>
    <row r="1129" spans="1:32" s="447" customFormat="1" x14ac:dyDescent="0.25">
      <c r="A1129" s="832"/>
      <c r="B1129" s="466"/>
      <c r="C1129" s="550" t="s">
        <v>10265</v>
      </c>
      <c r="E1129" s="714"/>
      <c r="F1129" s="714"/>
      <c r="G1129" s="1012"/>
      <c r="H1129" s="803">
        <f>SUM(H1119,H1127)</f>
        <v>0</v>
      </c>
      <c r="I1129" s="803">
        <f>SUM(I1119,I1127)</f>
        <v>0</v>
      </c>
      <c r="J1129" s="499" t="str">
        <f>IF(AND(Noty!H1129=0,Noty!I1129=0),"ukryj","odkryj")</f>
        <v>ukryj</v>
      </c>
      <c r="K1129" s="450"/>
      <c r="L1129" s="450"/>
      <c r="M1129" s="450"/>
      <c r="N1129" s="451"/>
    </row>
    <row r="1130" spans="1:32" s="447" customFormat="1" ht="13.75" thickBot="1" x14ac:dyDescent="0.3">
      <c r="A1130" s="832"/>
      <c r="B1130" s="467"/>
      <c r="C1130" s="454"/>
      <c r="D1130" s="716"/>
      <c r="E1130" s="714"/>
      <c r="F1130" s="714"/>
      <c r="G1130" s="714"/>
      <c r="H1130" s="714"/>
      <c r="I1130" s="714"/>
      <c r="J1130" s="499" t="str">
        <f>Noty!J1129</f>
        <v>ukryj</v>
      </c>
      <c r="K1130" s="450"/>
      <c r="L1130" s="501"/>
      <c r="M1130" s="450"/>
      <c r="N1130" s="451"/>
    </row>
    <row r="1131" spans="1:32" s="447" customFormat="1" ht="15.75" thickBot="1" x14ac:dyDescent="0.35">
      <c r="A1131" s="1183">
        <f>A1087</f>
        <v>1</v>
      </c>
      <c r="B1131" s="1184">
        <f>IF(K1131="n/a",B1108,B1108+1)</f>
        <v>0</v>
      </c>
      <c r="C1131" s="1417" t="s">
        <v>10327</v>
      </c>
      <c r="D1131" s="1417"/>
      <c r="E1131" s="1417"/>
      <c r="F1131" s="1417"/>
      <c r="G1131" s="1417"/>
      <c r="H1131" s="1417"/>
      <c r="I1131" s="1417"/>
      <c r="J1131" s="499" t="str">
        <f>IF(Noty!K1131="n/a","ukryj","odkryj")</f>
        <v>ukryj</v>
      </c>
      <c r="K1131" s="1213" t="str">
        <f>IF(Input!D161="nie","n/a","")</f>
        <v>n/a</v>
      </c>
      <c r="L1131" s="492" t="str">
        <f>A1131&amp;"."&amp;B1131</f>
        <v>1.0</v>
      </c>
      <c r="M1131" s="450"/>
      <c r="N1131" s="1101" t="s">
        <v>9378</v>
      </c>
      <c r="O1131" s="489" t="str">
        <f>A1131&amp;"."&amp;B1131</f>
        <v>1.0</v>
      </c>
    </row>
    <row r="1132" spans="1:32" s="447" customFormat="1" x14ac:dyDescent="0.25">
      <c r="A1132" s="458"/>
      <c r="B1132" s="828"/>
      <c r="C1132" s="1414" t="s">
        <v>10145</v>
      </c>
      <c r="D1132" s="1414"/>
      <c r="E1132" s="1414"/>
      <c r="F1132" s="1414"/>
      <c r="G1132" s="1414"/>
      <c r="H1132" s="1414"/>
      <c r="I1132" s="1414"/>
      <c r="J1132" s="499" t="str">
        <f>Noty!J1131</f>
        <v>ukryj</v>
      </c>
      <c r="K1132" s="450"/>
      <c r="L1132" s="450"/>
      <c r="M1132" s="450"/>
      <c r="N1132" s="451"/>
      <c r="AE1132" s="257"/>
      <c r="AF1132" s="257"/>
    </row>
    <row r="1133" spans="1:32" s="447" customFormat="1" ht="30.8" customHeight="1" x14ac:dyDescent="0.25">
      <c r="A1133" s="832"/>
      <c r="B1133" s="466"/>
      <c r="C1133" s="556" t="s">
        <v>9485</v>
      </c>
      <c r="E1133" s="714"/>
      <c r="F1133" s="714"/>
      <c r="G1133" s="1012"/>
      <c r="H1133" s="999" t="str">
        <f>CONCATENATE(Input!$P$6," -",Input!$P$7)</f>
        <v>01.01.2020 -31.12.2020</v>
      </c>
      <c r="I1133" s="999" t="str">
        <f>CONCATENATE(Input!$P$10," -",Input!$P$11)</f>
        <v>01.01.2019 -31.12.2019</v>
      </c>
      <c r="J1133" s="499" t="str">
        <f>Noty!J1132</f>
        <v>ukryj</v>
      </c>
      <c r="K1133" s="450"/>
      <c r="L1133" s="450"/>
      <c r="M1133" s="450"/>
      <c r="N1133" s="451"/>
      <c r="AE1133" s="257"/>
      <c r="AF1133" s="257"/>
    </row>
    <row r="1134" spans="1:32" s="447" customFormat="1" x14ac:dyDescent="0.25">
      <c r="A1134" s="832"/>
      <c r="B1134" s="466"/>
      <c r="C1134" s="553" t="s">
        <v>10328</v>
      </c>
      <c r="D1134" s="417"/>
      <c r="E1134" s="731"/>
      <c r="F1134" s="731"/>
      <c r="G1134" s="731"/>
      <c r="H1134" s="714"/>
      <c r="I1134" s="714"/>
      <c r="J1134" s="499" t="str">
        <f>Noty!J1137</f>
        <v>ukryj</v>
      </c>
      <c r="K1134" s="450"/>
      <c r="L1134" s="450"/>
      <c r="M1134" s="450"/>
      <c r="N1134" s="451"/>
      <c r="AE1134" s="257"/>
      <c r="AF1134" s="257"/>
    </row>
    <row r="1135" spans="1:32" s="447" customFormat="1" x14ac:dyDescent="0.25">
      <c r="A1135" s="832"/>
      <c r="B1135" s="467"/>
      <c r="C1135" s="1398"/>
      <c r="D1135" s="1398"/>
      <c r="E1135" s="1398"/>
      <c r="F1135" s="1398"/>
      <c r="G1135" s="1001"/>
      <c r="H1135" s="639"/>
      <c r="I1135" s="639"/>
      <c r="J1135" s="499" t="str">
        <f>IF(AND(Noty!H1135=0,Noty!I1135=0),"ukryj","odkryj")</f>
        <v>ukryj</v>
      </c>
      <c r="K1135" s="450"/>
      <c r="L1135" s="450"/>
      <c r="M1135" s="450"/>
      <c r="N1135" s="451"/>
      <c r="AE1135" s="257" t="s">
        <v>10329</v>
      </c>
      <c r="AF1135" s="257" t="s">
        <v>10330</v>
      </c>
    </row>
    <row r="1136" spans="1:32" s="447" customFormat="1" x14ac:dyDescent="0.25">
      <c r="A1136" s="832"/>
      <c r="B1136" s="467"/>
      <c r="C1136" s="1398"/>
      <c r="D1136" s="1398"/>
      <c r="E1136" s="1398"/>
      <c r="F1136" s="1398"/>
      <c r="G1136" s="1001"/>
      <c r="H1136" s="802"/>
      <c r="I1136" s="802"/>
      <c r="J1136" s="499" t="str">
        <f>IF(AND(Noty!H1136=0,Noty!I1136=0),"ukryj","odkryj")</f>
        <v>ukryj</v>
      </c>
      <c r="K1136" s="450"/>
      <c r="L1136" s="450"/>
      <c r="M1136" s="450"/>
      <c r="N1136" s="451"/>
      <c r="AE1136" s="257" t="s">
        <v>10331</v>
      </c>
      <c r="AF1136" s="257" t="s">
        <v>10332</v>
      </c>
    </row>
    <row r="1137" spans="1:32" s="447" customFormat="1" x14ac:dyDescent="0.25">
      <c r="A1137" s="832"/>
      <c r="B1137" s="467"/>
      <c r="C1137" s="489"/>
      <c r="E1137" s="714"/>
      <c r="F1137" s="714"/>
      <c r="G1137" s="1012"/>
      <c r="H1137" s="803">
        <f>SUM(H1135:H1136)</f>
        <v>0</v>
      </c>
      <c r="I1137" s="803">
        <f>SUM(I1135:I1136)</f>
        <v>0</v>
      </c>
      <c r="J1137" s="499" t="str">
        <f>IF(AND(Noty!H1137=0,Noty!I1137=0),"ukryj","odkryj")</f>
        <v>ukryj</v>
      </c>
      <c r="K1137" s="450"/>
      <c r="L1137" s="450"/>
      <c r="M1137" s="450"/>
      <c r="N1137" s="451"/>
      <c r="AE1137" s="257"/>
      <c r="AF1137" s="257"/>
    </row>
    <row r="1138" spans="1:32" s="447" customFormat="1" x14ac:dyDescent="0.25">
      <c r="A1138" s="832"/>
      <c r="B1138" s="467"/>
      <c r="C1138" s="454"/>
      <c r="D1138" s="716"/>
      <c r="E1138" s="714"/>
      <c r="F1138" s="714"/>
      <c r="G1138" s="714"/>
      <c r="H1138" s="724"/>
      <c r="I1138" s="724"/>
      <c r="J1138" s="499" t="str">
        <f>Noty!J1137</f>
        <v>ukryj</v>
      </c>
      <c r="K1138" s="450"/>
      <c r="L1138" s="450"/>
      <c r="M1138" s="450"/>
      <c r="N1138" s="451"/>
    </row>
    <row r="1139" spans="1:32" s="447" customFormat="1" x14ac:dyDescent="0.25">
      <c r="A1139" s="832"/>
      <c r="B1139" s="466"/>
      <c r="C1139" s="461" t="s">
        <v>10174</v>
      </c>
      <c r="E1139" s="714"/>
      <c r="F1139" s="714"/>
      <c r="G1139" s="714"/>
      <c r="H1139" s="719"/>
      <c r="I1139" s="719"/>
      <c r="J1139" s="499" t="str">
        <f>Noty!J1146</f>
        <v>ukryj</v>
      </c>
      <c r="K1139" s="450"/>
      <c r="L1139" s="450"/>
      <c r="M1139" s="450"/>
      <c r="N1139" s="451"/>
    </row>
    <row r="1140" spans="1:32" s="447" customFormat="1" x14ac:dyDescent="0.25">
      <c r="A1140" s="832"/>
      <c r="B1140" s="467"/>
      <c r="C1140" s="450" t="s">
        <v>10333</v>
      </c>
      <c r="D1140" s="714"/>
      <c r="F1140" s="725"/>
      <c r="G1140" s="1012"/>
      <c r="H1140" s="802"/>
      <c r="I1140" s="802"/>
      <c r="J1140" s="499" t="str">
        <f>IF(AND(Noty!H1140=0,Noty!I1140=0),"ukryj","odkryj")</f>
        <v>ukryj</v>
      </c>
      <c r="K1140" s="450"/>
      <c r="L1140" s="450"/>
      <c r="M1140" s="450"/>
      <c r="N1140" s="451"/>
      <c r="AE1140" s="257" t="s">
        <v>10334</v>
      </c>
      <c r="AF1140" s="257" t="s">
        <v>10335</v>
      </c>
    </row>
    <row r="1141" spans="1:32" s="447" customFormat="1" ht="13.6" customHeight="1" x14ac:dyDescent="0.25">
      <c r="A1141" s="832"/>
      <c r="B1141" s="467"/>
      <c r="C1141" s="473" t="s">
        <v>10336</v>
      </c>
      <c r="D1141" s="725"/>
      <c r="F1141" s="725"/>
      <c r="G1141" s="1012"/>
      <c r="H1141" s="800">
        <f>SUM(H1142:H1145)</f>
        <v>0</v>
      </c>
      <c r="I1141" s="800">
        <f>SUM(I1142:I1145)</f>
        <v>0</v>
      </c>
      <c r="J1141" s="499" t="str">
        <f>IF(AND(Noty!H1141=0,Noty!I1141=0),"ukryj","odkryj")</f>
        <v>ukryj</v>
      </c>
      <c r="K1141" s="450"/>
      <c r="L1141" s="450"/>
      <c r="M1141" s="450"/>
      <c r="N1141" s="451"/>
    </row>
    <row r="1142" spans="1:32" s="447" customFormat="1" x14ac:dyDescent="0.25">
      <c r="A1142" s="832"/>
      <c r="B1142" s="467"/>
      <c r="C1142" s="474" t="s">
        <v>10278</v>
      </c>
      <c r="D1142" s="732"/>
      <c r="F1142" s="732"/>
      <c r="G1142" s="1018"/>
      <c r="H1142" s="802"/>
      <c r="I1142" s="802"/>
      <c r="J1142" s="499" t="str">
        <f>IF(AND(Noty!H1142=0,Noty!I1142=0),"ukryj","odkryj")</f>
        <v>ukryj</v>
      </c>
      <c r="K1142" s="450"/>
      <c r="L1142" s="455"/>
      <c r="M1142" s="455"/>
      <c r="N1142" s="456"/>
      <c r="AE1142" s="257" t="s">
        <v>10337</v>
      </c>
      <c r="AF1142" s="257" t="s">
        <v>10338</v>
      </c>
    </row>
    <row r="1143" spans="1:32" s="447" customFormat="1" x14ac:dyDescent="0.25">
      <c r="A1143" s="832"/>
      <c r="B1143" s="467"/>
      <c r="C1143" s="474" t="s">
        <v>10281</v>
      </c>
      <c r="D1143" s="732"/>
      <c r="F1143" s="732"/>
      <c r="G1143" s="1018"/>
      <c r="H1143" s="802"/>
      <c r="I1143" s="802"/>
      <c r="J1143" s="499" t="str">
        <f>IF(AND(Noty!H1143=0,Noty!I1143=0),"ukryj","odkryj")</f>
        <v>ukryj</v>
      </c>
      <c r="K1143" s="450"/>
      <c r="L1143" s="455"/>
      <c r="M1143" s="455"/>
      <c r="N1143" s="456"/>
      <c r="AE1143" s="257" t="s">
        <v>10339</v>
      </c>
      <c r="AF1143" s="257" t="s">
        <v>10340</v>
      </c>
    </row>
    <row r="1144" spans="1:32" s="447" customFormat="1" x14ac:dyDescent="0.25">
      <c r="A1144" s="832"/>
      <c r="B1144" s="467"/>
      <c r="C1144" s="474" t="s">
        <v>10284</v>
      </c>
      <c r="D1144" s="732"/>
      <c r="F1144" s="732"/>
      <c r="G1144" s="1018"/>
      <c r="H1144" s="802"/>
      <c r="I1144" s="802"/>
      <c r="J1144" s="499" t="str">
        <f>IF(AND(Noty!H1144=0,Noty!I1144=0),"ukryj","odkryj")</f>
        <v>ukryj</v>
      </c>
      <c r="K1144" s="450"/>
      <c r="L1144" s="455"/>
      <c r="M1144" s="455"/>
      <c r="N1144" s="456"/>
      <c r="AE1144" s="257" t="s">
        <v>10341</v>
      </c>
      <c r="AF1144" s="257" t="s">
        <v>10342</v>
      </c>
    </row>
    <row r="1145" spans="1:32" s="447" customFormat="1" x14ac:dyDescent="0.25">
      <c r="A1145" s="832"/>
      <c r="B1145" s="467"/>
      <c r="C1145" s="474" t="s">
        <v>10287</v>
      </c>
      <c r="D1145" s="732"/>
      <c r="F1145" s="732"/>
      <c r="G1145" s="1018"/>
      <c r="H1145" s="802"/>
      <c r="I1145" s="802"/>
      <c r="J1145" s="499" t="str">
        <f>IF(AND(Noty!H1145=0,Noty!I1145=0),"ukryj","odkryj")</f>
        <v>ukryj</v>
      </c>
      <c r="K1145" s="450"/>
      <c r="L1145" s="455"/>
      <c r="M1145" s="455"/>
      <c r="N1145" s="456"/>
      <c r="AE1145" s="257" t="s">
        <v>10343</v>
      </c>
      <c r="AF1145" s="257" t="s">
        <v>10344</v>
      </c>
    </row>
    <row r="1146" spans="1:32" s="447" customFormat="1" x14ac:dyDescent="0.25">
      <c r="A1146" s="832"/>
      <c r="B1146" s="467"/>
      <c r="C1146" s="454"/>
      <c r="D1146" s="716"/>
      <c r="E1146" s="714"/>
      <c r="F1146" s="714"/>
      <c r="G1146" s="1012"/>
      <c r="H1146" s="803">
        <f>H1140+H1141</f>
        <v>0</v>
      </c>
      <c r="I1146" s="803">
        <f>I1140+I1141</f>
        <v>0</v>
      </c>
      <c r="J1146" s="499" t="str">
        <f>IF(AND(Noty!H1146=0,Noty!I1146=0),"ukryj","odkryj")</f>
        <v>ukryj</v>
      </c>
      <c r="K1146" s="450"/>
      <c r="L1146" s="450"/>
      <c r="M1146" s="450"/>
      <c r="N1146" s="451"/>
      <c r="AE1146" s="257"/>
      <c r="AF1146" s="257"/>
    </row>
    <row r="1147" spans="1:32" s="447" customFormat="1" x14ac:dyDescent="0.25">
      <c r="A1147" s="832"/>
      <c r="B1147" s="467"/>
      <c r="C1147" s="454"/>
      <c r="D1147" s="716"/>
      <c r="E1147" s="714"/>
      <c r="F1147" s="714"/>
      <c r="G1147" s="714"/>
      <c r="H1147" s="724"/>
      <c r="I1147" s="724"/>
      <c r="J1147" s="499" t="str">
        <f>Noty!J1146</f>
        <v>ukryj</v>
      </c>
      <c r="K1147" s="450"/>
      <c r="L1147" s="450"/>
      <c r="M1147" s="450"/>
      <c r="N1147" s="451"/>
    </row>
    <row r="1148" spans="1:32" s="447" customFormat="1" x14ac:dyDescent="0.25">
      <c r="A1148" s="465"/>
      <c r="B1148" s="466"/>
      <c r="C1148" s="550" t="s">
        <v>10345</v>
      </c>
      <c r="E1148" s="714"/>
      <c r="F1148" s="714"/>
      <c r="G1148" s="1012"/>
      <c r="H1148" s="803">
        <f>SUM(H1137,H1146)</f>
        <v>0</v>
      </c>
      <c r="I1148" s="803">
        <f>SUM(I1137,I1146)</f>
        <v>0</v>
      </c>
      <c r="J1148" s="499" t="str">
        <f>IF(AND(Noty!H1148=0,Noty!I1148=0),"ukryj","odkryj")</f>
        <v>ukryj</v>
      </c>
      <c r="K1148" s="450"/>
      <c r="L1148" s="450"/>
      <c r="M1148" s="450"/>
      <c r="N1148" s="451"/>
    </row>
    <row r="1149" spans="1:32" s="200" customFormat="1" ht="13.75" thickBot="1" x14ac:dyDescent="0.3">
      <c r="A1149" s="194"/>
      <c r="B1149" s="520"/>
      <c r="C1149" s="195"/>
      <c r="D1149" s="195"/>
      <c r="E1149" s="196"/>
      <c r="F1149" s="196"/>
      <c r="G1149" s="196"/>
      <c r="H1149" s="196"/>
      <c r="I1149" s="196"/>
      <c r="J1149" s="499" t="str">
        <f>Noty!J1148</f>
        <v>ukryj</v>
      </c>
      <c r="K1149" s="197"/>
      <c r="L1149" s="496"/>
      <c r="N1149" s="387"/>
    </row>
    <row r="1150" spans="1:32" s="447" customFormat="1" ht="15.75" thickBot="1" x14ac:dyDescent="0.35">
      <c r="A1150" s="1180">
        <f>IF(K1150="n/a",A1131,A1131+1)</f>
        <v>2</v>
      </c>
      <c r="B1150" s="1182"/>
      <c r="C1150" s="1416" t="s">
        <v>10346</v>
      </c>
      <c r="D1150" s="1416"/>
      <c r="E1150" s="1416"/>
      <c r="F1150" s="1416"/>
      <c r="G1150" s="1416"/>
      <c r="H1150" s="1416"/>
      <c r="I1150" s="1416"/>
      <c r="J1150" s="499" t="str">
        <f>IF(Noty!K1150="n/a","ukryj","odkryj")</f>
        <v>odkryj</v>
      </c>
      <c r="K1150" s="1213" t="str">
        <f>IF(AND(K1152="n/a",K1154="n/a"),"n/a","")</f>
        <v/>
      </c>
      <c r="L1150" s="492" t="str">
        <f>A1150&amp;"."&amp;B1150</f>
        <v>2.</v>
      </c>
      <c r="M1150" s="450"/>
      <c r="N1150" s="1101" t="s">
        <v>9378</v>
      </c>
      <c r="O1150" s="489" t="str">
        <f>A1150&amp;"."&amp;B1150</f>
        <v>2.</v>
      </c>
    </row>
    <row r="1151" spans="1:32" s="447" customFormat="1" ht="13.75" thickBot="1" x14ac:dyDescent="0.3">
      <c r="A1151" s="508"/>
      <c r="B1151" s="520"/>
      <c r="C1151" s="968"/>
      <c r="D1151" s="714"/>
      <c r="E1151" s="714"/>
      <c r="F1151" s="714"/>
      <c r="G1151" s="714"/>
      <c r="H1151" s="714"/>
      <c r="I1151" s="714"/>
      <c r="J1151" s="499" t="str">
        <f>Noty!J1150</f>
        <v>odkryj</v>
      </c>
      <c r="K1151" s="174"/>
      <c r="L1151" s="492"/>
      <c r="M1151" s="450"/>
      <c r="N1151" s="488"/>
      <c r="O1151" s="489"/>
    </row>
    <row r="1152" spans="1:32" s="447" customFormat="1" ht="35.200000000000003" customHeight="1" thickBot="1" x14ac:dyDescent="0.3">
      <c r="A1152" s="508"/>
      <c r="B1152" s="520"/>
      <c r="C1152" s="1424" t="str">
        <f>"Zarówno w roku obrotowym kończącym się dnia "&amp;DAY(DataDo)&amp;" "&amp; Input!Q7 &amp; " " &amp;YEAR(DataDo)&amp;" roku jak i w roku poprzednim nie wystąpiły przychody i koszty o nadzwyczajnej wartości lub incydentalne."</f>
        <v>Zarówno w roku obrotowym kończącym się dnia 31 grudnia 2020 roku jak i w roku poprzednim nie wystąpiły przychody i koszty o nadzwyczajnej wartości lub incydentalne.</v>
      </c>
      <c r="D1152" s="1424"/>
      <c r="E1152" s="1424"/>
      <c r="F1152" s="1424"/>
      <c r="G1152" s="1424"/>
      <c r="H1152" s="1424"/>
      <c r="I1152" s="1424"/>
      <c r="J1152" s="499" t="str">
        <f>IF(Noty!K1152="n/a","ukryj","odkryj")</f>
        <v>odkryj</v>
      </c>
      <c r="K1152" s="1224" t="str">
        <f>IF(Input!D162="nie","","n/a")</f>
        <v/>
      </c>
      <c r="L1152" s="492"/>
      <c r="M1152" s="450"/>
      <c r="N1152" s="488"/>
      <c r="O1152" s="489"/>
    </row>
    <row r="1153" spans="1:32" s="447" customFormat="1" ht="13.75" thickBot="1" x14ac:dyDescent="0.3">
      <c r="A1153" s="458"/>
      <c r="B1153" s="828"/>
      <c r="C1153" s="557" t="s">
        <v>10347</v>
      </c>
      <c r="D1153" s="733"/>
      <c r="E1153" s="733"/>
      <c r="F1153" s="733"/>
      <c r="G1153" s="733"/>
      <c r="H1153" s="733"/>
      <c r="I1153" s="733"/>
      <c r="J1153" s="499" t="s">
        <v>5125</v>
      </c>
      <c r="K1153" s="489"/>
      <c r="L1153" s="450"/>
      <c r="M1153" s="450"/>
      <c r="N1153" s="451"/>
    </row>
    <row r="1154" spans="1:32" s="447" customFormat="1" ht="13.75" thickBot="1" x14ac:dyDescent="0.3">
      <c r="A1154" s="465"/>
      <c r="B1154" s="466"/>
      <c r="C1154" s="459"/>
      <c r="E1154" s="714"/>
      <c r="F1154" s="714"/>
      <c r="G1154" s="1012"/>
      <c r="H1154" s="999" t="str">
        <f>CONCATENATE(Input!$P$7)</f>
        <v>31.12.2020</v>
      </c>
      <c r="I1154" s="999" t="str">
        <f>CONCATENATE(Input!$P$11)</f>
        <v>31.12.2019</v>
      </c>
      <c r="J1154" s="499" t="str">
        <f>IF(Noty!K1154="n/a","ukryj","odkryj")</f>
        <v>ukryj</v>
      </c>
      <c r="K1154" s="1224" t="str">
        <f>IF(K1152="n/a","","n/a")</f>
        <v>n/a</v>
      </c>
      <c r="L1154" s="450"/>
      <c r="M1154" s="450"/>
      <c r="N1154" s="451"/>
    </row>
    <row r="1155" spans="1:32" s="447" customFormat="1" x14ac:dyDescent="0.25">
      <c r="A1155" s="465"/>
      <c r="B1155" s="466"/>
      <c r="C1155" s="553" t="s">
        <v>10348</v>
      </c>
      <c r="E1155" s="720"/>
      <c r="F1155" s="720"/>
      <c r="G1155" s="720"/>
      <c r="H1155" s="561"/>
      <c r="I1155" s="561"/>
      <c r="J1155" s="499" t="str">
        <f>Noty!J1154</f>
        <v>ukryj</v>
      </c>
      <c r="K1155" s="461"/>
      <c r="L1155" s="461"/>
      <c r="M1155" s="461"/>
      <c r="N1155" s="462"/>
    </row>
    <row r="1156" spans="1:32" s="447" customFormat="1" x14ac:dyDescent="0.25">
      <c r="A1156" s="465"/>
      <c r="B1156" s="467"/>
      <c r="C1156" s="1398"/>
      <c r="D1156" s="1398"/>
      <c r="E1156" s="1398"/>
      <c r="F1156" s="1398"/>
      <c r="G1156" s="1001"/>
      <c r="H1156" s="639"/>
      <c r="I1156" s="639"/>
      <c r="J1156" s="499" t="str">
        <f>IF(AND(Noty!H1156=0,Noty!I1156=0),"ukryj","odkryj")</f>
        <v>ukryj</v>
      </c>
      <c r="K1156" s="450"/>
      <c r="L1156" s="450"/>
      <c r="M1156" s="450"/>
      <c r="N1156" s="451"/>
      <c r="AE1156" s="257" t="s">
        <v>10349</v>
      </c>
      <c r="AF1156" s="257" t="s">
        <v>10350</v>
      </c>
    </row>
    <row r="1157" spans="1:32" s="447" customFormat="1" x14ac:dyDescent="0.25">
      <c r="A1157" s="465"/>
      <c r="B1157" s="467"/>
      <c r="C1157" s="1398"/>
      <c r="D1157" s="1398"/>
      <c r="E1157" s="1398"/>
      <c r="F1157" s="1398"/>
      <c r="G1157" s="1001"/>
      <c r="H1157" s="802"/>
      <c r="I1157" s="802"/>
      <c r="J1157" s="499" t="str">
        <f>IF(AND(Noty!H1157=0,Noty!I1157=0),"ukryj","odkryj")</f>
        <v>ukryj</v>
      </c>
      <c r="K1157" s="450"/>
      <c r="L1157" s="450"/>
      <c r="M1157" s="450"/>
      <c r="N1157" s="451"/>
      <c r="AE1157" s="257" t="s">
        <v>10351</v>
      </c>
      <c r="AF1157" s="257" t="s">
        <v>10352</v>
      </c>
    </row>
    <row r="1158" spans="1:32" s="447" customFormat="1" x14ac:dyDescent="0.25">
      <c r="A1158" s="465"/>
      <c r="B1158" s="467"/>
      <c r="C1158" s="1398"/>
      <c r="D1158" s="1398"/>
      <c r="E1158" s="1398"/>
      <c r="F1158" s="1398"/>
      <c r="G1158" s="1001"/>
      <c r="H1158" s="802"/>
      <c r="I1158" s="802"/>
      <c r="J1158" s="499" t="str">
        <f>IF(AND(Noty!H1158=0,Noty!I1158=0),"ukryj","odkryj")</f>
        <v>ukryj</v>
      </c>
      <c r="K1158" s="450"/>
      <c r="L1158" s="450"/>
      <c r="M1158" s="450"/>
      <c r="N1158" s="451"/>
      <c r="AE1158" s="257"/>
      <c r="AF1158" s="257"/>
    </row>
    <row r="1159" spans="1:32" s="447" customFormat="1" x14ac:dyDescent="0.25">
      <c r="A1159" s="465"/>
      <c r="B1159" s="467"/>
      <c r="C1159" s="467"/>
      <c r="D1159" s="716"/>
      <c r="E1159" s="714"/>
      <c r="F1159" s="714"/>
      <c r="G1159" s="1012"/>
      <c r="H1159" s="803">
        <f>SUM(H1156:H1158)</f>
        <v>0</v>
      </c>
      <c r="I1159" s="803">
        <f>SUM(I1156:I1158)</f>
        <v>0</v>
      </c>
      <c r="J1159" s="499" t="str">
        <f>IF(AND(Noty!H1159=0,Noty!I1159=0),"ukryj","odkryj")</f>
        <v>ukryj</v>
      </c>
      <c r="K1159" s="450"/>
      <c r="L1159" s="450"/>
      <c r="M1159" s="450"/>
      <c r="N1159" s="451"/>
    </row>
    <row r="1160" spans="1:32" s="447" customFormat="1" ht="29.95" customHeight="1" x14ac:dyDescent="0.25">
      <c r="A1160" s="465"/>
      <c r="B1160" s="467"/>
      <c r="C1160" s="1425" t="s">
        <v>10353</v>
      </c>
      <c r="D1160" s="1425"/>
      <c r="E1160" s="1425"/>
      <c r="F1160" s="1425"/>
      <c r="G1160" s="1425"/>
      <c r="H1160" s="1425"/>
      <c r="I1160" s="1425"/>
      <c r="J1160" s="499" t="s">
        <v>5125</v>
      </c>
      <c r="K1160" s="450"/>
      <c r="L1160" s="450"/>
      <c r="M1160" s="450"/>
      <c r="N1160" s="451"/>
    </row>
    <row r="1161" spans="1:32" s="447" customFormat="1" ht="13.75" thickBot="1" x14ac:dyDescent="0.3">
      <c r="A1161" s="465"/>
      <c r="B1161" s="467"/>
      <c r="C1161" s="467"/>
      <c r="D1161" s="716"/>
      <c r="E1161" s="714"/>
      <c r="F1161" s="714"/>
      <c r="G1161" s="714"/>
      <c r="H1161" s="714"/>
      <c r="I1161" s="714"/>
      <c r="J1161" s="499" t="str">
        <f>Noty!J1150</f>
        <v>odkryj</v>
      </c>
      <c r="K1161" s="450"/>
      <c r="L1161" s="501"/>
      <c r="M1161" s="450"/>
      <c r="N1161" s="451"/>
    </row>
    <row r="1162" spans="1:32" s="447" customFormat="1" ht="15.75" thickBot="1" x14ac:dyDescent="0.35">
      <c r="A1162" s="1180">
        <f>IF(K1162="n/a",A1150,A1150+ 1)</f>
        <v>2</v>
      </c>
      <c r="B1162" s="1182"/>
      <c r="C1162" s="1388" t="s">
        <v>10354</v>
      </c>
      <c r="D1162" s="1388"/>
      <c r="E1162" s="1388"/>
      <c r="F1162" s="1388"/>
      <c r="G1162" s="1388"/>
      <c r="H1162" s="1388"/>
      <c r="I1162" s="1388"/>
      <c r="J1162" s="499" t="str">
        <f>IF(Noty!K1162="n/a","ukryj","odkryj")</f>
        <v>ukryj</v>
      </c>
      <c r="K1162" s="1213" t="str">
        <f>IF(Input!D163="nie","n/a","")</f>
        <v>n/a</v>
      </c>
      <c r="L1162" s="492" t="str">
        <f>A1162&amp;"."&amp;B1162</f>
        <v>2.</v>
      </c>
      <c r="N1162" s="1101" t="s">
        <v>9378</v>
      </c>
      <c r="O1162" s="489" t="str">
        <f>A1162&amp;"."&amp;B1162</f>
        <v>2.</v>
      </c>
    </row>
    <row r="1163" spans="1:32" s="447" customFormat="1" ht="29.3" customHeight="1" x14ac:dyDescent="0.25">
      <c r="A1163" s="508"/>
      <c r="B1163" s="520"/>
      <c r="C1163" s="200"/>
      <c r="D1163" s="200"/>
      <c r="E1163" s="196"/>
      <c r="F1163" s="196"/>
      <c r="G1163" s="580"/>
      <c r="H1163" s="999" t="str">
        <f>CONCATENATE(Input!$P$6," -",Input!$P$7)</f>
        <v>01.01.2020 -31.12.2020</v>
      </c>
      <c r="I1163" s="999" t="str">
        <f>CONCATENATE(Input!$P$10," -",Input!$P$11)</f>
        <v>01.01.2019 -31.12.2019</v>
      </c>
      <c r="J1163" s="499" t="str">
        <f>Noty!J1162</f>
        <v>ukryj</v>
      </c>
      <c r="K1163" s="200"/>
      <c r="L1163" s="200"/>
      <c r="N1163" s="475"/>
    </row>
    <row r="1164" spans="1:32" s="447" customFormat="1" x14ac:dyDescent="0.25">
      <c r="A1164" s="508"/>
      <c r="B1164" s="520"/>
      <c r="C1164" s="200"/>
      <c r="D1164" s="200"/>
      <c r="E1164" s="196"/>
      <c r="F1164" s="196"/>
      <c r="H1164" s="196"/>
      <c r="I1164" s="196"/>
      <c r="J1164" s="499" t="str">
        <f>Noty!J1163</f>
        <v>ukryj</v>
      </c>
      <c r="K1164" s="200"/>
      <c r="L1164" s="200"/>
      <c r="N1164" s="475"/>
    </row>
    <row r="1165" spans="1:32" s="447" customFormat="1" x14ac:dyDescent="0.25">
      <c r="A1165" s="508"/>
      <c r="B1165" s="520"/>
      <c r="C1165" s="1386" t="s">
        <v>10355</v>
      </c>
      <c r="D1165" s="1386"/>
      <c r="E1165" s="1386"/>
      <c r="F1165" s="1386"/>
      <c r="G1165" s="580"/>
      <c r="H1165" s="800">
        <f>H1173</f>
        <v>0</v>
      </c>
      <c r="I1165" s="800">
        <f>I1173</f>
        <v>0</v>
      </c>
      <c r="J1165" s="499" t="str">
        <f>IF(AND(Noty!H1165=0,Noty!I1165=0),"ukryj","odkryj")</f>
        <v>ukryj</v>
      </c>
      <c r="K1165" s="200"/>
      <c r="L1165" s="200"/>
      <c r="N1165" s="475"/>
      <c r="AE1165" s="257" t="s">
        <v>10356</v>
      </c>
      <c r="AF1165" s="257" t="s">
        <v>10357</v>
      </c>
    </row>
    <row r="1166" spans="1:32" s="447" customFormat="1" x14ac:dyDescent="0.25">
      <c r="A1166" s="508"/>
      <c r="B1166" s="520"/>
      <c r="C1166" s="1386" t="s">
        <v>10358</v>
      </c>
      <c r="D1166" s="1386"/>
      <c r="E1166" s="1386"/>
      <c r="F1166" s="1386"/>
      <c r="G1166" s="580"/>
      <c r="H1166" s="800">
        <f>-Noty!I1252</f>
        <v>0</v>
      </c>
      <c r="I1166" s="802"/>
      <c r="J1166" s="499" t="str">
        <f>IF(AND(Noty!H1166=0,Noty!I1166=0),"ukryj","odkryj")</f>
        <v>ukryj</v>
      </c>
      <c r="K1166" s="200"/>
      <c r="L1166" s="200"/>
      <c r="N1166" s="475"/>
      <c r="AE1166" s="257" t="s">
        <v>10359</v>
      </c>
      <c r="AF1166" s="257" t="s">
        <v>10360</v>
      </c>
    </row>
    <row r="1167" spans="1:32" s="447" customFormat="1" x14ac:dyDescent="0.25">
      <c r="A1167" s="508"/>
      <c r="B1167" s="520"/>
      <c r="C1167" s="200"/>
      <c r="D1167" s="200"/>
      <c r="E1167" s="196"/>
      <c r="F1167" s="196"/>
      <c r="G1167" s="580"/>
      <c r="H1167" s="803">
        <f>SUM(H1165:H1166)</f>
        <v>0</v>
      </c>
      <c r="I1167" s="803">
        <f>SUM(I1165:I1166)</f>
        <v>0</v>
      </c>
      <c r="J1167" s="499" t="str">
        <f>IF(AND(Noty!H1167=0,Noty!I1167=0),"ukryj","odkryj")</f>
        <v>ukryj</v>
      </c>
      <c r="K1167" s="200"/>
      <c r="L1167" s="200"/>
      <c r="N1167" s="475"/>
    </row>
    <row r="1168" spans="1:32" s="447" customFormat="1" x14ac:dyDescent="0.25">
      <c r="A1168" s="508"/>
      <c r="B1168" s="520"/>
      <c r="C1168" s="200"/>
      <c r="D1168" s="200"/>
      <c r="E1168" s="196"/>
      <c r="F1168" s="196"/>
      <c r="H1168" s="377"/>
      <c r="I1168" s="377"/>
      <c r="J1168" s="499" t="str">
        <f>Noty!J1167</f>
        <v>ukryj</v>
      </c>
      <c r="K1168" s="200"/>
      <c r="L1168" s="200"/>
      <c r="N1168" s="475"/>
    </row>
    <row r="1169" spans="1:32" s="447" customFormat="1" ht="27.85" customHeight="1" x14ac:dyDescent="0.25">
      <c r="A1169" s="508"/>
      <c r="B1169" s="520"/>
      <c r="C1169" s="200"/>
      <c r="D1169" s="200"/>
      <c r="E1169" s="196"/>
      <c r="F1169" s="196"/>
      <c r="G1169" s="580"/>
      <c r="H1169" s="999" t="str">
        <f>CONCATENATE(Input!$P$6," -",Input!$P$7)</f>
        <v>01.01.2020 -31.12.2020</v>
      </c>
      <c r="I1169" s="999" t="str">
        <f>CONCATENATE(Input!$P$10," -",Input!$P$11)</f>
        <v>01.01.2019 -31.12.2019</v>
      </c>
      <c r="J1169" s="499" t="str">
        <f>Noty!J1168</f>
        <v>ukryj</v>
      </c>
      <c r="K1169" s="200"/>
      <c r="L1169" s="200"/>
      <c r="N1169" s="475"/>
    </row>
    <row r="1170" spans="1:32" s="447" customFormat="1" x14ac:dyDescent="0.25">
      <c r="A1170" s="508"/>
      <c r="B1170" s="520"/>
      <c r="H1170" s="196"/>
      <c r="I1170" s="196"/>
      <c r="J1170" s="499" t="str">
        <f>Noty!J1169</f>
        <v>ukryj</v>
      </c>
      <c r="K1170" s="200"/>
      <c r="L1170" s="476"/>
      <c r="N1170" s="475"/>
    </row>
    <row r="1171" spans="1:32" s="447" customFormat="1" ht="27" customHeight="1" x14ac:dyDescent="0.25">
      <c r="A1171" s="508"/>
      <c r="B1171" s="520"/>
      <c r="C1171" s="1385" t="s">
        <v>10361</v>
      </c>
      <c r="D1171" s="1385"/>
      <c r="E1171" s="1385"/>
      <c r="F1171" s="1385"/>
      <c r="G1171" s="580"/>
      <c r="H1171" s="802"/>
      <c r="I1171" s="802"/>
      <c r="J1171" s="499" t="str">
        <f>IF(AND(Noty!H1171=0,Noty!I1171=0),"ukryj","odkryj")</f>
        <v>ukryj</v>
      </c>
      <c r="K1171" s="200"/>
      <c r="L1171" s="971"/>
      <c r="N1171" s="475"/>
      <c r="AE1171" s="257" t="s">
        <v>10362</v>
      </c>
      <c r="AF1171" s="257" t="s">
        <v>10363</v>
      </c>
    </row>
    <row r="1172" spans="1:32" s="447" customFormat="1" x14ac:dyDescent="0.25">
      <c r="A1172" s="508"/>
      <c r="B1172" s="520"/>
      <c r="C1172" s="1478" t="str">
        <f>"Podatek dochodowy  ("&amp;IF(Input!C55=Input!C56,TEXT(Input!C55,"##%"&amp;")"),TEXT(Input!C55,"##%")&amp;", "&amp;TEXT(Input!C56,"##%"&amp;")"))</f>
        <v>Podatek dochodowy  (19%)</v>
      </c>
      <c r="D1172" s="1478"/>
      <c r="E1172" s="1478"/>
      <c r="F1172" s="1478"/>
      <c r="G1172" s="580"/>
      <c r="H1172" s="800">
        <f>NotaPodatkowa!E22</f>
        <v>0</v>
      </c>
      <c r="I1172" s="800">
        <f>NotaPodatkowa!L22</f>
        <v>0</v>
      </c>
      <c r="J1172" s="499" t="str">
        <f>IF(AND(Noty!H1172=0,Noty!I1172=0),"ukryj","odkryj")</f>
        <v>ukryj</v>
      </c>
      <c r="K1172" s="200"/>
      <c r="L1172" s="200"/>
      <c r="N1172" s="475"/>
      <c r="AE1172" s="257" t="s">
        <v>10364</v>
      </c>
      <c r="AF1172" s="257" t="s">
        <v>10365</v>
      </c>
    </row>
    <row r="1173" spans="1:32" s="447" customFormat="1" x14ac:dyDescent="0.25">
      <c r="A1173" s="508"/>
      <c r="B1173" s="520"/>
      <c r="C1173" s="200" t="s">
        <v>10355</v>
      </c>
      <c r="D1173" s="200"/>
      <c r="E1173" s="200"/>
      <c r="F1173" s="200"/>
      <c r="G1173" s="580"/>
      <c r="H1173" s="803">
        <f>IF(H1171&gt;H1172,H1171,H1172)</f>
        <v>0</v>
      </c>
      <c r="I1173" s="803">
        <f>IF(I1171&gt;I1172,I1171,I1172)</f>
        <v>0</v>
      </c>
      <c r="J1173" s="499" t="str">
        <f>IF(AND(Noty!H1173=0,Noty!I1173=0),"ukryj","odkryj")</f>
        <v>ukryj</v>
      </c>
      <c r="K1173" s="200"/>
      <c r="L1173" s="200"/>
      <c r="N1173" s="475"/>
    </row>
    <row r="1174" spans="1:32" s="447" customFormat="1" ht="13.75" thickBot="1" x14ac:dyDescent="0.3">
      <c r="A1174" s="508"/>
      <c r="B1174" s="520"/>
      <c r="C1174" s="200"/>
      <c r="D1174" s="200"/>
      <c r="E1174" s="196"/>
      <c r="F1174" s="196"/>
      <c r="H1174" s="377"/>
      <c r="I1174" s="377"/>
      <c r="J1174" s="499" t="str">
        <f>Noty!J1173</f>
        <v>ukryj</v>
      </c>
      <c r="K1174" s="200"/>
      <c r="L1174" s="496"/>
      <c r="N1174" s="475"/>
    </row>
    <row r="1175" spans="1:32" s="447" customFormat="1" ht="15.75" thickBot="1" x14ac:dyDescent="0.35">
      <c r="A1175" s="1128">
        <f>IF(K1175="n/a",A1162,A1162+1)</f>
        <v>2</v>
      </c>
      <c r="B1175" s="1129"/>
      <c r="C1175" s="1200" t="s">
        <v>10366</v>
      </c>
      <c r="D1175" s="200"/>
      <c r="E1175" s="196"/>
      <c r="F1175" s="196"/>
      <c r="H1175" s="377"/>
      <c r="I1175" s="377"/>
      <c r="J1175" s="499" t="str">
        <f>IF(Noty!K1175="n/a","ukryj","odkryj")</f>
        <v>ukryj</v>
      </c>
      <c r="K1175" s="1222" t="str">
        <f>IF(Input!D164="nie","n/a","")</f>
        <v>n/a</v>
      </c>
      <c r="L1175" s="1207" t="str">
        <f>A1175&amp;"."&amp;B1175</f>
        <v>2.</v>
      </c>
      <c r="N1175" s="1138" t="s">
        <v>9378</v>
      </c>
      <c r="O1175" s="447" t="str">
        <f>A1175&amp;"."&amp;B1175</f>
        <v>2.</v>
      </c>
    </row>
    <row r="1176" spans="1:32" s="447" customFormat="1" x14ac:dyDescent="0.25">
      <c r="A1176" s="508"/>
      <c r="B1176" s="520"/>
      <c r="C1176" s="200"/>
      <c r="D1176" s="200"/>
      <c r="E1176" s="196"/>
      <c r="F1176" s="196"/>
      <c r="H1176" s="377"/>
      <c r="I1176" s="377"/>
      <c r="J1176" s="499" t="str">
        <f>Noty!J1175</f>
        <v>ukryj</v>
      </c>
      <c r="K1176" s="200"/>
      <c r="L1176" s="496"/>
      <c r="N1176" s="475"/>
    </row>
    <row r="1177" spans="1:32" s="447" customFormat="1" x14ac:dyDescent="0.25">
      <c r="A1177" s="508"/>
      <c r="B1177" s="520"/>
      <c r="C1177" s="1455" t="s">
        <v>10367</v>
      </c>
      <c r="D1177" s="1455"/>
      <c r="E1177" s="1455"/>
      <c r="F1177" s="1455"/>
      <c r="G1177" s="1455"/>
      <c r="H1177" s="1455"/>
      <c r="I1177" s="1455"/>
      <c r="J1177" s="499" t="s">
        <v>5125</v>
      </c>
      <c r="K1177" s="200"/>
      <c r="L1177" s="496"/>
      <c r="N1177" s="475"/>
    </row>
    <row r="1178" spans="1:32" s="447" customFormat="1" ht="25.55" x14ac:dyDescent="0.25">
      <c r="A1178" s="508"/>
      <c r="B1178" s="520"/>
      <c r="C1178" s="200"/>
      <c r="D1178" s="200"/>
      <c r="E1178" s="196"/>
      <c r="F1178" s="196"/>
      <c r="H1178" s="1205" t="str">
        <f>CONCATENATE(Input!$P$6," -",Input!$P$7)</f>
        <v>01.01.2020 -31.12.2020</v>
      </c>
      <c r="I1178" s="1205" t="str">
        <f>CONCATENATE(Input!$P$10," -",Input!$P$11)</f>
        <v>01.01.2019 -31.12.2019</v>
      </c>
      <c r="J1178" s="499" t="str">
        <f>Noty!J1177</f>
        <v>ukryj</v>
      </c>
      <c r="K1178" s="200"/>
      <c r="L1178" s="496"/>
      <c r="N1178" s="475"/>
    </row>
    <row r="1179" spans="1:32" s="447" customFormat="1" x14ac:dyDescent="0.25">
      <c r="A1179" s="508"/>
      <c r="B1179" s="520"/>
      <c r="C1179" s="1293" t="s">
        <v>10368</v>
      </c>
      <c r="D1179" s="1293"/>
      <c r="E1179" s="1293"/>
      <c r="F1179" s="1293"/>
      <c r="G1179" s="1293"/>
      <c r="H1179" s="1206"/>
      <c r="I1179" s="1206"/>
      <c r="J1179" s="499" t="str">
        <f>IF(AND(Noty!H1177=0,Noty!I1177=0),"ukryj","odkryj")</f>
        <v>ukryj</v>
      </c>
      <c r="K1179" s="200"/>
      <c r="L1179" s="496"/>
      <c r="N1179" s="475"/>
    </row>
    <row r="1180" spans="1:32" s="447" customFormat="1" x14ac:dyDescent="0.25">
      <c r="A1180" s="508"/>
      <c r="B1180" s="520"/>
      <c r="C1180" s="200"/>
      <c r="D1180" s="200"/>
      <c r="E1180" s="196"/>
      <c r="F1180" s="196"/>
      <c r="H1180" s="377"/>
      <c r="I1180" s="377"/>
      <c r="J1180" s="499" t="str">
        <f>Noty!J1179</f>
        <v>ukryj</v>
      </c>
      <c r="K1180" s="200"/>
      <c r="L1180" s="496"/>
      <c r="N1180" s="475"/>
    </row>
    <row r="1181" spans="1:32" s="447" customFormat="1" x14ac:dyDescent="0.25">
      <c r="A1181" s="508"/>
      <c r="B1181" s="520"/>
      <c r="C1181" s="1456" t="str">
        <f>"Nie wystąpiły dochody z tytułu ukrytych zysków w roku "&amp;YEAR(Input!$R$7)&amp;IF(RokObr=1," ani w roku poprzednim.",".")</f>
        <v>Nie wystąpiły dochody z tytułu ukrytych zysków w roku 2020.</v>
      </c>
      <c r="D1181" s="1456"/>
      <c r="E1181" s="1456"/>
      <c r="F1181" s="1456"/>
      <c r="G1181" s="1456"/>
      <c r="H1181" s="1456"/>
      <c r="I1181" s="1456"/>
      <c r="J1181" s="499" t="str">
        <f>Noty!J1180</f>
        <v>ukryj</v>
      </c>
      <c r="K1181" s="200"/>
      <c r="L1181" s="496"/>
      <c r="N1181" s="475"/>
    </row>
    <row r="1182" spans="1:32" s="447" customFormat="1" ht="13.75" thickBot="1" x14ac:dyDescent="0.3">
      <c r="A1182" s="508"/>
      <c r="B1182" s="520"/>
      <c r="C1182" s="200"/>
      <c r="D1182" s="200"/>
      <c r="E1182" s="196"/>
      <c r="F1182" s="196"/>
      <c r="H1182" s="377"/>
      <c r="I1182" s="377"/>
      <c r="J1182" s="499" t="str">
        <f>Noty!J1181</f>
        <v>ukryj</v>
      </c>
      <c r="K1182" s="200"/>
      <c r="L1182" s="496"/>
      <c r="N1182" s="475"/>
    </row>
    <row r="1183" spans="1:32" s="447" customFormat="1" ht="15.75" thickBot="1" x14ac:dyDescent="0.35">
      <c r="A1183" s="1180">
        <f>IF(K1183="n/a",A1175,A1175+1)</f>
        <v>2</v>
      </c>
      <c r="B1183" s="1182"/>
      <c r="C1183" s="1388" t="s">
        <v>10369</v>
      </c>
      <c r="D1183" s="1388"/>
      <c r="E1183" s="1388"/>
      <c r="F1183" s="1388"/>
      <c r="G1183" s="1388"/>
      <c r="H1183" s="1388"/>
      <c r="I1183" s="1388"/>
      <c r="J1183" s="499" t="str">
        <f>IF(Noty!K1183="n/a","ukryj","odkryj")</f>
        <v>ukryj</v>
      </c>
      <c r="K1183" s="1213" t="str">
        <f>IF(Input!D165="nie","n/a","")</f>
        <v>n/a</v>
      </c>
      <c r="L1183" s="492" t="str">
        <f>A1183&amp;"."&amp;B1183</f>
        <v>2.</v>
      </c>
      <c r="N1183" s="1101" t="s">
        <v>9378</v>
      </c>
      <c r="O1183" s="489" t="str">
        <f>A1183&amp;"."&amp;B1183</f>
        <v>2.</v>
      </c>
    </row>
    <row r="1184" spans="1:32" s="447" customFormat="1" x14ac:dyDescent="0.25">
      <c r="A1184" s="508"/>
      <c r="B1184" s="520"/>
      <c r="C1184" s="204"/>
      <c r="D1184" s="204"/>
      <c r="E1184" s="196"/>
      <c r="F1184" s="196"/>
      <c r="G1184" s="580"/>
      <c r="H1184" s="1019" t="str">
        <f>+Input!$P$7</f>
        <v>31.12.2020</v>
      </c>
      <c r="I1184" s="1019" t="str">
        <f>+Input!$P$11</f>
        <v>31.12.2019</v>
      </c>
      <c r="J1184" s="499" t="str">
        <f>Noty!J1183</f>
        <v>ukryj</v>
      </c>
      <c r="K1184" s="200"/>
      <c r="L1184" s="200"/>
      <c r="N1184" s="475"/>
    </row>
    <row r="1185" spans="1:32" s="447" customFormat="1" x14ac:dyDescent="0.25">
      <c r="A1185" s="508"/>
      <c r="B1185" s="520"/>
      <c r="C1185" s="841"/>
      <c r="D1185" s="841"/>
      <c r="E1185" s="841"/>
      <c r="F1185" s="822"/>
      <c r="H1185" s="192"/>
      <c r="I1185" s="192"/>
      <c r="J1185" s="499" t="str">
        <f>Noty!J1184</f>
        <v>ukryj</v>
      </c>
      <c r="K1185" s="200"/>
      <c r="L1185" s="200"/>
      <c r="N1185" s="475"/>
    </row>
    <row r="1186" spans="1:32" s="447" customFormat="1" x14ac:dyDescent="0.25">
      <c r="A1186" s="508"/>
      <c r="B1186" s="520"/>
      <c r="C1186" s="185" t="s">
        <v>10370</v>
      </c>
      <c r="D1186" s="207"/>
      <c r="E1186" s="207"/>
      <c r="F1186" s="185"/>
      <c r="H1186" s="192"/>
      <c r="I1186" s="192"/>
      <c r="J1186" s="499" t="str">
        <f>Noty!J1193</f>
        <v>ukryj</v>
      </c>
      <c r="K1186" s="200"/>
      <c r="L1186" s="200"/>
      <c r="N1186" s="475"/>
      <c r="AE1186" s="257"/>
      <c r="AF1186" s="257"/>
    </row>
    <row r="1187" spans="1:32" s="447" customFormat="1" ht="13.6" customHeight="1" x14ac:dyDescent="0.25">
      <c r="A1187" s="508"/>
      <c r="B1187" s="520"/>
      <c r="C1187" s="203" t="s">
        <v>10371</v>
      </c>
      <c r="E1187" s="202"/>
      <c r="F1187" s="202"/>
      <c r="G1187" s="580"/>
      <c r="H1187" s="639"/>
      <c r="I1187" s="639"/>
      <c r="J1187" s="499" t="str">
        <f>IF(AND(Noty!H1187=0,Noty!I1187=0),"ukryj","odkryj")</f>
        <v>ukryj</v>
      </c>
      <c r="K1187" s="200"/>
      <c r="L1187" s="200"/>
      <c r="N1187" s="475"/>
      <c r="AE1187" s="257" t="s">
        <v>10372</v>
      </c>
      <c r="AF1187" s="257" t="s">
        <v>10373</v>
      </c>
    </row>
    <row r="1188" spans="1:32" s="447" customFormat="1" ht="13.6" customHeight="1" x14ac:dyDescent="0.25">
      <c r="A1188" s="508"/>
      <c r="B1188" s="520"/>
      <c r="C1188" s="203" t="s">
        <v>10374</v>
      </c>
      <c r="E1188" s="202"/>
      <c r="F1188" s="202"/>
      <c r="G1188" s="580"/>
      <c r="H1188" s="639"/>
      <c r="I1188" s="639"/>
      <c r="J1188" s="499" t="str">
        <f>IF(AND(Noty!H1188=0,Noty!I1188=0),"ukryj","odkryj")</f>
        <v>ukryj</v>
      </c>
      <c r="K1188" s="200"/>
      <c r="L1188" s="200"/>
      <c r="N1188" s="475"/>
      <c r="AE1188" s="257" t="s">
        <v>10375</v>
      </c>
      <c r="AF1188" s="257" t="s">
        <v>10376</v>
      </c>
    </row>
    <row r="1189" spans="1:32" s="447" customFormat="1" x14ac:dyDescent="0.25">
      <c r="A1189" s="508"/>
      <c r="B1189" s="520"/>
      <c r="C1189" s="203" t="s">
        <v>10377</v>
      </c>
      <c r="E1189" s="202"/>
      <c r="F1189" s="202"/>
      <c r="G1189" s="580"/>
      <c r="H1189" s="639"/>
      <c r="I1189" s="639"/>
      <c r="J1189" s="499" t="str">
        <f>IF(AND(Noty!H1189=0,Noty!I1189=0),"ukryj","odkryj")</f>
        <v>ukryj</v>
      </c>
      <c r="K1189" s="200"/>
      <c r="L1189" s="200"/>
      <c r="N1189" s="475"/>
      <c r="AE1189" s="257" t="s">
        <v>10378</v>
      </c>
      <c r="AF1189" s="257" t="s">
        <v>10379</v>
      </c>
    </row>
    <row r="1190" spans="1:32" s="447" customFormat="1" ht="13.6" customHeight="1" x14ac:dyDescent="0.25">
      <c r="A1190" s="508"/>
      <c r="B1190" s="520"/>
      <c r="C1190" s="203" t="s">
        <v>10380</v>
      </c>
      <c r="E1190" s="202"/>
      <c r="F1190" s="202"/>
      <c r="G1190" s="580"/>
      <c r="H1190" s="639"/>
      <c r="I1190" s="639"/>
      <c r="J1190" s="499" t="str">
        <f>IF(AND(Noty!H1190=0,Noty!I1190=0),"ukryj","odkryj")</f>
        <v>ukryj</v>
      </c>
      <c r="K1190" s="200"/>
      <c r="L1190" s="200"/>
      <c r="N1190" s="475"/>
      <c r="AE1190" s="257" t="s">
        <v>10381</v>
      </c>
      <c r="AF1190" s="257" t="s">
        <v>10382</v>
      </c>
    </row>
    <row r="1191" spans="1:32" s="447" customFormat="1" ht="13.6" customHeight="1" x14ac:dyDescent="0.25">
      <c r="A1191" s="508"/>
      <c r="B1191" s="520"/>
      <c r="C1191" s="203" t="s">
        <v>10383</v>
      </c>
      <c r="E1191" s="202"/>
      <c r="F1191" s="202"/>
      <c r="G1191" s="580"/>
      <c r="H1191" s="639"/>
      <c r="I1191" s="639"/>
      <c r="J1191" s="499" t="str">
        <f>IF(AND(Noty!H1191=0,Noty!I1191=0),"ukryj","odkryj")</f>
        <v>ukryj</v>
      </c>
      <c r="K1191" s="200"/>
      <c r="L1191" s="200"/>
      <c r="N1191" s="475"/>
      <c r="AE1191" s="257" t="s">
        <v>10384</v>
      </c>
      <c r="AF1191" s="257" t="s">
        <v>10385</v>
      </c>
    </row>
    <row r="1192" spans="1:32" s="447" customFormat="1" x14ac:dyDescent="0.25">
      <c r="A1192" s="508"/>
      <c r="B1192" s="520"/>
      <c r="C1192" s="203" t="s">
        <v>9452</v>
      </c>
      <c r="E1192" s="202"/>
      <c r="F1192" s="202"/>
      <c r="G1192" s="580"/>
      <c r="H1192" s="639"/>
      <c r="I1192" s="639"/>
      <c r="J1192" s="499" t="str">
        <f>IF(AND(Noty!H1192=0,Noty!I1192=0),"ukryj","odkryj")</f>
        <v>ukryj</v>
      </c>
      <c r="K1192" s="200"/>
      <c r="L1192" s="200"/>
      <c r="N1192" s="475"/>
      <c r="AE1192" s="257" t="s">
        <v>10386</v>
      </c>
      <c r="AF1192" s="257" t="s">
        <v>10387</v>
      </c>
    </row>
    <row r="1193" spans="1:32" s="447" customFormat="1" x14ac:dyDescent="0.25">
      <c r="A1193" s="508"/>
      <c r="B1193" s="520"/>
      <c r="C1193" s="477"/>
      <c r="D1193" s="841"/>
      <c r="E1193" s="202"/>
      <c r="F1193" s="202"/>
      <c r="G1193" s="580"/>
      <c r="H1193" s="734">
        <f>SUM(H1187:H1192)</f>
        <v>0</v>
      </c>
      <c r="I1193" s="734">
        <f>SUM(I1187:I1192)</f>
        <v>0</v>
      </c>
      <c r="J1193" s="499" t="str">
        <f>IF(AND(Noty!H1193=0,Noty!I1193=0),"ukryj","odkryj")</f>
        <v>ukryj</v>
      </c>
      <c r="K1193" s="200"/>
      <c r="L1193" s="200"/>
      <c r="N1193" s="475"/>
    </row>
    <row r="1194" spans="1:32" s="447" customFormat="1" x14ac:dyDescent="0.25">
      <c r="A1194" s="508"/>
      <c r="B1194" s="520"/>
      <c r="C1194" s="477"/>
      <c r="D1194" s="841"/>
      <c r="E1194" s="202"/>
      <c r="F1194" s="202"/>
      <c r="H1194" s="191"/>
      <c r="I1194" s="191"/>
      <c r="J1194" s="499" t="str">
        <f>Noty!J1193</f>
        <v>ukryj</v>
      </c>
      <c r="K1194" s="200"/>
      <c r="L1194" s="200"/>
      <c r="N1194" s="475"/>
    </row>
    <row r="1195" spans="1:32" s="447" customFormat="1" ht="13.6" customHeight="1" x14ac:dyDescent="0.25">
      <c r="A1195" s="508"/>
      <c r="B1195" s="520"/>
      <c r="C1195" s="558" t="s">
        <v>10388</v>
      </c>
      <c r="D1195" s="558"/>
      <c r="E1195" s="558"/>
      <c r="F1195" s="558"/>
      <c r="H1195" s="191"/>
      <c r="I1195" s="191"/>
      <c r="J1195" s="499" t="str">
        <f>Noty!J1198</f>
        <v>ukryj</v>
      </c>
      <c r="K1195" s="200"/>
      <c r="L1195" s="200"/>
      <c r="N1195" s="475"/>
      <c r="AE1195" s="257"/>
      <c r="AF1195" s="257"/>
    </row>
    <row r="1196" spans="1:32" s="447" customFormat="1" x14ac:dyDescent="0.25">
      <c r="A1196" s="508"/>
      <c r="B1196" s="520"/>
      <c r="C1196" s="1476"/>
      <c r="D1196" s="1476"/>
      <c r="E1196" s="1476"/>
      <c r="F1196" s="1476"/>
      <c r="G1196" s="993"/>
      <c r="H1196" s="639"/>
      <c r="I1196" s="639"/>
      <c r="J1196" s="499" t="str">
        <f>IF(AND(Noty!H1196=0,Noty!I1196=0),"ukryj","odkryj")</f>
        <v>ukryj</v>
      </c>
      <c r="K1196" s="200"/>
      <c r="L1196" s="200"/>
      <c r="N1196" s="475"/>
      <c r="AE1196" s="257" t="s">
        <v>10389</v>
      </c>
      <c r="AF1196" s="257" t="s">
        <v>10390</v>
      </c>
    </row>
    <row r="1197" spans="1:32" s="447" customFormat="1" x14ac:dyDescent="0.25">
      <c r="A1197" s="508"/>
      <c r="B1197" s="520"/>
      <c r="C1197" s="1476"/>
      <c r="D1197" s="1476"/>
      <c r="E1197" s="1476"/>
      <c r="F1197" s="1476"/>
      <c r="G1197" s="993"/>
      <c r="H1197" s="639"/>
      <c r="I1197" s="639"/>
      <c r="J1197" s="499" t="str">
        <f>IF(AND(Noty!H1197=0,Noty!I1197=0),"ukryj","odkryj")</f>
        <v>ukryj</v>
      </c>
      <c r="K1197" s="200"/>
      <c r="L1197" s="200"/>
      <c r="N1197" s="475"/>
      <c r="AE1197" s="257" t="s">
        <v>10391</v>
      </c>
      <c r="AF1197" s="257" t="s">
        <v>10392</v>
      </c>
    </row>
    <row r="1198" spans="1:32" s="447" customFormat="1" x14ac:dyDescent="0.25">
      <c r="A1198" s="508"/>
      <c r="B1198" s="520"/>
      <c r="C1198" s="477"/>
      <c r="D1198" s="841"/>
      <c r="E1198" s="202"/>
      <c r="F1198" s="202"/>
      <c r="G1198" s="580"/>
      <c r="H1198" s="734">
        <f>SUM(H1196:H1197)</f>
        <v>0</v>
      </c>
      <c r="I1198" s="734">
        <f>SUM(I1196:I1197)</f>
        <v>0</v>
      </c>
      <c r="J1198" s="499" t="str">
        <f>IF(AND(Noty!H1198=0,Noty!I1198=0),"ukryj","odkryj")</f>
        <v>ukryj</v>
      </c>
      <c r="K1198" s="200"/>
      <c r="L1198" s="200"/>
      <c r="N1198" s="475"/>
    </row>
    <row r="1199" spans="1:32" s="447" customFormat="1" x14ac:dyDescent="0.25">
      <c r="A1199" s="508"/>
      <c r="B1199" s="520"/>
      <c r="C1199" s="477"/>
      <c r="D1199" s="841"/>
      <c r="E1199" s="202"/>
      <c r="F1199" s="202"/>
      <c r="H1199" s="191"/>
      <c r="I1199" s="191"/>
      <c r="J1199" s="499" t="str">
        <f>Noty!J1198</f>
        <v>ukryj</v>
      </c>
      <c r="K1199" s="200"/>
      <c r="L1199" s="200"/>
      <c r="N1199" s="475"/>
    </row>
    <row r="1200" spans="1:32" s="447" customFormat="1" x14ac:dyDescent="0.25">
      <c r="A1200" s="508"/>
      <c r="B1200" s="520"/>
      <c r="C1200" s="1421" t="s">
        <v>10393</v>
      </c>
      <c r="D1200" s="1421"/>
      <c r="E1200" s="1421"/>
      <c r="F1200" s="1421"/>
      <c r="G1200" s="580"/>
      <c r="H1200" s="803">
        <f>H1193+H1198</f>
        <v>0</v>
      </c>
      <c r="I1200" s="803">
        <f>I1193+I1198</f>
        <v>0</v>
      </c>
      <c r="J1200" s="499" t="str">
        <f>IF(AND(Noty!H1200=0,Noty!I1200=0),"ukryj","odkryj")</f>
        <v>ukryj</v>
      </c>
      <c r="K1200" s="200"/>
      <c r="L1200" s="200"/>
      <c r="N1200" s="475"/>
    </row>
    <row r="1201" spans="1:32" s="200" customFormat="1" x14ac:dyDescent="0.25">
      <c r="A1201" s="508"/>
      <c r="B1201" s="520"/>
      <c r="C1201" s="841"/>
      <c r="D1201" s="841"/>
      <c r="E1201" s="209"/>
      <c r="F1201" s="202"/>
      <c r="G1201" s="196"/>
      <c r="H1201" s="192"/>
      <c r="I1201" s="191"/>
      <c r="J1201" s="499" t="str">
        <f>Noty!J1200</f>
        <v>ukryj</v>
      </c>
      <c r="N1201" s="387"/>
    </row>
    <row r="1202" spans="1:32" s="200" customFormat="1" x14ac:dyDescent="0.25">
      <c r="A1202" s="508"/>
      <c r="B1202" s="520"/>
      <c r="C1202" s="199" t="s">
        <v>10394</v>
      </c>
      <c r="D1202" s="735"/>
      <c r="E1202" s="735"/>
      <c r="F1202" s="612"/>
      <c r="G1202" s="478"/>
      <c r="H1202" s="479"/>
      <c r="I1202" s="480"/>
      <c r="J1202" s="499" t="str">
        <f>Noty!J1227</f>
        <v>ukryj</v>
      </c>
      <c r="N1202" s="387"/>
    </row>
    <row r="1203" spans="1:32" s="200" customFormat="1" x14ac:dyDescent="0.25">
      <c r="A1203" s="508"/>
      <c r="B1203" s="520"/>
      <c r="C1203" s="227"/>
      <c r="D1203" s="736"/>
      <c r="E1203" s="736"/>
      <c r="F1203" s="612"/>
      <c r="G1203" s="478"/>
      <c r="H1203" s="479"/>
      <c r="I1203" s="480"/>
      <c r="J1203" s="499" t="str">
        <f>Noty!J1202</f>
        <v>ukryj</v>
      </c>
      <c r="N1203" s="387"/>
    </row>
    <row r="1204" spans="1:32" s="200" customFormat="1" ht="13.6" customHeight="1" x14ac:dyDescent="0.25">
      <c r="A1204" s="508"/>
      <c r="B1204" s="520"/>
      <c r="C1204" s="978" t="str">
        <f>"Strata podatkowa "&amp;(YEAR(DataDo)-5)&amp;" (ogółem)"</f>
        <v>Strata podatkowa 2015 (ogółem)</v>
      </c>
      <c r="D1204" s="737"/>
      <c r="E1204" s="737"/>
      <c r="G1204" s="1020"/>
      <c r="H1204" s="800">
        <f>I1204</f>
        <v>0</v>
      </c>
      <c r="I1204" s="738"/>
      <c r="J1204" s="499" t="str">
        <f>IF(AND(Noty!H1204=0,Noty!I1204=0),"ukryj","odkryj")</f>
        <v>ukryj</v>
      </c>
      <c r="N1204" s="387"/>
      <c r="AE1204" s="257"/>
      <c r="AF1204" s="257" t="s">
        <v>10395</v>
      </c>
    </row>
    <row r="1205" spans="1:32" s="200" customFormat="1" ht="13.6" customHeight="1" x14ac:dyDescent="0.25">
      <c r="A1205" s="508"/>
      <c r="B1205" s="520"/>
      <c r="C1205" s="198" t="s">
        <v>10396</v>
      </c>
      <c r="D1205" s="737"/>
      <c r="E1205" s="737"/>
      <c r="G1205" s="1020"/>
      <c r="H1205" s="738"/>
      <c r="I1205" s="738"/>
      <c r="J1205" s="499" t="str">
        <f>IF(AND(Noty!H1205=0,Noty!I1205=0),"ukryj","odkryj")</f>
        <v>ukryj</v>
      </c>
      <c r="N1205" s="387"/>
      <c r="AF1205" s="257" t="s">
        <v>10397</v>
      </c>
    </row>
    <row r="1206" spans="1:32" s="200" customFormat="1" ht="13.6" customHeight="1" x14ac:dyDescent="0.25">
      <c r="A1206" s="508"/>
      <c r="B1206" s="520"/>
      <c r="C1206" s="198" t="s">
        <v>10398</v>
      </c>
      <c r="D1206" s="737"/>
      <c r="E1206" s="737"/>
      <c r="G1206" s="1020"/>
      <c r="H1206" s="739"/>
      <c r="I1206" s="739"/>
      <c r="J1206" s="499" t="str">
        <f>IF(AND(Noty!H1206=0,Noty!I1206=0),"ukryj","odkryj")</f>
        <v>ukryj</v>
      </c>
      <c r="N1206" s="387"/>
    </row>
    <row r="1207" spans="1:32" s="200" customFormat="1" ht="13.6" customHeight="1" x14ac:dyDescent="0.25">
      <c r="A1207" s="508"/>
      <c r="B1207" s="520"/>
      <c r="C1207" s="978" t="str">
        <f>"Strata podatkowa "&amp;(YEAR(DataDo)-5)&amp;" do rozliczenia"</f>
        <v>Strata podatkowa 2015 do rozliczenia</v>
      </c>
      <c r="D1207" s="737"/>
      <c r="E1207" s="737"/>
      <c r="G1207" s="1020"/>
      <c r="H1207" s="734">
        <f>SUM(H1204:H1205)</f>
        <v>0</v>
      </c>
      <c r="I1207" s="734">
        <f>SUM(I1204:I1205)</f>
        <v>0</v>
      </c>
      <c r="J1207" s="499" t="str">
        <f>IF(AND(Noty!H1207=0,Noty!I1207=0),"ukryj","odkryj")</f>
        <v>ukryj</v>
      </c>
      <c r="N1207" s="387"/>
    </row>
    <row r="1208" spans="1:32" s="200" customFormat="1" x14ac:dyDescent="0.25">
      <c r="A1208" s="508"/>
      <c r="B1208" s="520"/>
      <c r="C1208" s="198"/>
      <c r="D1208" s="737"/>
      <c r="E1208" s="737"/>
      <c r="G1208" s="478"/>
      <c r="H1208" s="560"/>
      <c r="I1208" s="560"/>
      <c r="J1208" s="499" t="str">
        <f>Noty!J1207</f>
        <v>ukryj</v>
      </c>
      <c r="N1208" s="387"/>
    </row>
    <row r="1209" spans="1:32" s="200" customFormat="1" x14ac:dyDescent="0.25">
      <c r="A1209" s="508"/>
      <c r="B1209" s="520"/>
      <c r="C1209" s="978" t="str">
        <f>"Strata podatkowa "&amp;(YEAR(DataDo)-4)&amp;" r."</f>
        <v>Strata podatkowa 2016 r.</v>
      </c>
      <c r="D1209" s="737"/>
      <c r="E1209" s="737"/>
      <c r="G1209" s="1020"/>
      <c r="H1209" s="800">
        <f>I1209</f>
        <v>0</v>
      </c>
      <c r="I1209" s="738"/>
      <c r="J1209" s="499" t="str">
        <f>IF(AND(Noty!H1209=0,Noty!I1209=0),"ukryj","odkryj")</f>
        <v>ukryj</v>
      </c>
      <c r="N1209" s="387"/>
      <c r="AE1209" s="257" t="s">
        <v>10399</v>
      </c>
      <c r="AF1209" s="257" t="s">
        <v>10400</v>
      </c>
    </row>
    <row r="1210" spans="1:32" s="200" customFormat="1" x14ac:dyDescent="0.25">
      <c r="A1210" s="508"/>
      <c r="B1210" s="520"/>
      <c r="C1210" s="198" t="s">
        <v>10396</v>
      </c>
      <c r="D1210" s="737"/>
      <c r="E1210" s="737"/>
      <c r="G1210" s="1020"/>
      <c r="H1210" s="739"/>
      <c r="I1210" s="739"/>
      <c r="J1210" s="499" t="str">
        <f>IF(AND(Noty!H1210=0,Noty!I1210=0),"ukryj","odkryj")</f>
        <v>ukryj</v>
      </c>
      <c r="N1210" s="387"/>
      <c r="AE1210" s="257" t="s">
        <v>10401</v>
      </c>
      <c r="AF1210" s="257" t="s">
        <v>10402</v>
      </c>
    </row>
    <row r="1211" spans="1:32" s="200" customFormat="1" x14ac:dyDescent="0.25">
      <c r="A1211" s="508"/>
      <c r="B1211" s="520"/>
      <c r="C1211" s="978" t="str">
        <f>"Strata podatkowa "&amp;(YEAR(DataDo)-4)&amp;" do rozliczenia"</f>
        <v>Strata podatkowa 2016 do rozliczenia</v>
      </c>
      <c r="D1211" s="737"/>
      <c r="E1211" s="737"/>
      <c r="G1211" s="1020"/>
      <c r="H1211" s="734">
        <f>SUM(H1209:H1210)</f>
        <v>0</v>
      </c>
      <c r="I1211" s="734">
        <f>SUM(I1209:I1210)</f>
        <v>0</v>
      </c>
      <c r="J1211" s="499" t="str">
        <f>IF(AND(Noty!H1211=0,Noty!I1211=0),"ukryj","odkryj")</f>
        <v>ukryj</v>
      </c>
      <c r="N1211" s="387"/>
    </row>
    <row r="1212" spans="1:32" s="200" customFormat="1" x14ac:dyDescent="0.25">
      <c r="A1212" s="508"/>
      <c r="B1212" s="520"/>
      <c r="C1212" s="198"/>
      <c r="D1212" s="737"/>
      <c r="E1212" s="737"/>
      <c r="G1212" s="478"/>
      <c r="H1212" s="560"/>
      <c r="I1212" s="560"/>
      <c r="J1212" s="499" t="str">
        <f>Noty!J1211</f>
        <v>ukryj</v>
      </c>
      <c r="N1212" s="387"/>
    </row>
    <row r="1213" spans="1:32" s="200" customFormat="1" ht="13.6" customHeight="1" x14ac:dyDescent="0.25">
      <c r="A1213" s="508"/>
      <c r="B1213" s="520"/>
      <c r="C1213" s="978" t="str">
        <f>"Strata podatkowa "&amp;(YEAR(DataDo)-3)&amp;" r."</f>
        <v>Strata podatkowa 2017 r.</v>
      </c>
      <c r="D1213" s="740"/>
      <c r="E1213" s="740"/>
      <c r="G1213" s="1020"/>
      <c r="H1213" s="800">
        <f>I1213</f>
        <v>0</v>
      </c>
      <c r="I1213" s="738"/>
      <c r="J1213" s="499" t="str">
        <f>IF(AND(Noty!H1213=0,Noty!I1213=0),"ukryj","odkryj")</f>
        <v>ukryj</v>
      </c>
      <c r="N1213" s="387"/>
      <c r="AE1213" s="257" t="s">
        <v>10403</v>
      </c>
      <c r="AF1213" s="257" t="s">
        <v>10404</v>
      </c>
    </row>
    <row r="1214" spans="1:32" s="200" customFormat="1" ht="13.6" customHeight="1" x14ac:dyDescent="0.25">
      <c r="A1214" s="508"/>
      <c r="B1214" s="520"/>
      <c r="C1214" s="198" t="s">
        <v>10396</v>
      </c>
      <c r="D1214" s="737"/>
      <c r="E1214" s="737"/>
      <c r="G1214" s="1020"/>
      <c r="H1214" s="739"/>
      <c r="I1214" s="739"/>
      <c r="J1214" s="499" t="str">
        <f>IF(AND(Noty!H1214=0,Noty!I1214=0),"ukryj","odkryj")</f>
        <v>ukryj</v>
      </c>
      <c r="N1214" s="387"/>
      <c r="AE1214" s="257" t="s">
        <v>10405</v>
      </c>
      <c r="AF1214" s="257" t="s">
        <v>10406</v>
      </c>
    </row>
    <row r="1215" spans="1:32" s="200" customFormat="1" ht="13.6" customHeight="1" x14ac:dyDescent="0.25">
      <c r="A1215" s="508"/>
      <c r="B1215" s="520"/>
      <c r="C1215" s="978" t="str">
        <f>"Strata podatkowa "&amp;(YEAR(DataDo)-3)&amp;" do rozliczenia"</f>
        <v>Strata podatkowa 2017 do rozliczenia</v>
      </c>
      <c r="D1215" s="737"/>
      <c r="E1215" s="737"/>
      <c r="G1215" s="1020"/>
      <c r="H1215" s="734">
        <f>SUM(H1213:H1214)</f>
        <v>0</v>
      </c>
      <c r="I1215" s="734">
        <f>SUM(I1213:I1214)</f>
        <v>0</v>
      </c>
      <c r="J1215" s="499" t="str">
        <f>IF(AND(Noty!H1215=0,Noty!I1215=0),"ukryj","odkryj")</f>
        <v>ukryj</v>
      </c>
      <c r="N1215" s="387"/>
    </row>
    <row r="1216" spans="1:32" s="200" customFormat="1" x14ac:dyDescent="0.25">
      <c r="A1216" s="508"/>
      <c r="B1216" s="520"/>
      <c r="C1216" s="198"/>
      <c r="D1216" s="737"/>
      <c r="E1216" s="737"/>
      <c r="G1216" s="478"/>
      <c r="H1216" s="560"/>
      <c r="I1216" s="560"/>
      <c r="J1216" s="499" t="str">
        <f>Noty!J1215</f>
        <v>ukryj</v>
      </c>
      <c r="N1216" s="387"/>
    </row>
    <row r="1217" spans="1:32" s="200" customFormat="1" ht="13.6" customHeight="1" x14ac:dyDescent="0.25">
      <c r="A1217" s="508"/>
      <c r="B1217" s="520"/>
      <c r="C1217" s="978" t="str">
        <f>"Strata podatkowa "&amp;(YEAR(DataDo)-2)&amp;" r."</f>
        <v>Strata podatkowa 2018 r.</v>
      </c>
      <c r="D1217" s="740"/>
      <c r="E1217" s="740"/>
      <c r="G1217" s="1020"/>
      <c r="H1217" s="800">
        <f>I1217</f>
        <v>0</v>
      </c>
      <c r="I1217" s="738"/>
      <c r="J1217" s="499" t="str">
        <f>IF(AND(Noty!H1217=0,Noty!I1217=0),"ukryj","odkryj")</f>
        <v>ukryj</v>
      </c>
      <c r="N1217" s="387"/>
      <c r="AE1217" s="257" t="s">
        <v>10407</v>
      </c>
      <c r="AF1217" s="257" t="s">
        <v>10408</v>
      </c>
    </row>
    <row r="1218" spans="1:32" s="200" customFormat="1" ht="13.6" customHeight="1" x14ac:dyDescent="0.25">
      <c r="A1218" s="508"/>
      <c r="B1218" s="520"/>
      <c r="C1218" s="198" t="s">
        <v>10396</v>
      </c>
      <c r="D1218" s="737"/>
      <c r="E1218" s="737"/>
      <c r="G1218" s="1020"/>
      <c r="H1218" s="739"/>
      <c r="I1218" s="739"/>
      <c r="J1218" s="499" t="str">
        <f>IF(AND(Noty!H1218=0,Noty!I1218=0),"ukryj","odkryj")</f>
        <v>ukryj</v>
      </c>
      <c r="N1218" s="387"/>
      <c r="AE1218" s="257" t="s">
        <v>10409</v>
      </c>
      <c r="AF1218" s="257" t="s">
        <v>10410</v>
      </c>
    </row>
    <row r="1219" spans="1:32" s="200" customFormat="1" ht="13.6" customHeight="1" x14ac:dyDescent="0.25">
      <c r="A1219" s="508"/>
      <c r="B1219" s="520"/>
      <c r="C1219" s="978" t="str">
        <f>"Strata podatkowa "&amp;(YEAR(DataDo)-2)&amp;" do rozliczenia"</f>
        <v>Strata podatkowa 2018 do rozliczenia</v>
      </c>
      <c r="D1219" s="737"/>
      <c r="E1219" s="737"/>
      <c r="G1219" s="1020"/>
      <c r="H1219" s="734">
        <f>SUM(H1217:H1218)</f>
        <v>0</v>
      </c>
      <c r="I1219" s="734">
        <f>SUM(I1217:I1218)</f>
        <v>0</v>
      </c>
      <c r="J1219" s="499" t="str">
        <f>IF(AND(Noty!H1219=0,Noty!I1219=0),"ukryj","odkryj")</f>
        <v>ukryj</v>
      </c>
      <c r="N1219" s="387"/>
    </row>
    <row r="1220" spans="1:32" s="200" customFormat="1" x14ac:dyDescent="0.25">
      <c r="A1220" s="508"/>
      <c r="B1220" s="520"/>
      <c r="C1220" s="198"/>
      <c r="D1220" s="737"/>
      <c r="E1220" s="737"/>
      <c r="G1220" s="478"/>
      <c r="H1220" s="560"/>
      <c r="I1220" s="560"/>
      <c r="J1220" s="499" t="str">
        <f>Noty!J1219</f>
        <v>ukryj</v>
      </c>
      <c r="N1220" s="387"/>
    </row>
    <row r="1221" spans="1:32" s="200" customFormat="1" ht="13.6" customHeight="1" x14ac:dyDescent="0.25">
      <c r="A1221" s="508"/>
      <c r="B1221" s="520"/>
      <c r="C1221" s="978" t="str">
        <f>"Strata podatkowa "&amp;(YEAR(DataDo)-1)&amp;" r."</f>
        <v>Strata podatkowa 2019 r.</v>
      </c>
      <c r="D1221" s="740"/>
      <c r="E1221" s="740"/>
      <c r="G1221" s="1020"/>
      <c r="H1221" s="800">
        <f>I1221</f>
        <v>0</v>
      </c>
      <c r="I1221" s="738"/>
      <c r="J1221" s="499" t="str">
        <f>IF(AND(Noty!H1221=0,Noty!I1221=0),"ukryj","odkryj")</f>
        <v>ukryj</v>
      </c>
      <c r="N1221" s="387"/>
      <c r="AE1221" s="257" t="s">
        <v>10411</v>
      </c>
      <c r="AF1221" s="257" t="s">
        <v>10412</v>
      </c>
    </row>
    <row r="1222" spans="1:32" s="200" customFormat="1" ht="13.6" customHeight="1" x14ac:dyDescent="0.25">
      <c r="A1222" s="508"/>
      <c r="B1222" s="520"/>
      <c r="C1222" s="198" t="s">
        <v>10396</v>
      </c>
      <c r="D1222" s="737"/>
      <c r="E1222" s="737"/>
      <c r="G1222" s="1020"/>
      <c r="H1222" s="739"/>
      <c r="I1222" s="739"/>
      <c r="J1222" s="499" t="str">
        <f>IF(AND(Noty!H1222=0,Noty!I1222=0),"ukryj","odkryj")</f>
        <v>ukryj</v>
      </c>
      <c r="N1222" s="387"/>
      <c r="AE1222" s="257" t="s">
        <v>10413</v>
      </c>
      <c r="AF1222" s="257" t="s">
        <v>10414</v>
      </c>
    </row>
    <row r="1223" spans="1:32" s="200" customFormat="1" ht="13.6" customHeight="1" x14ac:dyDescent="0.25">
      <c r="A1223" s="508"/>
      <c r="B1223" s="520"/>
      <c r="C1223" s="978" t="str">
        <f>"Strata podatkowa "&amp;(YEAR(DataDo)-1)&amp;" do rozliczenia"</f>
        <v>Strata podatkowa 2019 do rozliczenia</v>
      </c>
      <c r="D1223" s="737"/>
      <c r="E1223" s="737"/>
      <c r="G1223" s="1020"/>
      <c r="H1223" s="734">
        <f>SUM(H1221:H1222)</f>
        <v>0</v>
      </c>
      <c r="I1223" s="734">
        <f>SUM(I1221:I1222)</f>
        <v>0</v>
      </c>
      <c r="J1223" s="499" t="str">
        <f>IF(AND(Noty!H1223=0,Noty!I1223=0),"ukryj","odkryj")</f>
        <v>ukryj</v>
      </c>
      <c r="N1223" s="387"/>
    </row>
    <row r="1224" spans="1:32" s="200" customFormat="1" x14ac:dyDescent="0.25">
      <c r="A1224" s="508"/>
      <c r="B1224" s="520"/>
      <c r="C1224" s="198"/>
      <c r="D1224" s="737"/>
      <c r="E1224" s="737"/>
      <c r="G1224" s="478"/>
      <c r="H1224" s="560"/>
      <c r="I1224" s="560"/>
      <c r="J1224" s="499" t="str">
        <f>Noty!J1221</f>
        <v>ukryj</v>
      </c>
      <c r="N1224" s="387"/>
    </row>
    <row r="1225" spans="1:32" s="200" customFormat="1" ht="13.6" customHeight="1" x14ac:dyDescent="0.25">
      <c r="A1225" s="508"/>
      <c r="B1225" s="520"/>
      <c r="C1225" s="978" t="str">
        <f>"Strata podatkowa "&amp;(YEAR(DataDo))&amp;" r."</f>
        <v>Strata podatkowa 2020 r.</v>
      </c>
      <c r="D1225" s="740"/>
      <c r="E1225" s="740"/>
      <c r="G1225" s="1020"/>
      <c r="H1225" s="738"/>
      <c r="I1225" s="738"/>
      <c r="J1225" s="499" t="str">
        <f>IF(AND(Noty!H1225=0),"ukryj","odkryj")</f>
        <v>ukryj</v>
      </c>
      <c r="N1225" s="387"/>
      <c r="AE1225" s="257" t="s">
        <v>10415</v>
      </c>
    </row>
    <row r="1226" spans="1:32" s="200" customFormat="1" x14ac:dyDescent="0.25">
      <c r="A1226" s="508"/>
      <c r="B1226" s="520"/>
      <c r="C1226" s="227"/>
      <c r="D1226" s="736"/>
      <c r="E1226" s="612"/>
      <c r="F1226" s="612"/>
      <c r="G1226" s="478"/>
      <c r="H1226" s="560"/>
      <c r="I1226" s="560"/>
      <c r="J1226" s="499" t="str">
        <f>Noty!J1225</f>
        <v>ukryj</v>
      </c>
      <c r="N1226" s="387"/>
    </row>
    <row r="1227" spans="1:32" s="200" customFormat="1" x14ac:dyDescent="0.25">
      <c r="A1227" s="508"/>
      <c r="B1227" s="520"/>
      <c r="C1227" s="559" t="s">
        <v>10416</v>
      </c>
      <c r="D1227" s="735"/>
      <c r="E1227" s="735"/>
      <c r="F1227" s="736"/>
      <c r="G1227" s="1020"/>
      <c r="H1227" s="803">
        <f>H1207+H1211+H1215+H1219+H1223+H1225</f>
        <v>0</v>
      </c>
      <c r="I1227" s="803">
        <f>I1207+I1211+I1215+I1219+I1223+I1225</f>
        <v>0</v>
      </c>
      <c r="J1227" s="499" t="str">
        <f>IF(AND(Noty!H1227=0,Noty!I1227=0),"ukryj","odkryj")</f>
        <v>ukryj</v>
      </c>
      <c r="N1227" s="387"/>
    </row>
    <row r="1228" spans="1:32" s="200" customFormat="1" x14ac:dyDescent="0.25">
      <c r="A1228" s="508"/>
      <c r="B1228" s="520"/>
      <c r="C1228" s="822"/>
      <c r="D1228" s="841"/>
      <c r="E1228" s="841"/>
      <c r="F1228" s="196"/>
      <c r="G1228" s="196"/>
      <c r="H1228" s="561"/>
      <c r="I1228" s="561"/>
      <c r="J1228" s="499" t="str">
        <f>Noty!J1227</f>
        <v>ukryj</v>
      </c>
      <c r="N1228" s="387"/>
    </row>
    <row r="1229" spans="1:32" s="200" customFormat="1" x14ac:dyDescent="0.25">
      <c r="A1229" s="508"/>
      <c r="B1229" s="520"/>
      <c r="C1229" s="559" t="s">
        <v>10417</v>
      </c>
      <c r="D1229" s="841"/>
      <c r="E1229" s="209"/>
      <c r="F1229" s="202"/>
      <c r="G1229" s="251"/>
      <c r="H1229" s="803">
        <f>H1200+H1227</f>
        <v>0</v>
      </c>
      <c r="I1229" s="803">
        <f>I1200+I1227</f>
        <v>0</v>
      </c>
      <c r="J1229" s="499" t="str">
        <f>IF(AND(Noty!H1229=0,Noty!I1229=0),"ukryj","odkryj")</f>
        <v>ukryj</v>
      </c>
      <c r="N1229" s="387"/>
    </row>
    <row r="1230" spans="1:32" s="200" customFormat="1" x14ac:dyDescent="0.25">
      <c r="A1230" s="508"/>
      <c r="B1230" s="520"/>
      <c r="C1230" s="559"/>
      <c r="D1230" s="841"/>
      <c r="E1230" s="209"/>
      <c r="F1230" s="202"/>
      <c r="G1230" s="196"/>
      <c r="H1230" s="561"/>
      <c r="I1230" s="561"/>
      <c r="J1230" s="499" t="str">
        <f>Noty!J1229</f>
        <v>ukryj</v>
      </c>
      <c r="N1230" s="387"/>
    </row>
    <row r="1231" spans="1:32" s="200" customFormat="1" x14ac:dyDescent="0.25">
      <c r="A1231" s="508"/>
      <c r="B1231" s="520"/>
      <c r="C1231" s="979" t="str">
        <f>"Wartość brutto aktywa ("&amp;TEXT(Input!C58,"##%")&amp;")"</f>
        <v>Wartość brutto aktywa (19%)</v>
      </c>
      <c r="D1231" s="841"/>
      <c r="E1231" s="209"/>
      <c r="F1231" s="202"/>
      <c r="G1231" s="251"/>
      <c r="H1231" s="803">
        <f>H1229*Input!C58</f>
        <v>0</v>
      </c>
      <c r="I1231" s="803">
        <f>I1229*Input!C59</f>
        <v>0</v>
      </c>
      <c r="J1231" s="499" t="str">
        <f>IF(AND(Noty!H1231=0,Noty!I1231=0),"ukryj","odkryj")</f>
        <v>ukryj</v>
      </c>
      <c r="N1231" s="387"/>
    </row>
    <row r="1232" spans="1:32" s="200" customFormat="1" x14ac:dyDescent="0.25">
      <c r="A1232" s="508"/>
      <c r="B1232" s="520"/>
      <c r="C1232" s="174" t="s">
        <v>10418</v>
      </c>
      <c r="D1232" s="841"/>
      <c r="E1232" s="209"/>
      <c r="F1232" s="202"/>
      <c r="G1232" s="251"/>
      <c r="H1232" s="802"/>
      <c r="I1232" s="802"/>
      <c r="J1232" s="499" t="str">
        <f>IF(AND(Noty!H1232=0,Noty!I1232=0),"ukryj","odkryj")</f>
        <v>ukryj</v>
      </c>
      <c r="N1232" s="387"/>
      <c r="AE1232" s="257" t="s">
        <v>10419</v>
      </c>
      <c r="AF1232" s="257" t="s">
        <v>10420</v>
      </c>
    </row>
    <row r="1233" spans="1:32" s="200" customFormat="1" x14ac:dyDescent="0.25">
      <c r="A1233" s="508"/>
      <c r="B1233" s="520"/>
      <c r="C1233" s="559" t="s">
        <v>10421</v>
      </c>
      <c r="D1233" s="841"/>
      <c r="E1233" s="209"/>
      <c r="F1233" s="202"/>
      <c r="G1233" s="251"/>
      <c r="H1233" s="803">
        <f>H1231+H1232</f>
        <v>0</v>
      </c>
      <c r="I1233" s="803">
        <f>I1231+I1232</f>
        <v>0</v>
      </c>
      <c r="J1233" s="499" t="str">
        <f>IF(AND(Noty!H1233=0,Noty!I1233=0),"ukryj","odkryj")</f>
        <v>ukryj</v>
      </c>
      <c r="N1233" s="387"/>
    </row>
    <row r="1234" spans="1:32" s="200" customFormat="1" x14ac:dyDescent="0.25">
      <c r="A1234" s="508"/>
      <c r="B1234" s="520"/>
      <c r="C1234" s="841"/>
      <c r="D1234" s="841"/>
      <c r="E1234" s="209"/>
      <c r="F1234" s="202"/>
      <c r="G1234" s="196"/>
      <c r="H1234" s="191"/>
      <c r="I1234" s="191"/>
      <c r="J1234" s="499" t="str">
        <f>Noty!J1233</f>
        <v>ukryj</v>
      </c>
      <c r="N1234" s="387"/>
    </row>
    <row r="1235" spans="1:32" s="200" customFormat="1" x14ac:dyDescent="0.25">
      <c r="A1235" s="508"/>
      <c r="B1235" s="520"/>
      <c r="C1235" s="209"/>
      <c r="D1235" s="841"/>
      <c r="E1235" s="209"/>
      <c r="F1235" s="202"/>
      <c r="G1235" s="196"/>
      <c r="H1235" s="481"/>
      <c r="I1235" s="481"/>
      <c r="J1235" s="499" t="str">
        <f>Noty!J1234</f>
        <v>ukryj</v>
      </c>
      <c r="N1235" s="387"/>
    </row>
    <row r="1236" spans="1:32" s="200" customFormat="1" x14ac:dyDescent="0.25">
      <c r="A1236" s="508"/>
      <c r="B1236" s="520"/>
      <c r="C1236" s="185" t="s">
        <v>10422</v>
      </c>
      <c r="D1236" s="207"/>
      <c r="E1236" s="207"/>
      <c r="F1236" s="207"/>
      <c r="G1236" s="196"/>
      <c r="H1236" s="544"/>
      <c r="I1236" s="544"/>
      <c r="J1236" s="499" t="str">
        <f>Noty!J1240</f>
        <v>ukryj</v>
      </c>
      <c r="N1236" s="387"/>
    </row>
    <row r="1237" spans="1:32" s="200" customFormat="1" ht="13.6" customHeight="1" x14ac:dyDescent="0.25">
      <c r="A1237" s="508"/>
      <c r="B1237" s="520"/>
      <c r="C1237" s="202" t="s">
        <v>10423</v>
      </c>
      <c r="D1237" s="202"/>
      <c r="E1237" s="202"/>
      <c r="G1237" s="251"/>
      <c r="H1237" s="639"/>
      <c r="I1237" s="639"/>
      <c r="J1237" s="499" t="str">
        <f>IF(AND(Noty!H1237=0,Noty!I1237=0),"ukryj","odkryj")</f>
        <v>ukryj</v>
      </c>
      <c r="N1237" s="387"/>
      <c r="AE1237" s="257" t="s">
        <v>10424</v>
      </c>
      <c r="AF1237" s="257" t="s">
        <v>10425</v>
      </c>
    </row>
    <row r="1238" spans="1:32" s="200" customFormat="1" ht="13.6" customHeight="1" x14ac:dyDescent="0.25">
      <c r="A1238" s="508"/>
      <c r="B1238" s="520"/>
      <c r="C1238" s="202" t="s">
        <v>10426</v>
      </c>
      <c r="D1238" s="202"/>
      <c r="E1238" s="202"/>
      <c r="G1238" s="251"/>
      <c r="H1238" s="639"/>
      <c r="I1238" s="639"/>
      <c r="J1238" s="499" t="str">
        <f>IF(AND(Noty!H1238=0,Noty!I1238=0),"ukryj","odkryj")</f>
        <v>ukryj</v>
      </c>
      <c r="N1238" s="387"/>
      <c r="AE1238" s="257" t="s">
        <v>10427</v>
      </c>
      <c r="AF1238" s="257" t="s">
        <v>10428</v>
      </c>
    </row>
    <row r="1239" spans="1:32" s="200" customFormat="1" ht="13.6" customHeight="1" x14ac:dyDescent="0.25">
      <c r="A1239" s="508"/>
      <c r="B1239" s="520"/>
      <c r="C1239" s="202" t="s">
        <v>10429</v>
      </c>
      <c r="D1239" s="202"/>
      <c r="E1239" s="202"/>
      <c r="G1239" s="251"/>
      <c r="H1239" s="639"/>
      <c r="I1239" s="639"/>
      <c r="J1239" s="499" t="str">
        <f>IF(AND(Noty!H1239=0,Noty!I1239=0),"ukryj","odkryj")</f>
        <v>ukryj</v>
      </c>
      <c r="N1239" s="387"/>
      <c r="AE1239" s="257" t="s">
        <v>10430</v>
      </c>
      <c r="AF1239" s="257" t="s">
        <v>10431</v>
      </c>
    </row>
    <row r="1240" spans="1:32" s="200" customFormat="1" x14ac:dyDescent="0.25">
      <c r="A1240" s="508"/>
      <c r="B1240" s="520"/>
      <c r="C1240" s="477"/>
      <c r="D1240" s="841"/>
      <c r="E1240" s="202"/>
      <c r="F1240" s="202"/>
      <c r="G1240" s="251"/>
      <c r="H1240" s="734">
        <f>SUM(H1237:H1239)</f>
        <v>0</v>
      </c>
      <c r="I1240" s="734">
        <f>SUM(I1237:I1239)</f>
        <v>0</v>
      </c>
      <c r="J1240" s="499" t="str">
        <f>IF(AND(Noty!H1240=0,Noty!I1240=0),"ukryj","odkryj")</f>
        <v>ukryj</v>
      </c>
      <c r="N1240" s="387"/>
    </row>
    <row r="1241" spans="1:32" s="200" customFormat="1" x14ac:dyDescent="0.25">
      <c r="A1241" s="508"/>
      <c r="B1241" s="520"/>
      <c r="C1241" s="841"/>
      <c r="D1241" s="841"/>
      <c r="E1241" s="196"/>
      <c r="F1241" s="196"/>
      <c r="G1241" s="196"/>
      <c r="H1241" s="191"/>
      <c r="I1241" s="191"/>
      <c r="J1241" s="499" t="str">
        <f>Noty!J1240</f>
        <v>ukryj</v>
      </c>
      <c r="N1241" s="387"/>
    </row>
    <row r="1242" spans="1:32" s="200" customFormat="1" x14ac:dyDescent="0.25">
      <c r="A1242" s="508"/>
      <c r="B1242" s="520"/>
      <c r="C1242" s="185" t="s">
        <v>10432</v>
      </c>
      <c r="D1242" s="207"/>
      <c r="E1242" s="207"/>
      <c r="F1242" s="207"/>
      <c r="G1242" s="196"/>
      <c r="H1242" s="446"/>
      <c r="I1242" s="446"/>
      <c r="J1242" s="499" t="str">
        <f>Noty!J1246</f>
        <v>ukryj</v>
      </c>
      <c r="N1242" s="387"/>
    </row>
    <row r="1243" spans="1:32" s="200" customFormat="1" x14ac:dyDescent="0.25">
      <c r="A1243" s="508"/>
      <c r="B1243" s="520"/>
      <c r="C1243" s="980"/>
      <c r="D1243" s="761"/>
      <c r="E1243" s="761"/>
      <c r="F1243" s="9"/>
      <c r="G1243" s="251"/>
      <c r="H1243" s="639"/>
      <c r="I1243" s="639"/>
      <c r="J1243" s="499" t="str">
        <f>IF(AND(Noty!H1243=0,Noty!I1243=0),"ukryj","odkryj")</f>
        <v>ukryj</v>
      </c>
      <c r="N1243" s="387"/>
      <c r="AE1243" s="257" t="s">
        <v>10433</v>
      </c>
      <c r="AF1243" s="257" t="s">
        <v>10434</v>
      </c>
    </row>
    <row r="1244" spans="1:32" s="200" customFormat="1" x14ac:dyDescent="0.25">
      <c r="A1244" s="508"/>
      <c r="B1244" s="520"/>
      <c r="C1244" s="980"/>
      <c r="D1244" s="761"/>
      <c r="E1244" s="761"/>
      <c r="F1244" s="9"/>
      <c r="G1244" s="251"/>
      <c r="H1244" s="639"/>
      <c r="I1244" s="639"/>
      <c r="J1244" s="499" t="str">
        <f>IF(AND(Noty!H1244=0,Noty!I1244=0),"ukryj","odkryj")</f>
        <v>ukryj</v>
      </c>
      <c r="N1244" s="387"/>
      <c r="AE1244" s="257" t="s">
        <v>10435</v>
      </c>
      <c r="AF1244" s="257" t="s">
        <v>10436</v>
      </c>
    </row>
    <row r="1245" spans="1:32" s="200" customFormat="1" x14ac:dyDescent="0.25">
      <c r="A1245" s="508"/>
      <c r="B1245" s="520"/>
      <c r="C1245" s="980"/>
      <c r="D1245" s="761"/>
      <c r="E1245" s="761"/>
      <c r="F1245" s="9"/>
      <c r="G1245" s="251"/>
      <c r="H1245" s="639"/>
      <c r="I1245" s="639"/>
      <c r="J1245" s="499" t="str">
        <f>IF(AND(Noty!H1245=0,Noty!I1245=0),"ukryj","odkryj")</f>
        <v>ukryj</v>
      </c>
      <c r="N1245" s="387"/>
      <c r="AE1245" s="257" t="s">
        <v>10437</v>
      </c>
      <c r="AF1245" s="257" t="s">
        <v>10438</v>
      </c>
    </row>
    <row r="1246" spans="1:32" s="200" customFormat="1" x14ac:dyDescent="0.25">
      <c r="A1246" s="508"/>
      <c r="B1246" s="520"/>
      <c r="C1246" s="562"/>
      <c r="D1246" s="841"/>
      <c r="E1246" s="202"/>
      <c r="F1246" s="202"/>
      <c r="G1246" s="251"/>
      <c r="H1246" s="734">
        <f>SUM(H1243:H1245)</f>
        <v>0</v>
      </c>
      <c r="I1246" s="734">
        <f>SUM(I1243:I1245)</f>
        <v>0</v>
      </c>
      <c r="J1246" s="499" t="str">
        <f>IF(AND(Noty!H1246=0,Noty!I1246=0),"ukryj","odkryj")</f>
        <v>ukryj</v>
      </c>
      <c r="N1246" s="387"/>
    </row>
    <row r="1247" spans="1:32" s="200" customFormat="1" x14ac:dyDescent="0.25">
      <c r="A1247" s="508"/>
      <c r="B1247" s="520"/>
      <c r="C1247" s="477"/>
      <c r="D1247" s="841"/>
      <c r="E1247" s="202"/>
      <c r="F1247" s="202"/>
      <c r="G1247" s="196"/>
      <c r="H1247" s="561"/>
      <c r="I1247" s="561"/>
      <c r="J1247" s="499" t="str">
        <f>Noty!J1246</f>
        <v>ukryj</v>
      </c>
      <c r="N1247" s="387"/>
    </row>
    <row r="1248" spans="1:32" s="200" customFormat="1" x14ac:dyDescent="0.25">
      <c r="A1248" s="508"/>
      <c r="B1248" s="520"/>
      <c r="C1248" s="1421" t="s">
        <v>10439</v>
      </c>
      <c r="D1248" s="1421"/>
      <c r="E1248" s="1421"/>
      <c r="F1248" s="1421"/>
      <c r="G1248" s="251"/>
      <c r="H1248" s="803">
        <f>H1240+H1246</f>
        <v>0</v>
      </c>
      <c r="I1248" s="803">
        <f>I1240+I1246</f>
        <v>0</v>
      </c>
      <c r="J1248" s="499" t="str">
        <f>IF(AND(Noty!H1248=0,Noty!I1248=0),"ukryj","odkryj")</f>
        <v>ukryj</v>
      </c>
      <c r="N1248" s="387"/>
    </row>
    <row r="1249" spans="1:15" s="200" customFormat="1" x14ac:dyDescent="0.25">
      <c r="A1249" s="508"/>
      <c r="B1249" s="520"/>
      <c r="C1249" s="841"/>
      <c r="D1249" s="841"/>
      <c r="E1249" s="196"/>
      <c r="F1249" s="196"/>
      <c r="G1249" s="196"/>
      <c r="H1249" s="561"/>
      <c r="I1249" s="561"/>
      <c r="J1249" s="499" t="str">
        <f>Noty!J1248</f>
        <v>ukryj</v>
      </c>
      <c r="N1249" s="387"/>
    </row>
    <row r="1250" spans="1:15" s="200" customFormat="1" x14ac:dyDescent="0.25">
      <c r="A1250" s="508"/>
      <c r="B1250" s="520"/>
      <c r="C1250" s="981" t="str">
        <f>"Rezerwa na podatek dochodowy ("&amp;TEXT(Input!C58,"##%")&amp;")"</f>
        <v>Rezerwa na podatek dochodowy (19%)</v>
      </c>
      <c r="D1250" s="741"/>
      <c r="E1250" s="741"/>
      <c r="F1250" s="741"/>
      <c r="G1250" s="251"/>
      <c r="H1250" s="803">
        <f>H1248*Input!C58</f>
        <v>0</v>
      </c>
      <c r="I1250" s="803">
        <f>I1248*Input!C59</f>
        <v>0</v>
      </c>
      <c r="J1250" s="499" t="str">
        <f>IF(AND(Noty!H1250=0,Noty!I1250=0),"ukryj","odkryj")</f>
        <v>ukryj</v>
      </c>
      <c r="N1250" s="387"/>
    </row>
    <row r="1251" spans="1:15" s="200" customFormat="1" x14ac:dyDescent="0.25">
      <c r="A1251" s="508"/>
      <c r="B1251" s="520"/>
      <c r="E1251" s="196"/>
      <c r="F1251" s="196"/>
      <c r="G1251" s="196"/>
      <c r="H1251" s="563"/>
      <c r="I1251" s="563"/>
      <c r="J1251" s="499" t="str">
        <f>Noty!J1250</f>
        <v>ukryj</v>
      </c>
      <c r="N1251" s="387"/>
    </row>
    <row r="1252" spans="1:15" s="200" customFormat="1" x14ac:dyDescent="0.25">
      <c r="A1252" s="508"/>
      <c r="B1252" s="520"/>
      <c r="C1252" s="202" t="s">
        <v>10440</v>
      </c>
      <c r="D1252" s="202"/>
      <c r="E1252" s="202"/>
      <c r="F1252" s="202"/>
      <c r="G1252" s="196"/>
      <c r="H1252" s="549"/>
      <c r="I1252" s="800">
        <f>ROUND(I1250-H1250-(I1246-H1246)*Input!$C$58+H1233-I1233-(H1198-I1198)*Input!$C$58,2)</f>
        <v>0</v>
      </c>
      <c r="J1252" s="499" t="str">
        <f>IF(AND(Noty!I1252=0),"ukryj","odkryj")</f>
        <v>ukryj</v>
      </c>
      <c r="N1252" s="387"/>
    </row>
    <row r="1253" spans="1:15" s="200" customFormat="1" x14ac:dyDescent="0.25">
      <c r="A1253" s="508"/>
      <c r="B1253" s="520"/>
      <c r="C1253" s="202" t="s">
        <v>10441</v>
      </c>
      <c r="D1253" s="202"/>
      <c r="E1253" s="202"/>
      <c r="F1253" s="202"/>
      <c r="G1253" s="196"/>
      <c r="H1253" s="191"/>
      <c r="I1253" s="192"/>
      <c r="J1253" s="499" t="str">
        <f>Noty!J1252</f>
        <v>ukryj</v>
      </c>
      <c r="N1253" s="387"/>
    </row>
    <row r="1254" spans="1:15" s="200" customFormat="1" x14ac:dyDescent="0.25">
      <c r="A1254" s="508"/>
      <c r="B1254" s="520"/>
      <c r="C1254" s="209"/>
      <c r="D1254" s="202"/>
      <c r="E1254" s="202"/>
      <c r="F1254" s="202"/>
      <c r="G1254" s="196"/>
      <c r="H1254" s="191"/>
      <c r="I1254" s="192"/>
      <c r="J1254" s="499" t="str">
        <f>Noty!J1253</f>
        <v>ukryj</v>
      </c>
      <c r="N1254" s="387"/>
    </row>
    <row r="1255" spans="1:15" s="200" customFormat="1" ht="26.2" customHeight="1" x14ac:dyDescent="0.25">
      <c r="A1255" s="508"/>
      <c r="B1255" s="520"/>
      <c r="C1255" s="1422" t="s">
        <v>10442</v>
      </c>
      <c r="D1255" s="1422"/>
      <c r="E1255" s="1422"/>
      <c r="F1255" s="1422"/>
      <c r="G1255" s="1422"/>
      <c r="H1255" s="1422"/>
      <c r="I1255" s="1422"/>
      <c r="J1255" s="499" t="str">
        <f>Noty!J1254</f>
        <v>ukryj</v>
      </c>
      <c r="K1255" s="372"/>
      <c r="N1255" s="387"/>
    </row>
    <row r="1256" spans="1:15" s="200" customFormat="1" x14ac:dyDescent="0.25">
      <c r="A1256" s="508"/>
      <c r="B1256" s="520"/>
      <c r="E1256" s="196"/>
      <c r="F1256" s="196"/>
      <c r="G1256" s="196"/>
      <c r="H1256" s="205"/>
      <c r="I1256" s="205"/>
      <c r="J1256" s="499" t="str">
        <f>Noty!J1255</f>
        <v>ukryj</v>
      </c>
      <c r="N1256" s="387"/>
    </row>
    <row r="1257" spans="1:15" s="200" customFormat="1" ht="28.5" customHeight="1" x14ac:dyDescent="0.25">
      <c r="A1257" s="508"/>
      <c r="B1257" s="520"/>
      <c r="C1257" s="1423" t="s">
        <v>10443</v>
      </c>
      <c r="D1257" s="1423"/>
      <c r="E1257" s="1423"/>
      <c r="F1257" s="1423"/>
      <c r="G1257" s="1423"/>
      <c r="H1257" s="1423"/>
      <c r="I1257" s="1423"/>
      <c r="J1257" s="499" t="str">
        <f>IF(AND(Noty!H1232=0),"ukryj","odkryj")</f>
        <v>ukryj</v>
      </c>
      <c r="N1257" s="387"/>
    </row>
    <row r="1258" spans="1:15" s="200" customFormat="1" x14ac:dyDescent="0.25">
      <c r="A1258" s="508"/>
      <c r="B1258" s="520"/>
      <c r="C1258" s="1477"/>
      <c r="D1258" s="1477"/>
      <c r="E1258" s="1477"/>
      <c r="F1258" s="1477"/>
      <c r="G1258" s="1477"/>
      <c r="H1258" s="1477"/>
      <c r="I1258" s="1477"/>
      <c r="J1258" s="499" t="str">
        <f>Noty!J1257</f>
        <v>ukryj</v>
      </c>
      <c r="N1258" s="387"/>
    </row>
    <row r="1259" spans="1:15" s="200" customFormat="1" ht="13.75" thickBot="1" x14ac:dyDescent="0.3">
      <c r="A1259" s="508"/>
      <c r="B1259" s="520"/>
      <c r="C1259" s="482"/>
      <c r="D1259" s="742"/>
      <c r="E1259" s="742"/>
      <c r="F1259" s="742"/>
      <c r="G1259" s="196"/>
      <c r="H1259" s="196"/>
      <c r="I1259" s="196"/>
      <c r="J1259" s="499" t="str">
        <f>Noty!J1258</f>
        <v>ukryj</v>
      </c>
      <c r="L1259" s="496"/>
      <c r="N1259" s="387"/>
    </row>
    <row r="1260" spans="1:15" s="200" customFormat="1" ht="15.75" thickBot="1" x14ac:dyDescent="0.35">
      <c r="A1260" s="1180">
        <f>IF(K1260="n/a",A1183,A1183+1)</f>
        <v>2</v>
      </c>
      <c r="B1260" s="1182"/>
      <c r="C1260" s="1388" t="s">
        <v>10444</v>
      </c>
      <c r="D1260" s="1388"/>
      <c r="E1260" s="1388"/>
      <c r="F1260" s="1388"/>
      <c r="G1260" s="1388"/>
      <c r="H1260" s="1388"/>
      <c r="I1260" s="1388"/>
      <c r="J1260" s="499" t="str">
        <f>IF(Noty!K1260="n/a","ukryj","odkryj")</f>
        <v>ukryj</v>
      </c>
      <c r="K1260" s="1213" t="str">
        <f>IF(Input!D166="nie","n/a","")</f>
        <v>n/a</v>
      </c>
      <c r="L1260" s="492" t="str">
        <f>A1260&amp;"."&amp;B1260</f>
        <v>2.</v>
      </c>
      <c r="N1260" s="1101" t="s">
        <v>9378</v>
      </c>
      <c r="O1260" s="489" t="str">
        <f>A1260&amp;"."&amp;B1260</f>
        <v>2.</v>
      </c>
    </row>
    <row r="1261" spans="1:15" s="200" customFormat="1" x14ac:dyDescent="0.25">
      <c r="A1261" s="508"/>
      <c r="B1261" s="520"/>
      <c r="C1261" s="195"/>
      <c r="D1261" s="195"/>
      <c r="E1261" s="196"/>
      <c r="F1261" s="196"/>
      <c r="G1261" s="196"/>
      <c r="H1261" s="196"/>
      <c r="I1261" s="196"/>
      <c r="J1261" s="499" t="str">
        <f>Noty!J1260</f>
        <v>ukryj</v>
      </c>
      <c r="N1261" s="387"/>
    </row>
    <row r="1262" spans="1:15" s="200" customFormat="1" ht="69.75" customHeight="1" x14ac:dyDescent="0.25">
      <c r="A1262" s="508"/>
      <c r="B1262" s="520"/>
      <c r="C1262" s="1429" t="s">
        <v>10445</v>
      </c>
      <c r="D1262" s="1429"/>
      <c r="E1262" s="1429"/>
      <c r="F1262" s="1429"/>
      <c r="G1262" s="1429"/>
      <c r="H1262" s="1429"/>
      <c r="I1262" s="1429"/>
      <c r="J1262" s="499" t="str">
        <f>Noty!J1261</f>
        <v>ukryj</v>
      </c>
      <c r="N1262" s="387"/>
    </row>
    <row r="1263" spans="1:15" s="200" customFormat="1" x14ac:dyDescent="0.25">
      <c r="A1263" s="508"/>
      <c r="B1263" s="520"/>
      <c r="C1263" s="483"/>
      <c r="D1263" s="483"/>
      <c r="E1263" s="483"/>
      <c r="F1263" s="483"/>
      <c r="G1263" s="483"/>
      <c r="H1263" s="483"/>
      <c r="I1263" s="483"/>
      <c r="J1263" s="499" t="str">
        <f>Noty!J1262</f>
        <v>ukryj</v>
      </c>
      <c r="N1263" s="387"/>
    </row>
    <row r="1264" spans="1:15" s="200" customFormat="1" ht="64.5" customHeight="1" x14ac:dyDescent="0.25">
      <c r="A1264" s="508"/>
      <c r="B1264" s="520"/>
      <c r="C1264" s="1429" t="s">
        <v>10446</v>
      </c>
      <c r="D1264" s="1429"/>
      <c r="E1264" s="1429"/>
      <c r="F1264" s="1429"/>
      <c r="G1264" s="1429"/>
      <c r="H1264" s="1429"/>
      <c r="I1264" s="1429"/>
      <c r="J1264" s="499" t="str">
        <f>Noty!J1263</f>
        <v>ukryj</v>
      </c>
      <c r="N1264" s="387"/>
    </row>
    <row r="1265" spans="1:32" s="200" customFormat="1" ht="13.75" thickBot="1" x14ac:dyDescent="0.3">
      <c r="A1265" s="508"/>
      <c r="B1265" s="520"/>
      <c r="E1265" s="196"/>
      <c r="F1265" s="196"/>
      <c r="G1265" s="196"/>
      <c r="H1265" s="196"/>
      <c r="I1265" s="196"/>
      <c r="J1265" s="499" t="str">
        <f>Noty!J1275</f>
        <v>ukryj</v>
      </c>
      <c r="K1265" s="197"/>
      <c r="N1265" s="387"/>
    </row>
    <row r="1266" spans="1:32" s="200" customFormat="1" ht="15.75" thickBot="1" x14ac:dyDescent="0.35">
      <c r="A1266" s="1180">
        <f>IF(K1266="n/a",A1260,A1260+1)</f>
        <v>3</v>
      </c>
      <c r="B1266" s="1182"/>
      <c r="C1266" s="1388" t="s">
        <v>10447</v>
      </c>
      <c r="D1266" s="1388"/>
      <c r="E1266" s="1388"/>
      <c r="F1266" s="1388"/>
      <c r="G1266" s="1388"/>
      <c r="H1266" s="1388"/>
      <c r="I1266" s="1388"/>
      <c r="J1266" s="499" t="str">
        <f>IF(Noty!K1266="n/a","ukryj","odkryj")</f>
        <v>odkryj</v>
      </c>
      <c r="K1266" s="1213" t="str">
        <f>IF(Input!D167="nie","n/a","")</f>
        <v/>
      </c>
      <c r="L1266" s="971" t="str">
        <f>A1266&amp;"."&amp;B1266</f>
        <v>3.</v>
      </c>
      <c r="N1266" s="1101" t="s">
        <v>9378</v>
      </c>
      <c r="O1266" s="489" t="str">
        <f>A1266&amp;"."&amp;B1266</f>
        <v>3.</v>
      </c>
    </row>
    <row r="1267" spans="1:32" s="200" customFormat="1" x14ac:dyDescent="0.25">
      <c r="A1267" s="508"/>
      <c r="B1267" s="520"/>
      <c r="E1267" s="196"/>
      <c r="F1267" s="196"/>
      <c r="G1267" s="196"/>
      <c r="H1267" s="196"/>
      <c r="I1267" s="196"/>
      <c r="J1267" s="499" t="str">
        <f>Noty!J1266</f>
        <v>odkryj</v>
      </c>
      <c r="K1267" s="197"/>
      <c r="N1267" s="387"/>
    </row>
    <row r="1268" spans="1:32" s="200" customFormat="1" x14ac:dyDescent="0.25">
      <c r="A1268" s="508"/>
      <c r="B1268" s="520"/>
      <c r="E1268" s="196"/>
      <c r="F1268" s="201"/>
      <c r="G1268" s="251"/>
      <c r="H1268" s="999" t="str">
        <f>+Input!$P$7</f>
        <v>31.12.2020</v>
      </c>
      <c r="I1268" s="1000" t="str">
        <f>+Input!$P$11</f>
        <v>31.12.2019</v>
      </c>
      <c r="J1268" s="499" t="str">
        <f>Noty!J1267</f>
        <v>odkryj</v>
      </c>
      <c r="K1268" s="197"/>
      <c r="N1268" s="387"/>
    </row>
    <row r="1269" spans="1:32" s="200" customFormat="1" x14ac:dyDescent="0.25">
      <c r="A1269" s="508"/>
      <c r="B1269" s="520"/>
      <c r="E1269" s="196"/>
      <c r="F1269" s="196"/>
      <c r="G1269" s="196"/>
      <c r="H1269" s="196"/>
      <c r="I1269" s="196"/>
      <c r="J1269" s="499" t="str">
        <f>Noty!J1268</f>
        <v>odkryj</v>
      </c>
      <c r="K1269" s="197"/>
      <c r="N1269" s="387"/>
    </row>
    <row r="1270" spans="1:32" s="200" customFormat="1" x14ac:dyDescent="0.25">
      <c r="A1270" s="508"/>
      <c r="B1270" s="520"/>
      <c r="C1270" s="202" t="s">
        <v>10448</v>
      </c>
      <c r="D1270" s="202"/>
      <c r="E1270" s="196"/>
      <c r="F1270" s="196"/>
      <c r="G1270" s="196"/>
      <c r="H1270" s="196"/>
      <c r="I1270" s="196"/>
      <c r="J1270" s="499" t="str">
        <f>Noty!J1269</f>
        <v>odkryj</v>
      </c>
      <c r="K1270" s="197"/>
      <c r="N1270" s="387"/>
    </row>
    <row r="1271" spans="1:32" s="200" customFormat="1" x14ac:dyDescent="0.25">
      <c r="A1271" s="508"/>
      <c r="B1271" s="520"/>
      <c r="C1271" s="203" t="s">
        <v>10449</v>
      </c>
      <c r="E1271" s="196"/>
      <c r="F1271" s="196"/>
      <c r="G1271" s="251"/>
      <c r="H1271" s="638"/>
      <c r="I1271" s="638"/>
      <c r="J1271" s="499" t="str">
        <f>IF(AND(Noty!H1271=0,Noty!I1271=0),"ukryj","odkryj")</f>
        <v>ukryj</v>
      </c>
      <c r="K1271" s="197"/>
      <c r="N1271" s="387"/>
      <c r="AE1271" s="257" t="s">
        <v>10450</v>
      </c>
      <c r="AF1271" s="257" t="s">
        <v>10451</v>
      </c>
    </row>
    <row r="1272" spans="1:32" s="200" customFormat="1" x14ac:dyDescent="0.25">
      <c r="A1272" s="508"/>
      <c r="B1272" s="520"/>
      <c r="C1272" s="203" t="s">
        <v>10452</v>
      </c>
      <c r="E1272" s="196"/>
      <c r="F1272" s="196"/>
      <c r="G1272" s="251"/>
      <c r="H1272" s="638"/>
      <c r="I1272" s="638"/>
      <c r="J1272" s="499" t="str">
        <f>IF(AND(Noty!H1272=0,Noty!I1272=0),"ukryj","odkryj")</f>
        <v>ukryj</v>
      </c>
      <c r="K1272" s="197"/>
      <c r="N1272" s="387"/>
      <c r="AE1272" s="257" t="s">
        <v>10453</v>
      </c>
      <c r="AF1272" s="257" t="s">
        <v>10454</v>
      </c>
    </row>
    <row r="1273" spans="1:32" s="200" customFormat="1" x14ac:dyDescent="0.25">
      <c r="A1273" s="508"/>
      <c r="B1273" s="520"/>
      <c r="C1273" s="202" t="s">
        <v>10455</v>
      </c>
      <c r="D1273" s="202"/>
      <c r="E1273" s="196"/>
      <c r="F1273" s="196"/>
      <c r="G1273" s="196"/>
      <c r="H1273" s="549"/>
      <c r="I1273" s="549"/>
      <c r="J1273" s="499" t="str">
        <f>Noty!J1272</f>
        <v>ukryj</v>
      </c>
      <c r="K1273" s="197"/>
      <c r="N1273" s="387"/>
    </row>
    <row r="1274" spans="1:32" s="200" customFormat="1" x14ac:dyDescent="0.25">
      <c r="A1274" s="508"/>
      <c r="B1274" s="520"/>
      <c r="C1274" s="203" t="s">
        <v>10449</v>
      </c>
      <c r="E1274" s="196"/>
      <c r="F1274" s="196"/>
      <c r="G1274" s="251"/>
      <c r="H1274" s="638"/>
      <c r="I1274" s="638"/>
      <c r="J1274" s="499" t="str">
        <f>IF(AND(Noty!H1274=0,Noty!I1274=0),"ukryj","odkryj")</f>
        <v>ukryj</v>
      </c>
      <c r="K1274" s="197"/>
      <c r="N1274" s="387"/>
      <c r="AE1274" s="257" t="s">
        <v>10456</v>
      </c>
      <c r="AF1274" s="257" t="s">
        <v>10457</v>
      </c>
    </row>
    <row r="1275" spans="1:32" s="200" customFormat="1" x14ac:dyDescent="0.25">
      <c r="A1275" s="508"/>
      <c r="B1275" s="520"/>
      <c r="C1275" s="203" t="s">
        <v>10452</v>
      </c>
      <c r="E1275" s="196"/>
      <c r="F1275" s="196"/>
      <c r="G1275" s="251"/>
      <c r="H1275" s="638"/>
      <c r="I1275" s="638"/>
      <c r="J1275" s="499" t="str">
        <f>IF(AND(Noty!H1275=0,Noty!I1275=0),"ukryj","odkryj")</f>
        <v>ukryj</v>
      </c>
      <c r="K1275" s="197"/>
      <c r="N1275" s="387"/>
      <c r="AE1275" s="257" t="s">
        <v>10453</v>
      </c>
      <c r="AF1275" s="257" t="s">
        <v>10454</v>
      </c>
    </row>
    <row r="1276" spans="1:32" s="200" customFormat="1" ht="13.75" thickBot="1" x14ac:dyDescent="0.3">
      <c r="A1276" s="508"/>
      <c r="B1276" s="520"/>
      <c r="C1276" s="202"/>
      <c r="D1276" s="202"/>
      <c r="E1276" s="196"/>
      <c r="F1276" s="196"/>
      <c r="G1276" s="196"/>
      <c r="H1276" s="581"/>
      <c r="I1276" s="581"/>
      <c r="J1276" s="499" t="str">
        <f>Noty!J1270</f>
        <v>odkryj</v>
      </c>
      <c r="K1276" s="197"/>
      <c r="N1276" s="387"/>
    </row>
    <row r="1277" spans="1:32" s="200" customFormat="1" ht="15.75" thickBot="1" x14ac:dyDescent="0.35">
      <c r="A1277" s="1180">
        <f>IF(K1277="n/a",A1266,A1266+1)</f>
        <v>4</v>
      </c>
      <c r="B1277" s="1182"/>
      <c r="C1277" s="1280" t="s">
        <v>10458</v>
      </c>
      <c r="D1277" s="1280"/>
      <c r="E1277" s="1280"/>
      <c r="F1277" s="1280"/>
      <c r="G1277" s="1280"/>
      <c r="H1277" s="1280"/>
      <c r="I1277" s="1280"/>
      <c r="J1277" s="499" t="str">
        <f>IF(Noty!K1277="n/a","ukryj","odkryj")</f>
        <v>odkryj</v>
      </c>
      <c r="K1277" s="1225" t="str">
        <f>IF(AND(K1279="n/a",K1280="n/a"),"n/a","")</f>
        <v/>
      </c>
      <c r="L1277" s="971" t="str">
        <f>A1277&amp;"."&amp;B1277</f>
        <v>4.</v>
      </c>
      <c r="N1277" s="1101" t="s">
        <v>9378</v>
      </c>
      <c r="O1277" s="489" t="str">
        <f>A1277&amp;"."&amp;B1277</f>
        <v>4.</v>
      </c>
    </row>
    <row r="1278" spans="1:32" s="200" customFormat="1" ht="13.75" thickBot="1" x14ac:dyDescent="0.3">
      <c r="A1278" s="508"/>
      <c r="B1278" s="520"/>
      <c r="E1278" s="196"/>
      <c r="F1278" s="196"/>
      <c r="G1278" s="196"/>
      <c r="H1278" s="196"/>
      <c r="I1278" s="196"/>
      <c r="J1278" s="499" t="str">
        <f>Noty!J1277</f>
        <v>odkryj</v>
      </c>
      <c r="K1278" s="197"/>
      <c r="N1278" s="387"/>
    </row>
    <row r="1279" spans="1:32" s="200" customFormat="1" ht="53.2" customHeight="1" thickBot="1" x14ac:dyDescent="0.3">
      <c r="A1279" s="508"/>
      <c r="B1279" s="520"/>
      <c r="C1279" s="1402" t="s">
        <v>10459</v>
      </c>
      <c r="D1279" s="1402"/>
      <c r="E1279" s="1402"/>
      <c r="F1279" s="1402"/>
      <c r="G1279" s="1402"/>
      <c r="H1279" s="1402"/>
      <c r="I1279" s="1402"/>
      <c r="J1279" s="499" t="str">
        <f>IF(Noty!K1279="n/a","ukryj","odkryj")</f>
        <v>odkryj</v>
      </c>
      <c r="K1279" s="1226" t="str">
        <f>IF(AND(Input!D90="nie",Input!D91="nie",Input!D92="nie"),"","n/a")</f>
        <v/>
      </c>
      <c r="N1279" s="387"/>
    </row>
    <row r="1280" spans="1:32" s="200" customFormat="1" ht="13.75" thickBot="1" x14ac:dyDescent="0.3">
      <c r="A1280" s="508"/>
      <c r="B1280" s="520"/>
      <c r="C1280" s="1406" t="s">
        <v>10460</v>
      </c>
      <c r="D1280" s="1406"/>
      <c r="E1280" s="1406"/>
      <c r="F1280" s="1406"/>
      <c r="G1280" s="1406"/>
      <c r="H1280" s="1406"/>
      <c r="I1280" s="1406"/>
      <c r="J1280" s="499" t="str">
        <f>IF(Noty!K1280="n/a","ukryj","odkryj")</f>
        <v>ukryj</v>
      </c>
      <c r="K1280" s="1226" t="str">
        <f>IF(Input!D168="nie","n/a","")</f>
        <v>n/a</v>
      </c>
      <c r="N1280" s="387"/>
    </row>
    <row r="1281" spans="1:32" s="200" customFormat="1" ht="13.75" thickBot="1" x14ac:dyDescent="0.3">
      <c r="A1281" s="508"/>
      <c r="B1281" s="520"/>
      <c r="E1281" s="196"/>
      <c r="F1281" s="196"/>
      <c r="G1281" s="196"/>
      <c r="H1281" s="196"/>
      <c r="I1281" s="196"/>
      <c r="J1281" s="499" t="str">
        <f>Noty!J1278</f>
        <v>odkryj</v>
      </c>
      <c r="K1281" s="197"/>
      <c r="N1281" s="387"/>
    </row>
    <row r="1282" spans="1:32" s="200" customFormat="1" ht="15.75" thickBot="1" x14ac:dyDescent="0.35">
      <c r="A1282" s="1180">
        <f>IF(K1282="n/a",A1277,A1277+1)</f>
        <v>5</v>
      </c>
      <c r="B1282" s="1182"/>
      <c r="C1282" s="1388" t="s">
        <v>10461</v>
      </c>
      <c r="D1282" s="1388"/>
      <c r="E1282" s="1388"/>
      <c r="F1282" s="1388"/>
      <c r="G1282" s="1388"/>
      <c r="H1282" s="1388"/>
      <c r="I1282" s="1388"/>
      <c r="J1282" s="499" t="str">
        <f>IF(Noty!K1282="n/a","ukryj","odkryj")</f>
        <v>odkryj</v>
      </c>
      <c r="K1282" s="1226" t="str">
        <f>IF(Input!D169="nie","n/a","")</f>
        <v/>
      </c>
      <c r="L1282" s="971" t="str">
        <f>A1282&amp;"."&amp;B1282</f>
        <v>5.</v>
      </c>
      <c r="N1282" s="1101" t="s">
        <v>9378</v>
      </c>
      <c r="O1282" s="489" t="str">
        <f>A1282&amp;"."&amp;B1282</f>
        <v>5.</v>
      </c>
    </row>
    <row r="1283" spans="1:32" s="200" customFormat="1" ht="13.6" customHeight="1" x14ac:dyDescent="0.25">
      <c r="A1283" s="508"/>
      <c r="B1283" s="520"/>
      <c r="C1283" s="204"/>
      <c r="D1283" s="204"/>
      <c r="E1283" s="196"/>
      <c r="F1283" s="196"/>
      <c r="G1283" s="196"/>
      <c r="H1283" s="196"/>
      <c r="I1283" s="196"/>
      <c r="J1283" s="499" t="str">
        <f>Noty!J1282</f>
        <v>odkryj</v>
      </c>
      <c r="K1283" s="197"/>
      <c r="N1283" s="387"/>
    </row>
    <row r="1284" spans="1:32" s="200" customFormat="1" ht="29.95" customHeight="1" x14ac:dyDescent="0.25">
      <c r="A1284" s="508"/>
      <c r="B1284" s="520"/>
      <c r="C1284" s="1426" t="s">
        <v>10462</v>
      </c>
      <c r="D1284" s="1426"/>
      <c r="E1284" s="1426"/>
      <c r="F1284" s="1426"/>
      <c r="G1284" s="1426"/>
      <c r="H1284" s="1426"/>
      <c r="I1284" s="1426"/>
      <c r="J1284" s="499" t="str">
        <f>Noty!J1283</f>
        <v>odkryj</v>
      </c>
      <c r="K1284" s="197"/>
      <c r="N1284" s="387"/>
    </row>
    <row r="1285" spans="1:32" s="200" customFormat="1" ht="13.6" customHeight="1" x14ac:dyDescent="0.25">
      <c r="A1285" s="508"/>
      <c r="B1285" s="520"/>
      <c r="C1285" s="196"/>
      <c r="D1285" s="196"/>
      <c r="E1285" s="196"/>
      <c r="F1285" s="196"/>
      <c r="G1285" s="196"/>
      <c r="H1285" s="196"/>
      <c r="I1285" s="196"/>
      <c r="J1285" s="499" t="str">
        <f>Noty!J1284</f>
        <v>odkryj</v>
      </c>
      <c r="K1285" s="197"/>
      <c r="N1285" s="387"/>
    </row>
    <row r="1286" spans="1:32" s="200" customFormat="1" ht="13.6" customHeight="1" x14ac:dyDescent="0.25">
      <c r="A1286" s="508"/>
      <c r="B1286" s="520"/>
      <c r="C1286" s="196"/>
      <c r="D1286" s="196"/>
      <c r="E1286" s="196"/>
      <c r="F1286" s="196"/>
      <c r="G1286" s="196"/>
      <c r="H1286" s="999" t="str">
        <f>+Input!$P$7</f>
        <v>31.12.2020</v>
      </c>
      <c r="I1286" s="1000" t="str">
        <f>+Input!$P$11</f>
        <v>31.12.2019</v>
      </c>
      <c r="J1286" s="499" t="str">
        <f>Noty!J1287</f>
        <v>ukryj</v>
      </c>
      <c r="K1286" s="197"/>
      <c r="N1286" s="387"/>
    </row>
    <row r="1287" spans="1:32" s="200" customFormat="1" x14ac:dyDescent="0.25">
      <c r="A1287" s="508"/>
      <c r="B1287" s="520"/>
      <c r="C1287" s="204" t="s">
        <v>10463</v>
      </c>
      <c r="D1287" s="196"/>
      <c r="E1287" s="196"/>
      <c r="F1287" s="196"/>
      <c r="G1287" s="196"/>
      <c r="H1287" s="196"/>
      <c r="I1287" s="196"/>
      <c r="J1287" s="499" t="str">
        <f>Noty!J1292</f>
        <v>ukryj</v>
      </c>
      <c r="K1287" s="197"/>
      <c r="N1287" s="387"/>
    </row>
    <row r="1288" spans="1:32" s="200" customFormat="1" ht="13.6" customHeight="1" x14ac:dyDescent="0.25">
      <c r="A1288" s="508"/>
      <c r="B1288" s="520"/>
      <c r="C1288" s="405" t="s">
        <v>10464</v>
      </c>
      <c r="E1288" s="196"/>
      <c r="F1288" s="196"/>
      <c r="G1288" s="251"/>
      <c r="H1288" s="802"/>
      <c r="I1288" s="802"/>
      <c r="J1288" s="499" t="str">
        <f>IF(Noty!K1282="n/a","ukryj",IF(AND(Noty!H1288=0,Noty!I1288=0),"ukryj","odkryj"))</f>
        <v>ukryj</v>
      </c>
      <c r="K1288" s="197"/>
      <c r="N1288" s="387"/>
      <c r="AE1288" s="200" t="s">
        <v>10465</v>
      </c>
      <c r="AF1288" s="200" t="s">
        <v>10466</v>
      </c>
    </row>
    <row r="1289" spans="1:32" s="200" customFormat="1" ht="13.6" customHeight="1" x14ac:dyDescent="0.25">
      <c r="A1289" s="508"/>
      <c r="B1289" s="520"/>
      <c r="C1289" s="405" t="s">
        <v>9799</v>
      </c>
      <c r="E1289" s="196"/>
      <c r="F1289" s="196"/>
      <c r="G1289" s="251"/>
      <c r="H1289" s="802"/>
      <c r="I1289" s="802"/>
      <c r="J1289" s="499" t="str">
        <f>IF(Noty!K1282="n/a","ukryj",IF(AND(Noty!H1289=0,Noty!I1289=0),"ukryj","odkryj"))</f>
        <v>ukryj</v>
      </c>
      <c r="K1289" s="197"/>
      <c r="N1289" s="387"/>
      <c r="AE1289" s="200" t="s">
        <v>10467</v>
      </c>
      <c r="AF1289" s="200" t="s">
        <v>10468</v>
      </c>
    </row>
    <row r="1290" spans="1:32" s="200" customFormat="1" ht="13.6" customHeight="1" x14ac:dyDescent="0.25">
      <c r="A1290" s="508"/>
      <c r="B1290" s="520"/>
      <c r="C1290" s="405" t="s">
        <v>10469</v>
      </c>
      <c r="E1290" s="196"/>
      <c r="F1290" s="196"/>
      <c r="G1290" s="251"/>
      <c r="H1290" s="802"/>
      <c r="I1290" s="802"/>
      <c r="J1290" s="499" t="str">
        <f>IF(Noty!K1282="n/a","ukryj",IF(AND(Noty!H1290=0,Noty!I1290=0),"ukryj","odkryj"))</f>
        <v>ukryj</v>
      </c>
      <c r="K1290" s="197"/>
      <c r="N1290" s="387"/>
      <c r="AE1290" s="200" t="s">
        <v>10470</v>
      </c>
      <c r="AF1290" s="200" t="s">
        <v>10471</v>
      </c>
    </row>
    <row r="1291" spans="1:32" s="200" customFormat="1" ht="13.6" customHeight="1" x14ac:dyDescent="0.25">
      <c r="A1291" s="508"/>
      <c r="B1291" s="520"/>
      <c r="C1291" s="405" t="s">
        <v>10472</v>
      </c>
      <c r="E1291" s="196"/>
      <c r="F1291" s="196"/>
      <c r="G1291" s="251"/>
      <c r="H1291" s="802"/>
      <c r="I1291" s="802"/>
      <c r="J1291" s="499" t="str">
        <f>IF(Noty!K1282="n/a","ukryj",IF(AND(Noty!H1291=0,Noty!I1291=0),"ukryj","odkryj"))</f>
        <v>ukryj</v>
      </c>
      <c r="K1291" s="197"/>
      <c r="N1291" s="387"/>
      <c r="AE1291" s="200" t="s">
        <v>10473</v>
      </c>
      <c r="AF1291" s="200" t="s">
        <v>10474</v>
      </c>
    </row>
    <row r="1292" spans="1:32" s="200" customFormat="1" ht="13.6" customHeight="1" x14ac:dyDescent="0.25">
      <c r="A1292" s="508"/>
      <c r="B1292" s="520"/>
      <c r="C1292" s="196"/>
      <c r="D1292" s="196"/>
      <c r="E1292" s="196"/>
      <c r="F1292" s="196"/>
      <c r="G1292" s="251"/>
      <c r="H1292" s="734">
        <f>SUM(H1288:H1291)</f>
        <v>0</v>
      </c>
      <c r="I1292" s="734">
        <f>SUM(I1288:I1291)</f>
        <v>0</v>
      </c>
      <c r="J1292" s="499" t="str">
        <f>IF(Noty!K1282="n/a","ukryj",IF(AND(Noty!H1292=0,Noty!I1292=0),"ukryj","odkryj"))</f>
        <v>ukryj</v>
      </c>
      <c r="K1292" s="197"/>
      <c r="N1292" s="387"/>
    </row>
    <row r="1293" spans="1:32" s="200" customFormat="1" ht="13.6" customHeight="1" x14ac:dyDescent="0.25">
      <c r="A1293" s="508"/>
      <c r="B1293" s="520"/>
      <c r="C1293" s="196"/>
      <c r="D1293" s="196"/>
      <c r="E1293" s="196"/>
      <c r="F1293" s="196"/>
      <c r="G1293" s="196"/>
      <c r="H1293" s="544"/>
      <c r="I1293" s="544"/>
      <c r="J1293" s="499" t="str">
        <f>Noty!J1292</f>
        <v>ukryj</v>
      </c>
      <c r="K1293" s="197"/>
      <c r="N1293" s="387"/>
    </row>
    <row r="1294" spans="1:32" s="200" customFormat="1" x14ac:dyDescent="0.25">
      <c r="A1294" s="508"/>
      <c r="B1294" s="520"/>
      <c r="C1294" s="564" t="s">
        <v>10475</v>
      </c>
      <c r="D1294" s="743"/>
      <c r="E1294" s="196"/>
      <c r="F1294" s="196"/>
      <c r="G1294" s="196"/>
      <c r="H1294" s="544"/>
      <c r="I1294" s="544"/>
      <c r="J1294" s="499" t="str">
        <f>Noty!J1298</f>
        <v>ukryj</v>
      </c>
      <c r="K1294" s="197"/>
      <c r="N1294" s="387"/>
    </row>
    <row r="1295" spans="1:32" s="200" customFormat="1" ht="13.6" customHeight="1" x14ac:dyDescent="0.25">
      <c r="A1295" s="508"/>
      <c r="B1295" s="520"/>
      <c r="C1295" s="1408"/>
      <c r="D1295" s="1408"/>
      <c r="E1295" s="1408"/>
      <c r="F1295" s="1408"/>
      <c r="G1295" s="1011"/>
      <c r="H1295" s="802"/>
      <c r="I1295" s="802"/>
      <c r="J1295" s="499" t="str">
        <f>IF(Noty!K1282="n/a","ukryj",IF(AND(Noty!H1295=0,Noty!I1295=0),"ukryj","odkryj"))</f>
        <v>ukryj</v>
      </c>
      <c r="K1295" s="197"/>
      <c r="N1295" s="387"/>
      <c r="AE1295" s="200" t="s">
        <v>10476</v>
      </c>
      <c r="AF1295" s="200" t="s">
        <v>10477</v>
      </c>
    </row>
    <row r="1296" spans="1:32" s="200" customFormat="1" ht="13.6" customHeight="1" x14ac:dyDescent="0.25">
      <c r="A1296" s="508"/>
      <c r="B1296" s="520"/>
      <c r="C1296" s="1408"/>
      <c r="D1296" s="1408"/>
      <c r="E1296" s="1408"/>
      <c r="F1296" s="1408"/>
      <c r="G1296" s="1011"/>
      <c r="H1296" s="802"/>
      <c r="I1296" s="802"/>
      <c r="J1296" s="499" t="str">
        <f>IF(Noty!K1282="n/a","ukryj",IF(AND(Noty!H1296=0,Noty!I1296=0),"ukryj","odkryj"))</f>
        <v>ukryj</v>
      </c>
      <c r="K1296" s="197"/>
      <c r="N1296" s="387"/>
      <c r="AE1296" s="200" t="s">
        <v>10478</v>
      </c>
      <c r="AF1296" s="200" t="s">
        <v>10479</v>
      </c>
    </row>
    <row r="1297" spans="1:32" s="200" customFormat="1" ht="13.6" customHeight="1" x14ac:dyDescent="0.25">
      <c r="A1297" s="508"/>
      <c r="B1297" s="520"/>
      <c r="C1297" s="1408"/>
      <c r="D1297" s="1408"/>
      <c r="E1297" s="1408"/>
      <c r="F1297" s="1408"/>
      <c r="G1297" s="1011"/>
      <c r="H1297" s="802"/>
      <c r="I1297" s="802"/>
      <c r="J1297" s="499" t="str">
        <f>IF(Noty!K1282="n/a","ukryj",IF(AND(Noty!H1297=0,Noty!I1297=0),"ukryj","odkryj"))</f>
        <v>ukryj</v>
      </c>
      <c r="K1297" s="197"/>
      <c r="N1297" s="387"/>
      <c r="AE1297" s="200" t="s">
        <v>10480</v>
      </c>
      <c r="AF1297" s="200" t="s">
        <v>10481</v>
      </c>
    </row>
    <row r="1298" spans="1:32" s="200" customFormat="1" ht="13.6" customHeight="1" x14ac:dyDescent="0.25">
      <c r="A1298" s="508"/>
      <c r="B1298" s="520"/>
      <c r="C1298" s="204"/>
      <c r="D1298" s="204"/>
      <c r="E1298" s="196"/>
      <c r="F1298" s="196"/>
      <c r="G1298" s="251"/>
      <c r="H1298" s="734">
        <f>SUM(H1295:H1297)</f>
        <v>0</v>
      </c>
      <c r="I1298" s="734">
        <f>SUM(I1295:I1297)</f>
        <v>0</v>
      </c>
      <c r="J1298" s="499" t="str">
        <f>IF(Noty!K1282="n/a","ukryj",IF(AND(Noty!H1298=0,Noty!I1298=0),"ukryj","odkryj"))</f>
        <v>ukryj</v>
      </c>
      <c r="K1298" s="197"/>
      <c r="N1298" s="387"/>
    </row>
    <row r="1299" spans="1:32" s="200" customFormat="1" ht="13.6" customHeight="1" x14ac:dyDescent="0.25">
      <c r="A1299" s="508"/>
      <c r="B1299" s="520"/>
      <c r="C1299" s="204"/>
      <c r="D1299" s="204"/>
      <c r="E1299" s="196"/>
      <c r="F1299" s="196"/>
      <c r="G1299" s="196"/>
      <c r="H1299" s="196"/>
      <c r="I1299" s="196"/>
      <c r="J1299" s="499" t="str">
        <f>Noty!J1298</f>
        <v>ukryj</v>
      </c>
      <c r="K1299" s="197"/>
      <c r="N1299" s="387"/>
    </row>
    <row r="1300" spans="1:32" s="200" customFormat="1" ht="27" customHeight="1" x14ac:dyDescent="0.25">
      <c r="A1300" s="508"/>
      <c r="B1300" s="520"/>
      <c r="C1300" s="1426" t="s">
        <v>10482</v>
      </c>
      <c r="D1300" s="1426"/>
      <c r="E1300" s="1426"/>
      <c r="F1300" s="1426"/>
      <c r="G1300" s="1426"/>
      <c r="H1300" s="1426"/>
      <c r="I1300" s="1426"/>
      <c r="J1300" s="499" t="str">
        <f>Noty!J1299</f>
        <v>ukryj</v>
      </c>
      <c r="K1300" s="197"/>
      <c r="N1300" s="387"/>
    </row>
    <row r="1301" spans="1:32" s="200" customFormat="1" ht="13.6" customHeight="1" x14ac:dyDescent="0.25">
      <c r="A1301" s="508"/>
      <c r="B1301" s="520"/>
      <c r="C1301" s="204"/>
      <c r="D1301" s="204"/>
      <c r="E1301" s="196"/>
      <c r="F1301" s="196"/>
      <c r="G1301" s="196"/>
      <c r="H1301" s="196"/>
      <c r="I1301" s="196"/>
      <c r="J1301" s="499" t="str">
        <f>Noty!J1300</f>
        <v>ukryj</v>
      </c>
      <c r="K1301" s="197"/>
      <c r="N1301" s="387"/>
    </row>
    <row r="1302" spans="1:32" s="200" customFormat="1" ht="27" customHeight="1" x14ac:dyDescent="0.25">
      <c r="A1302" s="508"/>
      <c r="B1302" s="520"/>
      <c r="C1302" s="204"/>
      <c r="D1302" s="204"/>
      <c r="E1302" s="196"/>
      <c r="F1302" s="196"/>
      <c r="G1302" s="251"/>
      <c r="H1302" s="999" t="str">
        <f>CONCATENATE(Input!$P$6," -",Input!$P$7)</f>
        <v>01.01.2020 -31.12.2020</v>
      </c>
      <c r="I1302" s="999" t="str">
        <f>CONCATENATE(Input!$P$10," -",Input!$P$11)</f>
        <v>01.01.2019 -31.12.2019</v>
      </c>
      <c r="J1302" s="499" t="str">
        <f>Noty!J1301</f>
        <v>ukryj</v>
      </c>
      <c r="K1302" s="197"/>
      <c r="N1302" s="387"/>
    </row>
    <row r="1303" spans="1:32" s="200" customFormat="1" ht="13.6" customHeight="1" x14ac:dyDescent="0.25">
      <c r="A1303" s="508"/>
      <c r="B1303" s="520"/>
      <c r="E1303" s="196"/>
      <c r="F1303" s="196"/>
      <c r="G1303" s="196"/>
      <c r="H1303" s="196"/>
      <c r="I1303" s="196"/>
      <c r="J1303" s="499" t="str">
        <f>Noty!J1302</f>
        <v>ukryj</v>
      </c>
      <c r="K1303" s="197"/>
      <c r="N1303" s="387"/>
    </row>
    <row r="1304" spans="1:32" s="200" customFormat="1" ht="31.6" customHeight="1" x14ac:dyDescent="0.25">
      <c r="A1304" s="508"/>
      <c r="B1304" s="520"/>
      <c r="C1304" s="1427" t="s">
        <v>10483</v>
      </c>
      <c r="D1304" s="1427"/>
      <c r="E1304" s="1427"/>
      <c r="F1304" s="1427"/>
      <c r="G1304" s="831"/>
      <c r="H1304" s="563"/>
      <c r="I1304" s="544"/>
      <c r="J1304" s="499" t="str">
        <f>Noty!J1308</f>
        <v>ukryj</v>
      </c>
      <c r="K1304" s="197"/>
      <c r="N1304" s="387"/>
    </row>
    <row r="1305" spans="1:32" s="200" customFormat="1" ht="13.6" customHeight="1" x14ac:dyDescent="0.25">
      <c r="A1305" s="508"/>
      <c r="B1305" s="520"/>
      <c r="C1305" s="1386" t="s">
        <v>10484</v>
      </c>
      <c r="D1305" s="1386"/>
      <c r="E1305" s="1386"/>
      <c r="F1305" s="1386"/>
      <c r="G1305" s="1021"/>
      <c r="H1305" s="802"/>
      <c r="I1305" s="802"/>
      <c r="J1305" s="499" t="str">
        <f>IF(Noty!K1282="n/a","ukryj",IF(AND(Noty!H1305=0,Noty!I1305=0),"ukryj","odkryj"))</f>
        <v>ukryj</v>
      </c>
      <c r="K1305" s="197"/>
      <c r="N1305" s="387"/>
      <c r="AE1305" s="200" t="s">
        <v>10485</v>
      </c>
      <c r="AF1305" s="200" t="s">
        <v>10486</v>
      </c>
    </row>
    <row r="1306" spans="1:32" s="200" customFormat="1" ht="13.6" customHeight="1" x14ac:dyDescent="0.25">
      <c r="A1306" s="508"/>
      <c r="B1306" s="520"/>
      <c r="C1306" s="1386" t="s">
        <v>10487</v>
      </c>
      <c r="D1306" s="1386"/>
      <c r="E1306" s="1386"/>
      <c r="F1306" s="1386"/>
      <c r="G1306" s="1021"/>
      <c r="H1306" s="802"/>
      <c r="I1306" s="802"/>
      <c r="J1306" s="499" t="str">
        <f>IF(Noty!K1282="n/a","ukryj",IF(AND(Noty!H1306=0,Noty!I1306=0),"ukryj","odkryj"))</f>
        <v>ukryj</v>
      </c>
      <c r="K1306" s="197"/>
      <c r="N1306" s="387"/>
      <c r="AE1306" s="200" t="s">
        <v>10488</v>
      </c>
      <c r="AF1306" s="200" t="s">
        <v>10489</v>
      </c>
    </row>
    <row r="1307" spans="1:32" s="200" customFormat="1" ht="12.8" customHeight="1" x14ac:dyDescent="0.25">
      <c r="A1307" s="508"/>
      <c r="B1307" s="520"/>
      <c r="C1307" s="1428" t="s">
        <v>10490</v>
      </c>
      <c r="D1307" s="1428"/>
      <c r="E1307" s="1428"/>
      <c r="F1307" s="1428"/>
      <c r="G1307" s="1022"/>
      <c r="H1307" s="802"/>
      <c r="I1307" s="802"/>
      <c r="J1307" s="499" t="str">
        <f>IF(Noty!K1282="n/a","ukryj",IF(AND(Noty!H1307=0,Noty!I1307=0),"ukryj","odkryj"))</f>
        <v>ukryj</v>
      </c>
      <c r="K1307" s="197"/>
      <c r="N1307" s="387"/>
      <c r="AE1307" s="200" t="s">
        <v>10491</v>
      </c>
      <c r="AF1307" s="200" t="s">
        <v>10492</v>
      </c>
    </row>
    <row r="1308" spans="1:32" s="200" customFormat="1" ht="13.6" customHeight="1" x14ac:dyDescent="0.25">
      <c r="A1308" s="508"/>
      <c r="B1308" s="520"/>
      <c r="C1308" s="206"/>
      <c r="E1308" s="196"/>
      <c r="F1308" s="196"/>
      <c r="G1308" s="251"/>
      <c r="H1308" s="734">
        <f>SUM(H1305:H1307)</f>
        <v>0</v>
      </c>
      <c r="I1308" s="734">
        <f>SUM(I1305:I1307)</f>
        <v>0</v>
      </c>
      <c r="J1308" s="499" t="str">
        <f>IF(Noty!K1282="n/a","ukryj",IF(AND(Noty!H1308=0,Noty!I1308=0),"ukryj","odkryj"))</f>
        <v>ukryj</v>
      </c>
      <c r="K1308" s="197"/>
      <c r="N1308" s="387"/>
    </row>
    <row r="1309" spans="1:32" s="200" customFormat="1" ht="13.6" customHeight="1" x14ac:dyDescent="0.25">
      <c r="A1309" s="508"/>
      <c r="B1309" s="520"/>
      <c r="C1309" s="206"/>
      <c r="E1309" s="196"/>
      <c r="F1309" s="196"/>
      <c r="G1309" s="196"/>
      <c r="H1309" s="191"/>
      <c r="I1309" s="191"/>
      <c r="J1309" s="499" t="str">
        <f>Noty!J1308</f>
        <v>ukryj</v>
      </c>
      <c r="K1309" s="197"/>
      <c r="N1309" s="387"/>
    </row>
    <row r="1310" spans="1:32" s="200" customFormat="1" x14ac:dyDescent="0.25">
      <c r="A1310" s="508"/>
      <c r="B1310" s="520"/>
      <c r="C1310" s="185" t="s">
        <v>10493</v>
      </c>
      <c r="G1310" s="205"/>
      <c r="H1310" s="205"/>
      <c r="I1310" s="196"/>
      <c r="J1310" s="499" t="str">
        <f>Noty!J1317</f>
        <v>ukryj</v>
      </c>
      <c r="K1310" s="197"/>
      <c r="N1310" s="387"/>
    </row>
    <row r="1311" spans="1:32" s="200" customFormat="1" ht="13.6" customHeight="1" x14ac:dyDescent="0.25">
      <c r="A1311" s="508"/>
      <c r="B1311" s="520"/>
      <c r="C1311" s="1386" t="s">
        <v>10494</v>
      </c>
      <c r="D1311" s="1386"/>
      <c r="E1311" s="1386"/>
      <c r="F1311" s="1386"/>
      <c r="G1311" s="1023"/>
      <c r="H1311" s="800"/>
      <c r="I1311" s="802"/>
      <c r="J1311" s="499" t="str">
        <f>IF(Noty!K1282="n/a","ukryj",IF(AND(Noty!H1311=0,Noty!I1311=0),"ukryj","odkryj"))</f>
        <v>ukryj</v>
      </c>
      <c r="K1311" s="197"/>
      <c r="N1311" s="387"/>
      <c r="AE1311" s="200" t="s">
        <v>10495</v>
      </c>
      <c r="AF1311" s="200" t="s">
        <v>10496</v>
      </c>
    </row>
    <row r="1312" spans="1:32" s="200" customFormat="1" ht="13.6" customHeight="1" x14ac:dyDescent="0.25">
      <c r="A1312" s="508"/>
      <c r="B1312" s="520"/>
      <c r="C1312" s="1386" t="s">
        <v>10497</v>
      </c>
      <c r="D1312" s="1386"/>
      <c r="E1312" s="1386"/>
      <c r="F1312" s="1386"/>
      <c r="G1312" s="1023"/>
      <c r="H1312" s="800"/>
      <c r="I1312" s="802"/>
      <c r="J1312" s="499" t="str">
        <f>IF(Noty!K1282="n/a","ukryj",IF(AND(Noty!H1312=0,Noty!I1312=0),"ukryj","odkryj"))</f>
        <v>ukryj</v>
      </c>
      <c r="K1312" s="197"/>
      <c r="N1312" s="387"/>
      <c r="AE1312" s="200" t="s">
        <v>10498</v>
      </c>
      <c r="AF1312" s="200" t="s">
        <v>10499</v>
      </c>
    </row>
    <row r="1313" spans="1:32" s="200" customFormat="1" ht="13.6" customHeight="1" x14ac:dyDescent="0.25">
      <c r="A1313" s="508"/>
      <c r="B1313" s="520"/>
      <c r="C1313" s="1386" t="s">
        <v>10500</v>
      </c>
      <c r="D1313" s="1386"/>
      <c r="E1313" s="1386"/>
      <c r="F1313" s="1386"/>
      <c r="G1313" s="1023"/>
      <c r="H1313" s="800"/>
      <c r="I1313" s="802"/>
      <c r="J1313" s="499" t="str">
        <f>IF(Noty!K1282="n/a","ukryj",IF(AND(Noty!H1313=0,Noty!I1313=0),"ukryj","odkryj"))</f>
        <v>ukryj</v>
      </c>
      <c r="K1313" s="197"/>
      <c r="N1313" s="387"/>
      <c r="AE1313" s="200" t="s">
        <v>10501</v>
      </c>
      <c r="AF1313" s="200" t="s">
        <v>10502</v>
      </c>
    </row>
    <row r="1314" spans="1:32" s="200" customFormat="1" ht="13.6" customHeight="1" x14ac:dyDescent="0.25">
      <c r="A1314" s="508"/>
      <c r="B1314" s="520"/>
      <c r="C1314" s="1386" t="s">
        <v>10503</v>
      </c>
      <c r="D1314" s="1386"/>
      <c r="E1314" s="1386"/>
      <c r="F1314" s="1386"/>
      <c r="G1314" s="1023"/>
      <c r="H1314" s="800"/>
      <c r="I1314" s="802"/>
      <c r="J1314" s="499" t="str">
        <f>IF(Noty!K1282="n/a","ukryj",IF(AND(Noty!H1314=0,Noty!I1314=0),"ukryj","odkryj"))</f>
        <v>ukryj</v>
      </c>
      <c r="K1314" s="197"/>
      <c r="N1314" s="387"/>
      <c r="AE1314" s="200" t="s">
        <v>10504</v>
      </c>
      <c r="AF1314" s="200" t="s">
        <v>10505</v>
      </c>
    </row>
    <row r="1315" spans="1:32" s="200" customFormat="1" ht="13.6" customHeight="1" x14ac:dyDescent="0.25">
      <c r="A1315" s="508"/>
      <c r="B1315" s="520"/>
      <c r="C1315" s="1386" t="s">
        <v>10506</v>
      </c>
      <c r="D1315" s="1386"/>
      <c r="E1315" s="1386"/>
      <c r="F1315" s="1386"/>
      <c r="G1315" s="1023"/>
      <c r="H1315" s="800"/>
      <c r="I1315" s="802"/>
      <c r="J1315" s="499" t="str">
        <f>IF(Noty!K1282="n/a","ukryj",IF(AND(Noty!H1315=0,Noty!I1315=0),"ukryj","odkryj"))</f>
        <v>ukryj</v>
      </c>
      <c r="K1315" s="197"/>
      <c r="N1315" s="387"/>
      <c r="AE1315" s="200" t="s">
        <v>10507</v>
      </c>
      <c r="AF1315" s="200" t="s">
        <v>10508</v>
      </c>
    </row>
    <row r="1316" spans="1:32" s="200" customFormat="1" ht="13.6" customHeight="1" x14ac:dyDescent="0.25">
      <c r="A1316" s="508"/>
      <c r="B1316" s="520"/>
      <c r="C1316" s="1386" t="s">
        <v>10509</v>
      </c>
      <c r="D1316" s="1386"/>
      <c r="E1316" s="1386"/>
      <c r="F1316" s="1386"/>
      <c r="G1316" s="1023"/>
      <c r="H1316" s="800"/>
      <c r="I1316" s="802"/>
      <c r="J1316" s="499" t="str">
        <f>IF(Noty!K1282="n/a","ukryj",IF(AND(Noty!H1316=0,Noty!I1316=0),"ukryj","odkryj"))</f>
        <v>ukryj</v>
      </c>
      <c r="K1316" s="197"/>
      <c r="N1316" s="387"/>
      <c r="AE1316" s="200" t="s">
        <v>10510</v>
      </c>
      <c r="AF1316" s="200" t="s">
        <v>10511</v>
      </c>
    </row>
    <row r="1317" spans="1:32" s="200" customFormat="1" ht="13.6" customHeight="1" x14ac:dyDescent="0.25">
      <c r="A1317" s="508"/>
      <c r="B1317" s="520"/>
      <c r="C1317" s="208"/>
      <c r="E1317" s="196"/>
      <c r="F1317" s="196"/>
      <c r="G1317" s="1023"/>
      <c r="H1317" s="734">
        <f>-H1311+H1312-H1313-H1314+H1315-H1316</f>
        <v>0</v>
      </c>
      <c r="I1317" s="734">
        <f>-I1311+I1312-I1313-I1314+I1315-I1316</f>
        <v>0</v>
      </c>
      <c r="J1317" s="499" t="str">
        <f>IF(Noty!K1282="n/a","ukryj",IF(AND(Noty!H1317=0,Noty!I1317=0),"ukryj","odkryj"))</f>
        <v>ukryj</v>
      </c>
      <c r="K1317" s="197"/>
      <c r="N1317" s="387"/>
    </row>
    <row r="1318" spans="1:32" s="200" customFormat="1" ht="13.6" customHeight="1" x14ac:dyDescent="0.25">
      <c r="A1318" s="508"/>
      <c r="B1318" s="520"/>
      <c r="E1318" s="196"/>
      <c r="F1318" s="196"/>
      <c r="G1318" s="205"/>
      <c r="H1318" s="205"/>
      <c r="I1318" s="196"/>
      <c r="J1318" s="499" t="str">
        <f>Noty!J1317</f>
        <v>ukryj</v>
      </c>
      <c r="K1318" s="197"/>
      <c r="N1318" s="387"/>
    </row>
    <row r="1319" spans="1:32" s="200" customFormat="1" x14ac:dyDescent="0.25">
      <c r="A1319" s="509"/>
      <c r="B1319" s="520"/>
      <c r="C1319" s="185" t="s">
        <v>10512</v>
      </c>
      <c r="D1319" s="231"/>
      <c r="H1319" s="544"/>
      <c r="I1319" s="544"/>
      <c r="J1319" s="499" t="str">
        <f>Noty!J1325</f>
        <v>ukryj</v>
      </c>
      <c r="K1319" s="197"/>
      <c r="N1319" s="387"/>
    </row>
    <row r="1320" spans="1:32" s="200" customFormat="1" ht="27.85" customHeight="1" x14ac:dyDescent="0.25">
      <c r="A1320" s="508"/>
      <c r="B1320" s="520"/>
      <c r="C1320" s="1428" t="s">
        <v>10513</v>
      </c>
      <c r="D1320" s="1428"/>
      <c r="E1320" s="1428"/>
      <c r="F1320" s="1428"/>
      <c r="G1320" s="1022"/>
      <c r="H1320" s="800"/>
      <c r="I1320" s="800"/>
      <c r="J1320" s="499" t="str">
        <f>IF(Noty!K1282="n/a","ukryj",IF(AND(Noty!H1320=0,Noty!I1320=0),"ukryj","odkryj"))</f>
        <v>ukryj</v>
      </c>
      <c r="K1320" s="197"/>
      <c r="N1320" s="387"/>
      <c r="AE1320" s="200" t="s">
        <v>10514</v>
      </c>
      <c r="AF1320" s="200" t="s">
        <v>10515</v>
      </c>
    </row>
    <row r="1321" spans="1:32" s="200" customFormat="1" ht="25.55" customHeight="1" x14ac:dyDescent="0.25">
      <c r="A1321" s="508"/>
      <c r="B1321" s="520"/>
      <c r="C1321" s="1428" t="s">
        <v>10516</v>
      </c>
      <c r="D1321" s="1428"/>
      <c r="E1321" s="1428"/>
      <c r="F1321" s="1428"/>
      <c r="G1321" s="1022"/>
      <c r="H1321" s="802"/>
      <c r="I1321" s="802"/>
      <c r="J1321" s="499" t="str">
        <f>IF(Noty!K1282="n/a","ukryj",IF(AND(Noty!H1321=0,Noty!I1321=0),"ukryj","odkryj"))</f>
        <v>ukryj</v>
      </c>
      <c r="K1321" s="197"/>
      <c r="N1321" s="387"/>
      <c r="AE1321" s="200" t="s">
        <v>10517</v>
      </c>
      <c r="AF1321" s="200" t="s">
        <v>10518</v>
      </c>
    </row>
    <row r="1322" spans="1:32" s="200" customFormat="1" ht="13.6" customHeight="1" x14ac:dyDescent="0.25">
      <c r="A1322" s="508"/>
      <c r="B1322" s="520"/>
      <c r="C1322" s="202" t="s">
        <v>10519</v>
      </c>
      <c r="D1322" s="157"/>
      <c r="E1322" s="202"/>
      <c r="F1322" s="202"/>
      <c r="G1322" s="9"/>
      <c r="H1322" s="800"/>
      <c r="I1322" s="800"/>
      <c r="J1322" s="499" t="str">
        <f>IF(Noty!K1282="n/a","ukryj",IF(AND(Noty!H1322=0,Noty!I1322=0),"ukryj","odkryj"))</f>
        <v>ukryj</v>
      </c>
      <c r="K1322" s="197"/>
      <c r="N1322" s="387"/>
      <c r="AE1322" s="200" t="s">
        <v>10520</v>
      </c>
      <c r="AF1322" s="200" t="s">
        <v>10521</v>
      </c>
    </row>
    <row r="1323" spans="1:32" s="200" customFormat="1" ht="13.6" customHeight="1" x14ac:dyDescent="0.25">
      <c r="A1323" s="508"/>
      <c r="B1323" s="520"/>
      <c r="C1323" s="202" t="s">
        <v>10522</v>
      </c>
      <c r="D1323" s="157"/>
      <c r="E1323" s="202"/>
      <c r="F1323" s="202"/>
      <c r="G1323" s="9"/>
      <c r="H1323" s="802"/>
      <c r="I1323" s="802"/>
      <c r="J1323" s="499" t="str">
        <f>IF(Noty!K1282="n/a","ukryj",IF(AND(Noty!H1323=0,Noty!I1323=0),"ukryj","odkryj"))</f>
        <v>ukryj</v>
      </c>
      <c r="K1323" s="197"/>
      <c r="N1323" s="387"/>
      <c r="AE1323" s="200" t="s">
        <v>10523</v>
      </c>
      <c r="AF1323" s="200" t="s">
        <v>10524</v>
      </c>
    </row>
    <row r="1324" spans="1:32" s="200" customFormat="1" ht="13.6" customHeight="1" x14ac:dyDescent="0.25">
      <c r="A1324" s="508"/>
      <c r="B1324" s="520"/>
      <c r="C1324" s="202" t="s">
        <v>10525</v>
      </c>
      <c r="D1324" s="157"/>
      <c r="E1324" s="202"/>
      <c r="F1324" s="202"/>
      <c r="G1324" s="9"/>
      <c r="H1324" s="802"/>
      <c r="I1324" s="802"/>
      <c r="J1324" s="499" t="str">
        <f>IF(Noty!K1282="n/a","ukryj",IF(AND(Noty!H1324=0,Noty!I1324=0),"ukryj","odkryj"))</f>
        <v>ukryj</v>
      </c>
      <c r="K1324" s="197"/>
      <c r="N1324" s="387"/>
      <c r="AE1324" s="200" t="s">
        <v>10526</v>
      </c>
      <c r="AF1324" s="200" t="s">
        <v>10527</v>
      </c>
    </row>
    <row r="1325" spans="1:32" s="200" customFormat="1" ht="13.6" customHeight="1" x14ac:dyDescent="0.25">
      <c r="A1325" s="508"/>
      <c r="B1325" s="520"/>
      <c r="E1325" s="196"/>
      <c r="F1325" s="196"/>
      <c r="G1325" s="251"/>
      <c r="H1325" s="734">
        <f>SUM(H1321:H1324)+H1320</f>
        <v>0</v>
      </c>
      <c r="I1325" s="734">
        <f>SUM(I1321:I1324)+I1320</f>
        <v>0</v>
      </c>
      <c r="J1325" s="499" t="str">
        <f>IF(Noty!K1282="n/a","ukryj",IF(AND(Noty!H1325=0,Noty!I1325=0),"ukryj","odkryj"))</f>
        <v>ukryj</v>
      </c>
      <c r="K1325" s="197"/>
      <c r="N1325" s="387"/>
    </row>
    <row r="1326" spans="1:32" s="200" customFormat="1" ht="13.6" customHeight="1" x14ac:dyDescent="0.25">
      <c r="A1326" s="508"/>
      <c r="B1326" s="520"/>
      <c r="E1326" s="196"/>
      <c r="F1326" s="196"/>
      <c r="G1326" s="196"/>
      <c r="H1326" s="196"/>
      <c r="I1326" s="196"/>
      <c r="J1326" s="499" t="str">
        <f>Noty!J1325</f>
        <v>ukryj</v>
      </c>
      <c r="K1326" s="197"/>
      <c r="N1326" s="387"/>
    </row>
    <row r="1327" spans="1:32" s="211" customFormat="1" x14ac:dyDescent="0.25">
      <c r="A1327" s="516"/>
      <c r="B1327" s="516"/>
      <c r="C1327" s="185" t="s">
        <v>10528</v>
      </c>
      <c r="D1327" s="744"/>
      <c r="E1327" s="744"/>
      <c r="F1327" s="744"/>
      <c r="G1327" s="744"/>
      <c r="H1327" s="745"/>
      <c r="I1327" s="745"/>
      <c r="J1327" s="499" t="str">
        <f>Noty!J1334</f>
        <v>ukryj</v>
      </c>
      <c r="K1327" s="197"/>
      <c r="N1327" s="484"/>
    </row>
    <row r="1328" spans="1:32" s="212" customFormat="1" ht="13.6" customHeight="1" x14ac:dyDescent="0.25">
      <c r="A1328" s="826"/>
      <c r="B1328" s="826"/>
      <c r="C1328" s="202" t="s">
        <v>10529</v>
      </c>
      <c r="D1328" s="841"/>
      <c r="E1328" s="202"/>
      <c r="F1328" s="202"/>
      <c r="G1328" s="1024"/>
      <c r="H1328" s="800">
        <f>_aktywa!H58-_aktywa!F58</f>
        <v>0</v>
      </c>
      <c r="I1328" s="802"/>
      <c r="J1328" s="499" t="str">
        <f>IF(Noty!K1282="n/a","ukryj",IF(AND(Noty!H1328=0,Noty!I1328=0),"ukryj","odkryj"))</f>
        <v>ukryj</v>
      </c>
      <c r="K1328" s="197"/>
      <c r="N1328" s="485"/>
      <c r="AE1328" s="200" t="s">
        <v>10530</v>
      </c>
      <c r="AF1328" s="200" t="s">
        <v>10531</v>
      </c>
    </row>
    <row r="1329" spans="1:32" s="212" customFormat="1" ht="13.6" customHeight="1" x14ac:dyDescent="0.25">
      <c r="A1329" s="826"/>
      <c r="B1329" s="826"/>
      <c r="C1329" s="202" t="s">
        <v>10532</v>
      </c>
      <c r="D1329" s="210"/>
      <c r="E1329" s="202"/>
      <c r="F1329" s="202"/>
      <c r="G1329" s="1024"/>
      <c r="H1329" s="800">
        <f>_aktywa!H24-_aktywa!F24</f>
        <v>0</v>
      </c>
      <c r="I1329" s="802"/>
      <c r="J1329" s="499" t="str">
        <f>IF(Noty!K1282="n/a","ukryj",IF(AND(Noty!H1329=0,Noty!I1329=0),"ukryj","odkryj"))</f>
        <v>ukryj</v>
      </c>
      <c r="K1329" s="213"/>
      <c r="N1329" s="485"/>
      <c r="AE1329" s="200" t="s">
        <v>10533</v>
      </c>
      <c r="AF1329" s="200" t="s">
        <v>10534</v>
      </c>
    </row>
    <row r="1330" spans="1:32" s="212" customFormat="1" ht="13.6" customHeight="1" x14ac:dyDescent="0.25">
      <c r="A1330" s="826"/>
      <c r="B1330" s="826"/>
      <c r="C1330" s="202" t="s">
        <v>10535</v>
      </c>
      <c r="D1330" s="841"/>
      <c r="E1330" s="202"/>
      <c r="F1330" s="202"/>
      <c r="G1330" s="1024"/>
      <c r="H1330" s="802"/>
      <c r="I1330" s="802"/>
      <c r="J1330" s="499" t="str">
        <f>IF(Noty!K1282="n/a","ukryj",IF(AND(Noty!H1330=0,Noty!I1330=0),"ukryj","odkryj"))</f>
        <v>ukryj</v>
      </c>
      <c r="K1330" s="213"/>
      <c r="N1330" s="485"/>
      <c r="AE1330" s="200" t="s">
        <v>10536</v>
      </c>
      <c r="AF1330" s="200" t="s">
        <v>10537</v>
      </c>
    </row>
    <row r="1331" spans="1:32" s="212" customFormat="1" ht="13.6" customHeight="1" x14ac:dyDescent="0.25">
      <c r="A1331" s="826"/>
      <c r="B1331" s="826"/>
      <c r="C1331" s="202" t="s">
        <v>10538</v>
      </c>
      <c r="D1331" s="210"/>
      <c r="E1331" s="202"/>
      <c r="F1331" s="202"/>
      <c r="G1331" s="1024"/>
      <c r="H1331" s="802"/>
      <c r="I1331" s="802"/>
      <c r="J1331" s="499" t="str">
        <f>IF(Noty!K1282="n/a","ukryj",IF(AND(Noty!H1331=0,Noty!I1331=0),"ukryj","odkryj"))</f>
        <v>ukryj</v>
      </c>
      <c r="K1331" s="213"/>
      <c r="N1331" s="485"/>
      <c r="AE1331" s="200" t="s">
        <v>10539</v>
      </c>
      <c r="AF1331" s="200" t="s">
        <v>10540</v>
      </c>
    </row>
    <row r="1332" spans="1:32" s="212" customFormat="1" ht="13.6" customHeight="1" x14ac:dyDescent="0.25">
      <c r="A1332" s="826"/>
      <c r="B1332" s="826"/>
      <c r="C1332" s="202" t="s">
        <v>10541</v>
      </c>
      <c r="D1332" s="210"/>
      <c r="E1332" s="202"/>
      <c r="F1332" s="202"/>
      <c r="G1332" s="1024"/>
      <c r="H1332" s="802"/>
      <c r="I1332" s="802"/>
      <c r="J1332" s="499" t="str">
        <f>IF(Noty!K1282="n/a","ukryj",IF(AND(Noty!H1332=0,Noty!I1332=0),"ukryj","odkryj"))</f>
        <v>ukryj</v>
      </c>
      <c r="K1332" s="213"/>
      <c r="N1332" s="485"/>
      <c r="AE1332" s="200" t="s">
        <v>10542</v>
      </c>
      <c r="AF1332" s="200" t="s">
        <v>10543</v>
      </c>
    </row>
    <row r="1333" spans="1:32" s="212" customFormat="1" ht="13.6" customHeight="1" x14ac:dyDescent="0.25">
      <c r="A1333" s="826"/>
      <c r="B1333" s="826"/>
      <c r="C1333" s="202" t="s">
        <v>10544</v>
      </c>
      <c r="D1333" s="746"/>
      <c r="E1333" s="746"/>
      <c r="F1333" s="746"/>
      <c r="G1333" s="1024"/>
      <c r="H1333" s="802"/>
      <c r="I1333" s="802"/>
      <c r="J1333" s="499" t="str">
        <f>IF(Noty!K1282="n/a","ukryj",IF(AND(Noty!H1333=0,Noty!I1333=0),"ukryj","odkryj"))</f>
        <v>ukryj</v>
      </c>
      <c r="K1333" s="213"/>
      <c r="N1333" s="485"/>
      <c r="AE1333" s="200" t="s">
        <v>10545</v>
      </c>
      <c r="AF1333" s="200" t="s">
        <v>10546</v>
      </c>
    </row>
    <row r="1334" spans="1:32" s="200" customFormat="1" ht="13.6" customHeight="1" x14ac:dyDescent="0.25">
      <c r="A1334" s="508"/>
      <c r="B1334" s="520"/>
      <c r="E1334" s="196"/>
      <c r="F1334" s="196"/>
      <c r="G1334" s="251"/>
      <c r="H1334" s="734">
        <f>H1328+H1329-SUM(H1330:H1333)</f>
        <v>0</v>
      </c>
      <c r="I1334" s="734">
        <f>I1328+I1329-SUM(I1330:I1333)</f>
        <v>0</v>
      </c>
      <c r="J1334" s="499" t="str">
        <f>IF(Noty!K1282="n/a","ukryj",IF(AND(Noty!H1334=0,Noty!I1334=0),"ukryj","odkryj"))</f>
        <v>ukryj</v>
      </c>
      <c r="K1334" s="213"/>
      <c r="N1334" s="387"/>
    </row>
    <row r="1335" spans="1:32" s="200" customFormat="1" ht="13.6" customHeight="1" x14ac:dyDescent="0.25">
      <c r="A1335" s="508"/>
      <c r="B1335" s="520"/>
      <c r="E1335" s="196"/>
      <c r="F1335" s="196"/>
      <c r="G1335" s="196"/>
      <c r="H1335" s="191"/>
      <c r="I1335" s="191"/>
      <c r="J1335" s="499" t="str">
        <f>Noty!J1334</f>
        <v>ukryj</v>
      </c>
      <c r="K1335" s="197"/>
      <c r="N1335" s="387"/>
    </row>
    <row r="1336" spans="1:32" s="200" customFormat="1" ht="31.6" customHeight="1" x14ac:dyDescent="0.25">
      <c r="A1336" s="509"/>
      <c r="B1336" s="520"/>
      <c r="C1336" s="1427" t="s">
        <v>10547</v>
      </c>
      <c r="D1336" s="1427"/>
      <c r="E1336" s="1427"/>
      <c r="F1336" s="1427"/>
      <c r="G1336" s="831"/>
      <c r="H1336" s="207"/>
      <c r="I1336" s="207"/>
      <c r="J1336" s="499" t="str">
        <f>Noty!J1345</f>
        <v>ukryj</v>
      </c>
      <c r="K1336" s="197"/>
      <c r="N1336" s="387"/>
    </row>
    <row r="1337" spans="1:32" s="200" customFormat="1" ht="13.6" customHeight="1" x14ac:dyDescent="0.25">
      <c r="A1337" s="508"/>
      <c r="B1337" s="520"/>
      <c r="C1337" s="1386" t="s">
        <v>10548</v>
      </c>
      <c r="D1337" s="1386"/>
      <c r="E1337" s="1386"/>
      <c r="F1337" s="1386"/>
      <c r="G1337" s="9"/>
      <c r="H1337" s="800">
        <f>_pasywa!F38-_pasywa!H38</f>
        <v>0</v>
      </c>
      <c r="I1337" s="802"/>
      <c r="J1337" s="499" t="str">
        <f>IF(Noty!K1282="n/a","ukryj",IF(AND(Noty!H1337=0,Noty!I1337=0),"ukryj","odkryj"))</f>
        <v>ukryj</v>
      </c>
      <c r="K1337" s="214"/>
      <c r="L1337" s="215"/>
      <c r="N1337" s="387"/>
      <c r="AE1337" s="200" t="s">
        <v>10549</v>
      </c>
      <c r="AF1337" s="200" t="s">
        <v>10550</v>
      </c>
    </row>
    <row r="1338" spans="1:32" s="200" customFormat="1" ht="13.6" customHeight="1" x14ac:dyDescent="0.25">
      <c r="A1338" s="508"/>
      <c r="B1338" s="520"/>
      <c r="C1338" s="1386" t="s">
        <v>10551</v>
      </c>
      <c r="D1338" s="1386"/>
      <c r="E1338" s="1386"/>
      <c r="F1338" s="1386"/>
      <c r="G1338" s="9"/>
      <c r="H1338" s="800">
        <f>_pasywa!F50-_pasywa!H50</f>
        <v>0</v>
      </c>
      <c r="I1338" s="802"/>
      <c r="J1338" s="499" t="str">
        <f>IF(Noty!K1282="n/a","ukryj",IF(AND(Noty!H1338=0,Noty!I1338=0),"ukryj","odkryj"))</f>
        <v>ukryj</v>
      </c>
      <c r="K1338" s="214"/>
      <c r="L1338" s="215"/>
      <c r="N1338" s="387"/>
      <c r="AE1338" s="200" t="s">
        <v>10552</v>
      </c>
      <c r="AF1338" s="200" t="s">
        <v>10553</v>
      </c>
    </row>
    <row r="1339" spans="1:32" s="200" customFormat="1" ht="12.8" customHeight="1" x14ac:dyDescent="0.25">
      <c r="A1339" s="508"/>
      <c r="B1339" s="520"/>
      <c r="C1339" s="1428" t="s">
        <v>10554</v>
      </c>
      <c r="D1339" s="1428"/>
      <c r="E1339" s="1428"/>
      <c r="F1339" s="1428"/>
      <c r="G1339" s="1022"/>
      <c r="H1339" s="802"/>
      <c r="I1339" s="802"/>
      <c r="J1339" s="499" t="str">
        <f>IF(Noty!K1282="n/a","ukryj",IF(AND(Noty!H1339=0,Noty!I1339=0),"ukryj","odkryj"))</f>
        <v>ukryj</v>
      </c>
      <c r="K1339" s="214"/>
      <c r="L1339" s="215"/>
      <c r="N1339" s="387"/>
      <c r="AE1339" s="200" t="s">
        <v>10555</v>
      </c>
      <c r="AF1339" s="200" t="s">
        <v>10556</v>
      </c>
    </row>
    <row r="1340" spans="1:32" s="200" customFormat="1" ht="13.6" customHeight="1" x14ac:dyDescent="0.25">
      <c r="A1340" s="508"/>
      <c r="B1340" s="520"/>
      <c r="C1340" s="1386" t="s">
        <v>10557</v>
      </c>
      <c r="D1340" s="1386"/>
      <c r="E1340" s="1386"/>
      <c r="F1340" s="1386"/>
      <c r="G1340" s="9"/>
      <c r="H1340" s="802"/>
      <c r="I1340" s="802"/>
      <c r="J1340" s="499" t="str">
        <f>IF(Noty!K1282="n/a","ukryj",IF(AND(Noty!H1340=0,Noty!I1340=0),"ukryj","odkryj"))</f>
        <v>ukryj</v>
      </c>
      <c r="K1340" s="214"/>
      <c r="L1340" s="215"/>
      <c r="N1340" s="387"/>
      <c r="AE1340" s="200" t="s">
        <v>10558</v>
      </c>
      <c r="AF1340" s="200" t="s">
        <v>10559</v>
      </c>
    </row>
    <row r="1341" spans="1:32" s="200" customFormat="1" ht="13.6" customHeight="1" x14ac:dyDescent="0.25">
      <c r="A1341" s="508"/>
      <c r="B1341" s="520"/>
      <c r="C1341" s="1386" t="s">
        <v>10560</v>
      </c>
      <c r="D1341" s="1386"/>
      <c r="E1341" s="1386"/>
      <c r="F1341" s="1386"/>
      <c r="G1341" s="9"/>
      <c r="H1341" s="802"/>
      <c r="I1341" s="802"/>
      <c r="J1341" s="499" t="str">
        <f>IF(Noty!K1282="n/a","ukryj",IF(AND(Noty!H1341=0,Noty!I1341=0),"ukryj","odkryj"))</f>
        <v>ukryj</v>
      </c>
      <c r="K1341" s="214"/>
      <c r="L1341" s="215"/>
      <c r="N1341" s="387"/>
      <c r="AE1341" s="200" t="s">
        <v>10561</v>
      </c>
      <c r="AF1341" s="200" t="s">
        <v>10562</v>
      </c>
    </row>
    <row r="1342" spans="1:32" s="200" customFormat="1" ht="27" customHeight="1" x14ac:dyDescent="0.25">
      <c r="A1342" s="508"/>
      <c r="B1342" s="520"/>
      <c r="C1342" s="1428" t="s">
        <v>10563</v>
      </c>
      <c r="D1342" s="1428"/>
      <c r="E1342" s="1428"/>
      <c r="F1342" s="1428"/>
      <c r="G1342" s="1022"/>
      <c r="H1342" s="802"/>
      <c r="I1342" s="802"/>
      <c r="J1342" s="499" t="str">
        <f>IF(Noty!K1282="n/a","ukryj",IF(AND(Noty!H1342=0,Noty!I1342=0),"ukryj","odkryj"))</f>
        <v>ukryj</v>
      </c>
      <c r="K1342" s="214"/>
      <c r="L1342" s="215"/>
      <c r="N1342" s="387"/>
      <c r="AE1342" s="200" t="s">
        <v>10564</v>
      </c>
      <c r="AF1342" s="200" t="s">
        <v>10565</v>
      </c>
    </row>
    <row r="1343" spans="1:32" s="200" customFormat="1" ht="27.85" customHeight="1" x14ac:dyDescent="0.25">
      <c r="A1343" s="508"/>
      <c r="B1343" s="520"/>
      <c r="C1343" s="1428" t="s">
        <v>10566</v>
      </c>
      <c r="D1343" s="1428"/>
      <c r="E1343" s="1428"/>
      <c r="F1343" s="1428"/>
      <c r="G1343" s="1022"/>
      <c r="H1343" s="802"/>
      <c r="I1343" s="802"/>
      <c r="J1343" s="499" t="str">
        <f>IF(Noty!K1282="n/a","ukryj",IF(AND(Noty!H1343=0,Noty!I1343=0),"ukryj","odkryj"))</f>
        <v>ukryj</v>
      </c>
      <c r="K1343" s="214"/>
      <c r="L1343" s="215"/>
      <c r="N1343" s="387"/>
      <c r="AE1343" s="200" t="s">
        <v>10567</v>
      </c>
      <c r="AF1343" s="200" t="s">
        <v>10568</v>
      </c>
    </row>
    <row r="1344" spans="1:32" s="200" customFormat="1" ht="13.6" customHeight="1" x14ac:dyDescent="0.25">
      <c r="A1344" s="508"/>
      <c r="B1344" s="520"/>
      <c r="C1344" s="1428" t="s">
        <v>10569</v>
      </c>
      <c r="D1344" s="1428"/>
      <c r="E1344" s="1428"/>
      <c r="F1344" s="1428"/>
      <c r="G1344" s="1022"/>
      <c r="H1344" s="802"/>
      <c r="I1344" s="802"/>
      <c r="J1344" s="499" t="str">
        <f>IF(Noty!K1282="n/a","ukryj",IF(AND(Noty!H1344=0,Noty!I1344=0),"ukryj","odkryj"))</f>
        <v>ukryj</v>
      </c>
      <c r="K1344" s="216"/>
      <c r="L1344" s="215"/>
      <c r="N1344" s="387"/>
      <c r="AE1344" s="200" t="s">
        <v>10570</v>
      </c>
      <c r="AF1344" s="200" t="s">
        <v>10571</v>
      </c>
    </row>
    <row r="1345" spans="1:32" s="200" customFormat="1" ht="13.6" customHeight="1" x14ac:dyDescent="0.25">
      <c r="A1345" s="508"/>
      <c r="B1345" s="520"/>
      <c r="E1345" s="196"/>
      <c r="F1345" s="196"/>
      <c r="G1345" s="251"/>
      <c r="H1345" s="734">
        <f>H1337-SUM(H1338:H1344)</f>
        <v>0</v>
      </c>
      <c r="I1345" s="734">
        <f>I1337-SUM(I1338:I1344)</f>
        <v>0</v>
      </c>
      <c r="J1345" s="499" t="str">
        <f>IF(Noty!K1282="n/a","ukryj",IF(AND(Noty!H1345=0,Noty!I1345=0),"ukryj","odkryj"))</f>
        <v>ukryj</v>
      </c>
      <c r="K1345" s="216"/>
      <c r="L1345" s="215"/>
      <c r="N1345" s="387"/>
    </row>
    <row r="1346" spans="1:32" s="200" customFormat="1" ht="13.6" customHeight="1" x14ac:dyDescent="0.25">
      <c r="A1346" s="508"/>
      <c r="B1346" s="520"/>
      <c r="E1346" s="196"/>
      <c r="F1346" s="196"/>
      <c r="G1346" s="196"/>
      <c r="H1346" s="191"/>
      <c r="I1346" s="191"/>
      <c r="J1346" s="499" t="str">
        <f>Noty!J1345</f>
        <v>ukryj</v>
      </c>
      <c r="K1346" s="216"/>
      <c r="L1346" s="215"/>
      <c r="N1346" s="387"/>
    </row>
    <row r="1347" spans="1:32" s="200" customFormat="1" ht="27" customHeight="1" x14ac:dyDescent="0.25">
      <c r="A1347" s="509"/>
      <c r="B1347" s="520"/>
      <c r="C1347" s="1427" t="s">
        <v>10572</v>
      </c>
      <c r="D1347" s="1427"/>
      <c r="E1347" s="1427"/>
      <c r="F1347" s="1427"/>
      <c r="G1347" s="831"/>
      <c r="H1347" s="196"/>
      <c r="I1347" s="196"/>
      <c r="J1347" s="499" t="str">
        <f>Noty!J1354</f>
        <v>ukryj</v>
      </c>
      <c r="K1347" s="197"/>
      <c r="N1347" s="387"/>
    </row>
    <row r="1348" spans="1:32" s="200" customFormat="1" ht="13.6" customHeight="1" x14ac:dyDescent="0.25">
      <c r="A1348" s="508"/>
      <c r="B1348" s="520"/>
      <c r="C1348" s="1386" t="s">
        <v>10573</v>
      </c>
      <c r="D1348" s="1386"/>
      <c r="E1348" s="1386"/>
      <c r="F1348" s="1386"/>
      <c r="G1348" s="9"/>
      <c r="H1348" s="800">
        <f>Noty!I14</f>
        <v>0</v>
      </c>
      <c r="I1348" s="802"/>
      <c r="J1348" s="499" t="str">
        <f>IF(Noty!K1282="n/a","ukryj",IF(AND(Noty!H1348=0,Noty!I1348=0),"ukryj","odkryj"))</f>
        <v>ukryj</v>
      </c>
      <c r="K1348" s="197"/>
      <c r="N1348" s="387"/>
      <c r="AE1348" s="200" t="s">
        <v>10574</v>
      </c>
      <c r="AF1348" s="200" t="s">
        <v>10575</v>
      </c>
    </row>
    <row r="1349" spans="1:32" s="200" customFormat="1" ht="23.25" customHeight="1" x14ac:dyDescent="0.25">
      <c r="A1349" s="508"/>
      <c r="B1349" s="520"/>
      <c r="C1349" s="1428" t="s">
        <v>10566</v>
      </c>
      <c r="D1349" s="1428"/>
      <c r="E1349" s="1428"/>
      <c r="F1349" s="1428"/>
      <c r="G1349" s="1022"/>
      <c r="H1349" s="802"/>
      <c r="I1349" s="802"/>
      <c r="J1349" s="499" t="str">
        <f>IF(Noty!K1282="n/a","ukryj",IF(AND(Noty!H1349=0,Noty!I1349=0),"ukryj","odkryj"))</f>
        <v>ukryj</v>
      </c>
      <c r="K1349" s="197"/>
      <c r="N1349" s="387"/>
      <c r="AE1349" s="200" t="s">
        <v>10576</v>
      </c>
      <c r="AF1349" s="200" t="s">
        <v>10577</v>
      </c>
    </row>
    <row r="1350" spans="1:32" s="200" customFormat="1" ht="13.6" customHeight="1" x14ac:dyDescent="0.25">
      <c r="A1350" s="508"/>
      <c r="B1350" s="520"/>
      <c r="C1350" s="1386" t="s">
        <v>10578</v>
      </c>
      <c r="D1350" s="1386"/>
      <c r="E1350" s="1386"/>
      <c r="F1350" s="1386"/>
      <c r="G1350" s="9"/>
      <c r="H1350" s="800"/>
      <c r="I1350" s="802"/>
      <c r="J1350" s="499" t="str">
        <f>IF(Noty!K1282="n/a","ukryj",IF(AND(Noty!H1350=0,Noty!I1350=0),"ukryj","odkryj"))</f>
        <v>ukryj</v>
      </c>
      <c r="K1350" s="197"/>
      <c r="N1350" s="387"/>
      <c r="AE1350" s="200" t="s">
        <v>10579</v>
      </c>
      <c r="AF1350" s="200" t="s">
        <v>10580</v>
      </c>
    </row>
    <row r="1351" spans="1:32" s="200" customFormat="1" ht="13.6" customHeight="1" x14ac:dyDescent="0.25">
      <c r="A1351" s="508"/>
      <c r="B1351" s="520"/>
      <c r="C1351" s="1386" t="s">
        <v>10581</v>
      </c>
      <c r="D1351" s="1386"/>
      <c r="E1351" s="1386"/>
      <c r="F1351" s="1386"/>
      <c r="G1351" s="9"/>
      <c r="H1351" s="800">
        <f>Noty!I193-Noty!I192</f>
        <v>0</v>
      </c>
      <c r="I1351" s="802"/>
      <c r="J1351" s="499" t="str">
        <f>IF(Noty!K1282="n/a","ukryj",IF(AND(Noty!H1351=0,Noty!I1351=0),"ukryj","odkryj"))</f>
        <v>ukryj</v>
      </c>
      <c r="K1351" s="197"/>
      <c r="N1351" s="387"/>
      <c r="AE1351" s="200" t="s">
        <v>10582</v>
      </c>
      <c r="AF1351" s="200" t="s">
        <v>10583</v>
      </c>
    </row>
    <row r="1352" spans="1:32" s="200" customFormat="1" ht="29.95" customHeight="1" x14ac:dyDescent="0.25">
      <c r="A1352" s="508"/>
      <c r="B1352" s="520"/>
      <c r="C1352" s="1428" t="s">
        <v>10584</v>
      </c>
      <c r="D1352" s="1428"/>
      <c r="E1352" s="1428"/>
      <c r="F1352" s="1428"/>
      <c r="G1352" s="1022"/>
      <c r="H1352" s="802"/>
      <c r="I1352" s="802"/>
      <c r="J1352" s="499" t="str">
        <f>IF(Noty!K1282="n/a","ukryj",IF(AND(Noty!H1352=0,Noty!I1352=0),"ukryj","odkryj"))</f>
        <v>ukryj</v>
      </c>
      <c r="K1352" s="197"/>
      <c r="N1352" s="387"/>
      <c r="AE1352" s="200" t="s">
        <v>10585</v>
      </c>
      <c r="AF1352" s="200" t="s">
        <v>10586</v>
      </c>
    </row>
    <row r="1353" spans="1:32" s="200" customFormat="1" ht="13.6" customHeight="1" x14ac:dyDescent="0.25">
      <c r="A1353" s="508"/>
      <c r="B1353" s="520"/>
      <c r="C1353" s="1386" t="s">
        <v>10587</v>
      </c>
      <c r="D1353" s="1386"/>
      <c r="E1353" s="1386"/>
      <c r="F1353" s="1386"/>
      <c r="G1353" s="9"/>
      <c r="H1353" s="800">
        <f>_aktywa!F22-_aktywa!H22</f>
        <v>0</v>
      </c>
      <c r="I1353" s="802"/>
      <c r="J1353" s="499" t="str">
        <f>IF(Noty!K1282="n/a","ukryj",IF(AND(Noty!H1353=0,Noty!I1353=0),"ukryj","odkryj"))</f>
        <v>ukryj</v>
      </c>
      <c r="K1353" s="197"/>
      <c r="N1353" s="387"/>
      <c r="AE1353" s="200" t="s">
        <v>10588</v>
      </c>
      <c r="AF1353" s="200" t="s">
        <v>10589</v>
      </c>
    </row>
    <row r="1354" spans="1:32" s="200" customFormat="1" ht="13.6" customHeight="1" x14ac:dyDescent="0.25">
      <c r="A1354" s="508"/>
      <c r="B1354" s="520"/>
      <c r="E1354" s="196"/>
      <c r="F1354" s="196"/>
      <c r="G1354" s="251"/>
      <c r="H1354" s="734">
        <f>H1348-H1349+H1350+H1351-H1352+H1353</f>
        <v>0</v>
      </c>
      <c r="I1354" s="734">
        <f>I1348-I1349+I1350+I1351-I1352+I1353</f>
        <v>0</v>
      </c>
      <c r="J1354" s="499" t="str">
        <f>IF(Noty!K1282="n/a","ukryj",IF(AND(Noty!H1354=0,Noty!I1354=0),"ukryj","odkryj"))</f>
        <v>ukryj</v>
      </c>
      <c r="K1354" s="197"/>
      <c r="N1354" s="387"/>
    </row>
    <row r="1355" spans="1:32" s="200" customFormat="1" ht="13.6" customHeight="1" x14ac:dyDescent="0.25">
      <c r="A1355" s="508"/>
      <c r="B1355" s="520"/>
      <c r="E1355" s="196"/>
      <c r="F1355" s="196"/>
      <c r="G1355" s="205"/>
      <c r="H1355" s="205"/>
      <c r="I1355" s="196"/>
      <c r="J1355" s="499" t="str">
        <f>Noty!J1354</f>
        <v>ukryj</v>
      </c>
      <c r="K1355" s="197"/>
      <c r="N1355" s="387"/>
    </row>
    <row r="1356" spans="1:32" s="200" customFormat="1" x14ac:dyDescent="0.25">
      <c r="A1356" s="508"/>
      <c r="B1356" s="520"/>
      <c r="C1356" s="1421" t="s">
        <v>10590</v>
      </c>
      <c r="D1356" s="1421"/>
      <c r="E1356" s="1421"/>
      <c r="F1356" s="1421"/>
      <c r="H1356" s="747"/>
      <c r="I1356" s="747"/>
      <c r="J1356" s="499" t="str">
        <f>Noty!J1359</f>
        <v>ukryj</v>
      </c>
      <c r="K1356" s="197"/>
      <c r="N1356" s="387"/>
    </row>
    <row r="1357" spans="1:32" s="200" customFormat="1" ht="13.6" customHeight="1" x14ac:dyDescent="0.25">
      <c r="A1357" s="508"/>
      <c r="B1357" s="520"/>
      <c r="C1357" s="1431"/>
      <c r="D1357" s="1431"/>
      <c r="E1357" s="1431"/>
      <c r="F1357" s="1431"/>
      <c r="G1357" s="994"/>
      <c r="H1357" s="802"/>
      <c r="I1357" s="802"/>
      <c r="J1357" s="499" t="str">
        <f>IF(Noty!K1282="n/a","ukryj",IF(AND(Noty!H1357=0,Noty!I1357=0),"ukryj","odkryj"))</f>
        <v>ukryj</v>
      </c>
      <c r="K1357" s="197"/>
      <c r="N1357" s="387"/>
      <c r="AE1357" s="200" t="s">
        <v>10591</v>
      </c>
      <c r="AF1357" s="200" t="s">
        <v>10592</v>
      </c>
    </row>
    <row r="1358" spans="1:32" s="200" customFormat="1" ht="13.6" customHeight="1" x14ac:dyDescent="0.25">
      <c r="A1358" s="508"/>
      <c r="B1358" s="520"/>
      <c r="C1358" s="1431"/>
      <c r="D1358" s="1431"/>
      <c r="E1358" s="1431"/>
      <c r="F1358" s="1431"/>
      <c r="G1358" s="994"/>
      <c r="H1358" s="802"/>
      <c r="I1358" s="802"/>
      <c r="J1358" s="499" t="str">
        <f>IF(Noty!K1282="n/a","ukryj",IF(AND(Noty!H1358=0,Noty!I1358=0),"ukryj","odkryj"))</f>
        <v>ukryj</v>
      </c>
      <c r="K1358" s="197"/>
      <c r="N1358" s="387"/>
      <c r="AE1358" s="200" t="s">
        <v>10593</v>
      </c>
      <c r="AF1358" s="200" t="s">
        <v>10594</v>
      </c>
    </row>
    <row r="1359" spans="1:32" s="200" customFormat="1" ht="13.6" customHeight="1" x14ac:dyDescent="0.25">
      <c r="A1359" s="508"/>
      <c r="B1359" s="520"/>
      <c r="C1359" s="206"/>
      <c r="E1359" s="196"/>
      <c r="F1359" s="196"/>
      <c r="G1359" s="251"/>
      <c r="H1359" s="748">
        <f>SUM(H1356:H1358)</f>
        <v>0</v>
      </c>
      <c r="I1359" s="748">
        <f>SUM(I1356:I1358)</f>
        <v>0</v>
      </c>
      <c r="J1359" s="499" t="str">
        <f>IF(Noty!K1282="n/a","ukryj",IF(AND(Noty!H1359=0,Noty!I1359=0),"ukryj","odkryj"))</f>
        <v>ukryj</v>
      </c>
      <c r="K1359" s="197"/>
      <c r="N1359" s="387"/>
    </row>
    <row r="1360" spans="1:32" s="200" customFormat="1" ht="13.6" customHeight="1" thickBot="1" x14ac:dyDescent="0.3">
      <c r="A1360" s="508"/>
      <c r="B1360" s="520"/>
      <c r="C1360" s="206"/>
      <c r="E1360" s="196"/>
      <c r="F1360" s="196"/>
      <c r="G1360" s="196"/>
      <c r="H1360" s="196"/>
      <c r="I1360" s="196"/>
      <c r="J1360" s="499" t="str">
        <f>Noty!J1359</f>
        <v>ukryj</v>
      </c>
      <c r="K1360" s="197"/>
      <c r="N1360" s="387"/>
    </row>
    <row r="1361" spans="1:15" s="200" customFormat="1" ht="15.75" thickBot="1" x14ac:dyDescent="0.35">
      <c r="A1361" s="1180">
        <f>IF(K1361="n/a",A1282,A1282+1)</f>
        <v>6</v>
      </c>
      <c r="B1361" s="1182"/>
      <c r="C1361" s="1388" t="s">
        <v>10595</v>
      </c>
      <c r="D1361" s="1388"/>
      <c r="E1361" s="1388"/>
      <c r="F1361" s="1388"/>
      <c r="G1361" s="1388"/>
      <c r="H1361" s="1388"/>
      <c r="I1361" s="1388"/>
      <c r="J1361" s="499" t="str">
        <f>IF(Noty!K1361="n/a","ukryj","odkryj")</f>
        <v>odkryj</v>
      </c>
      <c r="K1361" s="1215" t="str">
        <f>IF(AND(K1363="n/a",K1380="n/a"),"n/a","")</f>
        <v/>
      </c>
      <c r="L1361" s="971" t="str">
        <f>A1361&amp;"."&amp;B1361</f>
        <v>6.</v>
      </c>
      <c r="N1361" s="1101" t="s">
        <v>9378</v>
      </c>
      <c r="O1361" s="489" t="str">
        <f>A1361&amp;"."&amp;B1361</f>
        <v>6.</v>
      </c>
    </row>
    <row r="1362" spans="1:15" s="200" customFormat="1" ht="13.6" customHeight="1" thickBot="1" x14ac:dyDescent="0.3">
      <c r="A1362" s="508"/>
      <c r="B1362" s="520"/>
      <c r="J1362" s="499" t="str">
        <f>Noty!J1361</f>
        <v>odkryj</v>
      </c>
      <c r="K1362" s="489"/>
      <c r="N1362" s="387"/>
    </row>
    <row r="1363" spans="1:15" s="200" customFormat="1" ht="13.6" customHeight="1" thickBot="1" x14ac:dyDescent="0.3">
      <c r="A1363" s="508"/>
      <c r="B1363" s="520"/>
      <c r="C1363" s="565" t="s">
        <v>10596</v>
      </c>
      <c r="D1363" s="9"/>
      <c r="E1363" s="9"/>
      <c r="F1363" s="9"/>
      <c r="G1363" s="9"/>
      <c r="H1363" s="9"/>
      <c r="I1363" s="9"/>
      <c r="J1363" s="499" t="str">
        <f>IF(Noty!K1363="n/a","ukryj","odkryj")</f>
        <v>ukryj</v>
      </c>
      <c r="K1363" s="1226" t="str">
        <f>IF(Input!D170="nie","n/a","")</f>
        <v>n/a</v>
      </c>
      <c r="N1363" s="387"/>
    </row>
    <row r="1364" spans="1:15" s="200" customFormat="1" ht="13.6" customHeight="1" x14ac:dyDescent="0.25">
      <c r="A1364" s="508"/>
      <c r="B1364" s="520"/>
      <c r="C1364" s="217"/>
      <c r="J1364" s="499" t="str">
        <f>Noty!J1363</f>
        <v>ukryj</v>
      </c>
      <c r="K1364" s="489"/>
      <c r="N1364" s="387"/>
    </row>
    <row r="1365" spans="1:15" s="200" customFormat="1" ht="13.6" customHeight="1" x14ac:dyDescent="0.25">
      <c r="A1365" s="508"/>
      <c r="B1365" s="520"/>
      <c r="C1365" s="1430" t="s">
        <v>10597</v>
      </c>
      <c r="D1365" s="1430"/>
      <c r="E1365" s="1430"/>
      <c r="F1365" s="1430"/>
      <c r="G1365" s="1430"/>
      <c r="H1365" s="1430"/>
      <c r="I1365" s="1430"/>
      <c r="J1365" s="499" t="str">
        <f>Noty!J1364</f>
        <v>ukryj</v>
      </c>
      <c r="K1365" s="489"/>
      <c r="N1365" s="387"/>
    </row>
    <row r="1366" spans="1:15" s="200" customFormat="1" ht="13.6" customHeight="1" x14ac:dyDescent="0.25">
      <c r="A1366" s="508"/>
      <c r="B1366" s="520"/>
      <c r="C1366" s="566"/>
      <c r="J1366" s="499" t="str">
        <f>Noty!J1365</f>
        <v>ukryj</v>
      </c>
      <c r="K1366" s="489"/>
      <c r="N1366" s="387"/>
    </row>
    <row r="1367" spans="1:15" s="200" customFormat="1" ht="13.6" customHeight="1" x14ac:dyDescent="0.25">
      <c r="A1367" s="508"/>
      <c r="B1367" s="520"/>
      <c r="C1367" s="1430" t="s">
        <v>10598</v>
      </c>
      <c r="D1367" s="1430"/>
      <c r="E1367" s="1430"/>
      <c r="F1367" s="1430"/>
      <c r="G1367" s="1430"/>
      <c r="H1367" s="1430"/>
      <c r="I1367" s="1430"/>
      <c r="J1367" s="499" t="str">
        <f>Noty!J1366</f>
        <v>ukryj</v>
      </c>
      <c r="K1367" s="489"/>
      <c r="N1367" s="387"/>
    </row>
    <row r="1368" spans="1:15" s="200" customFormat="1" ht="13.6" customHeight="1" x14ac:dyDescent="0.25">
      <c r="A1368" s="508"/>
      <c r="B1368" s="520"/>
      <c r="C1368" s="566"/>
      <c r="J1368" s="499" t="str">
        <f>Noty!J1367</f>
        <v>ukryj</v>
      </c>
      <c r="K1368" s="489"/>
      <c r="N1368" s="387"/>
    </row>
    <row r="1369" spans="1:15" s="200" customFormat="1" ht="27" customHeight="1" x14ac:dyDescent="0.25">
      <c r="A1369" s="508"/>
      <c r="B1369" s="520"/>
      <c r="C1369" s="1430" t="s">
        <v>10599</v>
      </c>
      <c r="D1369" s="1430"/>
      <c r="E1369" s="1430"/>
      <c r="F1369" s="1430"/>
      <c r="G1369" s="1430"/>
      <c r="H1369" s="1430"/>
      <c r="I1369" s="1430"/>
      <c r="J1369" s="499" t="str">
        <f>Noty!J1368</f>
        <v>ukryj</v>
      </c>
      <c r="K1369" s="489"/>
      <c r="N1369" s="387"/>
    </row>
    <row r="1370" spans="1:15" s="200" customFormat="1" ht="13.6" customHeight="1" x14ac:dyDescent="0.25">
      <c r="A1370" s="508"/>
      <c r="B1370" s="520"/>
      <c r="C1370" s="566"/>
      <c r="J1370" s="499" t="str">
        <f>Noty!J1369</f>
        <v>ukryj</v>
      </c>
      <c r="K1370" s="489"/>
      <c r="N1370" s="387"/>
    </row>
    <row r="1371" spans="1:15" s="200" customFormat="1" ht="27" customHeight="1" x14ac:dyDescent="0.25">
      <c r="A1371" s="508"/>
      <c r="B1371" s="520"/>
      <c r="C1371" s="1430" t="s">
        <v>10600</v>
      </c>
      <c r="D1371" s="1430"/>
      <c r="E1371" s="1430"/>
      <c r="F1371" s="1430"/>
      <c r="G1371" s="1430"/>
      <c r="H1371" s="1430"/>
      <c r="I1371" s="1430"/>
      <c r="J1371" s="499" t="str">
        <f>Noty!J1370</f>
        <v>ukryj</v>
      </c>
      <c r="K1371" s="489"/>
      <c r="N1371" s="387"/>
    </row>
    <row r="1372" spans="1:15" s="200" customFormat="1" ht="13.6" customHeight="1" x14ac:dyDescent="0.25">
      <c r="A1372" s="508"/>
      <c r="B1372" s="520"/>
      <c r="C1372" s="566"/>
      <c r="D1372" s="200" t="s">
        <v>10601</v>
      </c>
      <c r="J1372" s="499" t="str">
        <f>Noty!J1371</f>
        <v>ukryj</v>
      </c>
      <c r="K1372" s="489"/>
      <c r="N1372" s="387"/>
    </row>
    <row r="1373" spans="1:15" s="200" customFormat="1" ht="13.6" customHeight="1" x14ac:dyDescent="0.25">
      <c r="A1373" s="508"/>
      <c r="B1373" s="520"/>
      <c r="C1373" s="1430" t="s">
        <v>10602</v>
      </c>
      <c r="D1373" s="1430"/>
      <c r="E1373" s="1430"/>
      <c r="F1373" s="1430"/>
      <c r="G1373" s="1430"/>
      <c r="H1373" s="1430"/>
      <c r="I1373" s="1430"/>
      <c r="J1373" s="499" t="str">
        <f>Noty!J1372</f>
        <v>ukryj</v>
      </c>
      <c r="K1373" s="489"/>
      <c r="N1373" s="387"/>
    </row>
    <row r="1374" spans="1:15" s="200" customFormat="1" ht="13.6" customHeight="1" x14ac:dyDescent="0.25">
      <c r="A1374" s="508"/>
      <c r="B1374" s="520"/>
      <c r="C1374" s="566"/>
      <c r="J1374" s="499" t="str">
        <f>Noty!J1373</f>
        <v>ukryj</v>
      </c>
      <c r="K1374" s="489"/>
      <c r="N1374" s="387"/>
    </row>
    <row r="1375" spans="1:15" s="200" customFormat="1" ht="13.6" customHeight="1" x14ac:dyDescent="0.25">
      <c r="A1375" s="508"/>
      <c r="B1375" s="520"/>
      <c r="C1375" s="1430" t="s">
        <v>10603</v>
      </c>
      <c r="D1375" s="1430"/>
      <c r="E1375" s="1430"/>
      <c r="F1375" s="1430"/>
      <c r="G1375" s="1430"/>
      <c r="H1375" s="1430"/>
      <c r="I1375" s="1430"/>
      <c r="J1375" s="499" t="str">
        <f>Noty!J1374</f>
        <v>ukryj</v>
      </c>
      <c r="K1375" s="489"/>
      <c r="N1375" s="387"/>
    </row>
    <row r="1376" spans="1:15" s="200" customFormat="1" ht="13.6" customHeight="1" x14ac:dyDescent="0.25">
      <c r="A1376" s="508"/>
      <c r="B1376" s="520"/>
      <c r="C1376" s="566"/>
      <c r="J1376" s="499" t="str">
        <f>Noty!J1375</f>
        <v>ukryj</v>
      </c>
      <c r="K1376" s="489"/>
      <c r="N1376" s="387"/>
    </row>
    <row r="1377" spans="1:15" s="200" customFormat="1" ht="13.6" customHeight="1" x14ac:dyDescent="0.25">
      <c r="A1377" s="508"/>
      <c r="B1377" s="520"/>
      <c r="C1377" s="1430" t="s">
        <v>10604</v>
      </c>
      <c r="D1377" s="1430"/>
      <c r="E1377" s="1430"/>
      <c r="F1377" s="1430"/>
      <c r="G1377" s="1430"/>
      <c r="H1377" s="1430"/>
      <c r="I1377" s="1430"/>
      <c r="J1377" s="499" t="str">
        <f>Noty!J1376</f>
        <v>ukryj</v>
      </c>
      <c r="K1377" s="489"/>
      <c r="N1377" s="387"/>
    </row>
    <row r="1378" spans="1:15" s="200" customFormat="1" ht="13.6" customHeight="1" x14ac:dyDescent="0.25">
      <c r="A1378" s="508"/>
      <c r="B1378" s="520"/>
      <c r="C1378" s="969"/>
      <c r="J1378" s="499" t="str">
        <f>Noty!J1377</f>
        <v>ukryj</v>
      </c>
      <c r="K1378" s="489"/>
      <c r="N1378" s="387"/>
    </row>
    <row r="1379" spans="1:15" s="200" customFormat="1" ht="13.6" customHeight="1" thickBot="1" x14ac:dyDescent="0.3">
      <c r="A1379" s="508"/>
      <c r="B1379" s="520"/>
      <c r="C1379" s="567" t="s">
        <v>7685</v>
      </c>
      <c r="J1379" s="499" t="s">
        <v>5125</v>
      </c>
      <c r="K1379" s="489"/>
      <c r="N1379" s="387"/>
    </row>
    <row r="1380" spans="1:15" s="200" customFormat="1" ht="13.6" customHeight="1" thickBot="1" x14ac:dyDescent="0.3">
      <c r="A1380" s="508"/>
      <c r="B1380" s="520"/>
      <c r="C1380" s="1480" t="s">
        <v>10605</v>
      </c>
      <c r="D1380" s="1480"/>
      <c r="E1380" s="1480"/>
      <c r="F1380" s="1480"/>
      <c r="G1380" s="1480"/>
      <c r="H1380" s="1480"/>
      <c r="I1380" s="1480"/>
      <c r="J1380" s="499" t="str">
        <f>IF(Noty!K1380="n/a","ukryj","odkryj")</f>
        <v>odkryj</v>
      </c>
      <c r="K1380" s="1215" t="str">
        <f>IF(K1363="","n/a","")</f>
        <v/>
      </c>
      <c r="N1380" s="387"/>
    </row>
    <row r="1381" spans="1:15" s="200" customFormat="1" ht="13.6" customHeight="1" thickBot="1" x14ac:dyDescent="0.3">
      <c r="A1381" s="508"/>
      <c r="B1381" s="520"/>
      <c r="E1381" s="196"/>
      <c r="F1381" s="196"/>
      <c r="G1381" s="196"/>
      <c r="H1381" s="196"/>
      <c r="I1381" s="196"/>
      <c r="J1381" s="499" t="str">
        <f>Noty!J1380</f>
        <v>odkryj</v>
      </c>
      <c r="K1381" s="489"/>
      <c r="N1381" s="387"/>
    </row>
    <row r="1382" spans="1:15" s="200" customFormat="1" ht="13.6" customHeight="1" thickBot="1" x14ac:dyDescent="0.35">
      <c r="A1382" s="1188">
        <f>IF(K1382="n/a",A1361,A1361+1)</f>
        <v>7</v>
      </c>
      <c r="B1382" s="1189"/>
      <c r="C1382" s="1415" t="s">
        <v>10606</v>
      </c>
      <c r="D1382" s="1415"/>
      <c r="E1382" s="1415"/>
      <c r="F1382" s="1415"/>
      <c r="G1382" s="1415"/>
      <c r="H1382" s="1415"/>
      <c r="I1382" s="1415"/>
      <c r="J1382" s="499" t="str">
        <f>IF(Noty!K1382="n/a","ukryj","odkryj")</f>
        <v>odkryj</v>
      </c>
      <c r="K1382" s="1227" t="str">
        <f>IF(AND(Noty!K1384="n/a",Noty!K1387="n/a"),"n/a","")</f>
        <v/>
      </c>
      <c r="L1382" s="1130" t="str">
        <f>A1382&amp;"."&amp;B1382</f>
        <v>7.</v>
      </c>
      <c r="N1382" s="1138" t="s">
        <v>9378</v>
      </c>
      <c r="O1382" s="200" t="str">
        <f>A1382&amp;"."&amp;B1382</f>
        <v>7.</v>
      </c>
    </row>
    <row r="1383" spans="1:15" s="200" customFormat="1" ht="13.6" customHeight="1" thickBot="1" x14ac:dyDescent="0.3">
      <c r="A1383" s="508"/>
      <c r="B1383" s="520"/>
      <c r="E1383" s="196"/>
      <c r="F1383" s="196"/>
      <c r="G1383" s="196"/>
      <c r="H1383" s="196"/>
      <c r="I1383" s="196"/>
      <c r="J1383" s="499" t="str">
        <f>Noty!J1382</f>
        <v>odkryj</v>
      </c>
      <c r="K1383" s="489"/>
      <c r="N1383" s="387"/>
    </row>
    <row r="1384" spans="1:15" s="200" customFormat="1" ht="13.6" customHeight="1" thickBot="1" x14ac:dyDescent="0.3">
      <c r="A1384" s="508"/>
      <c r="B1384" s="520"/>
      <c r="C1384" s="1455" t="s">
        <v>10607</v>
      </c>
      <c r="D1384" s="1455"/>
      <c r="E1384" s="1455"/>
      <c r="F1384" s="1455"/>
      <c r="G1384" s="1455"/>
      <c r="H1384" s="1455"/>
      <c r="I1384" s="1455"/>
      <c r="J1384" s="499" t="str">
        <f>IF(Noty!K1384="n/a","ukryj","odkryj")</f>
        <v>ukryj</v>
      </c>
      <c r="K1384" s="1227" t="str">
        <f>IF(Input!D171="nie","n/a","")</f>
        <v>n/a</v>
      </c>
      <c r="N1384" s="387"/>
    </row>
    <row r="1385" spans="1:15" s="200" customFormat="1" ht="13.6" customHeight="1" x14ac:dyDescent="0.25">
      <c r="A1385" s="508"/>
      <c r="B1385" s="520"/>
      <c r="E1385" s="196"/>
      <c r="F1385" s="196"/>
      <c r="G1385" s="196"/>
      <c r="H1385" s="196"/>
      <c r="I1385" s="196"/>
      <c r="J1385" s="499" t="str">
        <f>Noty!J1384</f>
        <v>ukryj</v>
      </c>
      <c r="K1385" s="489"/>
      <c r="N1385" s="387"/>
    </row>
    <row r="1386" spans="1:15" s="200" customFormat="1" ht="13.6" customHeight="1" thickBot="1" x14ac:dyDescent="0.3">
      <c r="A1386" s="508"/>
      <c r="B1386" s="520"/>
      <c r="C1386" s="1455" t="s">
        <v>7685</v>
      </c>
      <c r="D1386" s="1455"/>
      <c r="E1386" s="1455"/>
      <c r="F1386" s="1455"/>
      <c r="G1386" s="1455"/>
      <c r="H1386" s="1455"/>
      <c r="I1386" s="1455"/>
      <c r="J1386" s="499" t="str">
        <f>"ukryj"</f>
        <v>ukryj</v>
      </c>
      <c r="K1386" s="489"/>
      <c r="N1386" s="387"/>
    </row>
    <row r="1387" spans="1:15" s="200" customFormat="1" ht="13.6" customHeight="1" thickBot="1" x14ac:dyDescent="0.3">
      <c r="A1387" s="508"/>
      <c r="B1387" s="520"/>
      <c r="C1387" s="1293" t="str">
        <f>"Spółka nie wykazała przychodów i kosztów z tytułu błędów popełnionych w latach ubiegłych"&amp;IF(RokObr=1,", ponieważ jest to pierwszy rok obrotowy Spółki.",".")</f>
        <v>Spółka nie wykazała przychodów i kosztów z tytułu błędów popełnionych w latach ubiegłych.</v>
      </c>
      <c r="D1387" s="1293"/>
      <c r="E1387" s="1293"/>
      <c r="F1387" s="1293"/>
      <c r="G1387" s="1293"/>
      <c r="H1387" s="1293"/>
      <c r="I1387" s="1293"/>
      <c r="J1387" s="499" t="str">
        <f>IF(Noty!K1387="n/a","ukryj","odkryj")</f>
        <v>odkryj</v>
      </c>
      <c r="K1387" s="1227" t="str">
        <f>IF(Noty!K1384="","n/a","")</f>
        <v/>
      </c>
      <c r="N1387" s="387"/>
    </row>
    <row r="1388" spans="1:15" s="200" customFormat="1" ht="13.6" customHeight="1" thickBot="1" x14ac:dyDescent="0.3">
      <c r="A1388" s="508"/>
      <c r="B1388" s="520"/>
      <c r="E1388" s="196"/>
      <c r="F1388" s="196"/>
      <c r="G1388" s="196"/>
      <c r="H1388" s="196"/>
      <c r="I1388" s="196"/>
      <c r="J1388" s="499" t="str">
        <f>Noty!J1387</f>
        <v>odkryj</v>
      </c>
      <c r="K1388" s="489"/>
      <c r="N1388" s="387"/>
    </row>
    <row r="1389" spans="1:15" s="200" customFormat="1" ht="15.75" thickBot="1" x14ac:dyDescent="0.35">
      <c r="A1389" s="1180">
        <f>IF(K1389="n/a",A1382,A1382+1)</f>
        <v>8</v>
      </c>
      <c r="B1389" s="1182"/>
      <c r="C1389" s="1388" t="s">
        <v>10608</v>
      </c>
      <c r="D1389" s="1388"/>
      <c r="E1389" s="1388"/>
      <c r="F1389" s="1388"/>
      <c r="G1389" s="1388"/>
      <c r="H1389" s="1388"/>
      <c r="I1389" s="1388"/>
      <c r="J1389" s="499" t="str">
        <f>IF(Noty!K1389="n/a","ukryj","odkryj")</f>
        <v>odkryj</v>
      </c>
      <c r="K1389" s="1215" t="str">
        <f>IF(AND(K1391="n/a",K1394="n/a"),"n/a","")</f>
        <v/>
      </c>
      <c r="L1389" s="971" t="str">
        <f>A1389&amp;"."&amp;B1389</f>
        <v>8.</v>
      </c>
      <c r="N1389" s="1101" t="s">
        <v>9378</v>
      </c>
      <c r="O1389" s="489" t="str">
        <f>A1389&amp;"."&amp;B1389</f>
        <v>8.</v>
      </c>
    </row>
    <row r="1390" spans="1:15" s="200" customFormat="1" ht="13.6" customHeight="1" thickBot="1" x14ac:dyDescent="0.3">
      <c r="A1390" s="508"/>
      <c r="B1390" s="520"/>
      <c r="C1390" s="218"/>
      <c r="D1390" s="218"/>
      <c r="J1390" s="499" t="str">
        <f>Noty!J1389</f>
        <v>odkryj</v>
      </c>
      <c r="K1390" s="489"/>
      <c r="N1390" s="387"/>
    </row>
    <row r="1391" spans="1:15" s="200" customFormat="1" ht="41.25" customHeight="1" thickBot="1" x14ac:dyDescent="0.3">
      <c r="A1391" s="508"/>
      <c r="B1391" s="520"/>
      <c r="C1391" s="1481" t="s">
        <v>10609</v>
      </c>
      <c r="D1391" s="1481"/>
      <c r="E1391" s="1481"/>
      <c r="F1391" s="1481"/>
      <c r="G1391" s="1481"/>
      <c r="H1391" s="1481"/>
      <c r="I1391" s="1481"/>
      <c r="J1391" s="499" t="str">
        <f>IF(Noty!K1391="n/a","ukryj","odkryj")</f>
        <v>ukryj</v>
      </c>
      <c r="K1391" s="1226" t="str">
        <f>IF(Input!D172="nie","n/a","")</f>
        <v>n/a</v>
      </c>
      <c r="N1391" s="387"/>
    </row>
    <row r="1392" spans="1:15" s="200" customFormat="1" ht="13.6" customHeight="1" x14ac:dyDescent="0.25">
      <c r="A1392" s="508"/>
      <c r="B1392" s="520"/>
      <c r="C1392" s="218"/>
      <c r="D1392" s="218"/>
      <c r="J1392" s="499" t="str">
        <f>Noty!J1391</f>
        <v>ukryj</v>
      </c>
      <c r="K1392" s="489"/>
      <c r="N1392" s="387"/>
    </row>
    <row r="1393" spans="1:15" s="200" customFormat="1" ht="13.6" customHeight="1" thickBot="1" x14ac:dyDescent="0.3">
      <c r="A1393" s="508"/>
      <c r="B1393" s="520"/>
      <c r="C1393" s="219" t="s">
        <v>7685</v>
      </c>
      <c r="D1393" s="218"/>
      <c r="J1393" s="499" t="s">
        <v>5125</v>
      </c>
      <c r="K1393" s="489"/>
      <c r="N1393" s="387"/>
    </row>
    <row r="1394" spans="1:15" s="200" customFormat="1" ht="13.6" customHeight="1" thickBot="1" x14ac:dyDescent="0.3">
      <c r="A1394" s="508"/>
      <c r="B1394" s="520"/>
      <c r="C1394" s="200" t="s">
        <v>10610</v>
      </c>
      <c r="D1394" s="218"/>
      <c r="J1394" s="499" t="str">
        <f>IF(Noty!K1394="n/a","ukryj","odkryj")</f>
        <v>odkryj</v>
      </c>
      <c r="K1394" s="1215" t="str">
        <f>IF(K1391="","n/a","")</f>
        <v/>
      </c>
      <c r="N1394" s="387"/>
    </row>
    <row r="1395" spans="1:15" s="200" customFormat="1" ht="13.6" customHeight="1" thickBot="1" x14ac:dyDescent="0.3">
      <c r="A1395" s="508"/>
      <c r="B1395" s="520"/>
      <c r="C1395" s="218"/>
      <c r="D1395" s="218"/>
      <c r="E1395" s="196"/>
      <c r="F1395" s="196"/>
      <c r="G1395" s="196"/>
      <c r="H1395" s="196"/>
      <c r="I1395" s="196"/>
      <c r="J1395" s="499" t="str">
        <f>Noty!J1394</f>
        <v>odkryj</v>
      </c>
      <c r="K1395" s="489"/>
      <c r="N1395" s="387"/>
    </row>
    <row r="1396" spans="1:15" s="200" customFormat="1" ht="15.75" thickBot="1" x14ac:dyDescent="0.35">
      <c r="A1396" s="1180">
        <f>IF(K1396="n/a",A1389,A1389+1)</f>
        <v>9</v>
      </c>
      <c r="B1396" s="1182"/>
      <c r="C1396" s="1388" t="s">
        <v>10611</v>
      </c>
      <c r="D1396" s="1388"/>
      <c r="E1396" s="1388"/>
      <c r="F1396" s="1388"/>
      <c r="G1396" s="1388"/>
      <c r="H1396" s="1388"/>
      <c r="I1396" s="1388"/>
      <c r="J1396" s="499" t="str">
        <f>IF(Noty!K1396="n/a","ukryj","odkryj")</f>
        <v>odkryj</v>
      </c>
      <c r="K1396" s="1215" t="str">
        <f>IF(AND(K1398="n/a",K1401="n/a"),"n/a","")</f>
        <v/>
      </c>
      <c r="L1396" s="971" t="str">
        <f>A1396&amp;"."&amp;B1396</f>
        <v>9.</v>
      </c>
      <c r="N1396" s="1101" t="s">
        <v>9378</v>
      </c>
      <c r="O1396" s="489" t="str">
        <f>A1396&amp;"."&amp;B1396</f>
        <v>9.</v>
      </c>
    </row>
    <row r="1397" spans="1:15" s="200" customFormat="1" ht="13.6" customHeight="1" thickBot="1" x14ac:dyDescent="0.3">
      <c r="A1397" s="508"/>
      <c r="B1397" s="520"/>
      <c r="C1397" s="204"/>
      <c r="D1397" s="749"/>
      <c r="E1397" s="749"/>
      <c r="F1397" s="749"/>
      <c r="G1397" s="749"/>
      <c r="H1397" s="749"/>
      <c r="I1397" s="749"/>
      <c r="J1397" s="499" t="str">
        <f>Noty!J1396</f>
        <v>odkryj</v>
      </c>
      <c r="K1397" s="489"/>
      <c r="N1397" s="387"/>
    </row>
    <row r="1398" spans="1:15" s="200" customFormat="1" ht="29.3" customHeight="1" thickBot="1" x14ac:dyDescent="0.3">
      <c r="A1398" s="508"/>
      <c r="B1398" s="520"/>
      <c r="C1398" s="1481" t="s">
        <v>10612</v>
      </c>
      <c r="D1398" s="1481"/>
      <c r="E1398" s="1481"/>
      <c r="F1398" s="1481"/>
      <c r="G1398" s="1481"/>
      <c r="H1398" s="1481"/>
      <c r="I1398" s="1481"/>
      <c r="J1398" s="499" t="str">
        <f>IF(Noty!K1398="n/a","ukryj","odkryj")</f>
        <v>ukryj</v>
      </c>
      <c r="K1398" s="1226" t="str">
        <f>IF(Input!D173="nie","n/a","")</f>
        <v>n/a</v>
      </c>
      <c r="N1398" s="387"/>
    </row>
    <row r="1399" spans="1:15" s="200" customFormat="1" ht="13.6" customHeight="1" x14ac:dyDescent="0.25">
      <c r="A1399" s="508"/>
      <c r="B1399" s="520"/>
      <c r="C1399" s="218"/>
      <c r="D1399" s="218"/>
      <c r="J1399" s="499" t="str">
        <f>Noty!J1398</f>
        <v>ukryj</v>
      </c>
      <c r="K1399" s="489"/>
      <c r="N1399" s="387"/>
    </row>
    <row r="1400" spans="1:15" s="200" customFormat="1" ht="13.6" customHeight="1" thickBot="1" x14ac:dyDescent="0.3">
      <c r="A1400" s="508"/>
      <c r="B1400" s="520"/>
      <c r="C1400" s="219" t="s">
        <v>7685</v>
      </c>
      <c r="D1400" s="218"/>
      <c r="J1400" s="499" t="s">
        <v>5125</v>
      </c>
      <c r="K1400" s="489"/>
      <c r="N1400" s="387"/>
    </row>
    <row r="1401" spans="1:15" s="200" customFormat="1" ht="13.6" customHeight="1" thickBot="1" x14ac:dyDescent="0.3">
      <c r="A1401" s="508"/>
      <c r="B1401" s="520"/>
      <c r="C1401" s="200" t="str">
        <f>"Nie zaistniały żadne zdarzenia dotyczące lat ubiegłych, które powinny być ujęte w bieżącym sprawozdaniu"&amp;IF(RokObr=1,", ponieważ jest to pierwszy rok obrotowy Spółki.",".")</f>
        <v>Nie zaistniały żadne zdarzenia dotyczące lat ubiegłych, które powinny być ujęte w bieżącym sprawozdaniu.</v>
      </c>
      <c r="D1401" s="218"/>
      <c r="J1401" s="499" t="str">
        <f>IF(Noty!K1401="n/a","ukryj","odkryj")</f>
        <v>odkryj</v>
      </c>
      <c r="K1401" s="1215" t="str">
        <f>IF(K1398="","n/a","")</f>
        <v/>
      </c>
      <c r="N1401" s="387"/>
    </row>
    <row r="1402" spans="1:15" s="200" customFormat="1" ht="13.6" customHeight="1" thickBot="1" x14ac:dyDescent="0.3">
      <c r="A1402" s="508"/>
      <c r="B1402" s="520"/>
      <c r="C1402" s="218"/>
      <c r="D1402" s="218"/>
      <c r="J1402" s="499" t="str">
        <f>Noty!J1401</f>
        <v>odkryj</v>
      </c>
      <c r="K1402" s="489"/>
      <c r="N1402" s="387"/>
    </row>
    <row r="1403" spans="1:15" s="200" customFormat="1" ht="15.75" customHeight="1" thickBot="1" x14ac:dyDescent="0.35">
      <c r="A1403" s="1180">
        <f>IF(K1403="n/a",A1396,A1396+1)</f>
        <v>10</v>
      </c>
      <c r="B1403" s="1182"/>
      <c r="C1403" s="1388" t="s">
        <v>10613</v>
      </c>
      <c r="D1403" s="1388"/>
      <c r="E1403" s="1388"/>
      <c r="F1403" s="1388"/>
      <c r="G1403" s="1388"/>
      <c r="H1403" s="1388"/>
      <c r="I1403" s="1388"/>
      <c r="J1403" s="499" t="str">
        <f>IF(Noty!K1403="n/a","ukryj","odkryj")</f>
        <v>odkryj</v>
      </c>
      <c r="K1403" s="1215" t="str">
        <f>IF(AND(K1405="n/a",K1408="n/a"),"n/a","")</f>
        <v/>
      </c>
      <c r="L1403" s="971" t="str">
        <f>A1403&amp;"."&amp;B1403</f>
        <v>10.</v>
      </c>
      <c r="N1403" s="1101" t="s">
        <v>9378</v>
      </c>
      <c r="O1403" s="489" t="str">
        <f>A1403&amp;"."&amp;B1403</f>
        <v>10.</v>
      </c>
    </row>
    <row r="1404" spans="1:15" s="200" customFormat="1" ht="13.6" customHeight="1" thickBot="1" x14ac:dyDescent="0.3">
      <c r="A1404" s="508"/>
      <c r="B1404" s="520"/>
      <c r="C1404" s="218"/>
      <c r="D1404" s="218"/>
      <c r="J1404" s="499" t="str">
        <f>Noty!J1403</f>
        <v>odkryj</v>
      </c>
      <c r="K1404" s="489"/>
      <c r="N1404" s="387"/>
    </row>
    <row r="1405" spans="1:15" s="200" customFormat="1" ht="40.6" customHeight="1" thickBot="1" x14ac:dyDescent="0.3">
      <c r="A1405" s="508"/>
      <c r="B1405" s="520"/>
      <c r="C1405" s="1482" t="s">
        <v>10614</v>
      </c>
      <c r="D1405" s="1482"/>
      <c r="E1405" s="1482"/>
      <c r="F1405" s="1482"/>
      <c r="G1405" s="1482"/>
      <c r="H1405" s="1482"/>
      <c r="I1405" s="1482"/>
      <c r="J1405" s="499" t="str">
        <f>IF(Noty!K1405="n/a","ukryj","odkryj")</f>
        <v>ukryj</v>
      </c>
      <c r="K1405" s="1226" t="str">
        <f>IF(Input!D174="nie","n/a","")</f>
        <v>n/a</v>
      </c>
      <c r="N1405" s="387"/>
    </row>
    <row r="1406" spans="1:15" s="200" customFormat="1" ht="13.6" customHeight="1" x14ac:dyDescent="0.25">
      <c r="A1406" s="508"/>
      <c r="B1406" s="520"/>
      <c r="C1406" s="218"/>
      <c r="D1406" s="218"/>
      <c r="J1406" s="499" t="str">
        <f>Noty!J1405</f>
        <v>ukryj</v>
      </c>
      <c r="K1406" s="489"/>
      <c r="N1406" s="387"/>
    </row>
    <row r="1407" spans="1:15" s="200" customFormat="1" ht="13.6" customHeight="1" thickBot="1" x14ac:dyDescent="0.3">
      <c r="A1407" s="508"/>
      <c r="B1407" s="520"/>
      <c r="C1407" s="219" t="s">
        <v>7685</v>
      </c>
      <c r="D1407" s="218"/>
      <c r="J1407" s="499" t="s">
        <v>5125</v>
      </c>
      <c r="K1407" s="489"/>
      <c r="N1407" s="387"/>
    </row>
    <row r="1408" spans="1:15" s="200" customFormat="1" ht="27" customHeight="1" thickBot="1" x14ac:dyDescent="0.3">
      <c r="A1408" s="508"/>
      <c r="B1408" s="520"/>
      <c r="C1408" s="1483" t="s">
        <v>10615</v>
      </c>
      <c r="D1408" s="1483"/>
      <c r="E1408" s="1483"/>
      <c r="F1408" s="1483"/>
      <c r="G1408" s="1483"/>
      <c r="H1408" s="1483"/>
      <c r="I1408" s="1483"/>
      <c r="J1408" s="499" t="str">
        <f>IF(Noty!K1408="n/a","ukryj","odkryj")</f>
        <v>odkryj</v>
      </c>
      <c r="K1408" s="1215" t="str">
        <f>IF(K1405="","n/a","")</f>
        <v/>
      </c>
      <c r="N1408" s="387"/>
    </row>
    <row r="1409" spans="1:32" s="200" customFormat="1" ht="13.6" customHeight="1" thickBot="1" x14ac:dyDescent="0.3">
      <c r="A1409" s="508"/>
      <c r="B1409" s="520"/>
      <c r="C1409" s="218"/>
      <c r="D1409" s="218"/>
      <c r="J1409" s="499" t="str">
        <f>Noty!J1408</f>
        <v>odkryj</v>
      </c>
      <c r="K1409" s="489"/>
      <c r="N1409" s="387"/>
    </row>
    <row r="1410" spans="1:32" s="200" customFormat="1" ht="15.75" customHeight="1" thickBot="1" x14ac:dyDescent="0.35">
      <c r="A1410" s="1180">
        <f>IF(K1410="n/a",A1403,A1403+1)</f>
        <v>11</v>
      </c>
      <c r="B1410" s="1182"/>
      <c r="C1410" s="1388" t="s">
        <v>10616</v>
      </c>
      <c r="D1410" s="1388"/>
      <c r="E1410" s="1388"/>
      <c r="F1410" s="1388"/>
      <c r="G1410" s="1388"/>
      <c r="H1410" s="1388"/>
      <c r="I1410" s="1388"/>
      <c r="J1410" s="499" t="str">
        <f>IF(Noty!K1410="n/a","ukryj","odkryj")</f>
        <v>odkryj</v>
      </c>
      <c r="K1410" s="1215" t="str">
        <f>IF(AND(K1412="n/a",K1420="n/a"),"n/a","")</f>
        <v/>
      </c>
      <c r="L1410" s="971" t="str">
        <f>A1410&amp;"."&amp;B1410</f>
        <v>11.</v>
      </c>
      <c r="N1410" s="1101" t="s">
        <v>9378</v>
      </c>
      <c r="O1410" s="489" t="str">
        <f>A1410&amp;"."&amp;B1410</f>
        <v>11.</v>
      </c>
    </row>
    <row r="1411" spans="1:32" s="200" customFormat="1" ht="13.6" customHeight="1" thickBot="1" x14ac:dyDescent="0.3">
      <c r="A1411" s="508"/>
      <c r="B1411" s="520"/>
      <c r="C1411" s="218"/>
      <c r="D1411" s="218"/>
      <c r="E1411" s="196"/>
      <c r="F1411" s="196"/>
      <c r="G1411" s="196"/>
      <c r="H1411" s="196"/>
      <c r="I1411" s="196"/>
      <c r="J1411" s="499" t="str">
        <f>Noty!J1410</f>
        <v>odkryj</v>
      </c>
      <c r="K1411" s="489"/>
      <c r="N1411" s="387"/>
    </row>
    <row r="1412" spans="1:32" s="200" customFormat="1" ht="29.95" customHeight="1" thickBot="1" x14ac:dyDescent="0.3">
      <c r="A1412" s="508"/>
      <c r="B1412" s="520"/>
      <c r="C1412" s="202"/>
      <c r="D1412" s="202"/>
      <c r="E1412" s="196"/>
      <c r="F1412" s="196"/>
      <c r="G1412" s="251"/>
      <c r="H1412" s="999" t="str">
        <f>CONCATENATE(Input!$P$6," -",Input!$P$7)</f>
        <v>01.01.2020 -31.12.2020</v>
      </c>
      <c r="I1412" s="999" t="str">
        <f>CONCATENATE(Input!$P$10," -",Input!$P$11)</f>
        <v>01.01.2019 -31.12.2019</v>
      </c>
      <c r="J1412" s="499" t="str">
        <f>IF(Noty!K1412="n/a","ukryj","odkryj")</f>
        <v>ukryj</v>
      </c>
      <c r="K1412" s="1226" t="str">
        <f>IF(Input!D175="nie","n/a","")</f>
        <v>n/a</v>
      </c>
      <c r="N1412" s="387"/>
    </row>
    <row r="1413" spans="1:32" s="200" customFormat="1" ht="13.6" customHeight="1" x14ac:dyDescent="0.25">
      <c r="A1413" s="508"/>
      <c r="B1413" s="520"/>
      <c r="C1413" s="202" t="s">
        <v>10617</v>
      </c>
      <c r="D1413" s="202"/>
      <c r="E1413" s="202"/>
      <c r="F1413" s="202"/>
      <c r="G1413" s="610"/>
      <c r="H1413" s="802"/>
      <c r="I1413" s="802"/>
      <c r="J1413" s="499" t="str">
        <f>Noty!J1412</f>
        <v>ukryj</v>
      </c>
      <c r="K1413" s="489"/>
      <c r="N1413" s="387"/>
      <c r="AE1413" s="200" t="s">
        <v>10618</v>
      </c>
      <c r="AF1413" s="200" t="s">
        <v>10619</v>
      </c>
    </row>
    <row r="1414" spans="1:32" s="200" customFormat="1" x14ac:dyDescent="0.25">
      <c r="A1414" s="508"/>
      <c r="B1414" s="520"/>
      <c r="C1414" s="202" t="s">
        <v>10620</v>
      </c>
      <c r="D1414" s="750"/>
      <c r="E1414" s="750"/>
      <c r="F1414" s="750"/>
      <c r="G1414" s="1025"/>
      <c r="H1414" s="802"/>
      <c r="I1414" s="802"/>
      <c r="J1414" s="499" t="str">
        <f>Noty!J1413</f>
        <v>ukryj</v>
      </c>
      <c r="K1414" s="489"/>
      <c r="N1414" s="387"/>
      <c r="AE1414" s="200" t="s">
        <v>10621</v>
      </c>
      <c r="AF1414" s="200" t="s">
        <v>10622</v>
      </c>
    </row>
    <row r="1415" spans="1:32" s="200" customFormat="1" ht="13.6" customHeight="1" x14ac:dyDescent="0.25">
      <c r="A1415" s="508"/>
      <c r="B1415" s="520"/>
      <c r="C1415" s="202" t="s">
        <v>10623</v>
      </c>
      <c r="D1415" s="202"/>
      <c r="E1415" s="202"/>
      <c r="F1415" s="202"/>
      <c r="G1415" s="610"/>
      <c r="H1415" s="802"/>
      <c r="I1415" s="802"/>
      <c r="J1415" s="499" t="str">
        <f>Noty!J1414</f>
        <v>ukryj</v>
      </c>
      <c r="K1415" s="489"/>
      <c r="N1415" s="387"/>
      <c r="AE1415" s="200" t="s">
        <v>10624</v>
      </c>
      <c r="AF1415" s="200" t="s">
        <v>10625</v>
      </c>
    </row>
    <row r="1416" spans="1:32" s="200" customFormat="1" ht="13.6" customHeight="1" x14ac:dyDescent="0.25">
      <c r="A1416" s="508"/>
      <c r="B1416" s="520"/>
      <c r="C1416" s="202" t="s">
        <v>10626</v>
      </c>
      <c r="D1416" s="202"/>
      <c r="E1416" s="202"/>
      <c r="F1416" s="202"/>
      <c r="G1416" s="610"/>
      <c r="H1416" s="802"/>
      <c r="I1416" s="802"/>
      <c r="J1416" s="499" t="str">
        <f>Noty!J1414</f>
        <v>ukryj</v>
      </c>
      <c r="K1416" s="489"/>
      <c r="N1416" s="387"/>
      <c r="AE1416" s="200" t="s">
        <v>10627</v>
      </c>
      <c r="AF1416" s="200" t="s">
        <v>10628</v>
      </c>
    </row>
    <row r="1417" spans="1:32" s="200" customFormat="1" ht="13.6" customHeight="1" x14ac:dyDescent="0.25">
      <c r="A1417" s="508"/>
      <c r="B1417" s="520"/>
      <c r="C1417" s="220"/>
      <c r="D1417" s="202"/>
      <c r="E1417" s="202"/>
      <c r="F1417" s="202"/>
      <c r="G1417" s="610"/>
      <c r="H1417" s="734">
        <f>SUM(H1413:H1416)</f>
        <v>0</v>
      </c>
      <c r="I1417" s="734">
        <f>SUM(I1413:I1416)</f>
        <v>0</v>
      </c>
      <c r="J1417" s="499" t="str">
        <f>Noty!J1415</f>
        <v>ukryj</v>
      </c>
      <c r="K1417" s="489"/>
      <c r="N1417" s="387"/>
    </row>
    <row r="1418" spans="1:32" s="200" customFormat="1" ht="13.6" customHeight="1" x14ac:dyDescent="0.25">
      <c r="A1418" s="508"/>
      <c r="B1418" s="520"/>
      <c r="C1418" s="218"/>
      <c r="D1418" s="218"/>
      <c r="E1418" s="196"/>
      <c r="F1418" s="196"/>
      <c r="G1418" s="196"/>
      <c r="H1418" s="196"/>
      <c r="I1418" s="196"/>
      <c r="J1418" s="499" t="str">
        <f>Noty!J1417</f>
        <v>ukryj</v>
      </c>
      <c r="K1418" s="489"/>
      <c r="N1418" s="387"/>
    </row>
    <row r="1419" spans="1:32" s="200" customFormat="1" ht="13.6" customHeight="1" thickBot="1" x14ac:dyDescent="0.3">
      <c r="A1419" s="508"/>
      <c r="B1419" s="520"/>
      <c r="C1419" s="219" t="s">
        <v>7685</v>
      </c>
      <c r="D1419" s="218"/>
      <c r="E1419" s="196"/>
      <c r="F1419" s="196"/>
      <c r="G1419" s="196"/>
      <c r="H1419" s="196"/>
      <c r="I1419" s="196"/>
      <c r="J1419" s="499" t="s">
        <v>5125</v>
      </c>
      <c r="K1419" s="489"/>
      <c r="N1419" s="387"/>
    </row>
    <row r="1420" spans="1:32" s="200" customFormat="1" ht="27" customHeight="1" thickBot="1" x14ac:dyDescent="0.3">
      <c r="A1420" s="508"/>
      <c r="B1420" s="520"/>
      <c r="C1420" s="1483" t="s">
        <v>10629</v>
      </c>
      <c r="D1420" s="1483"/>
      <c r="E1420" s="1483"/>
      <c r="F1420" s="1483"/>
      <c r="G1420" s="1483"/>
      <c r="H1420" s="1483"/>
      <c r="I1420" s="1483"/>
      <c r="J1420" s="499" t="str">
        <f>IF(Noty!K1420="n/a","ukryj","odkryj")</f>
        <v>odkryj</v>
      </c>
      <c r="K1420" s="1215" t="str">
        <f>IF(K1412="","n/a","")</f>
        <v/>
      </c>
      <c r="N1420" s="387"/>
    </row>
    <row r="1421" spans="1:32" s="200" customFormat="1" ht="13.6" customHeight="1" thickBot="1" x14ac:dyDescent="0.3">
      <c r="A1421" s="508"/>
      <c r="B1421" s="520"/>
      <c r="C1421" s="218"/>
      <c r="D1421" s="218"/>
      <c r="E1421" s="196"/>
      <c r="F1421" s="196"/>
      <c r="G1421" s="196"/>
      <c r="H1421" s="196"/>
      <c r="I1421" s="196"/>
      <c r="J1421" s="499" t="str">
        <f>Noty!J1420</f>
        <v>odkryj</v>
      </c>
      <c r="K1421" s="489"/>
      <c r="N1421" s="387"/>
    </row>
    <row r="1422" spans="1:32" s="200" customFormat="1" ht="15.75" thickBot="1" x14ac:dyDescent="0.35">
      <c r="A1422" s="1180">
        <f>IF(K1422="n/a",A1410,A1410+1)</f>
        <v>12</v>
      </c>
      <c r="B1422" s="1182"/>
      <c r="C1422" s="1388" t="s">
        <v>10630</v>
      </c>
      <c r="D1422" s="1388"/>
      <c r="E1422" s="1388"/>
      <c r="F1422" s="1388"/>
      <c r="G1422" s="1388"/>
      <c r="H1422" s="1388"/>
      <c r="I1422" s="1388"/>
      <c r="J1422" s="499" t="str">
        <f>IF(Noty!K1422="n/a","ukryj","odkryj")</f>
        <v>odkryj</v>
      </c>
      <c r="K1422" s="1226" t="str">
        <f>IF(AND(K1424="n/a",K1433="n/a"),"n/a","")</f>
        <v/>
      </c>
      <c r="L1422" s="971" t="str">
        <f>A1422&amp;"."&amp;B1422</f>
        <v>12.</v>
      </c>
      <c r="N1422" s="1101" t="s">
        <v>9378</v>
      </c>
      <c r="O1422" s="489" t="str">
        <f>A1422&amp;"."&amp;B1422</f>
        <v>12.</v>
      </c>
    </row>
    <row r="1423" spans="1:32" s="200" customFormat="1" ht="13.6" customHeight="1" thickBot="1" x14ac:dyDescent="0.3">
      <c r="A1423" s="508"/>
      <c r="B1423" s="520"/>
      <c r="C1423" s="204"/>
      <c r="D1423" s="204"/>
      <c r="E1423" s="196"/>
      <c r="F1423" s="196"/>
      <c r="G1423" s="196"/>
      <c r="H1423" s="196"/>
      <c r="I1423" s="196"/>
      <c r="J1423" s="499" t="str">
        <f>Noty!J1422</f>
        <v>odkryj</v>
      </c>
      <c r="K1423" s="489"/>
      <c r="N1423" s="387"/>
    </row>
    <row r="1424" spans="1:32" s="200" customFormat="1" ht="13.6" customHeight="1" thickBot="1" x14ac:dyDescent="0.3">
      <c r="A1424" s="508"/>
      <c r="B1424" s="520"/>
      <c r="C1424" s="200" t="s">
        <v>10631</v>
      </c>
      <c r="E1424" s="196"/>
      <c r="F1424" s="196"/>
      <c r="G1424" s="196"/>
      <c r="H1424" s="196"/>
      <c r="I1424" s="196"/>
      <c r="J1424" s="499" t="str">
        <f>IF(Noty!K1424="n/a","ukryj","odkryj")</f>
        <v>ukryj</v>
      </c>
      <c r="K1424" s="1224" t="str">
        <f>IF(Input!D176="nie","n/a","")</f>
        <v>n/a</v>
      </c>
      <c r="N1424" s="387"/>
    </row>
    <row r="1425" spans="1:15" s="200" customFormat="1" ht="13.6" customHeight="1" x14ac:dyDescent="0.25">
      <c r="A1425" s="508"/>
      <c r="B1425" s="520"/>
      <c r="E1425" s="196"/>
      <c r="F1425" s="196"/>
      <c r="G1425" s="568" t="s">
        <v>10632</v>
      </c>
      <c r="H1425" s="568" t="s">
        <v>10633</v>
      </c>
      <c r="I1425" s="568" t="s">
        <v>9280</v>
      </c>
      <c r="J1425" s="499" t="str">
        <f>Noty!J1424</f>
        <v>ukryj</v>
      </c>
      <c r="K1425" s="489"/>
      <c r="N1425" s="387"/>
    </row>
    <row r="1426" spans="1:15" s="200" customFormat="1" ht="13.6" customHeight="1" x14ac:dyDescent="0.25">
      <c r="A1426" s="508"/>
      <c r="B1426" s="520"/>
      <c r="E1426" s="196"/>
      <c r="F1426" s="196"/>
      <c r="J1426" s="499" t="str">
        <f>Noty!J1425</f>
        <v>ukryj</v>
      </c>
      <c r="K1426" s="489"/>
      <c r="N1426" s="387"/>
    </row>
    <row r="1427" spans="1:15" s="200" customFormat="1" ht="13.6" customHeight="1" x14ac:dyDescent="0.25">
      <c r="A1427" s="508"/>
      <c r="B1427" s="520"/>
      <c r="C1427" s="200" t="s">
        <v>10634</v>
      </c>
      <c r="E1427" s="196"/>
      <c r="F1427" s="196"/>
      <c r="G1427" s="802"/>
      <c r="H1427" s="802"/>
      <c r="I1427" s="800">
        <f>SUM(G1427:H1427)</f>
        <v>0</v>
      </c>
      <c r="J1427" s="499" t="str">
        <f>IF(Noty!I1427=0,"ukryj","odkryj")</f>
        <v>ukryj</v>
      </c>
      <c r="K1427" s="489"/>
      <c r="N1427" s="387"/>
    </row>
    <row r="1428" spans="1:15" s="200" customFormat="1" ht="13.6" customHeight="1" x14ac:dyDescent="0.25">
      <c r="A1428" s="508"/>
      <c r="B1428" s="520"/>
      <c r="C1428" s="200" t="s">
        <v>10635</v>
      </c>
      <c r="E1428" s="196"/>
      <c r="F1428" s="196"/>
      <c r="G1428" s="802"/>
      <c r="H1428" s="802"/>
      <c r="I1428" s="800">
        <f>SUM(G1428:H1428)</f>
        <v>0</v>
      </c>
      <c r="J1428" s="499" t="str">
        <f>IF(I1407=0,"ukryj","odkryj")</f>
        <v>ukryj</v>
      </c>
      <c r="K1428" s="489"/>
      <c r="N1428" s="387"/>
    </row>
    <row r="1429" spans="1:15" s="200" customFormat="1" ht="13.6" customHeight="1" x14ac:dyDescent="0.25">
      <c r="A1429" s="508"/>
      <c r="B1429" s="520"/>
      <c r="E1429" s="196"/>
      <c r="F1429" s="196"/>
      <c r="G1429" s="803">
        <f>SUM(G1427:G1428)</f>
        <v>0</v>
      </c>
      <c r="H1429" s="803">
        <f>SUM(H1427:H1428)</f>
        <v>0</v>
      </c>
      <c r="I1429" s="803">
        <f>SUM(I1427:I1428)</f>
        <v>0</v>
      </c>
      <c r="J1429" s="499" t="str">
        <f>IF(I1408=0,"ukryj","odkryj")</f>
        <v>ukryj</v>
      </c>
      <c r="K1429" s="489"/>
      <c r="N1429" s="387"/>
    </row>
    <row r="1430" spans="1:15" s="200" customFormat="1" ht="13.6" customHeight="1" x14ac:dyDescent="0.25">
      <c r="A1430" s="508"/>
      <c r="B1430" s="520"/>
      <c r="E1430" s="196"/>
      <c r="F1430" s="196"/>
      <c r="G1430" s="196"/>
      <c r="H1430" s="196"/>
      <c r="I1430" s="196"/>
      <c r="J1430" s="499" t="str">
        <f>Noty!J1429</f>
        <v>ukryj</v>
      </c>
      <c r="K1430" s="489"/>
      <c r="N1430" s="387"/>
    </row>
    <row r="1431" spans="1:15" s="200" customFormat="1" ht="13.6" customHeight="1" x14ac:dyDescent="0.25">
      <c r="A1431" s="508"/>
      <c r="B1431" s="520"/>
      <c r="C1431" s="982" t="s">
        <v>10636</v>
      </c>
      <c r="D1431" s="9"/>
      <c r="E1431" s="251"/>
      <c r="F1431" s="251"/>
      <c r="G1431" s="251"/>
      <c r="H1431" s="251"/>
      <c r="I1431" s="251"/>
      <c r="J1431" s="499" t="str">
        <f>Noty!J1430</f>
        <v>ukryj</v>
      </c>
      <c r="K1431" s="489"/>
      <c r="N1431" s="387"/>
    </row>
    <row r="1432" spans="1:15" s="200" customFormat="1" ht="13.6" customHeight="1" thickBot="1" x14ac:dyDescent="0.3">
      <c r="A1432" s="508"/>
      <c r="B1432" s="520"/>
      <c r="C1432" s="605" t="s">
        <v>7724</v>
      </c>
      <c r="E1432" s="196"/>
      <c r="F1432" s="196"/>
      <c r="G1432" s="196"/>
      <c r="H1432" s="196"/>
      <c r="I1432" s="196"/>
      <c r="J1432" s="499" t="s">
        <v>5125</v>
      </c>
      <c r="K1432" s="489"/>
      <c r="N1432" s="387"/>
    </row>
    <row r="1433" spans="1:15" s="200" customFormat="1" ht="13.6" customHeight="1" thickBot="1" x14ac:dyDescent="0.3">
      <c r="A1433" s="508"/>
      <c r="B1433" s="520"/>
      <c r="C1433" s="606" t="s">
        <v>10637</v>
      </c>
      <c r="E1433" s="196"/>
      <c r="F1433" s="196"/>
      <c r="G1433" s="196"/>
      <c r="H1433" s="196"/>
      <c r="I1433" s="196"/>
      <c r="J1433" s="499" t="str">
        <f>IF(Noty!K1433="n/a","ukryj","odkryj")</f>
        <v>odkryj</v>
      </c>
      <c r="K1433" s="1224" t="str">
        <f>IF(K1424="","n/a","")</f>
        <v/>
      </c>
      <c r="N1433" s="387"/>
    </row>
    <row r="1434" spans="1:15" s="200" customFormat="1" ht="13.6" customHeight="1" thickBot="1" x14ac:dyDescent="0.3">
      <c r="A1434" s="508"/>
      <c r="B1434" s="520"/>
      <c r="E1434" s="196"/>
      <c r="F1434" s="196"/>
      <c r="G1434" s="196"/>
      <c r="H1434" s="196"/>
      <c r="I1434" s="196"/>
      <c r="J1434" s="499" t="str">
        <f>Noty!J1433</f>
        <v>odkryj</v>
      </c>
      <c r="K1434" s="489"/>
      <c r="N1434" s="387"/>
    </row>
    <row r="1435" spans="1:15" s="200" customFormat="1" ht="31.6" customHeight="1" thickBot="1" x14ac:dyDescent="0.35">
      <c r="A1435" s="1180">
        <f>IF(K1435="n/a",A1422,A1422+1)</f>
        <v>13</v>
      </c>
      <c r="B1435" s="1182"/>
      <c r="C1435" s="1388" t="s">
        <v>10638</v>
      </c>
      <c r="D1435" s="1388"/>
      <c r="E1435" s="1388"/>
      <c r="F1435" s="1388"/>
      <c r="G1435" s="1388"/>
      <c r="H1435" s="1388"/>
      <c r="I1435" s="1388"/>
      <c r="J1435" s="499" t="str">
        <f>IF(Noty!K1435="n/a","ukryj","odkryj")</f>
        <v>odkryj</v>
      </c>
      <c r="K1435" s="1215"/>
      <c r="L1435" s="971" t="str">
        <f>A1435&amp;"."&amp;B1435</f>
        <v>13.</v>
      </c>
      <c r="N1435" s="1101" t="s">
        <v>9378</v>
      </c>
      <c r="O1435" s="489" t="str">
        <f>A1435&amp;"."&amp;B1435</f>
        <v>13.</v>
      </c>
    </row>
    <row r="1436" spans="1:15" s="200" customFormat="1" ht="13.75" thickBot="1" x14ac:dyDescent="0.3">
      <c r="A1436" s="508"/>
      <c r="B1436" s="520"/>
      <c r="E1436" s="196"/>
      <c r="F1436" s="196"/>
      <c r="G1436" s="196"/>
      <c r="H1436" s="196"/>
      <c r="I1436" s="196"/>
      <c r="J1436" s="499" t="str">
        <f>Noty!J1435</f>
        <v>odkryj</v>
      </c>
      <c r="K1436" s="489"/>
      <c r="N1436" s="387"/>
    </row>
    <row r="1437" spans="1:15" s="200" customFormat="1" ht="38.950000000000003" customHeight="1" thickBot="1" x14ac:dyDescent="0.3">
      <c r="A1437" s="508"/>
      <c r="B1437" s="520"/>
      <c r="C1437" s="1434" t="str">
        <f>"Nie występują zobowiązania wynikające z emerytur i świadczeń o podobnym charakterze, zobowiązania zaciągnięte w związku z tymi emeryturami oraz zobowiązania zaciągnięte tytułem gwarancji i poręczeń na dzień "&amp;DAY(DataDo)&amp;" "&amp;Input!$Q$7&amp;" "&amp;YEAR(DataDo)&amp;" r. oraz "&amp;DAY(Input!$R$11)&amp;" "&amp;Input!$Q$11&amp;" "&amp;YEAR(Input!$R$11)&amp;" r."</f>
        <v>Nie występują zobowiązania wynikające z emerytur i świadczeń o podobnym charakterze, zobowiązania zaciągnięte w związku z tymi emeryturami oraz zobowiązania zaciągnięte tytułem gwarancji i poręczeń na dzień 31 grudnia 2020 r. oraz 31 grudnia 2019 r.</v>
      </c>
      <c r="D1437" s="1434"/>
      <c r="E1437" s="1434"/>
      <c r="F1437" s="1434"/>
      <c r="G1437" s="1434"/>
      <c r="H1437" s="1434"/>
      <c r="I1437" s="1434"/>
      <c r="J1437" s="499" t="str">
        <f>IF(Noty!K1437="n/a","ukryj","odkryj")</f>
        <v>odkryj</v>
      </c>
      <c r="K1437" s="1224" t="str">
        <f>IF(AND(K1441="n/a",K1449="n/a",K1457="n/a",K1465="n/a"),"","n/a")</f>
        <v/>
      </c>
      <c r="N1437" s="387"/>
    </row>
    <row r="1438" spans="1:15" s="200" customFormat="1" x14ac:dyDescent="0.25">
      <c r="A1438" s="508"/>
      <c r="B1438" s="520"/>
      <c r="E1438" s="196"/>
      <c r="F1438" s="196"/>
      <c r="G1438" s="196"/>
      <c r="H1438" s="196"/>
      <c r="I1438" s="196"/>
      <c r="J1438" s="499" t="str">
        <f>Noty!J1437</f>
        <v>odkryj</v>
      </c>
      <c r="K1438" s="489"/>
      <c r="N1438" s="387"/>
    </row>
    <row r="1439" spans="1:15" s="200" customFormat="1" ht="26.2" customHeight="1" x14ac:dyDescent="0.25">
      <c r="A1439" s="508"/>
      <c r="B1439" s="520"/>
      <c r="C1439" s="1435" t="s">
        <v>10639</v>
      </c>
      <c r="D1439" s="1435"/>
      <c r="E1439" s="1435"/>
      <c r="F1439" s="1435"/>
      <c r="G1439" s="1435"/>
      <c r="H1439" s="1435"/>
      <c r="I1439" s="1435"/>
      <c r="J1439" s="499" t="str">
        <f>Noty!J1438</f>
        <v>odkryj</v>
      </c>
      <c r="K1439" s="489"/>
      <c r="N1439" s="387"/>
    </row>
    <row r="1440" spans="1:15" s="200" customFormat="1" ht="13.75" thickBot="1" x14ac:dyDescent="0.3">
      <c r="A1440" s="508"/>
      <c r="B1440" s="520"/>
      <c r="E1440" s="196"/>
      <c r="F1440" s="196"/>
      <c r="G1440" s="196"/>
      <c r="H1440" s="196"/>
      <c r="I1440" s="196"/>
      <c r="J1440" s="499" t="str">
        <f>Noty!J1439</f>
        <v>odkryj</v>
      </c>
      <c r="K1440" s="489"/>
      <c r="N1440" s="387"/>
    </row>
    <row r="1441" spans="1:32" s="200" customFormat="1" ht="28.5" customHeight="1" thickBot="1" x14ac:dyDescent="0.35">
      <c r="A1441" s="1183">
        <f>A1435</f>
        <v>13</v>
      </c>
      <c r="B1441" s="1184">
        <f>IF(K1441="n/a",0,1)</f>
        <v>0</v>
      </c>
      <c r="C1441" s="1282" t="s">
        <v>10640</v>
      </c>
      <c r="D1441" s="1282"/>
      <c r="E1441" s="1282"/>
      <c r="F1441" s="1282"/>
      <c r="G1441" s="1282"/>
      <c r="H1441" s="1282"/>
      <c r="I1441" s="1282"/>
      <c r="J1441" s="499" t="str">
        <f>IF(Noty!K1441="n/a","ukryj","odkryj")</f>
        <v>ukryj</v>
      </c>
      <c r="K1441" s="1213" t="str">
        <f>IF(Input!D178="nie","n/a","")</f>
        <v>n/a</v>
      </c>
      <c r="L1441" s="971" t="str">
        <f>A1441&amp;"."&amp;B1441</f>
        <v>13.0</v>
      </c>
      <c r="N1441" s="1101" t="s">
        <v>9378</v>
      </c>
      <c r="O1441" s="489" t="str">
        <f>A1441&amp;"."&amp;B1441</f>
        <v>13.0</v>
      </c>
    </row>
    <row r="1442" spans="1:32" s="200" customFormat="1" ht="13.6" customHeight="1" x14ac:dyDescent="0.25">
      <c r="A1442" s="508"/>
      <c r="B1442" s="520"/>
      <c r="C1442" s="195"/>
      <c r="D1442" s="195"/>
      <c r="E1442" s="196"/>
      <c r="F1442" s="196"/>
      <c r="G1442" s="196"/>
      <c r="H1442" s="196"/>
      <c r="I1442" s="191"/>
      <c r="J1442" s="499" t="str">
        <f>Noty!J1441</f>
        <v>ukryj</v>
      </c>
      <c r="N1442" s="387"/>
    </row>
    <row r="1443" spans="1:32" s="200" customFormat="1" x14ac:dyDescent="0.25">
      <c r="A1443" s="508"/>
      <c r="B1443" s="520"/>
      <c r="E1443" s="196"/>
      <c r="F1443" s="196"/>
      <c r="G1443" s="251"/>
      <c r="H1443" s="999" t="str">
        <f>CONCATENATE(Input!$P$7)</f>
        <v>31.12.2020</v>
      </c>
      <c r="I1443" s="999" t="str">
        <f>CONCATENATE(Input!$P$11)</f>
        <v>31.12.2019</v>
      </c>
      <c r="J1443" s="499" t="str">
        <f>Noty!J1442</f>
        <v>ukryj</v>
      </c>
      <c r="N1443" s="387"/>
    </row>
    <row r="1444" spans="1:32" s="200" customFormat="1" ht="13.6" customHeight="1" x14ac:dyDescent="0.25">
      <c r="A1444" s="508"/>
      <c r="B1444" s="520"/>
      <c r="C1444" s="202" t="s">
        <v>10641</v>
      </c>
      <c r="D1444" s="191"/>
      <c r="E1444" s="191"/>
      <c r="F1444" s="191"/>
      <c r="G1444" s="251"/>
      <c r="H1444" s="751"/>
      <c r="I1444" s="751"/>
      <c r="J1444" s="499" t="str">
        <f>IF(AND(Noty!H1444=0,Noty!I1444=0),"ukryj","odkryj")</f>
        <v>ukryj</v>
      </c>
      <c r="K1444" s="489"/>
      <c r="N1444" s="387"/>
      <c r="AE1444" s="257" t="s">
        <v>10642</v>
      </c>
      <c r="AF1444" s="257" t="s">
        <v>10643</v>
      </c>
    </row>
    <row r="1445" spans="1:32" s="200" customFormat="1" ht="13.6" customHeight="1" x14ac:dyDescent="0.25">
      <c r="A1445" s="508"/>
      <c r="B1445" s="520"/>
      <c r="C1445" s="202" t="s">
        <v>10644</v>
      </c>
      <c r="D1445" s="191"/>
      <c r="E1445" s="191"/>
      <c r="F1445" s="191"/>
      <c r="G1445" s="251"/>
      <c r="H1445" s="703"/>
      <c r="I1445" s="703"/>
      <c r="J1445" s="499" t="str">
        <f>IF(AND(Noty!H1445=0,Noty!I1445=0),"ukryj","odkryj")</f>
        <v>ukryj</v>
      </c>
      <c r="K1445" s="489"/>
      <c r="N1445" s="387"/>
      <c r="AE1445" s="257" t="s">
        <v>10645</v>
      </c>
      <c r="AF1445" s="257" t="s">
        <v>10646</v>
      </c>
    </row>
    <row r="1446" spans="1:32" s="200" customFormat="1" ht="13.6" customHeight="1" x14ac:dyDescent="0.25">
      <c r="A1446" s="508"/>
      <c r="B1446" s="520"/>
      <c r="C1446" s="202" t="s">
        <v>10647</v>
      </c>
      <c r="D1446" s="191"/>
      <c r="E1446" s="191"/>
      <c r="F1446" s="191"/>
      <c r="G1446" s="251"/>
      <c r="H1446" s="703"/>
      <c r="I1446" s="703"/>
      <c r="J1446" s="499" t="str">
        <f>IF(AND(Noty!H1446=0,Noty!I1446=0),"ukryj","odkryj")</f>
        <v>ukryj</v>
      </c>
      <c r="K1446" s="489"/>
      <c r="N1446" s="387"/>
      <c r="AE1446" s="257" t="s">
        <v>10648</v>
      </c>
      <c r="AF1446" s="257" t="s">
        <v>10649</v>
      </c>
    </row>
    <row r="1447" spans="1:32" s="200" customFormat="1" ht="13.6" customHeight="1" x14ac:dyDescent="0.25">
      <c r="A1447" s="508"/>
      <c r="B1447" s="520"/>
      <c r="C1447" s="841"/>
      <c r="D1447" s="841"/>
      <c r="E1447" s="841"/>
      <c r="F1447" s="202"/>
      <c r="G1447" s="251"/>
      <c r="H1447" s="619">
        <f>SUM(H1444:H1446)</f>
        <v>0</v>
      </c>
      <c r="I1447" s="619">
        <f>SUM(I1444:I1446)</f>
        <v>0</v>
      </c>
      <c r="J1447" s="499" t="str">
        <f>IF(AND(Noty!H1447=0,Noty!I1447=0),"ukryj","odkryj")</f>
        <v>ukryj</v>
      </c>
      <c r="K1447" s="489"/>
      <c r="N1447" s="387"/>
    </row>
    <row r="1448" spans="1:32" s="200" customFormat="1" ht="13.6" customHeight="1" thickBot="1" x14ac:dyDescent="0.3">
      <c r="A1448" s="508"/>
      <c r="B1448" s="520"/>
      <c r="C1448" s="841"/>
      <c r="D1448" s="841"/>
      <c r="E1448" s="841"/>
      <c r="F1448" s="202"/>
      <c r="G1448" s="196"/>
      <c r="H1448" s="191"/>
      <c r="I1448" s="191"/>
      <c r="J1448" s="499" t="str">
        <f>Noty!J1447</f>
        <v>ukryj</v>
      </c>
      <c r="K1448" s="489"/>
      <c r="N1448" s="387"/>
    </row>
    <row r="1449" spans="1:32" s="200" customFormat="1" ht="29.3" customHeight="1" thickBot="1" x14ac:dyDescent="0.35">
      <c r="A1449" s="1183">
        <f>A1441</f>
        <v>13</v>
      </c>
      <c r="B1449" s="1184">
        <f>IF(K1449="n/a",B1441,B1441+1)</f>
        <v>0</v>
      </c>
      <c r="C1449" s="1282" t="s">
        <v>10650</v>
      </c>
      <c r="D1449" s="1282"/>
      <c r="E1449" s="1282"/>
      <c r="F1449" s="1282"/>
      <c r="G1449" s="1282"/>
      <c r="H1449" s="1282"/>
      <c r="I1449" s="1282"/>
      <c r="J1449" s="499" t="str">
        <f>IF(Noty!K1449="n/a","ukryj","odkryj")</f>
        <v>ukryj</v>
      </c>
      <c r="K1449" s="1213" t="str">
        <f>IF(Input!D179="nie","n/a","")</f>
        <v>n/a</v>
      </c>
      <c r="L1449" s="971" t="str">
        <f>A1449&amp;"."&amp;B1449</f>
        <v>13.0</v>
      </c>
      <c r="N1449" s="1101" t="s">
        <v>9378</v>
      </c>
      <c r="O1449" s="489" t="str">
        <f>A1449&amp;"."&amp;B1449</f>
        <v>13.0</v>
      </c>
    </row>
    <row r="1450" spans="1:32" s="200" customFormat="1" ht="13.6" customHeight="1" x14ac:dyDescent="0.25">
      <c r="A1450" s="508"/>
      <c r="B1450" s="520"/>
      <c r="C1450" s="195"/>
      <c r="D1450" s="195"/>
      <c r="E1450" s="196"/>
      <c r="F1450" s="196"/>
      <c r="G1450" s="196"/>
      <c r="H1450" s="196"/>
      <c r="I1450" s="191"/>
      <c r="J1450" s="499" t="str">
        <f>Noty!J1449</f>
        <v>ukryj</v>
      </c>
      <c r="N1450" s="387"/>
    </row>
    <row r="1451" spans="1:32" s="200" customFormat="1" x14ac:dyDescent="0.25">
      <c r="A1451" s="508"/>
      <c r="B1451" s="520"/>
      <c r="E1451" s="196"/>
      <c r="F1451" s="196"/>
      <c r="G1451" s="251"/>
      <c r="H1451" s="999" t="str">
        <f>CONCATENATE(Input!$P$7)</f>
        <v>31.12.2020</v>
      </c>
      <c r="I1451" s="999" t="str">
        <f>CONCATENATE(Input!$P$11)</f>
        <v>31.12.2019</v>
      </c>
      <c r="J1451" s="499" t="str">
        <f>Noty!J1450</f>
        <v>ukryj</v>
      </c>
      <c r="N1451" s="387"/>
    </row>
    <row r="1452" spans="1:32" s="200" customFormat="1" ht="13.6" customHeight="1" x14ac:dyDescent="0.25">
      <c r="A1452" s="508"/>
      <c r="B1452" s="520"/>
      <c r="C1452" s="202" t="s">
        <v>10641</v>
      </c>
      <c r="D1452" s="191"/>
      <c r="E1452" s="191"/>
      <c r="F1452" s="191"/>
      <c r="G1452" s="251"/>
      <c r="H1452" s="751"/>
      <c r="I1452" s="751"/>
      <c r="J1452" s="499" t="str">
        <f>IF(AND(Noty!H1452=0,Noty!I1452=0),"ukryj","odkryj")</f>
        <v>ukryj</v>
      </c>
      <c r="K1452" s="489"/>
      <c r="N1452" s="387"/>
      <c r="AE1452" s="257" t="s">
        <v>10651</v>
      </c>
      <c r="AF1452" s="257" t="s">
        <v>10652</v>
      </c>
    </row>
    <row r="1453" spans="1:32" s="200" customFormat="1" ht="13.6" customHeight="1" x14ac:dyDescent="0.25">
      <c r="A1453" s="508"/>
      <c r="B1453" s="520"/>
      <c r="C1453" s="202" t="s">
        <v>10644</v>
      </c>
      <c r="D1453" s="191"/>
      <c r="E1453" s="191"/>
      <c r="F1453" s="191"/>
      <c r="G1453" s="251"/>
      <c r="H1453" s="703"/>
      <c r="I1453" s="703"/>
      <c r="J1453" s="499" t="str">
        <f>IF(AND(Noty!H1453=0,Noty!I1453=0),"ukryj","odkryj")</f>
        <v>ukryj</v>
      </c>
      <c r="K1453" s="489"/>
      <c r="N1453" s="387"/>
      <c r="AE1453" s="257" t="s">
        <v>10653</v>
      </c>
      <c r="AF1453" s="257" t="s">
        <v>10654</v>
      </c>
    </row>
    <row r="1454" spans="1:32" s="200" customFormat="1" ht="13.6" customHeight="1" x14ac:dyDescent="0.25">
      <c r="A1454" s="508"/>
      <c r="B1454" s="520"/>
      <c r="C1454" s="202" t="s">
        <v>10647</v>
      </c>
      <c r="D1454" s="191"/>
      <c r="E1454" s="191"/>
      <c r="F1454" s="191"/>
      <c r="G1454" s="251"/>
      <c r="H1454" s="703"/>
      <c r="I1454" s="703"/>
      <c r="J1454" s="499" t="str">
        <f>IF(AND(Noty!H1454=0,Noty!I1454=0),"ukryj","odkryj")</f>
        <v>ukryj</v>
      </c>
      <c r="K1454" s="489"/>
      <c r="N1454" s="387"/>
      <c r="AE1454" s="257" t="s">
        <v>10655</v>
      </c>
      <c r="AF1454" s="257" t="s">
        <v>10656</v>
      </c>
    </row>
    <row r="1455" spans="1:32" s="200" customFormat="1" ht="13.6" customHeight="1" x14ac:dyDescent="0.25">
      <c r="A1455" s="508"/>
      <c r="B1455" s="520"/>
      <c r="C1455" s="841"/>
      <c r="D1455" s="841"/>
      <c r="E1455" s="841"/>
      <c r="F1455" s="202"/>
      <c r="G1455" s="251"/>
      <c r="H1455" s="619">
        <f>SUM(H1452:H1454)</f>
        <v>0</v>
      </c>
      <c r="I1455" s="619">
        <f>SUM(I1452:I1454)</f>
        <v>0</v>
      </c>
      <c r="J1455" s="499" t="str">
        <f>IF(AND(Noty!H1455=0,Noty!I1455=0),"ukryj","odkryj")</f>
        <v>ukryj</v>
      </c>
      <c r="K1455" s="489"/>
      <c r="N1455" s="387"/>
    </row>
    <row r="1456" spans="1:32" s="200" customFormat="1" ht="13.6" customHeight="1" thickBot="1" x14ac:dyDescent="0.3">
      <c r="A1456" s="508"/>
      <c r="B1456" s="520"/>
      <c r="C1456" s="841"/>
      <c r="D1456" s="841"/>
      <c r="E1456" s="841"/>
      <c r="F1456" s="202"/>
      <c r="G1456" s="196"/>
      <c r="H1456" s="191"/>
      <c r="I1456" s="191"/>
      <c r="J1456" s="499" t="str">
        <f>Noty!J1455</f>
        <v>ukryj</v>
      </c>
      <c r="K1456" s="489"/>
      <c r="N1456" s="387"/>
    </row>
    <row r="1457" spans="1:32" s="200" customFormat="1" ht="32.25" customHeight="1" thickBot="1" x14ac:dyDescent="0.35">
      <c r="A1457" s="1183">
        <f>A1449</f>
        <v>13</v>
      </c>
      <c r="B1457" s="1184">
        <f>IF(K1457="n/a",B1449,B1449+1)</f>
        <v>0</v>
      </c>
      <c r="C1457" s="1282" t="s">
        <v>10657</v>
      </c>
      <c r="D1457" s="1282"/>
      <c r="E1457" s="1282"/>
      <c r="F1457" s="1282"/>
      <c r="G1457" s="1282"/>
      <c r="H1457" s="1282"/>
      <c r="I1457" s="1282"/>
      <c r="J1457" s="499" t="str">
        <f>IF(Noty!K1457="n/a","ukryj","odkryj")</f>
        <v>ukryj</v>
      </c>
      <c r="K1457" s="1213" t="str">
        <f>IF(Input!D180="nie","n/a","")</f>
        <v>n/a</v>
      </c>
      <c r="L1457" s="971" t="str">
        <f>A1457&amp;"."&amp;B1457</f>
        <v>13.0</v>
      </c>
      <c r="N1457" s="1101" t="s">
        <v>9378</v>
      </c>
      <c r="O1457" s="489" t="str">
        <f>A1457&amp;"."&amp;B1457</f>
        <v>13.0</v>
      </c>
    </row>
    <row r="1458" spans="1:32" s="200" customFormat="1" ht="13.6" customHeight="1" x14ac:dyDescent="0.25">
      <c r="A1458" s="508"/>
      <c r="B1458" s="520"/>
      <c r="C1458" s="195"/>
      <c r="D1458" s="195"/>
      <c r="E1458" s="196"/>
      <c r="F1458" s="196"/>
      <c r="G1458" s="196"/>
      <c r="H1458" s="196"/>
      <c r="I1458" s="191"/>
      <c r="J1458" s="499" t="str">
        <f>Noty!J1457</f>
        <v>ukryj</v>
      </c>
      <c r="N1458" s="387"/>
    </row>
    <row r="1459" spans="1:32" s="200" customFormat="1" x14ac:dyDescent="0.25">
      <c r="A1459" s="508"/>
      <c r="B1459" s="520"/>
      <c r="E1459" s="196"/>
      <c r="F1459" s="196"/>
      <c r="G1459" s="251"/>
      <c r="H1459" s="999" t="str">
        <f>CONCATENATE(Input!$P$7)</f>
        <v>31.12.2020</v>
      </c>
      <c r="I1459" s="999" t="str">
        <f>CONCATENATE(Input!$P$11)</f>
        <v>31.12.2019</v>
      </c>
      <c r="J1459" s="499" t="str">
        <f>Noty!J1458</f>
        <v>ukryj</v>
      </c>
      <c r="N1459" s="387"/>
    </row>
    <row r="1460" spans="1:32" s="200" customFormat="1" ht="13.6" customHeight="1" x14ac:dyDescent="0.25">
      <c r="A1460" s="508"/>
      <c r="B1460" s="520"/>
      <c r="C1460" s="202" t="s">
        <v>10641</v>
      </c>
      <c r="D1460" s="191"/>
      <c r="E1460" s="191"/>
      <c r="F1460" s="191"/>
      <c r="G1460" s="251"/>
      <c r="H1460" s="751"/>
      <c r="I1460" s="751"/>
      <c r="J1460" s="499" t="str">
        <f>IF(AND(Noty!H1460=0,Noty!I1460=0),"ukryj","odkryj")</f>
        <v>ukryj</v>
      </c>
      <c r="K1460" s="489"/>
      <c r="N1460" s="387"/>
      <c r="AE1460" s="257" t="s">
        <v>10658</v>
      </c>
      <c r="AF1460" s="257" t="s">
        <v>10659</v>
      </c>
    </row>
    <row r="1461" spans="1:32" s="200" customFormat="1" ht="13.6" customHeight="1" x14ac:dyDescent="0.25">
      <c r="A1461" s="508"/>
      <c r="B1461" s="520"/>
      <c r="C1461" s="202" t="s">
        <v>10644</v>
      </c>
      <c r="D1461" s="191"/>
      <c r="E1461" s="191"/>
      <c r="F1461" s="191"/>
      <c r="G1461" s="251"/>
      <c r="H1461" s="703"/>
      <c r="I1461" s="703"/>
      <c r="J1461" s="499" t="str">
        <f>IF(AND(Noty!H1461=0,Noty!I1461=0),"ukryj","odkryj")</f>
        <v>ukryj</v>
      </c>
      <c r="K1461" s="489"/>
      <c r="N1461" s="387"/>
      <c r="AE1461" s="257" t="s">
        <v>10660</v>
      </c>
      <c r="AF1461" s="257" t="s">
        <v>10661</v>
      </c>
    </row>
    <row r="1462" spans="1:32" s="200" customFormat="1" ht="13.6" customHeight="1" x14ac:dyDescent="0.25">
      <c r="A1462" s="508"/>
      <c r="B1462" s="520"/>
      <c r="C1462" s="202" t="s">
        <v>10647</v>
      </c>
      <c r="D1462" s="191"/>
      <c r="E1462" s="191"/>
      <c r="F1462" s="191"/>
      <c r="G1462" s="251"/>
      <c r="H1462" s="703"/>
      <c r="I1462" s="703"/>
      <c r="J1462" s="499" t="str">
        <f>IF(AND(Noty!H1462=0,Noty!I1462=0),"ukryj","odkryj")</f>
        <v>ukryj</v>
      </c>
      <c r="K1462" s="489"/>
      <c r="N1462" s="387"/>
      <c r="AE1462" s="257" t="s">
        <v>10662</v>
      </c>
      <c r="AF1462" s="257" t="s">
        <v>10663</v>
      </c>
    </row>
    <row r="1463" spans="1:32" s="200" customFormat="1" ht="13.6" customHeight="1" x14ac:dyDescent="0.25">
      <c r="A1463" s="508"/>
      <c r="B1463" s="520"/>
      <c r="C1463" s="841"/>
      <c r="D1463" s="841"/>
      <c r="E1463" s="841"/>
      <c r="F1463" s="202"/>
      <c r="G1463" s="251"/>
      <c r="H1463" s="619">
        <f>SUM(H1460:H1462)</f>
        <v>0</v>
      </c>
      <c r="I1463" s="619">
        <f>SUM(I1460:I1462)</f>
        <v>0</v>
      </c>
      <c r="J1463" s="499" t="str">
        <f>IF(AND(Noty!H1463=0,Noty!I1463=0),"ukryj","odkryj")</f>
        <v>ukryj</v>
      </c>
      <c r="K1463" s="489"/>
      <c r="N1463" s="387"/>
    </row>
    <row r="1464" spans="1:32" s="200" customFormat="1" ht="13.6" customHeight="1" thickBot="1" x14ac:dyDescent="0.3">
      <c r="A1464" s="508"/>
      <c r="B1464" s="520"/>
      <c r="C1464" s="841"/>
      <c r="D1464" s="841"/>
      <c r="E1464" s="841"/>
      <c r="F1464" s="202"/>
      <c r="G1464" s="196"/>
      <c r="H1464" s="191"/>
      <c r="I1464" s="191"/>
      <c r="J1464" s="499" t="str">
        <f>Noty!J1463</f>
        <v>ukryj</v>
      </c>
      <c r="K1464" s="489"/>
      <c r="N1464" s="387"/>
    </row>
    <row r="1465" spans="1:32" s="200" customFormat="1" ht="32.25" customHeight="1" thickBot="1" x14ac:dyDescent="0.35">
      <c r="A1465" s="1183">
        <f>A1457</f>
        <v>13</v>
      </c>
      <c r="B1465" s="1184">
        <f>IF(K1465="n/a",B1457,B1457+1)</f>
        <v>0</v>
      </c>
      <c r="C1465" s="1282" t="s">
        <v>10664</v>
      </c>
      <c r="D1465" s="1282"/>
      <c r="E1465" s="1282"/>
      <c r="F1465" s="1282"/>
      <c r="G1465" s="1282"/>
      <c r="H1465" s="1282"/>
      <c r="I1465" s="1282"/>
      <c r="J1465" s="499" t="str">
        <f>IF(Noty!K1465="n/a","ukryj","odkryj")</f>
        <v>ukryj</v>
      </c>
      <c r="K1465" s="1213" t="str">
        <f>IF(Input!D181="nie","n/a","")</f>
        <v>n/a</v>
      </c>
      <c r="L1465" s="971" t="str">
        <f>A1465&amp;"."&amp;B1465</f>
        <v>13.0</v>
      </c>
      <c r="N1465" s="1101" t="s">
        <v>9378</v>
      </c>
      <c r="O1465" s="489" t="str">
        <f>A1465&amp;"."&amp;B1465</f>
        <v>13.0</v>
      </c>
    </row>
    <row r="1466" spans="1:32" s="200" customFormat="1" ht="13.6" customHeight="1" x14ac:dyDescent="0.25">
      <c r="A1466" s="508"/>
      <c r="B1466" s="520"/>
      <c r="C1466" s="195"/>
      <c r="D1466" s="195"/>
      <c r="E1466" s="196"/>
      <c r="F1466" s="196"/>
      <c r="G1466" s="196"/>
      <c r="H1466" s="196"/>
      <c r="I1466" s="191"/>
      <c r="J1466" s="499" t="str">
        <f>Noty!J1465</f>
        <v>ukryj</v>
      </c>
      <c r="N1466" s="387"/>
    </row>
    <row r="1467" spans="1:32" s="200" customFormat="1" x14ac:dyDescent="0.25">
      <c r="A1467" s="508"/>
      <c r="B1467" s="520"/>
      <c r="E1467" s="196"/>
      <c r="F1467" s="196"/>
      <c r="G1467" s="251"/>
      <c r="H1467" s="999" t="str">
        <f>CONCATENATE(Input!$P$7)</f>
        <v>31.12.2020</v>
      </c>
      <c r="I1467" s="999" t="str">
        <f>CONCATENATE(Input!$P$11)</f>
        <v>31.12.2019</v>
      </c>
      <c r="J1467" s="499" t="str">
        <f>Noty!J1466</f>
        <v>ukryj</v>
      </c>
      <c r="N1467" s="387"/>
    </row>
    <row r="1468" spans="1:32" s="200" customFormat="1" ht="13.6" customHeight="1" x14ac:dyDescent="0.25">
      <c r="A1468" s="508"/>
      <c r="B1468" s="520"/>
      <c r="C1468" s="202" t="s">
        <v>10641</v>
      </c>
      <c r="D1468" s="191"/>
      <c r="E1468" s="191"/>
      <c r="F1468" s="191"/>
      <c r="G1468" s="251"/>
      <c r="H1468" s="751"/>
      <c r="I1468" s="751"/>
      <c r="J1468" s="499" t="str">
        <f>IF(AND(Noty!H1468=0,Noty!I1468=0),"ukryj","odkryj")</f>
        <v>ukryj</v>
      </c>
      <c r="K1468" s="489"/>
      <c r="N1468" s="387"/>
      <c r="AE1468" s="257" t="s">
        <v>10665</v>
      </c>
      <c r="AF1468" s="257" t="s">
        <v>10666</v>
      </c>
    </row>
    <row r="1469" spans="1:32" s="200" customFormat="1" ht="13.6" customHeight="1" x14ac:dyDescent="0.25">
      <c r="A1469" s="508"/>
      <c r="B1469" s="520"/>
      <c r="C1469" s="202" t="s">
        <v>10644</v>
      </c>
      <c r="D1469" s="191"/>
      <c r="E1469" s="191"/>
      <c r="F1469" s="191"/>
      <c r="G1469" s="251"/>
      <c r="H1469" s="703"/>
      <c r="I1469" s="703"/>
      <c r="J1469" s="499" t="str">
        <f>IF(AND(Noty!H1469=0,Noty!I1469=0),"ukryj","odkryj")</f>
        <v>ukryj</v>
      </c>
      <c r="K1469" s="489"/>
      <c r="N1469" s="387"/>
      <c r="AE1469" s="257" t="s">
        <v>10667</v>
      </c>
      <c r="AF1469" s="257" t="s">
        <v>10668</v>
      </c>
    </row>
    <row r="1470" spans="1:32" s="200" customFormat="1" ht="13.6" customHeight="1" x14ac:dyDescent="0.25">
      <c r="A1470" s="508"/>
      <c r="B1470" s="520"/>
      <c r="C1470" s="202" t="s">
        <v>10647</v>
      </c>
      <c r="D1470" s="191"/>
      <c r="E1470" s="191"/>
      <c r="F1470" s="191"/>
      <c r="G1470" s="251"/>
      <c r="H1470" s="703"/>
      <c r="I1470" s="703"/>
      <c r="J1470" s="499" t="str">
        <f>IF(AND(Noty!H1470=0,Noty!I1470=0),"ukryj","odkryj")</f>
        <v>ukryj</v>
      </c>
      <c r="K1470" s="489"/>
      <c r="N1470" s="387"/>
      <c r="AE1470" s="257" t="s">
        <v>10669</v>
      </c>
      <c r="AF1470" s="257" t="s">
        <v>10670</v>
      </c>
    </row>
    <row r="1471" spans="1:32" s="200" customFormat="1" ht="13.6" customHeight="1" x14ac:dyDescent="0.25">
      <c r="A1471" s="508"/>
      <c r="B1471" s="520"/>
      <c r="C1471" s="841"/>
      <c r="D1471" s="841"/>
      <c r="E1471" s="841"/>
      <c r="F1471" s="202"/>
      <c r="G1471" s="251"/>
      <c r="H1471" s="619">
        <f>SUM(H1468:H1470)</f>
        <v>0</v>
      </c>
      <c r="I1471" s="619">
        <f>SUM(I1468:I1470)</f>
        <v>0</v>
      </c>
      <c r="J1471" s="499" t="str">
        <f>IF(AND(Noty!H1471=0,Noty!I1471=0),"ukryj","odkryj")</f>
        <v>ukryj</v>
      </c>
      <c r="K1471" s="489"/>
      <c r="N1471" s="387"/>
    </row>
    <row r="1472" spans="1:32" s="200" customFormat="1" ht="13.6" customHeight="1" thickBot="1" x14ac:dyDescent="0.3">
      <c r="A1472" s="508"/>
      <c r="B1472" s="520"/>
      <c r="C1472" s="841"/>
      <c r="D1472" s="841"/>
      <c r="E1472" s="841"/>
      <c r="F1472" s="202"/>
      <c r="G1472" s="196"/>
      <c r="H1472" s="191"/>
      <c r="I1472" s="191"/>
      <c r="J1472" s="499" t="str">
        <f>Noty!J1471</f>
        <v>ukryj</v>
      </c>
      <c r="K1472" s="489"/>
      <c r="N1472" s="387"/>
    </row>
    <row r="1473" spans="1:15" s="200" customFormat="1" ht="15.75" thickBot="1" x14ac:dyDescent="0.35">
      <c r="A1473" s="1180">
        <f>IF(K1473="n/a",A1435,A1435+1)</f>
        <v>14</v>
      </c>
      <c r="B1473" s="1182"/>
      <c r="C1473" s="1388" t="s">
        <v>10671</v>
      </c>
      <c r="D1473" s="1388"/>
      <c r="E1473" s="1388"/>
      <c r="F1473" s="1388"/>
      <c r="G1473" s="1388"/>
      <c r="H1473" s="1388"/>
      <c r="I1473" s="1388"/>
      <c r="J1473" s="499" t="str">
        <f>IF(Noty!K1473="n/a","ukryj","odkryj")</f>
        <v>odkryj</v>
      </c>
      <c r="K1473" s="1215" t="str">
        <f>IF(AND(K1477="n/a",K1486="n/a"),"n/a","")</f>
        <v/>
      </c>
      <c r="L1473" s="971" t="str">
        <f>A1473&amp;"."&amp;B1473</f>
        <v>14.</v>
      </c>
      <c r="N1473" s="1101" t="s">
        <v>9378</v>
      </c>
      <c r="O1473" s="489" t="str">
        <f>A1473&amp;"."&amp;B1473</f>
        <v>14.</v>
      </c>
    </row>
    <row r="1474" spans="1:15" s="200" customFormat="1" ht="13.6" customHeight="1" x14ac:dyDescent="0.25">
      <c r="A1474" s="508"/>
      <c r="B1474" s="520"/>
      <c r="E1474" s="196"/>
      <c r="F1474" s="196"/>
      <c r="G1474" s="196"/>
      <c r="H1474" s="196"/>
      <c r="I1474" s="196"/>
      <c r="J1474" s="499" t="str">
        <f>Noty!J1473</f>
        <v>odkryj</v>
      </c>
      <c r="K1474" s="489"/>
      <c r="N1474" s="387"/>
    </row>
    <row r="1475" spans="1:15" s="200" customFormat="1" ht="13.6" customHeight="1" x14ac:dyDescent="0.25">
      <c r="A1475" s="508"/>
      <c r="B1475" s="520"/>
      <c r="C1475" s="221" t="s">
        <v>10672</v>
      </c>
      <c r="D1475" s="476"/>
      <c r="E1475" s="196"/>
      <c r="F1475" s="196"/>
      <c r="G1475" s="196"/>
      <c r="H1475" s="196"/>
      <c r="I1475" s="196"/>
      <c r="J1475" s="499" t="s">
        <v>5125</v>
      </c>
      <c r="K1475" s="489"/>
      <c r="N1475" s="387"/>
    </row>
    <row r="1476" spans="1:15" s="200" customFormat="1" ht="13.6" customHeight="1" thickBot="1" x14ac:dyDescent="0.3">
      <c r="A1476" s="508"/>
      <c r="B1476" s="520"/>
      <c r="C1476" s="221"/>
      <c r="D1476" s="476"/>
      <c r="E1476" s="196"/>
      <c r="F1476" s="196"/>
      <c r="G1476" s="196"/>
      <c r="H1476" s="196"/>
      <c r="I1476" s="196"/>
      <c r="J1476" s="499" t="s">
        <v>5125</v>
      </c>
      <c r="K1476" s="489"/>
      <c r="N1476" s="387"/>
    </row>
    <row r="1477" spans="1:15" s="200" customFormat="1" ht="13.6" customHeight="1" thickBot="1" x14ac:dyDescent="0.3">
      <c r="A1477" s="508"/>
      <c r="B1477" s="520"/>
      <c r="C1477" s="222" t="s">
        <v>10673</v>
      </c>
      <c r="D1477" s="598"/>
      <c r="E1477" s="598"/>
      <c r="F1477" s="689" t="s">
        <v>10674</v>
      </c>
      <c r="G1477" s="689" t="s">
        <v>10675</v>
      </c>
      <c r="H1477" s="689" t="s">
        <v>10676</v>
      </c>
      <c r="I1477" s="598" t="s">
        <v>10163</v>
      </c>
      <c r="J1477" s="499" t="str">
        <f>IF(Noty!K1477="n/a","ukryj","odkryj")</f>
        <v>ukryj</v>
      </c>
      <c r="K1477" s="1226" t="str">
        <f>IF(Input!D182="nie","n/a","")</f>
        <v>n/a</v>
      </c>
      <c r="N1477" s="387"/>
    </row>
    <row r="1478" spans="1:15" s="200" customFormat="1" ht="13.6" customHeight="1" x14ac:dyDescent="0.25">
      <c r="A1478" s="508"/>
      <c r="B1478" s="520"/>
      <c r="C1478" s="221"/>
      <c r="D1478" s="476"/>
      <c r="E1478" s="476"/>
      <c r="F1478" s="196"/>
      <c r="G1478" s="196"/>
      <c r="H1478" s="196"/>
      <c r="I1478" s="196"/>
      <c r="J1478" s="499" t="str">
        <f>Noty!J1477</f>
        <v>ukryj</v>
      </c>
      <c r="K1478" s="489"/>
      <c r="N1478" s="387"/>
    </row>
    <row r="1479" spans="1:15" s="200" customFormat="1" ht="13.6" customHeight="1" x14ac:dyDescent="0.25">
      <c r="A1479" s="508"/>
      <c r="B1479" s="520"/>
      <c r="C1479" s="1432"/>
      <c r="D1479" s="1432"/>
      <c r="E1479" s="1432"/>
      <c r="F1479" s="802"/>
      <c r="G1479" s="802"/>
      <c r="H1479" s="802"/>
      <c r="I1479" s="802"/>
      <c r="J1479" s="499" t="str">
        <f>IF(AND(Noty!F1479=0,Noty!G1479=0,Noty!H1479=0,Noty!I1479=0),"ukryj","odkryj")</f>
        <v>ukryj</v>
      </c>
      <c r="K1479" s="489"/>
      <c r="N1479" s="387"/>
    </row>
    <row r="1480" spans="1:15" s="200" customFormat="1" ht="13.6" customHeight="1" x14ac:dyDescent="0.25">
      <c r="A1480" s="508"/>
      <c r="B1480" s="520"/>
      <c r="C1480" s="1432"/>
      <c r="D1480" s="1432"/>
      <c r="E1480" s="1432"/>
      <c r="F1480" s="802"/>
      <c r="G1480" s="802"/>
      <c r="H1480" s="802"/>
      <c r="I1480" s="802"/>
      <c r="J1480" s="499" t="str">
        <f>IF(AND(Noty!F1480=0,Noty!G1480=0,Noty!H1480=0,Noty!I1480=0),"ukryj","odkryj")</f>
        <v>ukryj</v>
      </c>
      <c r="K1480" s="489"/>
      <c r="N1480" s="387"/>
    </row>
    <row r="1481" spans="1:15" s="200" customFormat="1" ht="13.6" customHeight="1" x14ac:dyDescent="0.25">
      <c r="A1481" s="508"/>
      <c r="B1481" s="520"/>
      <c r="C1481" s="1432"/>
      <c r="D1481" s="1432"/>
      <c r="E1481" s="1432"/>
      <c r="F1481" s="802"/>
      <c r="G1481" s="802"/>
      <c r="H1481" s="802"/>
      <c r="I1481" s="802"/>
      <c r="J1481" s="499" t="str">
        <f>IF(AND(Noty!F1481=0,Noty!G1481=0,Noty!H1481=0,Noty!I1481=0),"ukryj","odkryj")</f>
        <v>ukryj</v>
      </c>
      <c r="K1481" s="489"/>
      <c r="N1481" s="387"/>
    </row>
    <row r="1482" spans="1:15" s="200" customFormat="1" ht="13.6" customHeight="1" x14ac:dyDescent="0.25">
      <c r="A1482" s="508"/>
      <c r="B1482" s="520"/>
      <c r="C1482" s="1432"/>
      <c r="D1482" s="1432"/>
      <c r="E1482" s="1432"/>
      <c r="F1482" s="802"/>
      <c r="G1482" s="802"/>
      <c r="H1482" s="802"/>
      <c r="I1482" s="802"/>
      <c r="J1482" s="499" t="str">
        <f>IF(AND(Noty!F1482=0,Noty!G1482=0,Noty!H1482=0,Noty!I1482=0),"ukryj","odkryj")</f>
        <v>ukryj</v>
      </c>
      <c r="K1482" s="489"/>
      <c r="N1482" s="387"/>
    </row>
    <row r="1483" spans="1:15" s="200" customFormat="1" ht="13.6" customHeight="1" x14ac:dyDescent="0.25">
      <c r="A1483" s="508"/>
      <c r="B1483" s="520"/>
      <c r="C1483" s="1432"/>
      <c r="D1483" s="1432"/>
      <c r="E1483" s="1432"/>
      <c r="F1483" s="802"/>
      <c r="G1483" s="802"/>
      <c r="H1483" s="802"/>
      <c r="I1483" s="802"/>
      <c r="J1483" s="499" t="str">
        <f>IF(AND(Noty!F1483=0,Noty!G1483=0,Noty!H1483=0,Noty!I1483=0),"ukryj","odkryj")</f>
        <v>ukryj</v>
      </c>
      <c r="K1483" s="489"/>
      <c r="N1483" s="387"/>
    </row>
    <row r="1484" spans="1:15" s="200" customFormat="1" ht="13.6" customHeight="1" x14ac:dyDescent="0.25">
      <c r="A1484" s="508"/>
      <c r="B1484" s="520"/>
      <c r="C1484" s="221"/>
      <c r="D1484" s="476"/>
      <c r="F1484" s="803">
        <f>SUM(F1479:F1483)</f>
        <v>0</v>
      </c>
      <c r="G1484" s="803">
        <f>SUM(G1479:G1483)</f>
        <v>0</v>
      </c>
      <c r="H1484" s="803">
        <f>SUM(H1479:H1483)</f>
        <v>0</v>
      </c>
      <c r="I1484" s="803">
        <f>SUM(I1479:I1483)</f>
        <v>0</v>
      </c>
      <c r="J1484" s="499" t="str">
        <f>IF(AND(Noty!F1484=0,Noty!G1484=0,Noty!H1484=0,Noty!I1484=0),"ukryj","odkryj")</f>
        <v>ukryj</v>
      </c>
      <c r="K1484" s="489"/>
      <c r="N1484" s="387"/>
    </row>
    <row r="1485" spans="1:15" s="200" customFormat="1" ht="13.6" customHeight="1" thickBot="1" x14ac:dyDescent="0.3">
      <c r="A1485" s="508"/>
      <c r="B1485" s="520"/>
      <c r="C1485" s="219" t="s">
        <v>7685</v>
      </c>
      <c r="D1485" s="476"/>
      <c r="E1485" s="196"/>
      <c r="F1485" s="196"/>
      <c r="G1485" s="196"/>
      <c r="H1485" s="196"/>
      <c r="I1485" s="196"/>
      <c r="J1485" s="499" t="s">
        <v>5125</v>
      </c>
      <c r="K1485" s="489"/>
      <c r="N1485" s="387"/>
    </row>
    <row r="1486" spans="1:15" s="200" customFormat="1" ht="13.6" customHeight="1" thickBot="1" x14ac:dyDescent="0.3">
      <c r="A1486" s="508"/>
      <c r="B1486" s="520"/>
      <c r="C1486" s="1433" t="s">
        <v>10677</v>
      </c>
      <c r="D1486" s="1433"/>
      <c r="E1486" s="1433"/>
      <c r="F1486" s="1433"/>
      <c r="G1486" s="1433"/>
      <c r="H1486" s="1433"/>
      <c r="I1486" s="1433"/>
      <c r="J1486" s="499" t="str">
        <f>IF(Noty!K1486="n/a","ukryj","odkryj")</f>
        <v>odkryj</v>
      </c>
      <c r="K1486" s="1215" t="str">
        <f>IF(K1477="","n/a","")</f>
        <v/>
      </c>
      <c r="N1486" s="387"/>
    </row>
    <row r="1487" spans="1:15" s="200" customFormat="1" ht="13.6" customHeight="1" thickBot="1" x14ac:dyDescent="0.3">
      <c r="A1487" s="508"/>
      <c r="B1487" s="520"/>
      <c r="E1487" s="196"/>
      <c r="F1487" s="196"/>
      <c r="G1487" s="196"/>
      <c r="H1487" s="196"/>
      <c r="I1487" s="196"/>
      <c r="J1487" s="499" t="s">
        <v>5070</v>
      </c>
      <c r="K1487" s="489"/>
      <c r="N1487" s="387"/>
    </row>
    <row r="1488" spans="1:15" s="200" customFormat="1" ht="15.75" thickBot="1" x14ac:dyDescent="0.35">
      <c r="A1488" s="1180">
        <f>IF(K1488="n/a",A1473,A1473+1)</f>
        <v>15</v>
      </c>
      <c r="B1488" s="1182"/>
      <c r="C1488" s="1388" t="s">
        <v>10678</v>
      </c>
      <c r="D1488" s="1388"/>
      <c r="E1488" s="1388"/>
      <c r="F1488" s="1388"/>
      <c r="G1488" s="1388"/>
      <c r="H1488" s="1388"/>
      <c r="I1488" s="1388"/>
      <c r="J1488" s="499" t="str">
        <f>IF(Noty!K1488="n/a","ukryj","odkryj")</f>
        <v>odkryj</v>
      </c>
      <c r="K1488" s="1215" t="str">
        <f>IF(AND(K1490="n/a",K1493="n/a"),"n/a","")</f>
        <v/>
      </c>
      <c r="L1488" s="971" t="str">
        <f>A1488&amp;"."&amp;B1488</f>
        <v>15.</v>
      </c>
      <c r="N1488" s="1101" t="s">
        <v>9378</v>
      </c>
      <c r="O1488" s="489" t="str">
        <f>A1488&amp;"."&amp;B1488</f>
        <v>15.</v>
      </c>
    </row>
    <row r="1489" spans="1:15" s="200" customFormat="1" ht="13.6" customHeight="1" thickBot="1" x14ac:dyDescent="0.3">
      <c r="A1489" s="508"/>
      <c r="B1489" s="520"/>
      <c r="C1489" s="218"/>
      <c r="D1489" s="218"/>
      <c r="E1489" s="196"/>
      <c r="F1489" s="196"/>
      <c r="G1489" s="196"/>
      <c r="H1489" s="196"/>
      <c r="I1489" s="196"/>
      <c r="J1489" s="499" t="str">
        <f>Noty!J1488</f>
        <v>odkryj</v>
      </c>
      <c r="K1489" s="489"/>
      <c r="N1489" s="387"/>
    </row>
    <row r="1490" spans="1:15" s="200" customFormat="1" ht="121.6" customHeight="1" thickBot="1" x14ac:dyDescent="0.3">
      <c r="A1490" s="508"/>
      <c r="B1490" s="520"/>
      <c r="C1490" s="1437" t="s">
        <v>10679</v>
      </c>
      <c r="D1490" s="1437"/>
      <c r="E1490" s="1437"/>
      <c r="F1490" s="1437"/>
      <c r="G1490" s="1437"/>
      <c r="H1490" s="1437"/>
      <c r="I1490" s="1437"/>
      <c r="J1490" s="499" t="str">
        <f>IF(Noty!K1490="n/a","ukryj","odkryj")</f>
        <v>ukryj</v>
      </c>
      <c r="K1490" s="1226" t="str">
        <f>IF(Input!D183="nie","n/a","")</f>
        <v>n/a</v>
      </c>
      <c r="N1490" s="387"/>
    </row>
    <row r="1491" spans="1:15" s="200" customFormat="1" ht="13.6" customHeight="1" x14ac:dyDescent="0.25">
      <c r="A1491" s="508"/>
      <c r="B1491" s="520"/>
      <c r="C1491" s="218"/>
      <c r="D1491" s="218"/>
      <c r="E1491" s="196"/>
      <c r="F1491" s="196"/>
      <c r="G1491" s="196"/>
      <c r="H1491" s="196"/>
      <c r="I1491" s="196"/>
      <c r="J1491" s="499" t="str">
        <f>Noty!J1490</f>
        <v>ukryj</v>
      </c>
      <c r="K1491" s="489"/>
      <c r="N1491" s="387"/>
    </row>
    <row r="1492" spans="1:15" s="200" customFormat="1" ht="13.6" customHeight="1" thickBot="1" x14ac:dyDescent="0.3">
      <c r="A1492" s="508"/>
      <c r="B1492" s="520"/>
      <c r="C1492" s="219" t="s">
        <v>7685</v>
      </c>
      <c r="D1492" s="218"/>
      <c r="E1492" s="196"/>
      <c r="F1492" s="196"/>
      <c r="G1492" s="196"/>
      <c r="H1492" s="196"/>
      <c r="I1492" s="196"/>
      <c r="J1492" s="499" t="s">
        <v>5125</v>
      </c>
      <c r="K1492" s="489"/>
      <c r="N1492" s="387"/>
    </row>
    <row r="1493" spans="1:15" s="200" customFormat="1" ht="13.6" customHeight="1" thickBot="1" x14ac:dyDescent="0.3">
      <c r="A1493" s="508"/>
      <c r="B1493" s="520"/>
      <c r="C1493" s="1385" t="s">
        <v>10680</v>
      </c>
      <c r="D1493" s="1385"/>
      <c r="E1493" s="1385"/>
      <c r="F1493" s="1385"/>
      <c r="G1493" s="1385"/>
      <c r="H1493" s="1385"/>
      <c r="I1493" s="1385"/>
      <c r="J1493" s="499" t="str">
        <f>IF(Noty!K1493="n/a","ukryj","odkryj")</f>
        <v>odkryj</v>
      </c>
      <c r="K1493" s="1215" t="str">
        <f>IF(K1490="","n/a","")</f>
        <v/>
      </c>
      <c r="N1493" s="387"/>
    </row>
    <row r="1494" spans="1:15" s="200" customFormat="1" ht="13.6" customHeight="1" thickBot="1" x14ac:dyDescent="0.3">
      <c r="A1494" s="508"/>
      <c r="B1494" s="520"/>
      <c r="C1494" s="218"/>
      <c r="D1494" s="218"/>
      <c r="E1494" s="196"/>
      <c r="F1494" s="196"/>
      <c r="G1494" s="196"/>
      <c r="H1494" s="196"/>
      <c r="I1494" s="196"/>
      <c r="J1494" s="499" t="str">
        <f>Noty!J1493</f>
        <v>odkryj</v>
      </c>
      <c r="K1494" s="489"/>
      <c r="N1494" s="387"/>
    </row>
    <row r="1495" spans="1:15" s="200" customFormat="1" ht="15.75" thickBot="1" x14ac:dyDescent="0.35">
      <c r="A1495" s="1180">
        <f>IF(K1495="n/a",A1488,A1488+1)</f>
        <v>15</v>
      </c>
      <c r="B1495" s="1182"/>
      <c r="C1495" s="1388" t="s">
        <v>10681</v>
      </c>
      <c r="D1495" s="1388"/>
      <c r="E1495" s="1388"/>
      <c r="F1495" s="1388"/>
      <c r="G1495" s="1388"/>
      <c r="H1495" s="1388"/>
      <c r="I1495" s="1388"/>
      <c r="J1495" s="499" t="str">
        <f>IF(Noty!K1495="n/a","ukryj","odkryj")</f>
        <v>ukryj</v>
      </c>
      <c r="K1495" s="1226" t="str">
        <f>IF(Input!D184="nie","n/a","")</f>
        <v>n/a</v>
      </c>
      <c r="L1495" s="971" t="str">
        <f>A1495&amp;"."&amp;B1495</f>
        <v>15.</v>
      </c>
      <c r="N1495" s="1101" t="s">
        <v>9378</v>
      </c>
      <c r="O1495" s="489" t="str">
        <f>A1495&amp;"."&amp;B1495</f>
        <v>15.</v>
      </c>
    </row>
    <row r="1496" spans="1:15" s="200" customFormat="1" ht="13.6" customHeight="1" x14ac:dyDescent="0.25">
      <c r="A1496" s="508"/>
      <c r="B1496" s="520"/>
      <c r="C1496" s="195"/>
      <c r="E1496" s="196"/>
      <c r="F1496" s="196"/>
      <c r="G1496" s="196"/>
      <c r="H1496" s="196"/>
      <c r="I1496" s="196"/>
      <c r="J1496" s="499" t="str">
        <f>Noty!J1495</f>
        <v>ukryj</v>
      </c>
      <c r="K1496" s="489"/>
      <c r="N1496" s="387"/>
    </row>
    <row r="1497" spans="1:15" s="200" customFormat="1" ht="32.25" customHeight="1" x14ac:dyDescent="0.25">
      <c r="A1497" s="508"/>
      <c r="B1497" s="520"/>
      <c r="C1497" s="1438" t="s">
        <v>10682</v>
      </c>
      <c r="D1497" s="1438"/>
      <c r="E1497" s="1438"/>
      <c r="F1497" s="1438"/>
      <c r="G1497" s="1438"/>
      <c r="H1497" s="1438"/>
      <c r="I1497" s="1438"/>
      <c r="J1497" s="499" t="str">
        <f>Noty!J1496</f>
        <v>ukryj</v>
      </c>
      <c r="K1497" s="489"/>
      <c r="N1497" s="387"/>
    </row>
    <row r="1498" spans="1:15" s="200" customFormat="1" ht="13.6" customHeight="1" x14ac:dyDescent="0.25">
      <c r="A1498" s="508"/>
      <c r="B1498" s="520"/>
      <c r="E1498" s="196"/>
      <c r="F1498" s="196"/>
      <c r="G1498" s="196"/>
      <c r="H1498" s="196"/>
      <c r="I1498" s="196"/>
      <c r="J1498" s="499" t="str">
        <f>Noty!J1497</f>
        <v>ukryj</v>
      </c>
      <c r="K1498" s="489"/>
      <c r="N1498" s="387"/>
    </row>
    <row r="1499" spans="1:15" s="200" customFormat="1" ht="67.599999999999994" customHeight="1" x14ac:dyDescent="0.25">
      <c r="A1499" s="508"/>
      <c r="B1499" s="520"/>
      <c r="C1499" s="1439" t="s">
        <v>10683</v>
      </c>
      <c r="D1499" s="1439"/>
      <c r="E1499" s="637" t="s">
        <v>10684</v>
      </c>
      <c r="F1499" s="1440" t="s">
        <v>10685</v>
      </c>
      <c r="G1499" s="1440"/>
      <c r="H1499" s="637" t="s">
        <v>10686</v>
      </c>
      <c r="I1499" s="637" t="s">
        <v>10687</v>
      </c>
      <c r="J1499" s="499" t="str">
        <f>Noty!J1498</f>
        <v>ukryj</v>
      </c>
      <c r="K1499" s="489"/>
      <c r="N1499" s="387"/>
    </row>
    <row r="1500" spans="1:15" s="200" customFormat="1" ht="13.6" customHeight="1" x14ac:dyDescent="0.25">
      <c r="A1500" s="508"/>
      <c r="B1500" s="520"/>
      <c r="C1500" s="1432"/>
      <c r="D1500" s="1432"/>
      <c r="E1500" s="835"/>
      <c r="F1500" s="1436"/>
      <c r="G1500" s="1436"/>
      <c r="H1500" s="835"/>
      <c r="I1500" s="835"/>
      <c r="J1500" s="499" t="str">
        <f>IF(Noty!C1500="","ukryj","odkryj")</f>
        <v>ukryj</v>
      </c>
      <c r="K1500" s="489"/>
      <c r="N1500" s="387"/>
    </row>
    <row r="1501" spans="1:15" s="200" customFormat="1" ht="13.6" customHeight="1" x14ac:dyDescent="0.25">
      <c r="A1501" s="508"/>
      <c r="B1501" s="520"/>
      <c r="C1501" s="1432"/>
      <c r="D1501" s="1432"/>
      <c r="E1501" s="835"/>
      <c r="F1501" s="1436"/>
      <c r="G1501" s="1436"/>
      <c r="H1501" s="835"/>
      <c r="I1501" s="835"/>
      <c r="J1501" s="499" t="str">
        <f>IF(Noty!C1501="","ukryj","odkryj")</f>
        <v>ukryj</v>
      </c>
      <c r="K1501" s="489"/>
      <c r="N1501" s="387"/>
    </row>
    <row r="1502" spans="1:15" s="200" customFormat="1" ht="13.6" customHeight="1" x14ac:dyDescent="0.25">
      <c r="A1502" s="508"/>
      <c r="B1502" s="520"/>
      <c r="C1502" s="1432"/>
      <c r="D1502" s="1432"/>
      <c r="E1502" s="835"/>
      <c r="F1502" s="1436"/>
      <c r="G1502" s="1436"/>
      <c r="H1502" s="835"/>
      <c r="I1502" s="835"/>
      <c r="J1502" s="499" t="str">
        <f>IF(Noty!C1502="","ukryj","odkryj")</f>
        <v>ukryj</v>
      </c>
      <c r="K1502" s="489"/>
      <c r="N1502" s="387"/>
    </row>
    <row r="1503" spans="1:15" s="200" customFormat="1" ht="13.6" customHeight="1" x14ac:dyDescent="0.25">
      <c r="A1503" s="508"/>
      <c r="B1503" s="520"/>
      <c r="C1503" s="1432"/>
      <c r="D1503" s="1432"/>
      <c r="E1503" s="835"/>
      <c r="F1503" s="1436"/>
      <c r="G1503" s="1436"/>
      <c r="H1503" s="835"/>
      <c r="I1503" s="835"/>
      <c r="J1503" s="499" t="str">
        <f>IF(Noty!C1503="","ukryj","odkryj")</f>
        <v>ukryj</v>
      </c>
      <c r="K1503" s="489"/>
      <c r="N1503" s="387"/>
    </row>
    <row r="1504" spans="1:15" s="200" customFormat="1" ht="13.6" customHeight="1" x14ac:dyDescent="0.25">
      <c r="A1504" s="508"/>
      <c r="B1504" s="520"/>
      <c r="C1504" s="1432"/>
      <c r="D1504" s="1432"/>
      <c r="E1504" s="835"/>
      <c r="F1504" s="1436"/>
      <c r="G1504" s="1436"/>
      <c r="H1504" s="835"/>
      <c r="I1504" s="835"/>
      <c r="J1504" s="499" t="str">
        <f>IF(Noty!C1504="","ukryj","odkryj")</f>
        <v>ukryj</v>
      </c>
      <c r="K1504" s="489"/>
      <c r="N1504" s="387"/>
    </row>
    <row r="1505" spans="1:15" s="200" customFormat="1" ht="13.6" customHeight="1" x14ac:dyDescent="0.25">
      <c r="A1505" s="508"/>
      <c r="B1505" s="520"/>
      <c r="C1505" s="1432"/>
      <c r="D1505" s="1432"/>
      <c r="E1505" s="835"/>
      <c r="F1505" s="1445"/>
      <c r="G1505" s="1445"/>
      <c r="H1505" s="835"/>
      <c r="I1505" s="835"/>
      <c r="J1505" s="499" t="str">
        <f>IF(Noty!C1505="","ukryj","odkryj")</f>
        <v>ukryj</v>
      </c>
      <c r="K1505" s="489"/>
      <c r="N1505" s="387"/>
    </row>
    <row r="1506" spans="1:15" s="200" customFormat="1" ht="13.6" customHeight="1" x14ac:dyDescent="0.25">
      <c r="A1506" s="508"/>
      <c r="B1506" s="520"/>
      <c r="D1506" s="183"/>
      <c r="E1506" s="836">
        <f>SUM(F1500:F1505)</f>
        <v>0</v>
      </c>
      <c r="F1506" s="1446">
        <f>SUM(F1500:G1505)</f>
        <v>0</v>
      </c>
      <c r="G1506" s="1446"/>
      <c r="H1506" s="836">
        <f>SUM(H1500:H1505)</f>
        <v>0</v>
      </c>
      <c r="I1506" s="836">
        <f>SUM(I1500:I1505)</f>
        <v>0</v>
      </c>
      <c r="J1506" s="499" t="str">
        <f>IF(AND(I1485=0,H1485=0,F1485=0,E1485=0),"ukryj","odkryj")</f>
        <v>ukryj</v>
      </c>
      <c r="K1506" s="489"/>
      <c r="N1506" s="387"/>
    </row>
    <row r="1507" spans="1:15" s="200" customFormat="1" ht="13.6" customHeight="1" thickBot="1" x14ac:dyDescent="0.3">
      <c r="A1507" s="508"/>
      <c r="B1507" s="520"/>
      <c r="E1507" s="196"/>
      <c r="F1507" s="196"/>
      <c r="G1507" s="196"/>
      <c r="H1507" s="196"/>
      <c r="I1507" s="196"/>
      <c r="J1507" s="499" t="str">
        <f>Noty!J1506</f>
        <v>ukryj</v>
      </c>
      <c r="K1507" s="489"/>
      <c r="N1507" s="387"/>
    </row>
    <row r="1508" spans="1:15" s="394" customFormat="1" ht="15.75" thickBot="1" x14ac:dyDescent="0.35">
      <c r="A1508" s="1180">
        <f>IF(K1508="n/a",A1495,A1495+1)</f>
        <v>16</v>
      </c>
      <c r="B1508" s="1182"/>
      <c r="C1508" s="1387" t="s">
        <v>10688</v>
      </c>
      <c r="D1508" s="1387"/>
      <c r="E1508" s="1387"/>
      <c r="F1508" s="1387"/>
      <c r="G1508" s="1387"/>
      <c r="H1508" s="1387"/>
      <c r="I1508" s="1387"/>
      <c r="J1508" s="499" t="str">
        <f>IF(Noty!K1508="n/a","ukryj","odkryj")</f>
        <v>odkryj</v>
      </c>
      <c r="K1508" s="1215" t="str">
        <f>IF(AND(K1510="n/a",K1516="n/a"),"n/a","")</f>
        <v/>
      </c>
      <c r="L1508" s="971" t="str">
        <f>A1508&amp;"."&amp;B1508</f>
        <v>16.</v>
      </c>
      <c r="N1508" s="1101" t="s">
        <v>9378</v>
      </c>
      <c r="O1508" s="489" t="str">
        <f>A1508&amp;"."&amp;B1508</f>
        <v>16.</v>
      </c>
    </row>
    <row r="1509" spans="1:15" s="394" customFormat="1" ht="13.75" thickBot="1" x14ac:dyDescent="0.3">
      <c r="A1509" s="513"/>
      <c r="B1509" s="523"/>
      <c r="C1509" s="502"/>
      <c r="D1509" s="503"/>
      <c r="E1509" s="503"/>
      <c r="F1509" s="503"/>
      <c r="G1509" s="503"/>
      <c r="H1509" s="503"/>
      <c r="I1509" s="503"/>
      <c r="J1509" s="499" t="str">
        <f>Noty!J1508</f>
        <v>odkryj</v>
      </c>
      <c r="K1509" s="489"/>
      <c r="N1509" s="387"/>
    </row>
    <row r="1510" spans="1:15" s="394" customFormat="1" ht="13.75" thickBot="1" x14ac:dyDescent="0.3">
      <c r="A1510" s="513"/>
      <c r="B1510" s="523"/>
      <c r="C1510" s="1441" t="s">
        <v>1966</v>
      </c>
      <c r="D1510" s="1441"/>
      <c r="E1510" s="1395" t="s">
        <v>10689</v>
      </c>
      <c r="F1510" s="1395"/>
      <c r="G1510" s="752" t="s">
        <v>10690</v>
      </c>
      <c r="H1510" s="503"/>
      <c r="I1510" s="503"/>
      <c r="J1510" s="499" t="str">
        <f>IF(Noty!K1510="n/a","ukryj","odkryj")</f>
        <v>ukryj</v>
      </c>
      <c r="K1510" s="1226" t="str">
        <f>IF(Input!D185="nie","n/a","")</f>
        <v>n/a</v>
      </c>
      <c r="N1510" s="387"/>
    </row>
    <row r="1511" spans="1:15" s="200" customFormat="1" x14ac:dyDescent="0.25">
      <c r="A1511" s="508"/>
      <c r="B1511" s="520"/>
      <c r="C1511" s="1442"/>
      <c r="D1511" s="1442"/>
      <c r="E1511" s="1443"/>
      <c r="F1511" s="1443"/>
      <c r="G1511" s="753"/>
      <c r="H1511" s="503"/>
      <c r="I1511" s="503"/>
      <c r="J1511" s="499" t="str">
        <f>IF(Noty!C1511="","ukryj","odkryj")</f>
        <v>ukryj</v>
      </c>
      <c r="K1511" s="489"/>
      <c r="N1511" s="387"/>
    </row>
    <row r="1512" spans="1:15" s="200" customFormat="1" x14ac:dyDescent="0.25">
      <c r="A1512" s="508"/>
      <c r="B1512" s="520"/>
      <c r="C1512" s="1432"/>
      <c r="D1512" s="1432"/>
      <c r="E1512" s="1444"/>
      <c r="F1512" s="1444"/>
      <c r="G1512" s="753"/>
      <c r="H1512" s="503"/>
      <c r="I1512" s="503"/>
      <c r="J1512" s="499" t="str">
        <f>IF(Noty!C1512="","ukryj","odkryj")</f>
        <v>ukryj</v>
      </c>
      <c r="K1512" s="489"/>
      <c r="N1512" s="387"/>
    </row>
    <row r="1513" spans="1:15" s="200" customFormat="1" x14ac:dyDescent="0.25">
      <c r="A1513" s="508"/>
      <c r="B1513" s="520"/>
      <c r="C1513" s="1432"/>
      <c r="D1513" s="1432"/>
      <c r="E1513" s="1444"/>
      <c r="F1513" s="1444"/>
      <c r="G1513" s="753"/>
      <c r="H1513" s="503"/>
      <c r="I1513" s="503"/>
      <c r="J1513" s="499" t="str">
        <f>IF(Noty!C1513="","ukryj","odkryj")</f>
        <v>ukryj</v>
      </c>
      <c r="K1513" s="489"/>
      <c r="N1513" s="387"/>
    </row>
    <row r="1514" spans="1:15" x14ac:dyDescent="0.25">
      <c r="J1514" s="499" t="str">
        <f>Noty!J1510</f>
        <v>ukryj</v>
      </c>
    </row>
    <row r="1515" spans="1:15" ht="13.75" thickBot="1" x14ac:dyDescent="0.3">
      <c r="C1515" s="219" t="s">
        <v>7685</v>
      </c>
      <c r="D1515" s="218"/>
      <c r="E1515" s="196"/>
      <c r="F1515" s="196"/>
      <c r="G1515" s="196"/>
      <c r="H1515" s="196"/>
      <c r="I1515" s="196"/>
      <c r="J1515" s="499" t="s">
        <v>5125</v>
      </c>
    </row>
    <row r="1516" spans="1:15" s="200" customFormat="1" ht="13.75" thickBot="1" x14ac:dyDescent="0.3">
      <c r="A1516" s="508"/>
      <c r="B1516" s="520"/>
      <c r="C1516" s="1385" t="s">
        <v>10691</v>
      </c>
      <c r="D1516" s="1385"/>
      <c r="E1516" s="1385"/>
      <c r="F1516" s="1385"/>
      <c r="G1516" s="1385"/>
      <c r="H1516" s="1385"/>
      <c r="I1516" s="1385"/>
      <c r="J1516" s="499" t="str">
        <f>IF(Noty!K1516="n/a","ukryj","odkryj")</f>
        <v>odkryj</v>
      </c>
      <c r="K1516" s="1215" t="str">
        <f>IF(K1510="","n/a","")</f>
        <v/>
      </c>
      <c r="N1516" s="387"/>
    </row>
    <row r="1517" spans="1:15" s="200" customFormat="1" ht="13.75" thickBot="1" x14ac:dyDescent="0.3">
      <c r="A1517" s="508"/>
      <c r="B1517" s="520"/>
      <c r="C1517" s="223"/>
      <c r="D1517" s="223"/>
      <c r="E1517" s="223"/>
      <c r="F1517" s="223"/>
      <c r="G1517" s="223"/>
      <c r="H1517" s="223"/>
      <c r="I1517" s="223"/>
      <c r="J1517" s="499" t="str">
        <f>Noty!J1516</f>
        <v>odkryj</v>
      </c>
      <c r="K1517" s="489"/>
      <c r="N1517" s="387"/>
    </row>
    <row r="1518" spans="1:15" s="200" customFormat="1" ht="15.75" customHeight="1" thickBot="1" x14ac:dyDescent="0.35">
      <c r="A1518" s="1180">
        <f>IF(K1518="n/a",A1508,A1508+1)</f>
        <v>17</v>
      </c>
      <c r="B1518" s="1182"/>
      <c r="C1518" s="1388" t="s">
        <v>10692</v>
      </c>
      <c r="D1518" s="1388"/>
      <c r="E1518" s="1388"/>
      <c r="F1518" s="1388"/>
      <c r="G1518" s="1388"/>
      <c r="H1518" s="1388"/>
      <c r="I1518" s="1388"/>
      <c r="J1518" s="499" t="str">
        <f>IF(Noty!K1518="n/a","ukryj","odkryj")</f>
        <v>odkryj</v>
      </c>
      <c r="K1518" s="1215" t="str">
        <f>IF(AND(K1520="n/a",K1595="n/a"),"n/a","")</f>
        <v/>
      </c>
      <c r="L1518" s="971" t="str">
        <f>A1518&amp;"."&amp;B1518</f>
        <v>17.</v>
      </c>
      <c r="N1518" s="1101" t="s">
        <v>9378</v>
      </c>
      <c r="O1518" s="489" t="str">
        <f>A1518&amp;"."&amp;B1518</f>
        <v>17.</v>
      </c>
    </row>
    <row r="1519" spans="1:15" s="200" customFormat="1" ht="13.6" customHeight="1" thickBot="1" x14ac:dyDescent="0.3">
      <c r="A1519" s="508"/>
      <c r="B1519" s="520"/>
      <c r="E1519" s="196"/>
      <c r="F1519" s="196"/>
      <c r="G1519" s="196"/>
      <c r="H1519" s="196"/>
      <c r="I1519" s="196"/>
      <c r="J1519" s="499" t="str">
        <f>Noty!J1518</f>
        <v>odkryj</v>
      </c>
      <c r="K1519" s="489"/>
      <c r="N1519" s="387"/>
    </row>
    <row r="1520" spans="1:15" s="200" customFormat="1" ht="27" customHeight="1" thickBot="1" x14ac:dyDescent="0.3">
      <c r="A1520" s="508"/>
      <c r="B1520" s="520"/>
      <c r="C1520" s="1447" t="s">
        <v>10693</v>
      </c>
      <c r="D1520" s="1447"/>
      <c r="E1520" s="1447"/>
      <c r="F1520" s="1447"/>
      <c r="G1520" s="1447"/>
      <c r="H1520" s="1447"/>
      <c r="I1520" s="1447"/>
      <c r="J1520" s="499" t="str">
        <f>IF(Noty!K1520="n/a","ukryj","odkryj")</f>
        <v>ukryj</v>
      </c>
      <c r="K1520" s="1226" t="str">
        <f>IF(Input!D186="nie","n/a","")</f>
        <v>n/a</v>
      </c>
      <c r="N1520" s="387"/>
    </row>
    <row r="1521" spans="1:14" s="200" customFormat="1" ht="13.6" customHeight="1" x14ac:dyDescent="0.25">
      <c r="A1521" s="508"/>
      <c r="B1521" s="520"/>
      <c r="J1521" s="499" t="str">
        <f>Noty!J1520</f>
        <v>ukryj</v>
      </c>
      <c r="K1521" s="489"/>
      <c r="N1521" s="387"/>
    </row>
    <row r="1522" spans="1:14" s="224" customFormat="1" ht="13.6" customHeight="1" x14ac:dyDescent="0.25">
      <c r="A1522" s="517"/>
      <c r="B1522" s="531"/>
      <c r="C1522" s="1449" t="s">
        <v>10694</v>
      </c>
      <c r="D1522" s="1449"/>
      <c r="E1522" s="1449"/>
      <c r="F1522" s="1449"/>
      <c r="G1522" s="1449"/>
      <c r="H1522" s="1449"/>
      <c r="I1522" s="1449"/>
      <c r="J1522" s="499" t="str">
        <f>Noty!J1521</f>
        <v>ukryj</v>
      </c>
      <c r="K1522" s="489"/>
      <c r="N1522" s="486"/>
    </row>
    <row r="1523" spans="1:14" s="224" customFormat="1" ht="13.6" customHeight="1" x14ac:dyDescent="0.25">
      <c r="A1523" s="517"/>
      <c r="B1523" s="531"/>
      <c r="C1523" s="200"/>
      <c r="D1523" s="200"/>
      <c r="E1523" s="200"/>
      <c r="F1523" s="200"/>
      <c r="G1523" s="200"/>
      <c r="H1523" s="200"/>
      <c r="I1523" s="200"/>
      <c r="J1523" s="499" t="str">
        <f>Noty!J1522</f>
        <v>ukryj</v>
      </c>
      <c r="K1523" s="489"/>
      <c r="N1523" s="486"/>
    </row>
    <row r="1524" spans="1:14" s="224" customFormat="1" ht="27" customHeight="1" x14ac:dyDescent="0.25">
      <c r="A1524" s="517"/>
      <c r="B1524" s="531"/>
      <c r="C1524" s="1447" t="s">
        <v>10695</v>
      </c>
      <c r="D1524" s="1447"/>
      <c r="E1524" s="1447"/>
      <c r="F1524" s="1447"/>
      <c r="G1524" s="1447"/>
      <c r="H1524" s="1447"/>
      <c r="I1524" s="1447"/>
      <c r="J1524" s="499" t="str">
        <f>Noty!J1523</f>
        <v>ukryj</v>
      </c>
      <c r="K1524" s="489"/>
      <c r="N1524" s="486"/>
    </row>
    <row r="1525" spans="1:14" s="224" customFormat="1" ht="13.6" customHeight="1" x14ac:dyDescent="0.25">
      <c r="A1525" s="517"/>
      <c r="B1525" s="531"/>
      <c r="C1525" s="200"/>
      <c r="D1525" s="200"/>
      <c r="E1525" s="200"/>
      <c r="F1525" s="200"/>
      <c r="G1525" s="200"/>
      <c r="H1525" s="200"/>
      <c r="I1525" s="200"/>
      <c r="J1525" s="499" t="str">
        <f>Noty!J1524</f>
        <v>ukryj</v>
      </c>
      <c r="K1525" s="489"/>
      <c r="N1525" s="486"/>
    </row>
    <row r="1526" spans="1:14" s="224" customFormat="1" ht="40.6" customHeight="1" x14ac:dyDescent="0.25">
      <c r="A1526" s="517"/>
      <c r="B1526" s="531"/>
      <c r="C1526" s="1447" t="s">
        <v>10696</v>
      </c>
      <c r="D1526" s="1447"/>
      <c r="E1526" s="1447"/>
      <c r="F1526" s="1447"/>
      <c r="G1526" s="1447"/>
      <c r="H1526" s="1447"/>
      <c r="I1526" s="1447"/>
      <c r="J1526" s="499" t="str">
        <f>Noty!J1525</f>
        <v>ukryj</v>
      </c>
      <c r="K1526" s="489"/>
      <c r="N1526" s="486"/>
    </row>
    <row r="1527" spans="1:14" s="224" customFormat="1" ht="13.6" customHeight="1" x14ac:dyDescent="0.25">
      <c r="A1527" s="517"/>
      <c r="B1527" s="531"/>
      <c r="C1527" s="200"/>
      <c r="D1527" s="200"/>
      <c r="E1527" s="200"/>
      <c r="F1527" s="200"/>
      <c r="G1527" s="200"/>
      <c r="H1527" s="200"/>
      <c r="I1527" s="200"/>
      <c r="J1527" s="499" t="str">
        <f>Noty!J1526</f>
        <v>ukryj</v>
      </c>
      <c r="K1527" s="489"/>
      <c r="N1527" s="486"/>
    </row>
    <row r="1528" spans="1:14" s="224" customFormat="1" ht="43.55" customHeight="1" x14ac:dyDescent="0.25">
      <c r="A1528" s="517"/>
      <c r="B1528" s="531"/>
      <c r="C1528" s="1447" t="s">
        <v>10697</v>
      </c>
      <c r="D1528" s="1447"/>
      <c r="E1528" s="1447"/>
      <c r="F1528" s="1447"/>
      <c r="G1528" s="1447"/>
      <c r="H1528" s="1447"/>
      <c r="I1528" s="1447"/>
      <c r="J1528" s="499" t="str">
        <f>Noty!J1527</f>
        <v>ukryj</v>
      </c>
      <c r="K1528" s="489"/>
      <c r="N1528" s="486"/>
    </row>
    <row r="1529" spans="1:14" s="224" customFormat="1" ht="13.6" customHeight="1" x14ac:dyDescent="0.25">
      <c r="A1529" s="517"/>
      <c r="B1529" s="531"/>
      <c r="C1529" s="200"/>
      <c r="D1529" s="200"/>
      <c r="E1529" s="200"/>
      <c r="F1529" s="200"/>
      <c r="G1529" s="200"/>
      <c r="H1529" s="200"/>
      <c r="I1529" s="200"/>
      <c r="J1529" s="499" t="str">
        <f>Noty!J1528</f>
        <v>ukryj</v>
      </c>
      <c r="K1529" s="489"/>
      <c r="N1529" s="486"/>
    </row>
    <row r="1530" spans="1:14" s="224" customFormat="1" ht="27" customHeight="1" x14ac:dyDescent="0.25">
      <c r="A1530" s="517"/>
      <c r="B1530" s="531"/>
      <c r="C1530" s="1447" t="s">
        <v>10698</v>
      </c>
      <c r="D1530" s="1447"/>
      <c r="E1530" s="1447"/>
      <c r="F1530" s="1447"/>
      <c r="G1530" s="1447"/>
      <c r="H1530" s="1447"/>
      <c r="I1530" s="1447"/>
      <c r="J1530" s="499" t="str">
        <f>Noty!J1529</f>
        <v>ukryj</v>
      </c>
      <c r="K1530" s="489"/>
      <c r="N1530" s="486"/>
    </row>
    <row r="1531" spans="1:14" s="224" customFormat="1" ht="13.6" customHeight="1" x14ac:dyDescent="0.25">
      <c r="A1531" s="517"/>
      <c r="B1531" s="531"/>
      <c r="C1531" s="200"/>
      <c r="D1531" s="200"/>
      <c r="E1531" s="200"/>
      <c r="F1531" s="200"/>
      <c r="G1531" s="200"/>
      <c r="H1531" s="200"/>
      <c r="I1531" s="200"/>
      <c r="J1531" s="499" t="str">
        <f>Noty!J1530</f>
        <v>ukryj</v>
      </c>
      <c r="K1531" s="489"/>
      <c r="N1531" s="486"/>
    </row>
    <row r="1532" spans="1:14" s="224" customFormat="1" ht="27" customHeight="1" x14ac:dyDescent="0.25">
      <c r="A1532" s="517"/>
      <c r="B1532" s="531"/>
      <c r="C1532" s="1448" t="s">
        <v>10699</v>
      </c>
      <c r="D1532" s="1448"/>
      <c r="E1532" s="1448"/>
      <c r="F1532" s="1448"/>
      <c r="G1532" s="1448"/>
      <c r="H1532" s="1448"/>
      <c r="I1532" s="1448"/>
      <c r="J1532" s="499" t="str">
        <f>Noty!J1531</f>
        <v>ukryj</v>
      </c>
      <c r="K1532" s="489"/>
      <c r="N1532" s="486"/>
    </row>
    <row r="1533" spans="1:14" s="224" customFormat="1" ht="13.6" customHeight="1" x14ac:dyDescent="0.25">
      <c r="A1533" s="517"/>
      <c r="B1533" s="531"/>
      <c r="C1533" s="411"/>
      <c r="D1533" s="200"/>
      <c r="E1533" s="200"/>
      <c r="F1533" s="200"/>
      <c r="G1533" s="200"/>
      <c r="H1533" s="200"/>
      <c r="I1533" s="200"/>
      <c r="J1533" s="499" t="str">
        <f>Noty!J1532</f>
        <v>ukryj</v>
      </c>
      <c r="K1533" s="489"/>
      <c r="N1533" s="486"/>
    </row>
    <row r="1534" spans="1:14" s="224" customFormat="1" ht="13.6" customHeight="1" x14ac:dyDescent="0.25">
      <c r="A1534" s="517"/>
      <c r="B1534" s="531"/>
      <c r="C1534" s="1448" t="s">
        <v>10700</v>
      </c>
      <c r="D1534" s="1448"/>
      <c r="E1534" s="1448"/>
      <c r="F1534" s="1448"/>
      <c r="G1534" s="1448"/>
      <c r="H1534" s="1448"/>
      <c r="I1534" s="1448"/>
      <c r="J1534" s="499" t="str">
        <f>Noty!J1533</f>
        <v>ukryj</v>
      </c>
      <c r="K1534" s="489"/>
      <c r="N1534" s="486"/>
    </row>
    <row r="1535" spans="1:14" s="224" customFormat="1" ht="13.6" customHeight="1" x14ac:dyDescent="0.25">
      <c r="A1535" s="517"/>
      <c r="B1535" s="531"/>
      <c r="C1535" s="411"/>
      <c r="D1535" s="200"/>
      <c r="E1535" s="200"/>
      <c r="F1535" s="200"/>
      <c r="G1535" s="200"/>
      <c r="H1535" s="200"/>
      <c r="I1535" s="200"/>
      <c r="J1535" s="499" t="str">
        <f>Noty!J1534</f>
        <v>ukryj</v>
      </c>
      <c r="K1535" s="489"/>
      <c r="N1535" s="486"/>
    </row>
    <row r="1536" spans="1:14" s="224" customFormat="1" ht="13.6" customHeight="1" x14ac:dyDescent="0.25">
      <c r="A1536" s="517"/>
      <c r="B1536" s="531"/>
      <c r="C1536" s="1448" t="s">
        <v>10701</v>
      </c>
      <c r="D1536" s="1448"/>
      <c r="E1536" s="1448"/>
      <c r="F1536" s="1448"/>
      <c r="G1536" s="1448"/>
      <c r="H1536" s="1448"/>
      <c r="I1536" s="1448"/>
      <c r="J1536" s="499" t="str">
        <f>Noty!J1535</f>
        <v>ukryj</v>
      </c>
      <c r="K1536" s="489"/>
      <c r="N1536" s="486"/>
    </row>
    <row r="1537" spans="1:14" s="224" customFormat="1" ht="13.6" customHeight="1" x14ac:dyDescent="0.25">
      <c r="A1537" s="517"/>
      <c r="B1537" s="531"/>
      <c r="C1537" s="411"/>
      <c r="D1537" s="200"/>
      <c r="E1537" s="200"/>
      <c r="F1537" s="200"/>
      <c r="G1537" s="200"/>
      <c r="H1537" s="200"/>
      <c r="I1537" s="200"/>
      <c r="J1537" s="499" t="str">
        <f>Noty!J1536</f>
        <v>ukryj</v>
      </c>
      <c r="K1537" s="489"/>
      <c r="N1537" s="486"/>
    </row>
    <row r="1538" spans="1:14" s="224" customFormat="1" ht="13.6" customHeight="1" x14ac:dyDescent="0.25">
      <c r="A1538" s="517"/>
      <c r="B1538" s="531"/>
      <c r="C1538" s="1448" t="s">
        <v>10702</v>
      </c>
      <c r="D1538" s="1448"/>
      <c r="E1538" s="1448"/>
      <c r="F1538" s="1448"/>
      <c r="G1538" s="1448"/>
      <c r="H1538" s="1448"/>
      <c r="I1538" s="1448"/>
      <c r="J1538" s="499" t="str">
        <f>Noty!J1537</f>
        <v>ukryj</v>
      </c>
      <c r="K1538" s="489"/>
      <c r="N1538" s="486"/>
    </row>
    <row r="1539" spans="1:14" s="224" customFormat="1" ht="13.6" customHeight="1" x14ac:dyDescent="0.25">
      <c r="A1539" s="517"/>
      <c r="B1539" s="531"/>
      <c r="C1539" s="411"/>
      <c r="D1539" s="200"/>
      <c r="E1539" s="200"/>
      <c r="F1539" s="200"/>
      <c r="G1539" s="200"/>
      <c r="H1539" s="200"/>
      <c r="I1539" s="200"/>
      <c r="J1539" s="499" t="str">
        <f>Noty!J1538</f>
        <v>ukryj</v>
      </c>
      <c r="K1539" s="489"/>
      <c r="N1539" s="486"/>
    </row>
    <row r="1540" spans="1:14" s="224" customFormat="1" ht="28.5" customHeight="1" x14ac:dyDescent="0.25">
      <c r="A1540" s="517"/>
      <c r="B1540" s="531"/>
      <c r="C1540" s="1451" t="s">
        <v>10703</v>
      </c>
      <c r="D1540" s="1451"/>
      <c r="E1540" s="1451"/>
      <c r="F1540" s="1451"/>
      <c r="G1540" s="1451"/>
      <c r="H1540" s="1451"/>
      <c r="I1540" s="1451"/>
      <c r="J1540" s="499" t="str">
        <f>Noty!J1539</f>
        <v>ukryj</v>
      </c>
      <c r="K1540" s="489"/>
      <c r="N1540" s="486"/>
    </row>
    <row r="1541" spans="1:14" s="200" customFormat="1" ht="13.6" customHeight="1" x14ac:dyDescent="0.25">
      <c r="A1541" s="508"/>
      <c r="B1541" s="520"/>
      <c r="E1541" s="196"/>
      <c r="F1541" s="196"/>
      <c r="G1541" s="196"/>
      <c r="H1541" s="196"/>
      <c r="I1541" s="196"/>
      <c r="J1541" s="499" t="str">
        <f>Noty!J1538</f>
        <v>ukryj</v>
      </c>
      <c r="K1541" s="489"/>
      <c r="N1541" s="387"/>
    </row>
    <row r="1542" spans="1:14" s="226" customFormat="1" ht="54" customHeight="1" x14ac:dyDescent="0.25">
      <c r="A1542" s="837"/>
      <c r="B1542" s="228"/>
      <c r="C1542" s="1452" t="s">
        <v>10704</v>
      </c>
      <c r="D1542" s="1452"/>
      <c r="E1542" s="1452"/>
      <c r="F1542" s="1440" t="s">
        <v>10705</v>
      </c>
      <c r="G1542" s="1440"/>
      <c r="H1542" s="1440" t="s">
        <v>10706</v>
      </c>
      <c r="I1542" s="1440"/>
      <c r="J1542" s="499" t="str">
        <f>IF(AND(Noty!J1543="ukryj",Noty!J1544="ukryj",Noty!J1545="ukryj",Noty!J1546="ukryj",Noty!J1547="ukryj",Noty!J1548="ukryj"),"ukryj","odkryj")</f>
        <v>ukryj</v>
      </c>
      <c r="K1542" s="489"/>
      <c r="N1542" s="430"/>
    </row>
    <row r="1543" spans="1:14" s="226" customFormat="1" ht="13.6" customHeight="1" x14ac:dyDescent="0.25">
      <c r="A1543" s="837"/>
      <c r="B1543" s="228"/>
      <c r="C1543" s="1398"/>
      <c r="D1543" s="1398"/>
      <c r="E1543" s="1398"/>
      <c r="F1543" s="1450"/>
      <c r="G1543" s="1450"/>
      <c r="H1543" s="1450"/>
      <c r="I1543" s="1450"/>
      <c r="J1543" s="499" t="str">
        <f>IF(Noty!C1543="","ukryj","odkryj")</f>
        <v>ukryj</v>
      </c>
      <c r="K1543" s="489"/>
      <c r="N1543" s="430"/>
    </row>
    <row r="1544" spans="1:14" s="228" customFormat="1" ht="13.6" customHeight="1" x14ac:dyDescent="0.25">
      <c r="A1544" s="155"/>
      <c r="C1544" s="1398"/>
      <c r="D1544" s="1398"/>
      <c r="E1544" s="1398"/>
      <c r="F1544" s="1450"/>
      <c r="G1544" s="1450"/>
      <c r="H1544" s="1450"/>
      <c r="I1544" s="1450"/>
      <c r="J1544" s="499" t="str">
        <f>IF(Noty!C1544="","ukryj","odkryj")</f>
        <v>ukryj</v>
      </c>
      <c r="K1544" s="489"/>
      <c r="N1544" s="380"/>
    </row>
    <row r="1545" spans="1:14" s="228" customFormat="1" ht="13.6" customHeight="1" x14ac:dyDescent="0.25">
      <c r="A1545" s="155"/>
      <c r="C1545" s="1398"/>
      <c r="D1545" s="1398"/>
      <c r="E1545" s="1398"/>
      <c r="F1545" s="1450"/>
      <c r="G1545" s="1450"/>
      <c r="H1545" s="1450"/>
      <c r="I1545" s="1450"/>
      <c r="J1545" s="499" t="str">
        <f>IF(Noty!C1545="","ukryj","odkryj")</f>
        <v>ukryj</v>
      </c>
      <c r="K1545" s="489"/>
      <c r="N1545" s="380"/>
    </row>
    <row r="1546" spans="1:14" s="228" customFormat="1" ht="13.6" customHeight="1" x14ac:dyDescent="0.25">
      <c r="A1546" s="155"/>
      <c r="C1546" s="1398"/>
      <c r="D1546" s="1398"/>
      <c r="E1546" s="1398"/>
      <c r="F1546" s="1450"/>
      <c r="G1546" s="1450"/>
      <c r="H1546" s="1450"/>
      <c r="I1546" s="1450"/>
      <c r="J1546" s="499" t="str">
        <f>IF(Noty!C1546="","ukryj","odkryj")</f>
        <v>ukryj</v>
      </c>
      <c r="K1546" s="489"/>
      <c r="N1546" s="380"/>
    </row>
    <row r="1547" spans="1:14" s="228" customFormat="1" ht="13.6" customHeight="1" x14ac:dyDescent="0.25">
      <c r="A1547" s="155"/>
      <c r="C1547" s="1398"/>
      <c r="D1547" s="1398"/>
      <c r="E1547" s="1398"/>
      <c r="F1547" s="1450"/>
      <c r="G1547" s="1450"/>
      <c r="H1547" s="1450"/>
      <c r="I1547" s="1450"/>
      <c r="J1547" s="499" t="str">
        <f>IF(Noty!C1547="","ukryj","odkryj")</f>
        <v>ukryj</v>
      </c>
      <c r="K1547" s="489"/>
      <c r="N1547" s="380"/>
    </row>
    <row r="1548" spans="1:14" s="228" customFormat="1" ht="13.6" customHeight="1" x14ac:dyDescent="0.25">
      <c r="A1548" s="155"/>
      <c r="C1548" s="1398"/>
      <c r="D1548" s="1398"/>
      <c r="E1548" s="1398"/>
      <c r="F1548" s="1450"/>
      <c r="G1548" s="1450"/>
      <c r="H1548" s="1450"/>
      <c r="I1548" s="1450"/>
      <c r="J1548" s="499" t="str">
        <f>IF(Noty!C1548="","ukryj","odkryj")</f>
        <v>ukryj</v>
      </c>
      <c r="K1548" s="489"/>
      <c r="N1548" s="380"/>
    </row>
    <row r="1549" spans="1:14" s="228" customFormat="1" ht="13.6" customHeight="1" x14ac:dyDescent="0.25">
      <c r="A1549" s="155"/>
      <c r="C1549" s="155"/>
      <c r="D1549" s="634"/>
      <c r="E1549" s="634"/>
      <c r="F1549" s="673"/>
      <c r="G1549" s="673"/>
      <c r="H1549" s="673"/>
      <c r="I1549" s="634"/>
      <c r="J1549" s="499" t="str">
        <f>Noty!J1542</f>
        <v>ukryj</v>
      </c>
      <c r="K1549" s="489"/>
      <c r="N1549" s="380"/>
    </row>
    <row r="1550" spans="1:14" s="228" customFormat="1" ht="54" customHeight="1" x14ac:dyDescent="0.25">
      <c r="A1550" s="1452"/>
      <c r="C1550" s="1452" t="s">
        <v>10683</v>
      </c>
      <c r="D1550" s="1452"/>
      <c r="E1550" s="1452"/>
      <c r="F1550" s="1440" t="s">
        <v>10707</v>
      </c>
      <c r="G1550" s="1440"/>
      <c r="H1550" s="1440" t="s">
        <v>10708</v>
      </c>
      <c r="I1550" s="1440"/>
      <c r="J1550" s="499" t="str">
        <f>Noty!J1551</f>
        <v>ukryj</v>
      </c>
      <c r="K1550" s="489"/>
      <c r="N1550" s="380"/>
    </row>
    <row r="1551" spans="1:14" s="228" customFormat="1" ht="13.6" customHeight="1" x14ac:dyDescent="0.25">
      <c r="A1551" s="1452"/>
      <c r="C1551" s="1452"/>
      <c r="D1551" s="1452"/>
      <c r="E1551" s="1452"/>
      <c r="F1551" s="637" t="s">
        <v>10709</v>
      </c>
      <c r="G1551" s="637" t="s">
        <v>10710</v>
      </c>
      <c r="H1551" s="637" t="s">
        <v>10709</v>
      </c>
      <c r="I1551" s="637" t="s">
        <v>10710</v>
      </c>
      <c r="J1551" s="499" t="str">
        <f>IF(AND(Noty!J1552="ukryj",Noty!J1553="ukryj",Noty!J1554="ukryj",Noty!J1555="ukryj",Noty!J1556="ukryj",Noty!J1557="ukryj"),"ukryj","odkryj")</f>
        <v>ukryj</v>
      </c>
      <c r="K1551" s="489"/>
      <c r="N1551" s="380"/>
    </row>
    <row r="1552" spans="1:14" s="228" customFormat="1" ht="13.6" customHeight="1" x14ac:dyDescent="0.25">
      <c r="A1552" s="837"/>
      <c r="C1552" s="1398"/>
      <c r="D1552" s="1398"/>
      <c r="E1552" s="1398"/>
      <c r="F1552" s="802"/>
      <c r="G1552" s="802"/>
      <c r="H1552" s="802"/>
      <c r="I1552" s="802"/>
      <c r="J1552" s="499" t="str">
        <f>IF(Noty!C1552="","ukryj","odkryj")</f>
        <v>ukryj</v>
      </c>
      <c r="K1552" s="489"/>
      <c r="N1552" s="380"/>
    </row>
    <row r="1553" spans="1:14" s="228" customFormat="1" ht="13.6" customHeight="1" x14ac:dyDescent="0.25">
      <c r="A1553" s="155"/>
      <c r="C1553" s="1398"/>
      <c r="D1553" s="1398"/>
      <c r="E1553" s="1398"/>
      <c r="F1553" s="802"/>
      <c r="G1553" s="802"/>
      <c r="H1553" s="802"/>
      <c r="I1553" s="802"/>
      <c r="J1553" s="499" t="str">
        <f>IF(Noty!C1553="","ukryj","odkryj")</f>
        <v>ukryj</v>
      </c>
      <c r="K1553" s="489"/>
      <c r="N1553" s="380"/>
    </row>
    <row r="1554" spans="1:14" s="228" customFormat="1" ht="13.6" customHeight="1" x14ac:dyDescent="0.25">
      <c r="A1554" s="155"/>
      <c r="C1554" s="1398"/>
      <c r="D1554" s="1398"/>
      <c r="E1554" s="1398"/>
      <c r="F1554" s="802"/>
      <c r="G1554" s="802"/>
      <c r="H1554" s="802"/>
      <c r="I1554" s="802"/>
      <c r="J1554" s="499" t="str">
        <f>IF(Noty!C1554="","ukryj","odkryj")</f>
        <v>ukryj</v>
      </c>
      <c r="K1554" s="489"/>
      <c r="N1554" s="380"/>
    </row>
    <row r="1555" spans="1:14" s="228" customFormat="1" ht="13.6" customHeight="1" x14ac:dyDescent="0.25">
      <c r="A1555" s="155"/>
      <c r="C1555" s="1398"/>
      <c r="D1555" s="1398"/>
      <c r="E1555" s="1398"/>
      <c r="F1555" s="802"/>
      <c r="G1555" s="802"/>
      <c r="H1555" s="802"/>
      <c r="I1555" s="802"/>
      <c r="J1555" s="499" t="str">
        <f>IF(Noty!C1555="","ukryj","odkryj")</f>
        <v>ukryj</v>
      </c>
      <c r="K1555" s="489"/>
      <c r="N1555" s="380"/>
    </row>
    <row r="1556" spans="1:14" s="228" customFormat="1" ht="13.6" customHeight="1" x14ac:dyDescent="0.25">
      <c r="A1556" s="155"/>
      <c r="C1556" s="1398"/>
      <c r="D1556" s="1398"/>
      <c r="E1556" s="1398"/>
      <c r="F1556" s="802"/>
      <c r="G1556" s="802"/>
      <c r="H1556" s="802"/>
      <c r="I1556" s="802"/>
      <c r="J1556" s="499" t="str">
        <f>IF(Noty!C1556="","ukryj","odkryj")</f>
        <v>ukryj</v>
      </c>
      <c r="K1556" s="489"/>
      <c r="N1556" s="380"/>
    </row>
    <row r="1557" spans="1:14" s="228" customFormat="1" ht="13.6" customHeight="1" x14ac:dyDescent="0.25">
      <c r="A1557" s="155"/>
      <c r="C1557" s="1398"/>
      <c r="D1557" s="1398"/>
      <c r="E1557" s="1398"/>
      <c r="F1557" s="802"/>
      <c r="G1557" s="802"/>
      <c r="H1557" s="802"/>
      <c r="I1557" s="802"/>
      <c r="J1557" s="499" t="str">
        <f>IF(Noty!C1557="","ukryj","odkryj")</f>
        <v>ukryj</v>
      </c>
      <c r="K1557" s="489"/>
      <c r="N1557" s="380"/>
    </row>
    <row r="1558" spans="1:14" s="228" customFormat="1" ht="13.6" customHeight="1" x14ac:dyDescent="0.25">
      <c r="A1558" s="155"/>
      <c r="C1558" s="155"/>
      <c r="D1558" s="634"/>
      <c r="E1558" s="634"/>
      <c r="F1558" s="754"/>
      <c r="G1558" s="754"/>
      <c r="H1558" s="754"/>
      <c r="I1558" s="754"/>
      <c r="J1558" s="499" t="str">
        <f>Noty!J1551</f>
        <v>ukryj</v>
      </c>
      <c r="K1558" s="489"/>
      <c r="N1558" s="380"/>
    </row>
    <row r="1559" spans="1:14" s="228" customFormat="1" ht="27.85" customHeight="1" x14ac:dyDescent="0.25">
      <c r="A1559" s="1452"/>
      <c r="B1559" s="1452"/>
      <c r="C1559" s="1452" t="s">
        <v>10683</v>
      </c>
      <c r="D1559" s="1452"/>
      <c r="E1559" s="1452"/>
      <c r="F1559" s="1440" t="s">
        <v>10711</v>
      </c>
      <c r="G1559" s="1440"/>
      <c r="H1559" s="1440" t="s">
        <v>10712</v>
      </c>
      <c r="I1559" s="1440"/>
      <c r="J1559" s="499" t="str">
        <f>Noty!J1560</f>
        <v>ukryj</v>
      </c>
      <c r="K1559" s="489"/>
      <c r="N1559" s="380"/>
    </row>
    <row r="1560" spans="1:14" s="228" customFormat="1" ht="13.6" customHeight="1" x14ac:dyDescent="0.25">
      <c r="A1560" s="1452"/>
      <c r="B1560" s="1452"/>
      <c r="C1560" s="1452"/>
      <c r="D1560" s="1452"/>
      <c r="E1560" s="1452"/>
      <c r="F1560" s="637" t="s">
        <v>10709</v>
      </c>
      <c r="G1560" s="637" t="s">
        <v>10710</v>
      </c>
      <c r="H1560" s="637" t="s">
        <v>10709</v>
      </c>
      <c r="I1560" s="637" t="s">
        <v>10710</v>
      </c>
      <c r="J1560" s="499" t="str">
        <f>IF(AND(Noty!J1561="ukryj",Noty!J1562="ukryj",Noty!J1563="ukryj",Noty!J1564="ukryj",Noty!J1565="ukryj",Noty!J1566="ukryj"),"ukryj","odkryj")</f>
        <v>ukryj</v>
      </c>
      <c r="K1560" s="489"/>
      <c r="N1560" s="380"/>
    </row>
    <row r="1561" spans="1:14" s="228" customFormat="1" ht="13.6" customHeight="1" x14ac:dyDescent="0.25">
      <c r="A1561" s="837"/>
      <c r="B1561" s="837"/>
      <c r="C1561" s="1398"/>
      <c r="D1561" s="1398"/>
      <c r="E1561" s="1398"/>
      <c r="F1561" s="802"/>
      <c r="G1561" s="802"/>
      <c r="H1561" s="802"/>
      <c r="I1561" s="802"/>
      <c r="J1561" s="499" t="str">
        <f>IF(Noty!C1561="","ukryj","odkryj")</f>
        <v>ukryj</v>
      </c>
      <c r="K1561" s="489"/>
      <c r="N1561" s="380"/>
    </row>
    <row r="1562" spans="1:14" s="228" customFormat="1" ht="13.6" customHeight="1" x14ac:dyDescent="0.25">
      <c r="A1562" s="155"/>
      <c r="B1562" s="155"/>
      <c r="C1562" s="1398"/>
      <c r="D1562" s="1398"/>
      <c r="E1562" s="1398"/>
      <c r="F1562" s="802"/>
      <c r="G1562" s="802"/>
      <c r="H1562" s="802"/>
      <c r="I1562" s="802"/>
      <c r="J1562" s="499" t="str">
        <f>IF(Noty!C1562="","ukryj","odkryj")</f>
        <v>ukryj</v>
      </c>
      <c r="K1562" s="489"/>
      <c r="N1562" s="380"/>
    </row>
    <row r="1563" spans="1:14" s="228" customFormat="1" ht="13.6" customHeight="1" x14ac:dyDescent="0.25">
      <c r="A1563" s="155"/>
      <c r="B1563" s="155"/>
      <c r="C1563" s="1398"/>
      <c r="D1563" s="1398"/>
      <c r="E1563" s="1398"/>
      <c r="F1563" s="802"/>
      <c r="G1563" s="802"/>
      <c r="H1563" s="802"/>
      <c r="I1563" s="802"/>
      <c r="J1563" s="499" t="str">
        <f>IF(Noty!C1563="","ukryj","odkryj")</f>
        <v>ukryj</v>
      </c>
      <c r="K1563" s="489"/>
      <c r="N1563" s="380"/>
    </row>
    <row r="1564" spans="1:14" s="228" customFormat="1" ht="13.6" customHeight="1" x14ac:dyDescent="0.25">
      <c r="A1564" s="155"/>
      <c r="B1564" s="155"/>
      <c r="C1564" s="1398"/>
      <c r="D1564" s="1398"/>
      <c r="E1564" s="1398"/>
      <c r="F1564" s="802"/>
      <c r="G1564" s="802"/>
      <c r="H1564" s="802"/>
      <c r="I1564" s="802"/>
      <c r="J1564" s="499" t="str">
        <f>IF(Noty!C1564="","ukryj","odkryj")</f>
        <v>ukryj</v>
      </c>
      <c r="K1564" s="489"/>
      <c r="N1564" s="380"/>
    </row>
    <row r="1565" spans="1:14" s="228" customFormat="1" ht="13.6" customHeight="1" x14ac:dyDescent="0.25">
      <c r="A1565" s="155"/>
      <c r="B1565" s="155"/>
      <c r="C1565" s="1398"/>
      <c r="D1565" s="1398"/>
      <c r="E1565" s="1398"/>
      <c r="F1565" s="802"/>
      <c r="G1565" s="802"/>
      <c r="H1565" s="802"/>
      <c r="I1565" s="802"/>
      <c r="J1565" s="499" t="str">
        <f>IF(Noty!C1565="","ukryj","odkryj")</f>
        <v>ukryj</v>
      </c>
      <c r="K1565" s="489"/>
      <c r="N1565" s="380"/>
    </row>
    <row r="1566" spans="1:14" s="228" customFormat="1" ht="13.6" customHeight="1" x14ac:dyDescent="0.25">
      <c r="A1566" s="155"/>
      <c r="B1566" s="155"/>
      <c r="C1566" s="1398"/>
      <c r="D1566" s="1398"/>
      <c r="E1566" s="1398"/>
      <c r="F1566" s="802"/>
      <c r="G1566" s="802"/>
      <c r="H1566" s="802"/>
      <c r="I1566" s="802"/>
      <c r="J1566" s="499" t="str">
        <f>IF(Noty!C1566="","ukryj","odkryj")</f>
        <v>ukryj</v>
      </c>
      <c r="K1566" s="489"/>
      <c r="N1566" s="380"/>
    </row>
    <row r="1567" spans="1:14" s="228" customFormat="1" ht="13.6" customHeight="1" x14ac:dyDescent="0.25">
      <c r="A1567" s="155"/>
      <c r="B1567" s="155"/>
      <c r="C1567" s="155"/>
      <c r="D1567" s="634"/>
      <c r="E1567" s="634"/>
      <c r="F1567" s="673"/>
      <c r="G1567" s="673"/>
      <c r="H1567" s="673"/>
      <c r="I1567" s="673"/>
      <c r="J1567" s="499" t="str">
        <f>Noty!J1560</f>
        <v>ukryj</v>
      </c>
      <c r="K1567" s="489"/>
      <c r="N1567" s="380"/>
    </row>
    <row r="1568" spans="1:14" s="228" customFormat="1" ht="47.95" customHeight="1" x14ac:dyDescent="0.25">
      <c r="A1568" s="1452"/>
      <c r="B1568" s="1452"/>
      <c r="C1568" s="1452" t="s">
        <v>10683</v>
      </c>
      <c r="D1568" s="1452"/>
      <c r="E1568" s="1452"/>
      <c r="F1568" s="1440" t="s">
        <v>8332</v>
      </c>
      <c r="G1568" s="1440"/>
      <c r="H1568" s="1440" t="s">
        <v>10713</v>
      </c>
      <c r="I1568" s="1440"/>
      <c r="J1568" s="499" t="str">
        <f>Noty!J1569</f>
        <v>ukryj</v>
      </c>
      <c r="K1568" s="489"/>
      <c r="N1568" s="380"/>
    </row>
    <row r="1569" spans="1:14" s="228" customFormat="1" ht="13.6" customHeight="1" x14ac:dyDescent="0.25">
      <c r="A1569" s="1452"/>
      <c r="B1569" s="1452"/>
      <c r="C1569" s="1452"/>
      <c r="D1569" s="1452"/>
      <c r="E1569" s="1452"/>
      <c r="F1569" s="637" t="s">
        <v>10709</v>
      </c>
      <c r="G1569" s="637" t="s">
        <v>10710</v>
      </c>
      <c r="H1569" s="637" t="s">
        <v>10709</v>
      </c>
      <c r="I1569" s="637" t="s">
        <v>10710</v>
      </c>
      <c r="J1569" s="499" t="str">
        <f>IF(AND(Noty!J1570="ukryj",Noty!J1571="ukryj",Noty!J1572="ukryj",Noty!J1573="ukryj",Noty!J1574="ukryj",Noty!J1575="ukryj"),"ukryj","odkryj")</f>
        <v>ukryj</v>
      </c>
      <c r="K1569" s="489"/>
      <c r="N1569" s="380"/>
    </row>
    <row r="1570" spans="1:14" s="228" customFormat="1" ht="13.6" customHeight="1" x14ac:dyDescent="0.25">
      <c r="A1570" s="837"/>
      <c r="B1570" s="837"/>
      <c r="C1570" s="1398"/>
      <c r="D1570" s="1398"/>
      <c r="E1570" s="1398"/>
      <c r="F1570" s="802"/>
      <c r="G1570" s="802"/>
      <c r="H1570" s="802"/>
      <c r="I1570" s="802"/>
      <c r="J1570" s="499" t="str">
        <f>IF(Noty!C1570="","ukryj","odkryj")</f>
        <v>ukryj</v>
      </c>
      <c r="K1570" s="489"/>
      <c r="N1570" s="380"/>
    </row>
    <row r="1571" spans="1:14" s="228" customFormat="1" ht="13.6" customHeight="1" x14ac:dyDescent="0.25">
      <c r="A1571" s="155"/>
      <c r="B1571" s="155"/>
      <c r="C1571" s="1398"/>
      <c r="D1571" s="1398"/>
      <c r="E1571" s="1398"/>
      <c r="F1571" s="802"/>
      <c r="G1571" s="802"/>
      <c r="H1571" s="802"/>
      <c r="I1571" s="802"/>
      <c r="J1571" s="499" t="str">
        <f>IF(Noty!C1571="","ukryj","odkryj")</f>
        <v>ukryj</v>
      </c>
      <c r="K1571" s="489"/>
      <c r="N1571" s="380"/>
    </row>
    <row r="1572" spans="1:14" s="228" customFormat="1" ht="13.6" customHeight="1" x14ac:dyDescent="0.25">
      <c r="A1572" s="155"/>
      <c r="B1572" s="155"/>
      <c r="C1572" s="1398"/>
      <c r="D1572" s="1398"/>
      <c r="E1572" s="1398"/>
      <c r="F1572" s="802"/>
      <c r="G1572" s="802"/>
      <c r="H1572" s="802"/>
      <c r="I1572" s="802"/>
      <c r="J1572" s="499" t="str">
        <f>IF(Noty!C1572="","ukryj","odkryj")</f>
        <v>ukryj</v>
      </c>
      <c r="K1572" s="489"/>
      <c r="N1572" s="380"/>
    </row>
    <row r="1573" spans="1:14" s="228" customFormat="1" ht="13.6" customHeight="1" x14ac:dyDescent="0.25">
      <c r="A1573" s="155"/>
      <c r="B1573" s="155"/>
      <c r="C1573" s="1398"/>
      <c r="D1573" s="1398"/>
      <c r="E1573" s="1398"/>
      <c r="F1573" s="802"/>
      <c r="G1573" s="802"/>
      <c r="H1573" s="802"/>
      <c r="I1573" s="802"/>
      <c r="J1573" s="499" t="str">
        <f>IF(Noty!C1573="","ukryj","odkryj")</f>
        <v>ukryj</v>
      </c>
      <c r="K1573" s="489"/>
      <c r="N1573" s="380"/>
    </row>
    <row r="1574" spans="1:14" s="228" customFormat="1" ht="13.6" customHeight="1" x14ac:dyDescent="0.25">
      <c r="A1574" s="155"/>
      <c r="B1574" s="155"/>
      <c r="C1574" s="1398"/>
      <c r="D1574" s="1398"/>
      <c r="E1574" s="1398"/>
      <c r="F1574" s="802"/>
      <c r="G1574" s="802"/>
      <c r="H1574" s="802"/>
      <c r="I1574" s="802"/>
      <c r="J1574" s="499" t="str">
        <f>IF(Noty!C1574="","ukryj","odkryj")</f>
        <v>ukryj</v>
      </c>
      <c r="K1574" s="489"/>
      <c r="N1574" s="380"/>
    </row>
    <row r="1575" spans="1:14" s="228" customFormat="1" ht="13.6" customHeight="1" x14ac:dyDescent="0.25">
      <c r="A1575" s="155"/>
      <c r="B1575" s="155"/>
      <c r="C1575" s="1398"/>
      <c r="D1575" s="1398"/>
      <c r="E1575" s="1398"/>
      <c r="F1575" s="802"/>
      <c r="G1575" s="802"/>
      <c r="H1575" s="802"/>
      <c r="I1575" s="802"/>
      <c r="J1575" s="499" t="str">
        <f>IF(Noty!C1575="","ukryj","odkryj")</f>
        <v>ukryj</v>
      </c>
      <c r="K1575" s="489"/>
      <c r="N1575" s="380"/>
    </row>
    <row r="1576" spans="1:14" s="228" customFormat="1" ht="13.6" customHeight="1" x14ac:dyDescent="0.25">
      <c r="A1576" s="155"/>
      <c r="B1576" s="155"/>
      <c r="C1576" s="155"/>
      <c r="D1576" s="634"/>
      <c r="E1576" s="634"/>
      <c r="F1576" s="673"/>
      <c r="G1576" s="673"/>
      <c r="H1576" s="673"/>
      <c r="I1576" s="673"/>
      <c r="J1576" s="499" t="str">
        <f>Noty!J1569</f>
        <v>ukryj</v>
      </c>
      <c r="K1576" s="489"/>
      <c r="N1576" s="380"/>
    </row>
    <row r="1577" spans="1:14" s="228" customFormat="1" ht="29.3" customHeight="1" x14ac:dyDescent="0.25">
      <c r="A1577" s="1452"/>
      <c r="B1577" s="1452"/>
      <c r="C1577" s="1452" t="s">
        <v>10683</v>
      </c>
      <c r="D1577" s="1452"/>
      <c r="E1577" s="1452"/>
      <c r="F1577" s="1440" t="s">
        <v>9827</v>
      </c>
      <c r="G1577" s="1440"/>
      <c r="H1577" s="1440" t="s">
        <v>9828</v>
      </c>
      <c r="I1577" s="1440"/>
      <c r="J1577" s="499" t="str">
        <f>Noty!J1578</f>
        <v>ukryj</v>
      </c>
      <c r="K1577" s="489"/>
      <c r="N1577" s="380"/>
    </row>
    <row r="1578" spans="1:14" s="228" customFormat="1" ht="13.6" customHeight="1" x14ac:dyDescent="0.25">
      <c r="A1578" s="1452"/>
      <c r="B1578" s="1452"/>
      <c r="C1578" s="1452"/>
      <c r="D1578" s="1452"/>
      <c r="E1578" s="1452"/>
      <c r="F1578" s="637" t="s">
        <v>10709</v>
      </c>
      <c r="G1578" s="637" t="s">
        <v>10710</v>
      </c>
      <c r="H1578" s="637" t="s">
        <v>10709</v>
      </c>
      <c r="I1578" s="637" t="s">
        <v>10710</v>
      </c>
      <c r="J1578" s="499" t="str">
        <f>IF(AND(Noty!J1579="ukryj",Noty!J1580="ukryj",Noty!J1581="ukryj",Noty!J1582="ukryj",Noty!J1583="ukryj",Noty!J1584="ukryj"),"ukryj","odkryj")</f>
        <v>ukryj</v>
      </c>
      <c r="K1578" s="489"/>
      <c r="N1578" s="380"/>
    </row>
    <row r="1579" spans="1:14" s="228" customFormat="1" ht="13.6" customHeight="1" x14ac:dyDescent="0.25">
      <c r="A1579" s="837"/>
      <c r="B1579" s="837"/>
      <c r="C1579" s="1398"/>
      <c r="D1579" s="1398"/>
      <c r="E1579" s="1398"/>
      <c r="F1579" s="802"/>
      <c r="G1579" s="802"/>
      <c r="H1579" s="802"/>
      <c r="I1579" s="802"/>
      <c r="J1579" s="499" t="str">
        <f>IF(Noty!C1579="","ukryj","odkryj")</f>
        <v>ukryj</v>
      </c>
      <c r="K1579" s="489"/>
      <c r="N1579" s="380"/>
    </row>
    <row r="1580" spans="1:14" s="228" customFormat="1" ht="13.6" customHeight="1" x14ac:dyDescent="0.25">
      <c r="A1580" s="155"/>
      <c r="B1580" s="155"/>
      <c r="C1580" s="1398"/>
      <c r="D1580" s="1398"/>
      <c r="E1580" s="1398"/>
      <c r="F1580" s="802"/>
      <c r="G1580" s="802"/>
      <c r="H1580" s="802"/>
      <c r="I1580" s="802"/>
      <c r="J1580" s="499" t="str">
        <f>IF(Noty!C1580="","ukryj","odkryj")</f>
        <v>ukryj</v>
      </c>
      <c r="K1580" s="489"/>
      <c r="N1580" s="380"/>
    </row>
    <row r="1581" spans="1:14" s="228" customFormat="1" ht="13.6" customHeight="1" x14ac:dyDescent="0.25">
      <c r="A1581" s="155"/>
      <c r="B1581" s="155"/>
      <c r="C1581" s="1398"/>
      <c r="D1581" s="1398"/>
      <c r="E1581" s="1398"/>
      <c r="F1581" s="802"/>
      <c r="G1581" s="802"/>
      <c r="H1581" s="802"/>
      <c r="I1581" s="802"/>
      <c r="J1581" s="499" t="str">
        <f>IF(Noty!C1581="","ukryj","odkryj")</f>
        <v>ukryj</v>
      </c>
      <c r="K1581" s="489"/>
      <c r="N1581" s="380"/>
    </row>
    <row r="1582" spans="1:14" s="228" customFormat="1" ht="13.6" customHeight="1" x14ac:dyDescent="0.25">
      <c r="A1582" s="155"/>
      <c r="B1582" s="155"/>
      <c r="C1582" s="1398"/>
      <c r="D1582" s="1398"/>
      <c r="E1582" s="1398"/>
      <c r="F1582" s="802"/>
      <c r="G1582" s="802"/>
      <c r="H1582" s="802"/>
      <c r="I1582" s="802"/>
      <c r="J1582" s="499" t="str">
        <f>IF(Noty!C1582="","ukryj","odkryj")</f>
        <v>ukryj</v>
      </c>
      <c r="K1582" s="489"/>
      <c r="N1582" s="380"/>
    </row>
    <row r="1583" spans="1:14" s="228" customFormat="1" ht="13.6" customHeight="1" x14ac:dyDescent="0.25">
      <c r="A1583" s="155"/>
      <c r="B1583" s="155"/>
      <c r="C1583" s="1398"/>
      <c r="D1583" s="1398"/>
      <c r="E1583" s="1398"/>
      <c r="F1583" s="802"/>
      <c r="G1583" s="802"/>
      <c r="H1583" s="802"/>
      <c r="I1583" s="802"/>
      <c r="J1583" s="499" t="str">
        <f>IF(Noty!C1583="","ukryj","odkryj")</f>
        <v>ukryj</v>
      </c>
      <c r="K1583" s="489"/>
      <c r="N1583" s="380"/>
    </row>
    <row r="1584" spans="1:14" s="228" customFormat="1" ht="13.6" customHeight="1" x14ac:dyDescent="0.25">
      <c r="A1584" s="155"/>
      <c r="B1584" s="155"/>
      <c r="C1584" s="1398"/>
      <c r="D1584" s="1398"/>
      <c r="E1584" s="1398"/>
      <c r="F1584" s="802"/>
      <c r="G1584" s="802"/>
      <c r="H1584" s="802"/>
      <c r="I1584" s="802"/>
      <c r="J1584" s="499" t="str">
        <f>IF(Noty!C1584="","ukryj","odkryj")</f>
        <v>ukryj</v>
      </c>
      <c r="K1584" s="489"/>
      <c r="N1584" s="380"/>
    </row>
    <row r="1585" spans="1:14" s="228" customFormat="1" ht="13.6" customHeight="1" x14ac:dyDescent="0.25">
      <c r="A1585" s="155"/>
      <c r="B1585" s="155"/>
      <c r="C1585" s="229"/>
      <c r="D1585" s="634"/>
      <c r="E1585" s="634"/>
      <c r="F1585" s="755"/>
      <c r="G1585" s="755"/>
      <c r="H1585" s="755"/>
      <c r="I1585" s="581"/>
      <c r="J1585" s="499" t="str">
        <f>Noty!J1578</f>
        <v>ukryj</v>
      </c>
      <c r="K1585" s="489"/>
      <c r="N1585" s="380"/>
    </row>
    <row r="1586" spans="1:14" s="228" customFormat="1" ht="29.95" customHeight="1" x14ac:dyDescent="0.25">
      <c r="A1586" s="1452"/>
      <c r="B1586" s="1452"/>
      <c r="C1586" s="1452" t="s">
        <v>10683</v>
      </c>
      <c r="D1586" s="1452"/>
      <c r="E1586" s="1452"/>
      <c r="F1586" s="1440" t="s">
        <v>9829</v>
      </c>
      <c r="G1586" s="1440"/>
      <c r="H1586" s="1440" t="s">
        <v>8322</v>
      </c>
      <c r="I1586" s="1440"/>
      <c r="J1586" s="499" t="str">
        <f>Noty!J1587</f>
        <v>ukryj</v>
      </c>
      <c r="K1586" s="489"/>
      <c r="N1586" s="380"/>
    </row>
    <row r="1587" spans="1:14" s="228" customFormat="1" ht="13.6" customHeight="1" x14ac:dyDescent="0.25">
      <c r="A1587" s="1452"/>
      <c r="B1587" s="1452"/>
      <c r="C1587" s="1452"/>
      <c r="D1587" s="1452"/>
      <c r="E1587" s="1452"/>
      <c r="F1587" s="637" t="s">
        <v>10709</v>
      </c>
      <c r="G1587" s="637" t="s">
        <v>10710</v>
      </c>
      <c r="H1587" s="637" t="s">
        <v>10709</v>
      </c>
      <c r="I1587" s="637" t="s">
        <v>10710</v>
      </c>
      <c r="J1587" s="499" t="str">
        <f>IF(AND(Noty!J1588="ukryj",Noty!J1589="ukryj",Noty!J1590="ukryj",Noty!J1591="ukryj",Noty!J1592="ukryj",Noty!J1593="ukryj"),"ukryj","odkryj")</f>
        <v>ukryj</v>
      </c>
      <c r="K1587" s="489"/>
      <c r="N1587" s="380"/>
    </row>
    <row r="1588" spans="1:14" s="228" customFormat="1" ht="13.6" customHeight="1" x14ac:dyDescent="0.25">
      <c r="A1588" s="837"/>
      <c r="B1588" s="837"/>
      <c r="C1588" s="1398"/>
      <c r="D1588" s="1398"/>
      <c r="E1588" s="1398"/>
      <c r="F1588" s="802"/>
      <c r="G1588" s="802"/>
      <c r="H1588" s="802"/>
      <c r="I1588" s="802"/>
      <c r="J1588" s="499" t="str">
        <f>IF(Noty!C1588="","ukryj","odkryj")</f>
        <v>ukryj</v>
      </c>
      <c r="K1588" s="489"/>
      <c r="N1588" s="380"/>
    </row>
    <row r="1589" spans="1:14" s="228" customFormat="1" ht="13.6" customHeight="1" x14ac:dyDescent="0.25">
      <c r="A1589" s="155"/>
      <c r="B1589" s="155"/>
      <c r="C1589" s="1398"/>
      <c r="D1589" s="1398"/>
      <c r="E1589" s="1398"/>
      <c r="F1589" s="802"/>
      <c r="G1589" s="802"/>
      <c r="H1589" s="802"/>
      <c r="I1589" s="802"/>
      <c r="J1589" s="499" t="str">
        <f>IF(Noty!C1589="","ukryj","odkryj")</f>
        <v>ukryj</v>
      </c>
      <c r="K1589" s="489"/>
      <c r="N1589" s="380"/>
    </row>
    <row r="1590" spans="1:14" s="228" customFormat="1" ht="13.6" customHeight="1" x14ac:dyDescent="0.25">
      <c r="A1590" s="155"/>
      <c r="B1590" s="155"/>
      <c r="C1590" s="1398"/>
      <c r="D1590" s="1398"/>
      <c r="E1590" s="1398"/>
      <c r="F1590" s="802"/>
      <c r="G1590" s="802"/>
      <c r="H1590" s="802"/>
      <c r="I1590" s="802"/>
      <c r="J1590" s="499" t="str">
        <f>IF(Noty!C1590="","ukryj","odkryj")</f>
        <v>ukryj</v>
      </c>
      <c r="K1590" s="489"/>
      <c r="N1590" s="380"/>
    </row>
    <row r="1591" spans="1:14" s="228" customFormat="1" ht="13.6" customHeight="1" x14ac:dyDescent="0.25">
      <c r="A1591" s="155"/>
      <c r="B1591" s="155"/>
      <c r="C1591" s="1398"/>
      <c r="D1591" s="1398"/>
      <c r="E1591" s="1398"/>
      <c r="F1591" s="802"/>
      <c r="G1591" s="802"/>
      <c r="H1591" s="802"/>
      <c r="I1591" s="802"/>
      <c r="J1591" s="499" t="str">
        <f>IF(Noty!C1591="","ukryj","odkryj")</f>
        <v>ukryj</v>
      </c>
      <c r="K1591" s="489"/>
      <c r="N1591" s="380"/>
    </row>
    <row r="1592" spans="1:14" s="228" customFormat="1" ht="13.6" customHeight="1" x14ac:dyDescent="0.25">
      <c r="A1592" s="155"/>
      <c r="B1592" s="155"/>
      <c r="C1592" s="1398"/>
      <c r="D1592" s="1398"/>
      <c r="E1592" s="1398"/>
      <c r="F1592" s="802"/>
      <c r="G1592" s="802"/>
      <c r="H1592" s="802"/>
      <c r="I1592" s="802"/>
      <c r="J1592" s="499" t="str">
        <f>IF(Noty!C1592="","ukryj","odkryj")</f>
        <v>ukryj</v>
      </c>
      <c r="K1592" s="489"/>
      <c r="N1592" s="380"/>
    </row>
    <row r="1593" spans="1:14" s="228" customFormat="1" ht="13.6" customHeight="1" x14ac:dyDescent="0.25">
      <c r="A1593" s="155"/>
      <c r="B1593" s="155"/>
      <c r="C1593" s="1398"/>
      <c r="D1593" s="1398"/>
      <c r="E1593" s="1398"/>
      <c r="F1593" s="802"/>
      <c r="G1593" s="802"/>
      <c r="H1593" s="802"/>
      <c r="I1593" s="802"/>
      <c r="J1593" s="499" t="str">
        <f>IF(Noty!C1593="","ukryj","odkryj")</f>
        <v>ukryj</v>
      </c>
      <c r="K1593" s="489"/>
      <c r="N1593" s="380"/>
    </row>
    <row r="1594" spans="1:14" s="228" customFormat="1" ht="13.6" customHeight="1" thickBot="1" x14ac:dyDescent="0.3">
      <c r="A1594" s="155"/>
      <c r="B1594" s="155"/>
      <c r="C1594" s="569" t="s">
        <v>7685</v>
      </c>
      <c r="D1594" s="756"/>
      <c r="E1594" s="757"/>
      <c r="F1594" s="673"/>
      <c r="G1594" s="673"/>
      <c r="H1594" s="673"/>
      <c r="I1594" s="634"/>
      <c r="J1594" s="499" t="str">
        <f>Noty!J1587</f>
        <v>ukryj</v>
      </c>
      <c r="K1594" s="489"/>
      <c r="N1594" s="380"/>
    </row>
    <row r="1595" spans="1:14" s="228" customFormat="1" ht="27" customHeight="1" thickBot="1" x14ac:dyDescent="0.3">
      <c r="A1595" s="155"/>
      <c r="B1595" s="155"/>
      <c r="C1595" s="1483" t="s">
        <v>10714</v>
      </c>
      <c r="D1595" s="1483"/>
      <c r="E1595" s="1483"/>
      <c r="F1595" s="1483"/>
      <c r="G1595" s="1483"/>
      <c r="H1595" s="1483"/>
      <c r="I1595" s="1483"/>
      <c r="J1595" s="499" t="str">
        <f>IF(Noty!K1595="n/a","ukryj","odkryj")</f>
        <v>odkryj</v>
      </c>
      <c r="K1595" s="1215" t="str">
        <f>IF(K1520="","n/a","")</f>
        <v/>
      </c>
      <c r="N1595" s="380"/>
    </row>
    <row r="1596" spans="1:14" s="228" customFormat="1" ht="13.6" customHeight="1" x14ac:dyDescent="0.25">
      <c r="A1596" s="155"/>
      <c r="B1596" s="155"/>
      <c r="C1596" s="155"/>
      <c r="D1596" s="673"/>
      <c r="E1596" s="673"/>
      <c r="F1596" s="673"/>
      <c r="G1596" s="673"/>
      <c r="H1596" s="673"/>
      <c r="I1596" s="634"/>
      <c r="J1596" s="499" t="str">
        <f>Noty!J1595</f>
        <v>odkryj</v>
      </c>
      <c r="K1596" s="489"/>
      <c r="N1596" s="380"/>
    </row>
    <row r="1597" spans="1:14" s="228" customFormat="1" ht="29.3" customHeight="1" x14ac:dyDescent="0.25">
      <c r="A1597" s="155"/>
      <c r="B1597" s="155"/>
      <c r="C1597" s="1422" t="s">
        <v>10715</v>
      </c>
      <c r="D1597" s="1422"/>
      <c r="E1597" s="1422"/>
      <c r="F1597" s="1422"/>
      <c r="G1597" s="1422"/>
      <c r="H1597" s="1422"/>
      <c r="I1597" s="1422"/>
      <c r="J1597" s="499" t="str">
        <f>Noty!J1596</f>
        <v>odkryj</v>
      </c>
      <c r="K1597" s="489"/>
      <c r="N1597" s="380"/>
    </row>
    <row r="1598" spans="1:14" s="228" customFormat="1" ht="13.6" customHeight="1" x14ac:dyDescent="0.25">
      <c r="A1598" s="155"/>
      <c r="B1598" s="155"/>
      <c r="C1598" s="155"/>
      <c r="D1598" s="673"/>
      <c r="E1598" s="673"/>
      <c r="F1598" s="673"/>
      <c r="G1598" s="673"/>
      <c r="H1598" s="673"/>
      <c r="I1598" s="634"/>
      <c r="J1598" s="499" t="str">
        <f>Noty!J1597</f>
        <v>odkryj</v>
      </c>
      <c r="K1598" s="489"/>
      <c r="N1598" s="380"/>
    </row>
    <row r="1599" spans="1:14" s="228" customFormat="1" ht="27.85" customHeight="1" x14ac:dyDescent="0.25">
      <c r="A1599" s="155"/>
      <c r="B1599" s="155"/>
      <c r="C1599" s="1486" t="s">
        <v>10716</v>
      </c>
      <c r="D1599" s="1486"/>
      <c r="E1599" s="1486"/>
      <c r="F1599" s="1486"/>
      <c r="G1599" s="1486"/>
      <c r="H1599" s="1486"/>
      <c r="I1599" s="1486"/>
      <c r="J1599" s="499" t="str">
        <f>Noty!J1598</f>
        <v>odkryj</v>
      </c>
      <c r="K1599" s="489"/>
      <c r="N1599" s="380"/>
    </row>
    <row r="1600" spans="1:14" s="228" customFormat="1" ht="13.6" customHeight="1" thickBot="1" x14ac:dyDescent="0.3">
      <c r="A1600" s="155"/>
      <c r="B1600" s="155"/>
      <c r="C1600" s="227"/>
      <c r="D1600" s="736"/>
      <c r="E1600" s="736"/>
      <c r="F1600" s="736"/>
      <c r="G1600" s="736"/>
      <c r="H1600" s="736"/>
      <c r="I1600" s="634"/>
      <c r="J1600" s="499" t="str">
        <f>Noty!J1599</f>
        <v>odkryj</v>
      </c>
      <c r="K1600" s="489"/>
      <c r="L1600" s="230"/>
      <c r="N1600" s="380"/>
    </row>
    <row r="1601" spans="1:32" s="200" customFormat="1" ht="15.75" thickBot="1" x14ac:dyDescent="0.35">
      <c r="A1601" s="1180">
        <f>IF(K1601="n/a",A1518,A1518+1)</f>
        <v>18</v>
      </c>
      <c r="B1601" s="1182"/>
      <c r="C1601" s="1388" t="s">
        <v>10717</v>
      </c>
      <c r="D1601" s="1388"/>
      <c r="E1601" s="1388"/>
      <c r="F1601" s="1388"/>
      <c r="G1601" s="1388"/>
      <c r="H1601" s="1388"/>
      <c r="I1601" s="1388"/>
      <c r="J1601" s="499" t="str">
        <f>IF(Noty!K1601="n/a","ukryj","odkryj")</f>
        <v>odkryj</v>
      </c>
      <c r="K1601" s="1215" t="str">
        <f>IF(AND(K1603="n/a",K1634="n/a"),"n/a","")</f>
        <v/>
      </c>
      <c r="L1601" s="971" t="str">
        <f>A1601&amp;"."&amp;B1601</f>
        <v>18.</v>
      </c>
      <c r="N1601" s="1101" t="s">
        <v>9378</v>
      </c>
      <c r="O1601" s="489" t="str">
        <f>A1601&amp;"."&amp;B1601</f>
        <v>18.</v>
      </c>
    </row>
    <row r="1602" spans="1:32" s="200" customFormat="1" ht="13.6" customHeight="1" thickBot="1" x14ac:dyDescent="0.3">
      <c r="A1602" s="508"/>
      <c r="B1602" s="520"/>
      <c r="C1602" s="231"/>
      <c r="D1602" s="231"/>
      <c r="E1602" s="196"/>
      <c r="F1602" s="196"/>
      <c r="G1602" s="196"/>
      <c r="H1602" s="196"/>
      <c r="I1602" s="196"/>
      <c r="J1602" s="499" t="str">
        <f>Noty!J1601</f>
        <v>odkryj</v>
      </c>
      <c r="K1602" s="489"/>
      <c r="N1602" s="387"/>
    </row>
    <row r="1603" spans="1:32" s="200" customFormat="1" ht="13.6" customHeight="1" thickBot="1" x14ac:dyDescent="0.3">
      <c r="A1603" s="508"/>
      <c r="B1603" s="520"/>
      <c r="C1603" s="233" t="s">
        <v>10052</v>
      </c>
      <c r="D1603" s="758"/>
      <c r="G1603" s="9"/>
      <c r="H1603" s="999" t="str">
        <f>+Input!$P$7</f>
        <v>31.12.2020</v>
      </c>
      <c r="I1603" s="1000" t="str">
        <f>+Input!$P$11</f>
        <v>31.12.2019</v>
      </c>
      <c r="J1603" s="499" t="str">
        <f>IF(Noty!K1603="n/a","ukryj","odkryj")</f>
        <v>ukryj</v>
      </c>
      <c r="K1603" s="1226" t="str">
        <f>IF(Input!D187="nie","n/a","")</f>
        <v>n/a</v>
      </c>
      <c r="N1603" s="387"/>
    </row>
    <row r="1604" spans="1:32" s="200" customFormat="1" ht="13.6" customHeight="1" x14ac:dyDescent="0.25">
      <c r="A1604" s="508"/>
      <c r="B1604" s="520"/>
      <c r="C1604" s="232"/>
      <c r="H1604" s="759"/>
      <c r="I1604" s="759"/>
      <c r="J1604" s="499" t="str">
        <f>Noty!J1603</f>
        <v>ukryj</v>
      </c>
      <c r="K1604" s="489"/>
      <c r="N1604" s="387"/>
    </row>
    <row r="1605" spans="1:32" s="200" customFormat="1" ht="13.6" customHeight="1" x14ac:dyDescent="0.25">
      <c r="A1605" s="508"/>
      <c r="B1605" s="520"/>
      <c r="C1605" s="233" t="s">
        <v>10718</v>
      </c>
      <c r="H1605" s="709"/>
      <c r="I1605" s="709"/>
      <c r="J1605" s="499" t="str">
        <f>Noty!J1631</f>
        <v>ukryj</v>
      </c>
      <c r="K1605" s="489"/>
      <c r="N1605" s="387"/>
    </row>
    <row r="1606" spans="1:32" s="200" customFormat="1" ht="13.6" customHeight="1" x14ac:dyDescent="0.25">
      <c r="A1606" s="508"/>
      <c r="B1606" s="520"/>
      <c r="C1606" s="234" t="s">
        <v>10719</v>
      </c>
      <c r="J1606" s="499" t="str">
        <f>Noty!J1613</f>
        <v>ukryj</v>
      </c>
      <c r="K1606" s="489"/>
      <c r="N1606" s="387"/>
    </row>
    <row r="1607" spans="1:32" s="200" customFormat="1" ht="13.6" customHeight="1" x14ac:dyDescent="0.25">
      <c r="A1607" s="508"/>
      <c r="B1607" s="520"/>
      <c r="C1607" s="235" t="s">
        <v>10720</v>
      </c>
      <c r="G1607" s="9"/>
      <c r="H1607" s="638"/>
      <c r="I1607" s="638"/>
      <c r="J1607" s="499" t="str">
        <f>IF(AND(Noty!H1607=0,Noty!I1607=0),"ukryj","odkryj")</f>
        <v>ukryj</v>
      </c>
      <c r="K1607" s="489"/>
      <c r="N1607" s="387"/>
      <c r="AE1607" s="200" t="s">
        <v>10721</v>
      </c>
      <c r="AF1607" s="200" t="s">
        <v>10722</v>
      </c>
    </row>
    <row r="1608" spans="1:32" s="200" customFormat="1" ht="13.6" customHeight="1" x14ac:dyDescent="0.25">
      <c r="A1608" s="508"/>
      <c r="B1608" s="520"/>
      <c r="C1608" s="235" t="s">
        <v>10723</v>
      </c>
      <c r="G1608" s="9"/>
      <c r="H1608" s="638"/>
      <c r="I1608" s="638"/>
      <c r="J1608" s="499" t="str">
        <f>IF(AND(Noty!H1608=0,Noty!I1608=0),"ukryj","odkryj")</f>
        <v>ukryj</v>
      </c>
      <c r="K1608" s="489"/>
      <c r="N1608" s="387"/>
      <c r="AE1608" s="200" t="s">
        <v>10724</v>
      </c>
      <c r="AF1608" s="200" t="s">
        <v>10725</v>
      </c>
    </row>
    <row r="1609" spans="1:32" s="200" customFormat="1" ht="13.6" customHeight="1" x14ac:dyDescent="0.25">
      <c r="A1609" s="508"/>
      <c r="B1609" s="520"/>
      <c r="C1609" s="235" t="s">
        <v>10726</v>
      </c>
      <c r="G1609" s="9"/>
      <c r="H1609" s="638"/>
      <c r="I1609" s="638"/>
      <c r="J1609" s="499" t="str">
        <f>IF(AND(Noty!H1609=0,Noty!I1609=0),"ukryj","odkryj")</f>
        <v>ukryj</v>
      </c>
      <c r="K1609" s="489"/>
      <c r="N1609" s="387"/>
      <c r="AE1609" s="200" t="s">
        <v>10727</v>
      </c>
      <c r="AF1609" s="200" t="s">
        <v>10728</v>
      </c>
    </row>
    <row r="1610" spans="1:32" s="200" customFormat="1" ht="13.6" customHeight="1" x14ac:dyDescent="0.25">
      <c r="A1610" s="508"/>
      <c r="B1610" s="520"/>
      <c r="C1610" s="235" t="s">
        <v>10729</v>
      </c>
      <c r="G1610" s="9"/>
      <c r="H1610" s="638"/>
      <c r="I1610" s="638"/>
      <c r="J1610" s="499" t="str">
        <f>IF(AND(Noty!H1610=0,Noty!I1610=0),"ukryj","odkryj")</f>
        <v>ukryj</v>
      </c>
      <c r="K1610" s="489"/>
      <c r="N1610" s="387"/>
      <c r="AE1610" s="200" t="s">
        <v>10730</v>
      </c>
      <c r="AF1610" s="200" t="s">
        <v>10731</v>
      </c>
    </row>
    <row r="1611" spans="1:32" s="200" customFormat="1" ht="13.6" customHeight="1" x14ac:dyDescent="0.25">
      <c r="A1611" s="508"/>
      <c r="B1611" s="520"/>
      <c r="C1611" s="235" t="s">
        <v>10732</v>
      </c>
      <c r="G1611" s="9"/>
      <c r="H1611" s="638"/>
      <c r="I1611" s="638"/>
      <c r="J1611" s="499" t="str">
        <f>IF(AND(Noty!H1611=0,Noty!I1611=0),"ukryj","odkryj")</f>
        <v>ukryj</v>
      </c>
      <c r="K1611" s="489"/>
      <c r="N1611" s="387"/>
      <c r="AE1611" s="200" t="s">
        <v>10733</v>
      </c>
      <c r="AF1611" s="200" t="s">
        <v>10734</v>
      </c>
    </row>
    <row r="1612" spans="1:32" s="200" customFormat="1" ht="13.6" customHeight="1" x14ac:dyDescent="0.25">
      <c r="A1612" s="508"/>
      <c r="B1612" s="520"/>
      <c r="C1612" s="235" t="s">
        <v>8161</v>
      </c>
      <c r="G1612" s="9"/>
      <c r="H1612" s="638"/>
      <c r="I1612" s="638"/>
      <c r="J1612" s="499" t="str">
        <f>IF(AND(Noty!H1612=0,Noty!I1612=0),"ukryj","odkryj")</f>
        <v>ukryj</v>
      </c>
      <c r="K1612" s="489"/>
      <c r="N1612" s="387"/>
      <c r="AE1612" s="200" t="s">
        <v>10735</v>
      </c>
      <c r="AF1612" s="200" t="s">
        <v>10736</v>
      </c>
    </row>
    <row r="1613" spans="1:32" s="200" customFormat="1" ht="13.6" customHeight="1" x14ac:dyDescent="0.25">
      <c r="A1613" s="508"/>
      <c r="B1613" s="520"/>
      <c r="C1613" s="405"/>
      <c r="G1613" s="9"/>
      <c r="H1613" s="734">
        <f>SUM(H1607:H1612)</f>
        <v>0</v>
      </c>
      <c r="I1613" s="734">
        <f>SUM(I1607:I1612)</f>
        <v>0</v>
      </c>
      <c r="J1613" s="499" t="str">
        <f>IF(AND(Noty!H1613=0,Noty!I1613=0),"ukryj","odkryj")</f>
        <v>ukryj</v>
      </c>
      <c r="K1613" s="489"/>
      <c r="N1613" s="387"/>
    </row>
    <row r="1614" spans="1:32" s="200" customFormat="1" ht="13.6" customHeight="1" x14ac:dyDescent="0.25">
      <c r="A1614" s="508"/>
      <c r="B1614" s="520"/>
      <c r="C1614" s="234" t="s">
        <v>10737</v>
      </c>
      <c r="J1614" s="499" t="str">
        <f>Noty!J1621</f>
        <v>ukryj</v>
      </c>
      <c r="K1614" s="489"/>
      <c r="N1614" s="387"/>
    </row>
    <row r="1615" spans="1:32" s="200" customFormat="1" ht="13.6" customHeight="1" x14ac:dyDescent="0.25">
      <c r="A1615" s="508"/>
      <c r="B1615" s="520"/>
      <c r="C1615" s="235" t="s">
        <v>10720</v>
      </c>
      <c r="G1615" s="9"/>
      <c r="H1615" s="638"/>
      <c r="I1615" s="638"/>
      <c r="J1615" s="499" t="str">
        <f>IF(AND(Noty!H1615=0,Noty!I1615=0),"ukryj","odkryj")</f>
        <v>ukryj</v>
      </c>
      <c r="K1615" s="489"/>
      <c r="N1615" s="387"/>
      <c r="AE1615" s="200" t="s">
        <v>10738</v>
      </c>
      <c r="AF1615" s="200" t="s">
        <v>10739</v>
      </c>
    </row>
    <row r="1616" spans="1:32" s="200" customFormat="1" ht="13.6" customHeight="1" x14ac:dyDescent="0.25">
      <c r="A1616" s="508"/>
      <c r="B1616" s="520"/>
      <c r="C1616" s="235" t="s">
        <v>10723</v>
      </c>
      <c r="G1616" s="9"/>
      <c r="H1616" s="638"/>
      <c r="I1616" s="638"/>
      <c r="J1616" s="499" t="str">
        <f>IF(AND(Noty!H1616=0,Noty!I1616=0),"ukryj","odkryj")</f>
        <v>ukryj</v>
      </c>
      <c r="K1616" s="489"/>
      <c r="N1616" s="387"/>
      <c r="AE1616" s="200" t="s">
        <v>10740</v>
      </c>
      <c r="AF1616" s="200" t="s">
        <v>10741</v>
      </c>
    </row>
    <row r="1617" spans="1:32" s="200" customFormat="1" ht="13.6" customHeight="1" x14ac:dyDescent="0.25">
      <c r="A1617" s="508"/>
      <c r="B1617" s="520"/>
      <c r="C1617" s="235" t="s">
        <v>10726</v>
      </c>
      <c r="G1617" s="9"/>
      <c r="H1617" s="638"/>
      <c r="I1617" s="638"/>
      <c r="J1617" s="499" t="str">
        <f>IF(AND(Noty!H1617=0,Noty!I1617=0),"ukryj","odkryj")</f>
        <v>ukryj</v>
      </c>
      <c r="K1617" s="489"/>
      <c r="N1617" s="387"/>
      <c r="AE1617" s="200" t="s">
        <v>10742</v>
      </c>
      <c r="AF1617" s="200" t="s">
        <v>10743</v>
      </c>
    </row>
    <row r="1618" spans="1:32" s="200" customFormat="1" ht="13.6" customHeight="1" x14ac:dyDescent="0.25">
      <c r="A1618" s="508"/>
      <c r="B1618" s="520"/>
      <c r="C1618" s="235" t="s">
        <v>10729</v>
      </c>
      <c r="G1618" s="9"/>
      <c r="H1618" s="638"/>
      <c r="I1618" s="638"/>
      <c r="J1618" s="499" t="str">
        <f>IF(AND(Noty!H1618=0,Noty!I1618=0),"ukryj","odkryj")</f>
        <v>ukryj</v>
      </c>
      <c r="K1618" s="489"/>
      <c r="N1618" s="387"/>
      <c r="AE1618" s="200" t="s">
        <v>10744</v>
      </c>
      <c r="AF1618" s="200" t="s">
        <v>10745</v>
      </c>
    </row>
    <row r="1619" spans="1:32" s="200" customFormat="1" ht="13.6" customHeight="1" x14ac:dyDescent="0.25">
      <c r="A1619" s="508"/>
      <c r="B1619" s="520"/>
      <c r="C1619" s="235" t="s">
        <v>10732</v>
      </c>
      <c r="G1619" s="9"/>
      <c r="H1619" s="638"/>
      <c r="I1619" s="638"/>
      <c r="J1619" s="499" t="str">
        <f>IF(AND(Noty!H1619=0,Noty!I1619=0),"ukryj","odkryj")</f>
        <v>ukryj</v>
      </c>
      <c r="K1619" s="489"/>
      <c r="N1619" s="387"/>
      <c r="AE1619" s="200" t="s">
        <v>10746</v>
      </c>
      <c r="AF1619" s="200" t="s">
        <v>10747</v>
      </c>
    </row>
    <row r="1620" spans="1:32" s="200" customFormat="1" ht="13.6" customHeight="1" x14ac:dyDescent="0.25">
      <c r="A1620" s="508"/>
      <c r="B1620" s="520"/>
      <c r="C1620" s="235" t="s">
        <v>8161</v>
      </c>
      <c r="G1620" s="9"/>
      <c r="H1620" s="638"/>
      <c r="I1620" s="638"/>
      <c r="J1620" s="499" t="str">
        <f>IF(AND(Noty!H1620=0,Noty!I1620=0),"ukryj","odkryj")</f>
        <v>ukryj</v>
      </c>
      <c r="K1620" s="489"/>
      <c r="N1620" s="387"/>
      <c r="AE1620" s="200" t="s">
        <v>10748</v>
      </c>
      <c r="AF1620" s="200" t="s">
        <v>10749</v>
      </c>
    </row>
    <row r="1621" spans="1:32" s="200" customFormat="1" ht="13.6" customHeight="1" x14ac:dyDescent="0.25">
      <c r="A1621" s="508"/>
      <c r="B1621" s="520"/>
      <c r="C1621" s="236"/>
      <c r="D1621" s="196"/>
      <c r="F1621" s="196"/>
      <c r="G1621" s="251"/>
      <c r="H1621" s="734">
        <f>SUM(H1615:H1620)</f>
        <v>0</v>
      </c>
      <c r="I1621" s="734">
        <f>SUM(I1615:I1620)</f>
        <v>0</v>
      </c>
      <c r="J1621" s="499" t="str">
        <f>IF(AND(Noty!H1621=0,Noty!I1621=0),"ukryj","odkryj")</f>
        <v>ukryj</v>
      </c>
      <c r="K1621" s="489"/>
      <c r="N1621" s="387"/>
    </row>
    <row r="1622" spans="1:32" s="200" customFormat="1" ht="13.6" customHeight="1" x14ac:dyDescent="0.25">
      <c r="A1622" s="508"/>
      <c r="B1622" s="520"/>
      <c r="C1622" s="234" t="s">
        <v>10750</v>
      </c>
      <c r="H1622" s="544"/>
      <c r="I1622" s="544"/>
      <c r="J1622" s="499" t="str">
        <f>Noty!J1629</f>
        <v>ukryj</v>
      </c>
      <c r="K1622" s="489"/>
      <c r="N1622" s="387"/>
    </row>
    <row r="1623" spans="1:32" s="200" customFormat="1" ht="13.6" customHeight="1" x14ac:dyDescent="0.25">
      <c r="A1623" s="508"/>
      <c r="B1623" s="520"/>
      <c r="C1623" s="235" t="s">
        <v>10720</v>
      </c>
      <c r="G1623" s="9"/>
      <c r="H1623" s="638"/>
      <c r="I1623" s="638"/>
      <c r="J1623" s="499" t="str">
        <f>IF(AND(Noty!H1623=0,Noty!I1623=0),"ukryj","odkryj")</f>
        <v>ukryj</v>
      </c>
      <c r="K1623" s="489"/>
      <c r="L1623" s="237"/>
      <c r="M1623" s="487"/>
      <c r="N1623" s="387"/>
      <c r="AE1623" s="200" t="s">
        <v>10751</v>
      </c>
      <c r="AF1623" s="200" t="s">
        <v>10752</v>
      </c>
    </row>
    <row r="1624" spans="1:32" s="200" customFormat="1" ht="13.6" customHeight="1" x14ac:dyDescent="0.25">
      <c r="A1624" s="508"/>
      <c r="B1624" s="520"/>
      <c r="C1624" s="235" t="s">
        <v>10723</v>
      </c>
      <c r="G1624" s="9"/>
      <c r="H1624" s="638"/>
      <c r="I1624" s="638"/>
      <c r="J1624" s="499" t="str">
        <f>IF(AND(Noty!H1624=0,Noty!I1624=0),"ukryj","odkryj")</f>
        <v>ukryj</v>
      </c>
      <c r="K1624" s="489"/>
      <c r="L1624" s="237"/>
      <c r="M1624" s="487"/>
      <c r="N1624" s="387"/>
      <c r="AE1624" s="200" t="s">
        <v>10753</v>
      </c>
      <c r="AF1624" s="200" t="s">
        <v>10754</v>
      </c>
    </row>
    <row r="1625" spans="1:32" s="200" customFormat="1" ht="13.6" customHeight="1" x14ac:dyDescent="0.25">
      <c r="A1625" s="508"/>
      <c r="B1625" s="520"/>
      <c r="C1625" s="235" t="s">
        <v>10726</v>
      </c>
      <c r="G1625" s="9"/>
      <c r="H1625" s="638"/>
      <c r="I1625" s="638"/>
      <c r="J1625" s="499" t="str">
        <f>IF(AND(Noty!H1625=0,Noty!I1625=0),"ukryj","odkryj")</f>
        <v>ukryj</v>
      </c>
      <c r="K1625" s="489"/>
      <c r="L1625" s="237"/>
      <c r="M1625" s="487"/>
      <c r="N1625" s="387"/>
      <c r="AE1625" s="200" t="s">
        <v>10755</v>
      </c>
      <c r="AF1625" s="200" t="s">
        <v>10756</v>
      </c>
    </row>
    <row r="1626" spans="1:32" s="200" customFormat="1" ht="13.6" customHeight="1" x14ac:dyDescent="0.25">
      <c r="A1626" s="508"/>
      <c r="B1626" s="520"/>
      <c r="C1626" s="235" t="s">
        <v>10729</v>
      </c>
      <c r="G1626" s="9"/>
      <c r="H1626" s="638"/>
      <c r="I1626" s="638"/>
      <c r="J1626" s="499" t="str">
        <f>IF(AND(Noty!H1626=0,Noty!I1626=0),"ukryj","odkryj")</f>
        <v>ukryj</v>
      </c>
      <c r="K1626" s="489"/>
      <c r="L1626" s="237"/>
      <c r="M1626" s="487"/>
      <c r="N1626" s="387"/>
      <c r="AE1626" s="200" t="s">
        <v>10757</v>
      </c>
      <c r="AF1626" s="200" t="s">
        <v>10758</v>
      </c>
    </row>
    <row r="1627" spans="1:32" s="200" customFormat="1" ht="13.6" customHeight="1" x14ac:dyDescent="0.25">
      <c r="A1627" s="508"/>
      <c r="B1627" s="520"/>
      <c r="C1627" s="235" t="s">
        <v>10732</v>
      </c>
      <c r="G1627" s="9"/>
      <c r="H1627" s="638"/>
      <c r="I1627" s="638"/>
      <c r="J1627" s="499" t="str">
        <f>IF(AND(Noty!H1627=0,Noty!I1627=0),"ukryj","odkryj")</f>
        <v>ukryj</v>
      </c>
      <c r="K1627" s="489"/>
      <c r="L1627" s="237"/>
      <c r="M1627" s="487"/>
      <c r="N1627" s="387"/>
      <c r="AE1627" s="200" t="s">
        <v>10759</v>
      </c>
      <c r="AF1627" s="200" t="s">
        <v>10760</v>
      </c>
    </row>
    <row r="1628" spans="1:32" s="200" customFormat="1" ht="13.6" customHeight="1" x14ac:dyDescent="0.25">
      <c r="A1628" s="508"/>
      <c r="B1628" s="520"/>
      <c r="C1628" s="235" t="s">
        <v>8161</v>
      </c>
      <c r="G1628" s="9"/>
      <c r="H1628" s="638"/>
      <c r="I1628" s="638"/>
      <c r="J1628" s="499" t="str">
        <f>IF(AND(Noty!H1628=0,Noty!I1628=0),"ukryj","odkryj")</f>
        <v>ukryj</v>
      </c>
      <c r="K1628" s="489"/>
      <c r="L1628" s="237"/>
      <c r="M1628" s="487"/>
      <c r="N1628" s="387"/>
      <c r="AE1628" s="200" t="s">
        <v>10761</v>
      </c>
      <c r="AF1628" s="200" t="s">
        <v>10762</v>
      </c>
    </row>
    <row r="1629" spans="1:32" s="200" customFormat="1" ht="13.6" customHeight="1" x14ac:dyDescent="0.25">
      <c r="A1629" s="508"/>
      <c r="B1629" s="520"/>
      <c r="C1629" s="231"/>
      <c r="D1629" s="196"/>
      <c r="F1629" s="196"/>
      <c r="G1629" s="251"/>
      <c r="H1629" s="734">
        <f>SUM(H1623:H1628)</f>
        <v>0</v>
      </c>
      <c r="I1629" s="734">
        <f>SUM(I1623:I1628)</f>
        <v>0</v>
      </c>
      <c r="J1629" s="499" t="str">
        <f>IF(AND(Noty!H1629=0,Noty!I1629=0),"ukryj","odkryj")</f>
        <v>ukryj</v>
      </c>
      <c r="K1629" s="489"/>
      <c r="N1629" s="387"/>
    </row>
    <row r="1630" spans="1:32" s="200" customFormat="1" ht="13.6" customHeight="1" x14ac:dyDescent="0.25">
      <c r="A1630" s="508"/>
      <c r="B1630" s="520"/>
      <c r="C1630" s="231"/>
      <c r="D1630" s="196"/>
      <c r="F1630" s="196"/>
      <c r="G1630" s="196"/>
      <c r="H1630" s="549"/>
      <c r="I1630" s="549"/>
      <c r="J1630" s="499" t="str">
        <f>Noty!J1629</f>
        <v>ukryj</v>
      </c>
      <c r="K1630" s="489"/>
      <c r="N1630" s="387"/>
    </row>
    <row r="1631" spans="1:32" s="200" customFormat="1" ht="13.6" customHeight="1" x14ac:dyDescent="0.25">
      <c r="A1631" s="508"/>
      <c r="B1631" s="520"/>
      <c r="C1631" s="233" t="s">
        <v>10763</v>
      </c>
      <c r="D1631" s="196"/>
      <c r="F1631" s="196"/>
      <c r="G1631" s="251"/>
      <c r="H1631" s="803">
        <f>H1613+H1629+H1621</f>
        <v>0</v>
      </c>
      <c r="I1631" s="803">
        <f>I1613+I1629+I1621</f>
        <v>0</v>
      </c>
      <c r="J1631" s="499" t="str">
        <f>IF(AND(Noty!H1631=0,Noty!I1631=0),"ukryj","odkryj")</f>
        <v>ukryj</v>
      </c>
      <c r="K1631" s="489"/>
      <c r="N1631" s="387"/>
    </row>
    <row r="1632" spans="1:32" s="200" customFormat="1" ht="13.6" customHeight="1" x14ac:dyDescent="0.25">
      <c r="A1632" s="508"/>
      <c r="B1632" s="520"/>
      <c r="C1632" s="231"/>
      <c r="E1632" s="196"/>
      <c r="F1632" s="196"/>
      <c r="G1632" s="196"/>
      <c r="H1632" s="191"/>
      <c r="J1632" s="499" t="str">
        <f>Noty!J1631</f>
        <v>ukryj</v>
      </c>
      <c r="K1632" s="489"/>
      <c r="N1632" s="387"/>
    </row>
    <row r="1633" spans="1:15" s="200" customFormat="1" ht="13.6" customHeight="1" thickBot="1" x14ac:dyDescent="0.3">
      <c r="A1633" s="508"/>
      <c r="B1633" s="520"/>
      <c r="C1633" s="219" t="s">
        <v>7685</v>
      </c>
      <c r="E1633" s="196"/>
      <c r="F1633" s="196"/>
      <c r="G1633" s="196"/>
      <c r="H1633" s="191"/>
      <c r="J1633" s="499" t="s">
        <v>5125</v>
      </c>
      <c r="K1633" s="489"/>
      <c r="N1633" s="387"/>
    </row>
    <row r="1634" spans="1:15" s="200" customFormat="1" ht="13.6" customHeight="1" thickBot="1" x14ac:dyDescent="0.3">
      <c r="A1634" s="508"/>
      <c r="B1634" s="520"/>
      <c r="C1634" s="1433" t="s">
        <v>10764</v>
      </c>
      <c r="D1634" s="1433"/>
      <c r="E1634" s="1433"/>
      <c r="F1634" s="1433"/>
      <c r="G1634" s="1433"/>
      <c r="H1634" s="1433"/>
      <c r="I1634" s="1433"/>
      <c r="J1634" s="499" t="str">
        <f>IF(Noty!K1634="n/a","ukryj","odkryj")</f>
        <v>odkryj</v>
      </c>
      <c r="K1634" s="1215" t="str">
        <f>IF(K1603="","n/a","")</f>
        <v/>
      </c>
      <c r="N1634" s="387"/>
    </row>
    <row r="1635" spans="1:15" s="200" customFormat="1" ht="13.6" customHeight="1" x14ac:dyDescent="0.25">
      <c r="A1635" s="508"/>
      <c r="B1635" s="520"/>
      <c r="C1635" s="238"/>
      <c r="E1635" s="196"/>
      <c r="F1635" s="196"/>
      <c r="G1635" s="196"/>
      <c r="H1635" s="196"/>
      <c r="I1635" s="196"/>
      <c r="J1635" s="499" t="str">
        <f>Noty!J1634</f>
        <v>odkryj</v>
      </c>
      <c r="K1635" s="489"/>
      <c r="N1635" s="387"/>
    </row>
    <row r="1636" spans="1:15" s="200" customFormat="1" ht="13.6" customHeight="1" x14ac:dyDescent="0.25">
      <c r="A1636" s="508"/>
      <c r="B1636" s="520"/>
      <c r="C1636" s="1382" t="s">
        <v>10765</v>
      </c>
      <c r="D1636" s="1382"/>
      <c r="E1636" s="1382"/>
      <c r="F1636" s="1382"/>
      <c r="G1636" s="1382"/>
      <c r="H1636" s="1382"/>
      <c r="I1636" s="1382"/>
      <c r="J1636" s="499" t="s">
        <v>5125</v>
      </c>
      <c r="K1636" s="489"/>
      <c r="N1636" s="387"/>
    </row>
    <row r="1637" spans="1:15" s="200" customFormat="1" ht="13.6" customHeight="1" x14ac:dyDescent="0.25">
      <c r="A1637" s="508"/>
      <c r="B1637" s="520"/>
      <c r="C1637" s="1484" t="s">
        <v>10766</v>
      </c>
      <c r="D1637" s="1484"/>
      <c r="E1637" s="1484"/>
      <c r="F1637" s="1484"/>
      <c r="G1637" s="1484"/>
      <c r="H1637" s="1484"/>
      <c r="I1637" s="1484"/>
      <c r="J1637" s="499" t="str">
        <f>Noty!J1636</f>
        <v>ukryj</v>
      </c>
      <c r="K1637" s="489"/>
      <c r="N1637" s="387"/>
    </row>
    <row r="1638" spans="1:15" s="200" customFormat="1" ht="13.6" customHeight="1" x14ac:dyDescent="0.25">
      <c r="A1638" s="508"/>
      <c r="B1638" s="520"/>
      <c r="C1638" s="1484" t="s">
        <v>10767</v>
      </c>
      <c r="D1638" s="1484"/>
      <c r="E1638" s="1484"/>
      <c r="F1638" s="1484"/>
      <c r="G1638" s="1484"/>
      <c r="H1638" s="1484"/>
      <c r="I1638" s="1484"/>
      <c r="J1638" s="499" t="str">
        <f>Noty!J1637</f>
        <v>ukryj</v>
      </c>
      <c r="K1638" s="489"/>
      <c r="N1638" s="387"/>
    </row>
    <row r="1639" spans="1:15" s="200" customFormat="1" ht="13.6" customHeight="1" x14ac:dyDescent="0.25">
      <c r="A1639" s="508"/>
      <c r="B1639" s="520"/>
      <c r="C1639" s="1484" t="s">
        <v>10768</v>
      </c>
      <c r="D1639" s="1484"/>
      <c r="E1639" s="1484"/>
      <c r="F1639" s="1484"/>
      <c r="G1639" s="1484"/>
      <c r="H1639" s="1484"/>
      <c r="I1639" s="1484"/>
      <c r="J1639" s="499" t="str">
        <f>Noty!J1638</f>
        <v>ukryj</v>
      </c>
      <c r="K1639" s="489"/>
      <c r="N1639" s="387"/>
    </row>
    <row r="1640" spans="1:15" s="200" customFormat="1" ht="13.6" customHeight="1" x14ac:dyDescent="0.25">
      <c r="A1640" s="508"/>
      <c r="B1640" s="520"/>
      <c r="C1640" s="1484" t="s">
        <v>10769</v>
      </c>
      <c r="D1640" s="1484"/>
      <c r="E1640" s="1484"/>
      <c r="F1640" s="1484"/>
      <c r="G1640" s="1484"/>
      <c r="H1640" s="1484"/>
      <c r="I1640" s="1484"/>
      <c r="J1640" s="499" t="str">
        <f>Noty!J1639</f>
        <v>ukryj</v>
      </c>
      <c r="K1640" s="489"/>
      <c r="N1640" s="387"/>
    </row>
    <row r="1641" spans="1:15" s="200" customFormat="1" ht="13.6" customHeight="1" x14ac:dyDescent="0.25">
      <c r="A1641" s="508"/>
      <c r="B1641" s="520"/>
      <c r="C1641" s="1484" t="s">
        <v>10770</v>
      </c>
      <c r="D1641" s="1484"/>
      <c r="E1641" s="1484"/>
      <c r="F1641" s="1484"/>
      <c r="G1641" s="1484"/>
      <c r="H1641" s="1484"/>
      <c r="I1641" s="1484"/>
      <c r="J1641" s="499" t="str">
        <f>Noty!J1640</f>
        <v>ukryj</v>
      </c>
      <c r="K1641" s="489"/>
      <c r="N1641" s="387"/>
    </row>
    <row r="1642" spans="1:15" s="200" customFormat="1" ht="27" customHeight="1" x14ac:dyDescent="0.25">
      <c r="A1642" s="508"/>
      <c r="B1642" s="520"/>
      <c r="C1642" s="1485" t="s">
        <v>10771</v>
      </c>
      <c r="D1642" s="1485"/>
      <c r="E1642" s="1485"/>
      <c r="F1642" s="1485"/>
      <c r="G1642" s="1485"/>
      <c r="H1642" s="1485"/>
      <c r="I1642" s="1485"/>
      <c r="J1642" s="499" t="str">
        <f>Noty!J1641</f>
        <v>ukryj</v>
      </c>
      <c r="K1642" s="489"/>
      <c r="N1642" s="387"/>
    </row>
    <row r="1643" spans="1:15" s="200" customFormat="1" ht="13.6" customHeight="1" thickBot="1" x14ac:dyDescent="0.3">
      <c r="A1643" s="508"/>
      <c r="B1643" s="520"/>
      <c r="C1643" s="225"/>
      <c r="D1643" s="224"/>
      <c r="E1643" s="196"/>
      <c r="F1643" s="196"/>
      <c r="G1643" s="196"/>
      <c r="H1643" s="196"/>
      <c r="I1643" s="196"/>
      <c r="J1643" s="499" t="str">
        <f>Noty!J1642</f>
        <v>ukryj</v>
      </c>
      <c r="K1643" s="489"/>
      <c r="N1643" s="387"/>
    </row>
    <row r="1644" spans="1:15" s="200" customFormat="1" ht="15.75" thickBot="1" x14ac:dyDescent="0.35">
      <c r="A1644" s="1180">
        <f>IF(K1644="n/a",A1601,A1601+1)</f>
        <v>19</v>
      </c>
      <c r="B1644" s="1182"/>
      <c r="C1644" s="1388" t="s">
        <v>10772</v>
      </c>
      <c r="D1644" s="1388"/>
      <c r="E1644" s="1388"/>
      <c r="F1644" s="1388"/>
      <c r="G1644" s="1388"/>
      <c r="H1644" s="1388"/>
      <c r="I1644" s="1388"/>
      <c r="J1644" s="499" t="str">
        <f>IF(Noty!K1644="n/a","ukryj","odkryj")</f>
        <v>odkryj</v>
      </c>
      <c r="K1644" s="1215" t="str">
        <f>IF(AND(K1646="n/a",K1649="n/a"),"n/a","")</f>
        <v/>
      </c>
      <c r="L1644" s="971" t="str">
        <f>A1644&amp;"."&amp;B1644</f>
        <v>19.</v>
      </c>
      <c r="N1644" s="1101" t="s">
        <v>9378</v>
      </c>
      <c r="O1644" s="489" t="str">
        <f>A1644&amp;"."&amp;B1644</f>
        <v>19.</v>
      </c>
    </row>
    <row r="1645" spans="1:15" s="200" customFormat="1" ht="13.6" customHeight="1" thickBot="1" x14ac:dyDescent="0.3">
      <c r="A1645" s="508"/>
      <c r="B1645" s="520"/>
      <c r="C1645" s="231"/>
      <c r="D1645" s="231"/>
      <c r="E1645" s="196"/>
      <c r="F1645" s="196"/>
      <c r="G1645" s="196"/>
      <c r="H1645" s="196"/>
      <c r="I1645" s="196"/>
      <c r="J1645" s="499" t="str">
        <f>Noty!J1644</f>
        <v>odkryj</v>
      </c>
      <c r="K1645" s="489"/>
      <c r="N1645" s="387"/>
    </row>
    <row r="1646" spans="1:15" s="200" customFormat="1" ht="27" customHeight="1" thickBot="1" x14ac:dyDescent="0.3">
      <c r="A1646" s="508"/>
      <c r="B1646" s="520"/>
      <c r="C1646" s="1447" t="s">
        <v>10773</v>
      </c>
      <c r="D1646" s="1447"/>
      <c r="E1646" s="1447"/>
      <c r="F1646" s="1447"/>
      <c r="G1646" s="1447"/>
      <c r="H1646" s="1447"/>
      <c r="I1646" s="1447"/>
      <c r="J1646" s="499" t="str">
        <f>IF(Noty!K1646="n/a","ukryj","odkryj")</f>
        <v>ukryj</v>
      </c>
      <c r="K1646" s="1226" t="str">
        <f>IF(Input!D188="nie","n/a","")</f>
        <v>n/a</v>
      </c>
      <c r="N1646" s="387"/>
    </row>
    <row r="1647" spans="1:15" s="200" customFormat="1" ht="13.6" customHeight="1" x14ac:dyDescent="0.25">
      <c r="A1647" s="508"/>
      <c r="B1647" s="520"/>
      <c r="C1647" s="204"/>
      <c r="D1647" s="204"/>
      <c r="J1647" s="499" t="str">
        <f>Noty!J1646</f>
        <v>ukryj</v>
      </c>
      <c r="K1647" s="489"/>
      <c r="N1647" s="387"/>
    </row>
    <row r="1648" spans="1:15" s="200" customFormat="1" ht="13.6" customHeight="1" thickBot="1" x14ac:dyDescent="0.3">
      <c r="A1648" s="508"/>
      <c r="B1648" s="520"/>
      <c r="C1648" s="219" t="s">
        <v>7685</v>
      </c>
      <c r="D1648" s="634"/>
      <c r="E1648" s="673"/>
      <c r="F1648" s="673"/>
      <c r="G1648" s="673"/>
      <c r="H1648" s="673"/>
      <c r="I1648" s="634"/>
      <c r="J1648" s="499" t="s">
        <v>5125</v>
      </c>
      <c r="K1648" s="489"/>
      <c r="N1648" s="387"/>
    </row>
    <row r="1649" spans="1:15" s="200" customFormat="1" ht="13.6" customHeight="1" thickBot="1" x14ac:dyDescent="0.3">
      <c r="A1649" s="508"/>
      <c r="B1649" s="520"/>
      <c r="C1649" s="1385" t="s">
        <v>10774</v>
      </c>
      <c r="D1649" s="1385"/>
      <c r="E1649" s="1385"/>
      <c r="F1649" s="1385"/>
      <c r="G1649" s="1385"/>
      <c r="H1649" s="1385"/>
      <c r="I1649" s="1385"/>
      <c r="J1649" s="499" t="str">
        <f>IF(Noty!K1649="n/a","ukryj","odkryj")</f>
        <v>odkryj</v>
      </c>
      <c r="K1649" s="1215" t="str">
        <f>IF(K1646="","n/a","")</f>
        <v/>
      </c>
      <c r="N1649" s="387"/>
    </row>
    <row r="1650" spans="1:15" s="200" customFormat="1" ht="13.75" thickBot="1" x14ac:dyDescent="0.3">
      <c r="A1650" s="508"/>
      <c r="B1650" s="520"/>
      <c r="C1650" s="195"/>
      <c r="D1650" s="195"/>
      <c r="E1650" s="196"/>
      <c r="F1650" s="196"/>
      <c r="G1650" s="196"/>
      <c r="H1650" s="196"/>
      <c r="I1650" s="196"/>
      <c r="J1650" s="499" t="str">
        <f>Noty!J1649</f>
        <v>odkryj</v>
      </c>
      <c r="K1650" s="489"/>
      <c r="N1650" s="387"/>
    </row>
    <row r="1651" spans="1:15" s="200" customFormat="1" ht="15.75" thickBot="1" x14ac:dyDescent="0.35">
      <c r="A1651" s="1180">
        <f>IF(K1651="n/a",A1644,A1644+1)</f>
        <v>19</v>
      </c>
      <c r="B1651" s="1182"/>
      <c r="C1651" s="1388" t="s">
        <v>10775</v>
      </c>
      <c r="D1651" s="1388"/>
      <c r="E1651" s="1388"/>
      <c r="F1651" s="1388"/>
      <c r="G1651" s="1388"/>
      <c r="H1651" s="1388"/>
      <c r="I1651" s="1388"/>
      <c r="J1651" s="499" t="str">
        <f>IF(Noty!K1651="n/a","ukryj","odkryj")</f>
        <v>ukryj</v>
      </c>
      <c r="K1651" s="1215" t="str">
        <f>IF(Input!D189="nie","n/a","")</f>
        <v>n/a</v>
      </c>
      <c r="L1651" s="971" t="str">
        <f>A1651&amp;"."&amp;B1651</f>
        <v>19.</v>
      </c>
      <c r="N1651" s="1101" t="s">
        <v>9378</v>
      </c>
      <c r="O1651" s="489" t="str">
        <f>A1651&amp;"."&amp;B1651</f>
        <v>19.</v>
      </c>
    </row>
    <row r="1652" spans="1:15" s="200" customFormat="1" x14ac:dyDescent="0.25">
      <c r="A1652" s="508"/>
      <c r="B1652" s="520"/>
      <c r="C1652" s="231"/>
      <c r="D1652" s="231"/>
      <c r="E1652" s="196"/>
      <c r="F1652" s="196"/>
      <c r="G1652" s="196"/>
      <c r="H1652" s="196"/>
      <c r="I1652" s="196"/>
      <c r="J1652" s="499" t="str">
        <f>Noty!J1651</f>
        <v>ukryj</v>
      </c>
      <c r="K1652" s="489"/>
      <c r="N1652" s="387"/>
    </row>
    <row r="1653" spans="1:15" s="200" customFormat="1" ht="13.6" customHeight="1" x14ac:dyDescent="0.25">
      <c r="A1653" s="508"/>
      <c r="B1653" s="520"/>
      <c r="C1653" s="1430" t="s">
        <v>10776</v>
      </c>
      <c r="D1653" s="1430"/>
      <c r="E1653" s="1430"/>
      <c r="F1653" s="1430"/>
      <c r="G1653" s="1430"/>
      <c r="H1653" s="1430"/>
      <c r="I1653" s="1430"/>
      <c r="J1653" s="499" t="str">
        <f>Noty!J1652</f>
        <v>ukryj</v>
      </c>
      <c r="K1653" s="489"/>
      <c r="N1653" s="387"/>
    </row>
    <row r="1654" spans="1:15" s="200" customFormat="1" ht="13.6" customHeight="1" x14ac:dyDescent="0.25">
      <c r="A1654" s="508"/>
      <c r="B1654" s="520"/>
      <c r="C1654" s="567"/>
      <c r="D1654" s="204"/>
      <c r="J1654" s="499" t="str">
        <f>Noty!J1653</f>
        <v>ukryj</v>
      </c>
      <c r="K1654" s="489"/>
      <c r="N1654" s="387"/>
    </row>
    <row r="1655" spans="1:15" s="217" customFormat="1" ht="13.6" customHeight="1" x14ac:dyDescent="0.25">
      <c r="A1655" s="518"/>
      <c r="B1655" s="532"/>
      <c r="C1655" s="1449" t="s">
        <v>10777</v>
      </c>
      <c r="D1655" s="1449"/>
      <c r="E1655" s="1449"/>
      <c r="F1655" s="1449"/>
      <c r="G1655" s="1449"/>
      <c r="H1655" s="1449"/>
      <c r="I1655" s="1449"/>
      <c r="J1655" s="499" t="str">
        <f>Noty!J1654</f>
        <v>ukryj</v>
      </c>
      <c r="K1655" s="489"/>
      <c r="N1655" s="387"/>
    </row>
    <row r="1656" spans="1:15" s="217" customFormat="1" ht="13.6" customHeight="1" x14ac:dyDescent="0.25">
      <c r="A1656" s="518"/>
      <c r="B1656" s="532"/>
      <c r="D1656" s="200"/>
      <c r="E1656" s="200"/>
      <c r="F1656" s="200"/>
      <c r="G1656" s="200"/>
      <c r="H1656" s="200"/>
      <c r="I1656" s="200"/>
      <c r="J1656" s="499" t="str">
        <f>Noty!J1655</f>
        <v>ukryj</v>
      </c>
      <c r="K1656" s="489"/>
      <c r="N1656" s="387"/>
    </row>
    <row r="1657" spans="1:15" s="217" customFormat="1" ht="13.6" customHeight="1" x14ac:dyDescent="0.25">
      <c r="A1657" s="518"/>
      <c r="B1657" s="532"/>
      <c r="C1657" s="1449" t="s">
        <v>10778</v>
      </c>
      <c r="D1657" s="1449"/>
      <c r="E1657" s="1449"/>
      <c r="F1657" s="1449"/>
      <c r="G1657" s="1449"/>
      <c r="H1657" s="1449"/>
      <c r="I1657" s="1449"/>
      <c r="J1657" s="499" t="str">
        <f>Noty!J1656</f>
        <v>ukryj</v>
      </c>
      <c r="K1657" s="489"/>
      <c r="N1657" s="387"/>
    </row>
    <row r="1658" spans="1:15" s="217" customFormat="1" ht="13.6" customHeight="1" x14ac:dyDescent="0.25">
      <c r="A1658" s="518"/>
      <c r="B1658" s="532"/>
      <c r="C1658" s="1449" t="s">
        <v>10779</v>
      </c>
      <c r="D1658" s="1449"/>
      <c r="E1658" s="1449"/>
      <c r="F1658" s="1449"/>
      <c r="G1658" s="1449"/>
      <c r="H1658" s="1449"/>
      <c r="I1658" s="1449"/>
      <c r="J1658" s="499" t="str">
        <f>Noty!J1657</f>
        <v>ukryj</v>
      </c>
      <c r="K1658" s="489"/>
      <c r="N1658" s="387"/>
    </row>
    <row r="1659" spans="1:15" s="217" customFormat="1" ht="27" customHeight="1" x14ac:dyDescent="0.25">
      <c r="A1659" s="518"/>
      <c r="C1659" s="1454" t="s">
        <v>10780</v>
      </c>
      <c r="D1659" s="1454"/>
      <c r="E1659" s="1454"/>
      <c r="F1659" s="1454"/>
      <c r="G1659" s="1454"/>
      <c r="H1659" s="1454"/>
      <c r="I1659" s="1454"/>
      <c r="J1659" s="499" t="str">
        <f>Noty!J1658</f>
        <v>ukryj</v>
      </c>
      <c r="K1659" s="489"/>
      <c r="N1659" s="387"/>
    </row>
    <row r="1660" spans="1:15" s="200" customFormat="1" ht="13.6" customHeight="1" x14ac:dyDescent="0.25">
      <c r="A1660" s="508"/>
      <c r="B1660" s="533"/>
      <c r="C1660" s="217"/>
      <c r="J1660" s="499" t="str">
        <f>Noty!J1659</f>
        <v>ukryj</v>
      </c>
      <c r="K1660" s="489"/>
      <c r="N1660" s="387"/>
    </row>
    <row r="1661" spans="1:15" s="200" customFormat="1" ht="13.6" customHeight="1" x14ac:dyDescent="0.25">
      <c r="A1661" s="508"/>
      <c r="B1661" s="520"/>
      <c r="C1661" s="1449" t="s">
        <v>10781</v>
      </c>
      <c r="D1661" s="1449"/>
      <c r="E1661" s="1449"/>
      <c r="F1661" s="1449"/>
      <c r="G1661" s="1449"/>
      <c r="H1661" s="1449"/>
      <c r="I1661" s="1449"/>
      <c r="J1661" s="499" t="str">
        <f>Noty!J1660</f>
        <v>ukryj</v>
      </c>
      <c r="K1661" s="489"/>
      <c r="N1661" s="387"/>
    </row>
    <row r="1662" spans="1:15" s="200" customFormat="1" ht="13.6" customHeight="1" x14ac:dyDescent="0.25">
      <c r="A1662" s="508"/>
      <c r="B1662" s="533"/>
      <c r="C1662" s="239"/>
      <c r="D1662" s="757"/>
      <c r="E1662" s="757"/>
      <c r="F1662" s="757"/>
      <c r="G1662" s="757"/>
      <c r="H1662" s="757"/>
      <c r="I1662" s="757"/>
      <c r="J1662" s="499" t="str">
        <f>Noty!J1661</f>
        <v>ukryj</v>
      </c>
      <c r="K1662" s="489"/>
      <c r="N1662" s="387"/>
    </row>
    <row r="1663" spans="1:15" s="200" customFormat="1" x14ac:dyDescent="0.25">
      <c r="A1663" s="508"/>
      <c r="B1663" s="520"/>
      <c r="C1663" s="1449" t="s">
        <v>10782</v>
      </c>
      <c r="D1663" s="1449"/>
      <c r="E1663" s="1449"/>
      <c r="F1663" s="1449"/>
      <c r="G1663" s="1449"/>
      <c r="H1663" s="1449"/>
      <c r="I1663" s="1449"/>
      <c r="J1663" s="499" t="str">
        <f>Noty!J1662</f>
        <v>ukryj</v>
      </c>
      <c r="K1663" s="489"/>
      <c r="N1663" s="387"/>
    </row>
    <row r="1664" spans="1:15" s="200" customFormat="1" ht="13.6" customHeight="1" x14ac:dyDescent="0.25">
      <c r="A1664" s="508"/>
      <c r="B1664" s="520"/>
      <c r="C1664" s="1449" t="s">
        <v>10779</v>
      </c>
      <c r="D1664" s="1449"/>
      <c r="E1664" s="1449"/>
      <c r="F1664" s="1449"/>
      <c r="G1664" s="1449"/>
      <c r="H1664" s="1449"/>
      <c r="I1664" s="1449"/>
      <c r="J1664" s="499" t="str">
        <f>Noty!J1663</f>
        <v>ukryj</v>
      </c>
      <c r="K1664" s="489"/>
      <c r="N1664" s="387"/>
    </row>
    <row r="1665" spans="1:15" s="200" customFormat="1" ht="27" customHeight="1" x14ac:dyDescent="0.25">
      <c r="A1665" s="508"/>
      <c r="B1665" s="520"/>
      <c r="C1665" s="1447" t="s">
        <v>10783</v>
      </c>
      <c r="D1665" s="1447"/>
      <c r="E1665" s="1447"/>
      <c r="F1665" s="1447"/>
      <c r="G1665" s="1447"/>
      <c r="H1665" s="1447"/>
      <c r="I1665" s="1447"/>
      <c r="J1665" s="499" t="str">
        <f>Noty!J1664</f>
        <v>ukryj</v>
      </c>
      <c r="K1665" s="489"/>
      <c r="N1665" s="387"/>
    </row>
    <row r="1666" spans="1:15" s="200" customFormat="1" ht="13.6" customHeight="1" thickBot="1" x14ac:dyDescent="0.3">
      <c r="A1666" s="508"/>
      <c r="B1666" s="533"/>
      <c r="J1666" s="499" t="str">
        <f>Noty!J1665</f>
        <v>ukryj</v>
      </c>
      <c r="K1666" s="489"/>
      <c r="N1666" s="387"/>
    </row>
    <row r="1667" spans="1:15" s="200" customFormat="1" ht="15.75" customHeight="1" thickBot="1" x14ac:dyDescent="0.35">
      <c r="A1667" s="1180">
        <f>IF(K1667="n/a",A1651,A1651+1)</f>
        <v>20</v>
      </c>
      <c r="B1667" s="1182"/>
      <c r="C1667" s="1388" t="s">
        <v>10784</v>
      </c>
      <c r="D1667" s="1388"/>
      <c r="E1667" s="1388"/>
      <c r="F1667" s="1388"/>
      <c r="G1667" s="1388"/>
      <c r="H1667" s="1388"/>
      <c r="I1667" s="1388"/>
      <c r="J1667" s="499" t="str">
        <f>IF(Noty!K1667="n/a","ukryj","odkryj")</f>
        <v>odkryj</v>
      </c>
      <c r="K1667" s="1215" t="str">
        <f>IF(AND(K1669="n/a",K1673="n/a"),"n/a","")</f>
        <v/>
      </c>
      <c r="L1667" s="971" t="str">
        <f>A1667&amp;"."&amp;B1667</f>
        <v>20.</v>
      </c>
      <c r="N1667" s="1101" t="s">
        <v>9378</v>
      </c>
      <c r="O1667" s="489" t="str">
        <f>A1667&amp;"."&amp;B1667</f>
        <v>20.</v>
      </c>
    </row>
    <row r="1668" spans="1:15" s="200" customFormat="1" ht="13.6" customHeight="1" thickBot="1" x14ac:dyDescent="0.3">
      <c r="A1668" s="508"/>
      <c r="B1668" s="520"/>
      <c r="C1668" s="204"/>
      <c r="D1668" s="634"/>
      <c r="E1668" s="634"/>
      <c r="F1668" s="634"/>
      <c r="G1668" s="634"/>
      <c r="H1668" s="634"/>
      <c r="I1668" s="634"/>
      <c r="J1668" s="499" t="str">
        <f>Noty!J1667</f>
        <v>odkryj</v>
      </c>
      <c r="K1668" s="489"/>
      <c r="N1668" s="387"/>
    </row>
    <row r="1669" spans="1:15" s="200" customFormat="1" ht="57.8" customHeight="1" thickBot="1" x14ac:dyDescent="0.3">
      <c r="A1669" s="508"/>
      <c r="B1669" s="520"/>
      <c r="C1669" s="1453" t="s">
        <v>10785</v>
      </c>
      <c r="D1669" s="1453"/>
      <c r="E1669" s="1453"/>
      <c r="F1669" s="1453"/>
      <c r="G1669" s="1453"/>
      <c r="H1669" s="1453"/>
      <c r="I1669" s="1453"/>
      <c r="J1669" s="499" t="str">
        <f>IF(Noty!K1669="n/a","ukryj","odkryj")</f>
        <v>ukryj</v>
      </c>
      <c r="K1669" s="1226" t="str">
        <f>IF(Input!D190="nie","n/a","")</f>
        <v>n/a</v>
      </c>
      <c r="N1669" s="387"/>
    </row>
    <row r="1670" spans="1:15" s="200" customFormat="1" ht="40.6" customHeight="1" x14ac:dyDescent="0.25">
      <c r="A1670" s="508"/>
      <c r="B1670" s="520"/>
      <c r="C1670" s="1453" t="s">
        <v>10786</v>
      </c>
      <c r="D1670" s="1453"/>
      <c r="E1670" s="1453"/>
      <c r="F1670" s="1453"/>
      <c r="G1670" s="1453"/>
      <c r="H1670" s="1453"/>
      <c r="I1670" s="1453"/>
      <c r="J1670" s="499" t="str">
        <f>Noty!J1669</f>
        <v>ukryj</v>
      </c>
      <c r="K1670" s="197"/>
      <c r="N1670" s="387"/>
    </row>
    <row r="1671" spans="1:15" s="200" customFormat="1" x14ac:dyDescent="0.25">
      <c r="A1671" s="508"/>
      <c r="B1671" s="520"/>
      <c r="C1671" s="204"/>
      <c r="D1671" s="204"/>
      <c r="J1671" s="499" t="str">
        <f>Noty!J1670</f>
        <v>ukryj</v>
      </c>
      <c r="K1671" s="197"/>
      <c r="N1671" s="387"/>
    </row>
    <row r="1672" spans="1:15" s="200" customFormat="1" ht="13.75" thickBot="1" x14ac:dyDescent="0.3">
      <c r="A1672" s="508"/>
      <c r="B1672" s="520"/>
      <c r="C1672" s="219" t="s">
        <v>7685</v>
      </c>
      <c r="D1672" s="204"/>
      <c r="J1672" s="499" t="s">
        <v>5125</v>
      </c>
      <c r="K1672" s="197"/>
      <c r="N1672" s="387"/>
    </row>
    <row r="1673" spans="1:15" s="200" customFormat="1" ht="13.75" thickBot="1" x14ac:dyDescent="0.3">
      <c r="A1673" s="508"/>
      <c r="B1673" s="520"/>
      <c r="C1673" s="1433" t="str">
        <f>"W bieżącym roku nie dokonywano zmian zasad rachunkowości"&amp;IF(RokObr=1,", ponieważ jest to pierwszy rok obrotowy Spółki.",".")</f>
        <v>W bieżącym roku nie dokonywano zmian zasad rachunkowości.</v>
      </c>
      <c r="D1673" s="1433"/>
      <c r="E1673" s="1433"/>
      <c r="F1673" s="1433"/>
      <c r="G1673" s="1433"/>
      <c r="H1673" s="1433"/>
      <c r="I1673" s="1433"/>
      <c r="J1673" s="499" t="str">
        <f>IF(Noty!K1673="n/a","ukryj","odkryj")</f>
        <v>odkryj</v>
      </c>
      <c r="K1673" s="1215" t="str">
        <f>IF(K1669="","n/a","")</f>
        <v/>
      </c>
      <c r="N1673" s="387"/>
    </row>
    <row r="1674" spans="1:15" s="200" customFormat="1" ht="13.75" thickBot="1" x14ac:dyDescent="0.3">
      <c r="A1674" s="508"/>
      <c r="B1674" s="520"/>
      <c r="C1674" s="195"/>
      <c r="D1674" s="195"/>
      <c r="E1674" s="196"/>
      <c r="F1674" s="196"/>
      <c r="G1674" s="196"/>
      <c r="H1674" s="196"/>
      <c r="I1674" s="196"/>
      <c r="J1674" s="499" t="str">
        <f>Noty!J1673</f>
        <v>odkryj</v>
      </c>
      <c r="K1674" s="197"/>
      <c r="N1674" s="387"/>
    </row>
    <row r="1675" spans="1:15" s="200" customFormat="1" ht="15.75" thickBot="1" x14ac:dyDescent="0.35">
      <c r="A1675" s="1188">
        <f>IF(K1675="n/a",A1667,A1667+1)</f>
        <v>21</v>
      </c>
      <c r="B1675" s="1189"/>
      <c r="C1675" s="1415" t="s">
        <v>10787</v>
      </c>
      <c r="D1675" s="1415"/>
      <c r="E1675" s="1415"/>
      <c r="F1675" s="1415"/>
      <c r="G1675" s="1415"/>
      <c r="H1675" s="1415"/>
      <c r="I1675" s="1415"/>
      <c r="J1675" s="499" t="str">
        <f>IF(Noty!K1675="n/a","ukryj","odkryj")</f>
        <v>odkryj</v>
      </c>
      <c r="K1675" s="1209" t="str">
        <f>IF(AND(Noty!K1677="n/a",Noty!K1680="n/a"),"n/a","")</f>
        <v/>
      </c>
      <c r="L1675" s="1130" t="str">
        <f>A1675&amp;"."&amp;B1675</f>
        <v>21.</v>
      </c>
      <c r="N1675" s="1138" t="s">
        <v>9378</v>
      </c>
      <c r="O1675" s="200" t="str">
        <f>A1675&amp;"."&amp;B1675</f>
        <v>21.</v>
      </c>
    </row>
    <row r="1676" spans="1:15" s="200" customFormat="1" ht="13.75" thickBot="1" x14ac:dyDescent="0.3">
      <c r="A1676" s="508"/>
      <c r="B1676" s="520"/>
      <c r="C1676" s="195"/>
      <c r="D1676" s="195"/>
      <c r="E1676" s="196"/>
      <c r="F1676" s="196"/>
      <c r="G1676" s="196"/>
      <c r="H1676" s="196"/>
      <c r="I1676" s="196"/>
      <c r="J1676" s="499" t="str">
        <f>Noty!J1675</f>
        <v>odkryj</v>
      </c>
      <c r="K1676" s="197"/>
      <c r="N1676" s="387"/>
    </row>
    <row r="1677" spans="1:15" s="200" customFormat="1" ht="13.75" thickBot="1" x14ac:dyDescent="0.3">
      <c r="A1677" s="508"/>
      <c r="B1677" s="520"/>
      <c r="C1677" s="1455" t="s">
        <v>10788</v>
      </c>
      <c r="D1677" s="1455"/>
      <c r="E1677" s="1455"/>
      <c r="F1677" s="1455"/>
      <c r="G1677" s="1455"/>
      <c r="H1677" s="1455"/>
      <c r="I1677" s="1455"/>
      <c r="J1677" s="499" t="str">
        <f>IF(Noty!K1677="n/a","ukryj","odkryj")</f>
        <v>ukryj</v>
      </c>
      <c r="K1677" s="1209" t="str">
        <f>IF(Input!D191="nie","n/a","")</f>
        <v>n/a</v>
      </c>
      <c r="N1677" s="387"/>
    </row>
    <row r="1678" spans="1:15" s="200" customFormat="1" x14ac:dyDescent="0.25">
      <c r="A1678" s="508"/>
      <c r="B1678" s="520"/>
      <c r="C1678" s="195"/>
      <c r="D1678" s="195"/>
      <c r="E1678" s="196"/>
      <c r="F1678" s="196"/>
      <c r="G1678" s="196"/>
      <c r="H1678" s="196"/>
      <c r="I1678" s="196"/>
      <c r="J1678" s="499" t="str">
        <f>Noty!J1677</f>
        <v>ukryj</v>
      </c>
      <c r="K1678" s="197"/>
      <c r="N1678" s="387"/>
    </row>
    <row r="1679" spans="1:15" s="200" customFormat="1" ht="13.75" thickBot="1" x14ac:dyDescent="0.3">
      <c r="A1679" s="508"/>
      <c r="B1679" s="520"/>
      <c r="C1679" s="1455" t="s">
        <v>7685</v>
      </c>
      <c r="D1679" s="1455"/>
      <c r="E1679" s="1455"/>
      <c r="F1679" s="1455"/>
      <c r="G1679" s="1455"/>
      <c r="H1679" s="1455"/>
      <c r="I1679" s="1455"/>
      <c r="J1679" s="499" t="str">
        <f>"ukryj"</f>
        <v>ukryj</v>
      </c>
      <c r="K1679" s="197"/>
      <c r="N1679" s="387"/>
    </row>
    <row r="1680" spans="1:15" s="200" customFormat="1" ht="13.75" thickBot="1" x14ac:dyDescent="0.3">
      <c r="A1680" s="508"/>
      <c r="B1680" s="520"/>
      <c r="C1680" s="1456" t="s">
        <v>10789</v>
      </c>
      <c r="D1680" s="1456"/>
      <c r="E1680" s="1456"/>
      <c r="F1680" s="1456"/>
      <c r="G1680" s="1456"/>
      <c r="H1680" s="1456"/>
      <c r="I1680" s="1456"/>
      <c r="J1680" s="499" t="str">
        <f>IF(Noty!K1680="n/a","ukryj","odkryj")</f>
        <v>odkryj</v>
      </c>
      <c r="K1680" s="1209" t="str">
        <f>IF(Noty!K1677="","n/a","")</f>
        <v/>
      </c>
      <c r="N1680" s="387"/>
    </row>
    <row r="1681" spans="1:15" s="200" customFormat="1" ht="13.75" thickBot="1" x14ac:dyDescent="0.3">
      <c r="A1681" s="508"/>
      <c r="B1681" s="520"/>
      <c r="C1681" s="195"/>
      <c r="D1681" s="195"/>
      <c r="E1681" s="196"/>
      <c r="F1681" s="196"/>
      <c r="G1681" s="196"/>
      <c r="H1681" s="196"/>
      <c r="I1681" s="196"/>
      <c r="J1681" s="499" t="str">
        <f>Noty!J1680</f>
        <v>odkryj</v>
      </c>
      <c r="K1681" s="197"/>
      <c r="N1681" s="387"/>
    </row>
    <row r="1682" spans="1:15" s="200" customFormat="1" ht="15.75" thickBot="1" x14ac:dyDescent="0.35">
      <c r="A1682" s="1180">
        <f>IF(K1682="n/a",A1675,A1675+1)</f>
        <v>21</v>
      </c>
      <c r="B1682" s="1182"/>
      <c r="C1682" s="1388" t="s">
        <v>10790</v>
      </c>
      <c r="D1682" s="1388"/>
      <c r="E1682" s="1388"/>
      <c r="F1682" s="1388"/>
      <c r="G1682" s="1388"/>
      <c r="H1682" s="1388"/>
      <c r="I1682" s="1388"/>
      <c r="J1682" s="499" t="str">
        <f>IF(Noty!K1682="n/a","ukryj","odkryj")</f>
        <v>ukryj</v>
      </c>
      <c r="K1682" s="1226" t="str">
        <f>IF(Input!D192="nie","n/a","")</f>
        <v>n/a</v>
      </c>
      <c r="L1682" s="971" t="str">
        <f>A1682&amp;"."&amp;B1682</f>
        <v>21.</v>
      </c>
      <c r="N1682" s="1101" t="s">
        <v>9378</v>
      </c>
      <c r="O1682" s="489" t="str">
        <f>A1682&amp;"."&amp;B1682</f>
        <v>21.</v>
      </c>
    </row>
    <row r="1683" spans="1:15" s="200" customFormat="1" x14ac:dyDescent="0.25">
      <c r="A1683" s="508"/>
      <c r="B1683" s="520"/>
      <c r="C1683" s="231"/>
      <c r="D1683" s="231"/>
      <c r="J1683" s="499" t="str">
        <f>Noty!J1682</f>
        <v>ukryj</v>
      </c>
      <c r="K1683" s="197"/>
      <c r="N1683" s="387"/>
    </row>
    <row r="1684" spans="1:15" s="200" customFormat="1" ht="33.75" customHeight="1" x14ac:dyDescent="0.25">
      <c r="A1684" s="508"/>
      <c r="B1684" s="520"/>
      <c r="C1684" s="1447" t="s">
        <v>10791</v>
      </c>
      <c r="D1684" s="1447"/>
      <c r="E1684" s="1447"/>
      <c r="F1684" s="1447"/>
      <c r="G1684" s="1447"/>
      <c r="H1684" s="1447"/>
      <c r="I1684" s="1447"/>
      <c r="J1684" s="499" t="str">
        <f>Noty!J1683</f>
        <v>ukryj</v>
      </c>
      <c r="K1684" s="197"/>
      <c r="N1684" s="387"/>
    </row>
    <row r="1685" spans="1:15" s="200" customFormat="1" ht="13.75" thickBot="1" x14ac:dyDescent="0.3">
      <c r="A1685" s="508"/>
      <c r="B1685" s="520"/>
      <c r="C1685" s="570"/>
      <c r="J1685" s="499" t="str">
        <f>Noty!J1684</f>
        <v>ukryj</v>
      </c>
      <c r="K1685" s="197"/>
      <c r="N1685" s="387"/>
    </row>
    <row r="1686" spans="1:15" s="200" customFormat="1" ht="15.75" thickBot="1" x14ac:dyDescent="0.35">
      <c r="A1686" s="508">
        <f>IF(K1686="n/a",A1682,A1682+1)</f>
        <v>22</v>
      </c>
      <c r="B1686" s="520"/>
      <c r="C1686" s="1200" t="s">
        <v>10792</v>
      </c>
      <c r="J1686" s="499" t="str">
        <f>IF(Noty!K1686="n/a","ukryj","odkryj")</f>
        <v>odkryj</v>
      </c>
      <c r="K1686" s="1209" t="str">
        <f>IF(AND(Noty!K1696="n/a",Noty!K1703="n/a"),"n/a","")</f>
        <v/>
      </c>
      <c r="L1686" s="1130" t="str">
        <f>A1686&amp;"."&amp;B1686</f>
        <v>22.</v>
      </c>
      <c r="N1686" s="1201" t="s">
        <v>9378</v>
      </c>
      <c r="O1686" s="200" t="str">
        <f>A1686&amp;"."&amp;B1686</f>
        <v>22.</v>
      </c>
    </row>
    <row r="1687" spans="1:15" s="200" customFormat="1" x14ac:dyDescent="0.25">
      <c r="A1687" s="508"/>
      <c r="B1687" s="520"/>
      <c r="C1687" s="570"/>
      <c r="J1687" s="499" t="str">
        <f>Noty!J1686</f>
        <v>odkryj</v>
      </c>
      <c r="K1687" s="197"/>
      <c r="N1687" s="387"/>
    </row>
    <row r="1688" spans="1:15" s="200" customFormat="1" x14ac:dyDescent="0.25">
      <c r="A1688" s="508"/>
      <c r="B1688" s="520"/>
      <c r="C1688" s="1293" t="s">
        <v>10793</v>
      </c>
      <c r="D1688" s="1293"/>
      <c r="E1688" s="1293"/>
      <c r="F1688" s="1293"/>
      <c r="G1688" s="1293"/>
      <c r="H1688" s="1293"/>
      <c r="I1688" s="1293"/>
      <c r="J1688" s="499" t="str">
        <f>Noty!J1687</f>
        <v>odkryj</v>
      </c>
      <c r="K1688" s="197"/>
      <c r="N1688" s="387"/>
    </row>
    <row r="1689" spans="1:15" s="200" customFormat="1" x14ac:dyDescent="0.25">
      <c r="A1689" s="508"/>
      <c r="B1689" s="520"/>
      <c r="C1689" s="1294" t="str">
        <f>"-"&amp;IF(Input!D61="","",Input!D61&amp;" - "&amp;Input!B61&amp;IF(Noty!C1690="",".",","))</f>
        <v>-test - Prezes zarządu,</v>
      </c>
      <c r="D1689" s="1294"/>
      <c r="E1689" s="1294"/>
      <c r="F1689" s="1294"/>
      <c r="G1689" s="1294"/>
      <c r="H1689" s="1294"/>
      <c r="I1689" s="1294"/>
      <c r="J1689" s="499" t="str">
        <f>IF(Noty!C1689="-","ukryj","odkryj")</f>
        <v>odkryj</v>
      </c>
      <c r="K1689" s="197"/>
      <c r="N1689" s="387"/>
    </row>
    <row r="1690" spans="1:15" s="200" customFormat="1" x14ac:dyDescent="0.25">
      <c r="A1690" s="508"/>
      <c r="B1690" s="520"/>
      <c r="C1690" s="1294" t="str">
        <f>"-"&amp;IF(Input!D62="","",Input!D62&amp;" - "&amp;Input!B62&amp;IF(Noty!C1691="",".",","))</f>
        <v>-test1 - Członek zarządu,</v>
      </c>
      <c r="D1690" s="1294"/>
      <c r="E1690" s="1294"/>
      <c r="F1690" s="1294"/>
      <c r="G1690" s="1294"/>
      <c r="H1690" s="1294"/>
      <c r="I1690" s="1294"/>
      <c r="J1690" s="499" t="str">
        <f>IF(Noty!C1690="-","ukryj","odkryj")</f>
        <v>odkryj</v>
      </c>
      <c r="K1690" s="197"/>
      <c r="N1690" s="387"/>
    </row>
    <row r="1691" spans="1:15" s="200" customFormat="1" x14ac:dyDescent="0.25">
      <c r="A1691" s="508"/>
      <c r="B1691" s="520"/>
      <c r="C1691" s="1294" t="str">
        <f>"-"&amp;IF(Input!D63="","",Input!D63&amp;" - "&amp;Input!B63&amp;IF(Noty!C1692="",".",","))</f>
        <v>-tst2 - Członek zarządu,</v>
      </c>
      <c r="D1691" s="1294"/>
      <c r="E1691" s="1294"/>
      <c r="F1691" s="1294"/>
      <c r="G1691" s="1294"/>
      <c r="H1691" s="1294"/>
      <c r="I1691" s="1294"/>
      <c r="J1691" s="499" t="str">
        <f>IF(Noty!C1691="-","ukryj","odkryj")</f>
        <v>odkryj</v>
      </c>
      <c r="K1691" s="197"/>
      <c r="N1691" s="387"/>
    </row>
    <row r="1692" spans="1:15" s="200" customFormat="1" x14ac:dyDescent="0.25">
      <c r="A1692" s="508"/>
      <c r="B1692" s="520"/>
      <c r="C1692" s="1294" t="str">
        <f>"-"&amp;IF(Input!D64="","",Input!D64&amp;" - "&amp;Input!B64&amp;IF(Noty!C1693="",".",","))</f>
        <v>-</v>
      </c>
      <c r="D1692" s="1294"/>
      <c r="E1692" s="1294"/>
      <c r="F1692" s="1294"/>
      <c r="G1692" s="1294"/>
      <c r="H1692" s="1294"/>
      <c r="I1692" s="1294"/>
      <c r="J1692" s="499" t="str">
        <f>IF(Noty!C1692="-","ukryj","odkryj")</f>
        <v>ukryj</v>
      </c>
      <c r="K1692" s="197"/>
      <c r="N1692" s="387"/>
    </row>
    <row r="1693" spans="1:15" s="200" customFormat="1" x14ac:dyDescent="0.25">
      <c r="A1693" s="508"/>
      <c r="B1693" s="520"/>
      <c r="C1693" s="1294" t="str">
        <f>"-"&amp;IF(Input!D65="","",Input!D65&amp;" - "&amp;Input!B65&amp;IF(Noty!C1694="",".",","))</f>
        <v>-</v>
      </c>
      <c r="D1693" s="1294"/>
      <c r="E1693" s="1294"/>
      <c r="F1693" s="1294"/>
      <c r="G1693" s="1294"/>
      <c r="H1693" s="1294"/>
      <c r="I1693" s="1294"/>
      <c r="J1693" s="499" t="str">
        <f>IF(Noty!C1693="-","ukryj","odkryj")</f>
        <v>ukryj</v>
      </c>
      <c r="K1693" s="197"/>
      <c r="N1693" s="387"/>
    </row>
    <row r="1694" spans="1:15" s="200" customFormat="1" x14ac:dyDescent="0.25">
      <c r="A1694" s="508"/>
      <c r="B1694" s="520"/>
      <c r="C1694" s="1294" t="str">
        <f>"-"&amp;IF(Input!D66="","",Input!D66&amp;" - "&amp;Input!B66&amp;IF(Noty!C1695="",".",","))</f>
        <v>-</v>
      </c>
      <c r="D1694" s="1294"/>
      <c r="E1694" s="1294"/>
      <c r="F1694" s="1294"/>
      <c r="G1694" s="1294"/>
      <c r="H1694" s="1294"/>
      <c r="I1694" s="1294"/>
      <c r="J1694" s="499" t="str">
        <f>IF(Noty!C1694="-","ukryj","odkryj")</f>
        <v>ukryj</v>
      </c>
      <c r="K1694" s="197"/>
      <c r="N1694" s="387"/>
    </row>
    <row r="1695" spans="1:15" s="200" customFormat="1" ht="13.75" thickBot="1" x14ac:dyDescent="0.3">
      <c r="A1695" s="508"/>
      <c r="B1695" s="520"/>
      <c r="C1695" s="570"/>
      <c r="J1695" s="499" t="str">
        <f>Noty!J1694</f>
        <v>ukryj</v>
      </c>
      <c r="K1695" s="197"/>
      <c r="N1695" s="387"/>
    </row>
    <row r="1696" spans="1:15" s="200" customFormat="1" ht="13.75" thickBot="1" x14ac:dyDescent="0.3">
      <c r="A1696" s="508"/>
      <c r="B1696" s="520"/>
      <c r="C1696" s="1293" t="s">
        <v>10794</v>
      </c>
      <c r="D1696" s="1293"/>
      <c r="E1696" s="1293"/>
      <c r="F1696" s="1293"/>
      <c r="G1696" s="1293"/>
      <c r="H1696" s="1293"/>
      <c r="I1696" s="1293"/>
      <c r="J1696" s="499" t="str">
        <f>IF(Noty!K1696="n/a","ukryj","odkryj")</f>
        <v>ukryj</v>
      </c>
      <c r="K1696" s="1209" t="str">
        <f>IF(Input!D193="nie","n/a","")</f>
        <v>n/a</v>
      </c>
      <c r="N1696" s="387"/>
    </row>
    <row r="1697" spans="1:15" s="200" customFormat="1" x14ac:dyDescent="0.25">
      <c r="A1697" s="508"/>
      <c r="B1697" s="520"/>
      <c r="C1697" s="1292"/>
      <c r="D1697" s="1292"/>
      <c r="E1697" s="1292"/>
      <c r="F1697" s="1292"/>
      <c r="G1697" s="1292"/>
      <c r="H1697" s="1292"/>
      <c r="I1697" s="1292"/>
      <c r="J1697" s="499" t="str">
        <f>Noty!J1696</f>
        <v>ukryj</v>
      </c>
      <c r="K1697" s="197"/>
      <c r="N1697" s="387"/>
    </row>
    <row r="1698" spans="1:15" s="200" customFormat="1" x14ac:dyDescent="0.25">
      <c r="A1698" s="508"/>
      <c r="B1698" s="520"/>
      <c r="C1698" s="1292"/>
      <c r="D1698" s="1292"/>
      <c r="E1698" s="1292"/>
      <c r="F1698" s="1292"/>
      <c r="G1698" s="1292"/>
      <c r="H1698" s="1292"/>
      <c r="I1698" s="1292"/>
      <c r="J1698" s="499" t="str">
        <f>IF(Noty!C1698="","ukryj","odkryj")</f>
        <v>ukryj</v>
      </c>
      <c r="K1698" s="197"/>
      <c r="N1698" s="387"/>
    </row>
    <row r="1699" spans="1:15" s="200" customFormat="1" x14ac:dyDescent="0.25">
      <c r="A1699" s="508"/>
      <c r="B1699" s="520"/>
      <c r="C1699" s="1292"/>
      <c r="D1699" s="1292"/>
      <c r="E1699" s="1292"/>
      <c r="F1699" s="1292"/>
      <c r="G1699" s="1292"/>
      <c r="H1699" s="1292"/>
      <c r="I1699" s="1292"/>
      <c r="J1699" s="499" t="str">
        <f>IF(Noty!C1699="","ukryj","odkryj")</f>
        <v>ukryj</v>
      </c>
      <c r="K1699" s="197"/>
      <c r="N1699" s="387"/>
    </row>
    <row r="1700" spans="1:15" s="200" customFormat="1" x14ac:dyDescent="0.25">
      <c r="A1700" s="508"/>
      <c r="B1700" s="520"/>
      <c r="C1700" s="1292"/>
      <c r="D1700" s="1292"/>
      <c r="E1700" s="1292"/>
      <c r="F1700" s="1292"/>
      <c r="G1700" s="1292"/>
      <c r="H1700" s="1292"/>
      <c r="I1700" s="1292"/>
      <c r="J1700" s="499" t="str">
        <f>IF(Noty!C1700="","ukryj","odkryj")</f>
        <v>ukryj</v>
      </c>
      <c r="K1700" s="197"/>
      <c r="N1700" s="387"/>
    </row>
    <row r="1701" spans="1:15" s="200" customFormat="1" x14ac:dyDescent="0.25">
      <c r="A1701" s="508"/>
      <c r="B1701" s="520"/>
      <c r="C1701" s="1292"/>
      <c r="D1701" s="1292"/>
      <c r="E1701" s="1292"/>
      <c r="F1701" s="1292"/>
      <c r="G1701" s="1292"/>
      <c r="H1701" s="1292"/>
      <c r="I1701" s="1292"/>
      <c r="J1701" s="499" t="str">
        <f>IF(Noty!C1701="","ukryj","odkryj")</f>
        <v>ukryj</v>
      </c>
      <c r="K1701" s="197"/>
      <c r="N1701" s="387"/>
    </row>
    <row r="1702" spans="1:15" s="200" customFormat="1" ht="13.75" thickBot="1" x14ac:dyDescent="0.3">
      <c r="A1702" s="508"/>
      <c r="B1702" s="520"/>
      <c r="C1702" s="1292"/>
      <c r="D1702" s="1292"/>
      <c r="E1702" s="1292"/>
      <c r="F1702" s="1292"/>
      <c r="G1702" s="1292"/>
      <c r="H1702" s="1292"/>
      <c r="I1702" s="1292"/>
      <c r="J1702" s="499" t="str">
        <f>IF(Noty!C1702="","ukryj","odkryj")</f>
        <v>ukryj</v>
      </c>
      <c r="K1702" s="197"/>
      <c r="N1702" s="387"/>
    </row>
    <row r="1703" spans="1:15" s="200" customFormat="1" ht="13.75" thickBot="1" x14ac:dyDescent="0.3">
      <c r="A1703" s="508"/>
      <c r="B1703" s="520"/>
      <c r="C1703" s="1293" t="s">
        <v>10795</v>
      </c>
      <c r="D1703" s="1293"/>
      <c r="E1703" s="1293"/>
      <c r="F1703" s="1293"/>
      <c r="G1703" s="1293"/>
      <c r="H1703" s="1293"/>
      <c r="I1703" s="1293"/>
      <c r="J1703" s="499" t="str">
        <f>IF(Noty!K1703="n/a","ukryj","odkryj")</f>
        <v>odkryj</v>
      </c>
      <c r="K1703" s="1209" t="str">
        <f>IF(Noty!K1696="","n/a","")</f>
        <v/>
      </c>
      <c r="N1703" s="387"/>
    </row>
    <row r="1704" spans="1:15" s="200" customFormat="1" ht="13.75" thickBot="1" x14ac:dyDescent="0.3">
      <c r="A1704" s="508"/>
      <c r="B1704" s="520"/>
      <c r="C1704" s="570"/>
      <c r="J1704" s="499" t="str">
        <f>IF(OR(Noty!K1696="",Noty!K1703=""),"odkryj","ukryj")</f>
        <v>odkryj</v>
      </c>
      <c r="K1704" s="197"/>
      <c r="N1704" s="387"/>
    </row>
    <row r="1705" spans="1:15" s="200" customFormat="1" ht="15.75" thickBot="1" x14ac:dyDescent="0.35">
      <c r="A1705" s="508">
        <f>IF(K1705="n/a",A1686,A1686+1)</f>
        <v>23</v>
      </c>
      <c r="B1705" s="520">
        <v>0</v>
      </c>
      <c r="C1705" s="1200" t="s">
        <v>10792</v>
      </c>
      <c r="J1705" s="499" t="str">
        <f>IF(Noty!K1705="n/a","ukryj","odkryj")</f>
        <v>odkryj</v>
      </c>
      <c r="K1705" s="1209" t="str">
        <f>IF(AND(Noty!K1715="n/a",Noty!K1722="n/a"),"n/a","")</f>
        <v/>
      </c>
      <c r="L1705" s="1130" t="str">
        <f>A1705&amp;"."&amp;B1705</f>
        <v>23.0</v>
      </c>
      <c r="N1705" s="1201" t="s">
        <v>9378</v>
      </c>
      <c r="O1705" s="200" t="str">
        <f>A1705&amp;"."&amp;B1705</f>
        <v>23.0</v>
      </c>
    </row>
    <row r="1706" spans="1:15" s="200" customFormat="1" x14ac:dyDescent="0.25">
      <c r="A1706" s="508"/>
      <c r="B1706" s="520">
        <v>1</v>
      </c>
      <c r="C1706" s="570"/>
      <c r="J1706" s="499" t="str">
        <f>Noty!J1705</f>
        <v>odkryj</v>
      </c>
      <c r="K1706" s="197"/>
      <c r="N1706" s="387"/>
    </row>
    <row r="1707" spans="1:15" s="200" customFormat="1" x14ac:dyDescent="0.25">
      <c r="A1707" s="508"/>
      <c r="B1707" s="520">
        <v>2</v>
      </c>
      <c r="C1707" s="1293" t="s">
        <v>10793</v>
      </c>
      <c r="D1707" s="1293"/>
      <c r="E1707" s="1293"/>
      <c r="F1707" s="1293"/>
      <c r="G1707" s="1293"/>
      <c r="H1707" s="1293"/>
      <c r="I1707" s="1293"/>
      <c r="J1707" s="499" t="str">
        <f>Noty!J1706</f>
        <v>odkryj</v>
      </c>
      <c r="K1707" s="197"/>
      <c r="N1707" s="387"/>
    </row>
    <row r="1708" spans="1:15" s="200" customFormat="1" x14ac:dyDescent="0.25">
      <c r="A1708" s="508"/>
      <c r="B1708" s="520">
        <v>3</v>
      </c>
      <c r="C1708" s="1294" t="str">
        <f>"-"&amp;IF(Input!D61="","",Input!D61&amp;" - "&amp;Input!B61&amp;IF(Noty!C1709="",".",","))</f>
        <v>-test - Prezes zarządu,</v>
      </c>
      <c r="D1708" s="1294"/>
      <c r="E1708" s="1294"/>
      <c r="F1708" s="1294"/>
      <c r="G1708" s="1294"/>
      <c r="H1708" s="1294"/>
      <c r="I1708" s="1294"/>
      <c r="J1708" s="499" t="str">
        <f>IF(Noty!C1708="","ukryj","odkryj")</f>
        <v>odkryj</v>
      </c>
      <c r="K1708" s="197"/>
      <c r="N1708" s="387"/>
    </row>
    <row r="1709" spans="1:15" s="200" customFormat="1" x14ac:dyDescent="0.25">
      <c r="A1709" s="508"/>
      <c r="B1709" s="520">
        <v>4</v>
      </c>
      <c r="C1709" s="1294" t="str">
        <f>"-"&amp;IF(Input!D62="","",Input!D62&amp;" - "&amp;Input!B62&amp;IF(Noty!C1710="",".",","))</f>
        <v>-test1 - Członek zarządu,</v>
      </c>
      <c r="D1709" s="1294"/>
      <c r="E1709" s="1294"/>
      <c r="F1709" s="1294"/>
      <c r="G1709" s="1294"/>
      <c r="H1709" s="1294"/>
      <c r="I1709" s="1294"/>
      <c r="J1709" s="499" t="str">
        <f>IF(Noty!C1708="","ukryj","odkryj")</f>
        <v>odkryj</v>
      </c>
      <c r="K1709" s="197"/>
      <c r="N1709" s="387"/>
    </row>
    <row r="1710" spans="1:15" s="200" customFormat="1" x14ac:dyDescent="0.25">
      <c r="A1710" s="508"/>
      <c r="B1710" s="520">
        <v>5</v>
      </c>
      <c r="C1710" s="1294" t="str">
        <f>"-"&amp;IF(Input!D63="","",Input!D63&amp;" - "&amp;Input!B63&amp;IF(Noty!C1711="",".",","))</f>
        <v>-tst2 - Członek zarządu,</v>
      </c>
      <c r="D1710" s="1294"/>
      <c r="E1710" s="1294"/>
      <c r="F1710" s="1294"/>
      <c r="G1710" s="1294"/>
      <c r="H1710" s="1294"/>
      <c r="I1710" s="1294"/>
      <c r="J1710" s="499" t="str">
        <f>IF(Noty!C1708="","ukryj","odkryj")</f>
        <v>odkryj</v>
      </c>
      <c r="K1710" s="197"/>
      <c r="N1710" s="387"/>
    </row>
    <row r="1711" spans="1:15" s="200" customFormat="1" x14ac:dyDescent="0.25">
      <c r="A1711" s="508"/>
      <c r="B1711" s="520">
        <v>6</v>
      </c>
      <c r="C1711" s="1294" t="str">
        <f>"-"&amp;IF(Input!D64="","",Input!D64&amp;" - "&amp;Input!B64&amp;IF(Noty!C1712="",".",","))</f>
        <v>-</v>
      </c>
      <c r="D1711" s="1294"/>
      <c r="E1711" s="1294"/>
      <c r="F1711" s="1294"/>
      <c r="G1711" s="1294"/>
      <c r="H1711" s="1294"/>
      <c r="I1711" s="1294"/>
      <c r="J1711" s="499" t="str">
        <f>IF(Noty!C1708="","ukryj","odkryj")</f>
        <v>odkryj</v>
      </c>
      <c r="K1711" s="197"/>
      <c r="N1711" s="387"/>
    </row>
    <row r="1712" spans="1:15" s="200" customFormat="1" x14ac:dyDescent="0.25">
      <c r="A1712" s="508"/>
      <c r="B1712" s="520">
        <v>7</v>
      </c>
      <c r="C1712" s="1294" t="str">
        <f>"-"&amp;IF(Input!D65="","",Input!D65&amp;" - "&amp;Input!B65&amp;IF(Noty!C1713="",".",","))</f>
        <v>-</v>
      </c>
      <c r="D1712" s="1294"/>
      <c r="E1712" s="1294"/>
      <c r="F1712" s="1294"/>
      <c r="G1712" s="1294"/>
      <c r="H1712" s="1294"/>
      <c r="I1712" s="1294"/>
      <c r="J1712" s="499" t="str">
        <f>IF(Noty!C1708="","ukryj","odkryj")</f>
        <v>odkryj</v>
      </c>
      <c r="K1712" s="197"/>
      <c r="N1712" s="387"/>
    </row>
    <row r="1713" spans="1:15" s="200" customFormat="1" x14ac:dyDescent="0.25">
      <c r="A1713" s="508"/>
      <c r="B1713" s="520">
        <v>8</v>
      </c>
      <c r="C1713" s="1294" t="str">
        <f>"-"&amp;IF(Input!D66="","",Input!D66&amp;" - "&amp;Input!B66&amp;IF(Noty!C1714="",".",","))</f>
        <v>-</v>
      </c>
      <c r="D1713" s="1294"/>
      <c r="E1713" s="1294"/>
      <c r="F1713" s="1294"/>
      <c r="G1713" s="1294"/>
      <c r="H1713" s="1294"/>
      <c r="I1713" s="1294"/>
      <c r="J1713" s="499" t="str">
        <f>IF(Noty!C1708="","ukryj","odkryj")</f>
        <v>odkryj</v>
      </c>
      <c r="K1713" s="197"/>
      <c r="N1713" s="387"/>
    </row>
    <row r="1714" spans="1:15" s="200" customFormat="1" ht="13.75" thickBot="1" x14ac:dyDescent="0.3">
      <c r="A1714" s="508"/>
      <c r="B1714" s="520">
        <v>9</v>
      </c>
      <c r="C1714" s="570"/>
      <c r="J1714" s="499" t="str">
        <f>Noty!J1713</f>
        <v>odkryj</v>
      </c>
      <c r="K1714" s="197"/>
      <c r="N1714" s="387"/>
    </row>
    <row r="1715" spans="1:15" s="200" customFormat="1" ht="13.75" thickBot="1" x14ac:dyDescent="0.3">
      <c r="A1715" s="508"/>
      <c r="B1715" s="520"/>
      <c r="C1715" s="1293" t="s">
        <v>10794</v>
      </c>
      <c r="D1715" s="1293"/>
      <c r="E1715" s="1293"/>
      <c r="F1715" s="1293"/>
      <c r="G1715" s="1293"/>
      <c r="H1715" s="1293"/>
      <c r="I1715" s="1293"/>
      <c r="J1715" s="499" t="str">
        <f>IF(Noty!K1715="n/a","ukryj","odkryj")</f>
        <v>ukryj</v>
      </c>
      <c r="K1715" s="1209" t="str">
        <f>IF(Input!D194="nie","n/a","")</f>
        <v>n/a</v>
      </c>
      <c r="N1715" s="387"/>
    </row>
    <row r="1716" spans="1:15" s="200" customFormat="1" x14ac:dyDescent="0.25">
      <c r="A1716" s="508"/>
      <c r="B1716" s="520"/>
      <c r="C1716" s="1292"/>
      <c r="D1716" s="1292"/>
      <c r="E1716" s="1292"/>
      <c r="F1716" s="1292"/>
      <c r="G1716" s="1292"/>
      <c r="H1716" s="1292"/>
      <c r="I1716" s="1292"/>
      <c r="J1716" s="499" t="str">
        <f>Noty!J1715</f>
        <v>ukryj</v>
      </c>
      <c r="K1716" s="197"/>
      <c r="N1716" s="387"/>
    </row>
    <row r="1717" spans="1:15" s="200" customFormat="1" x14ac:dyDescent="0.25">
      <c r="A1717" s="508"/>
      <c r="B1717" s="520"/>
      <c r="C1717" s="1292"/>
      <c r="D1717" s="1292"/>
      <c r="E1717" s="1292"/>
      <c r="F1717" s="1292"/>
      <c r="G1717" s="1292"/>
      <c r="H1717" s="1292"/>
      <c r="I1717" s="1292"/>
      <c r="J1717" s="499" t="str">
        <f>IF(Noty!C1717="","ukryj","odkryj")</f>
        <v>ukryj</v>
      </c>
      <c r="K1717" s="197"/>
      <c r="N1717" s="387"/>
    </row>
    <row r="1718" spans="1:15" s="200" customFormat="1" x14ac:dyDescent="0.25">
      <c r="A1718" s="508"/>
      <c r="B1718" s="520"/>
      <c r="C1718" s="1292"/>
      <c r="D1718" s="1292"/>
      <c r="E1718" s="1292"/>
      <c r="F1718" s="1292"/>
      <c r="G1718" s="1292"/>
      <c r="H1718" s="1292"/>
      <c r="I1718" s="1292"/>
      <c r="J1718" s="499" t="str">
        <f>IF(Noty!C1718="","ukryj","odkryj")</f>
        <v>ukryj</v>
      </c>
      <c r="K1718" s="197"/>
      <c r="N1718" s="387"/>
    </row>
    <row r="1719" spans="1:15" s="200" customFormat="1" x14ac:dyDescent="0.25">
      <c r="A1719" s="508"/>
      <c r="B1719" s="520"/>
      <c r="C1719" s="1292"/>
      <c r="D1719" s="1292"/>
      <c r="E1719" s="1292"/>
      <c r="F1719" s="1292"/>
      <c r="G1719" s="1292"/>
      <c r="H1719" s="1292"/>
      <c r="I1719" s="1292"/>
      <c r="J1719" s="499" t="str">
        <f>IF(Noty!C1719="","ukryj","odkryj")</f>
        <v>ukryj</v>
      </c>
      <c r="K1719" s="197"/>
      <c r="N1719" s="387"/>
    </row>
    <row r="1720" spans="1:15" s="200" customFormat="1" x14ac:dyDescent="0.25">
      <c r="A1720" s="508"/>
      <c r="B1720" s="520"/>
      <c r="C1720" s="1292"/>
      <c r="D1720" s="1292"/>
      <c r="E1720" s="1292"/>
      <c r="F1720" s="1292"/>
      <c r="G1720" s="1292"/>
      <c r="H1720" s="1292"/>
      <c r="I1720" s="1292"/>
      <c r="J1720" s="499" t="str">
        <f>IF(Noty!C1720="","ukryj","odkryj")</f>
        <v>ukryj</v>
      </c>
      <c r="K1720" s="197"/>
      <c r="N1720" s="387"/>
    </row>
    <row r="1721" spans="1:15" s="200" customFormat="1" ht="13.75" thickBot="1" x14ac:dyDescent="0.3">
      <c r="A1721" s="508"/>
      <c r="B1721" s="520"/>
      <c r="C1721" s="1292"/>
      <c r="D1721" s="1292"/>
      <c r="E1721" s="1292"/>
      <c r="F1721" s="1292"/>
      <c r="G1721" s="1292"/>
      <c r="H1721" s="1292"/>
      <c r="I1721" s="1292"/>
      <c r="J1721" s="499" t="str">
        <f>IF(Noty!C1721="","ukryj","odkryj")</f>
        <v>ukryj</v>
      </c>
      <c r="K1721" s="197"/>
      <c r="N1721" s="387"/>
    </row>
    <row r="1722" spans="1:15" s="200" customFormat="1" ht="13.75" thickBot="1" x14ac:dyDescent="0.3">
      <c r="A1722" s="508"/>
      <c r="B1722" s="520"/>
      <c r="C1722" s="1293" t="s">
        <v>10795</v>
      </c>
      <c r="D1722" s="1293"/>
      <c r="E1722" s="1293"/>
      <c r="F1722" s="1293"/>
      <c r="G1722" s="1293"/>
      <c r="H1722" s="1293"/>
      <c r="I1722" s="1293"/>
      <c r="J1722" s="499" t="str">
        <f>IF(Noty!K1722="n/a","ukryj","odkryj")</f>
        <v>odkryj</v>
      </c>
      <c r="K1722" s="1209" t="str">
        <f>IF(Noty!K1715="","n/a","")</f>
        <v/>
      </c>
      <c r="N1722" s="387"/>
    </row>
    <row r="1723" spans="1:15" s="200" customFormat="1" ht="13.75" thickBot="1" x14ac:dyDescent="0.3">
      <c r="A1723" s="508"/>
      <c r="B1723" s="520"/>
      <c r="C1723" s="570"/>
      <c r="J1723" s="499" t="str">
        <f>IF(OR(Noty!K1715="",Noty!K1722=""),"odkryj","ukryj")</f>
        <v>odkryj</v>
      </c>
      <c r="K1723" s="197"/>
      <c r="N1723" s="387"/>
    </row>
    <row r="1724" spans="1:15" s="200" customFormat="1" ht="15.75" thickBot="1" x14ac:dyDescent="0.35">
      <c r="A1724" s="508">
        <f>IF(K1724="n/a",A1705,A1705+1)</f>
        <v>24</v>
      </c>
      <c r="B1724" s="520">
        <v>0</v>
      </c>
      <c r="C1724" s="1200" t="s">
        <v>10792</v>
      </c>
      <c r="J1724" s="499" t="str">
        <f>IF(Noty!K1724="n/a","ukryj","odkryj")</f>
        <v>odkryj</v>
      </c>
      <c r="K1724" s="1209" t="str">
        <f>IF(AND(Noty!K1734="n/a",Noty!K1741="n/a"),"n/a","")</f>
        <v/>
      </c>
      <c r="L1724" s="1130" t="str">
        <f>A1724&amp;"."&amp;B1724</f>
        <v>24.0</v>
      </c>
      <c r="N1724" s="1138" t="s">
        <v>9378</v>
      </c>
      <c r="O1724" s="200" t="str">
        <f>A1724&amp;"."&amp;B1724</f>
        <v>24.0</v>
      </c>
    </row>
    <row r="1725" spans="1:15" s="200" customFormat="1" x14ac:dyDescent="0.25">
      <c r="A1725" s="508"/>
      <c r="B1725" s="520">
        <v>1</v>
      </c>
      <c r="C1725" s="570"/>
      <c r="J1725" s="499" t="str">
        <f>Noty!J1724</f>
        <v>odkryj</v>
      </c>
      <c r="K1725" s="197"/>
      <c r="N1725" s="387"/>
    </row>
    <row r="1726" spans="1:15" s="200" customFormat="1" x14ac:dyDescent="0.25">
      <c r="A1726" s="508"/>
      <c r="B1726" s="520">
        <v>2</v>
      </c>
      <c r="C1726" s="1293" t="s">
        <v>10793</v>
      </c>
      <c r="D1726" s="1293"/>
      <c r="E1726" s="1293"/>
      <c r="F1726" s="1293"/>
      <c r="G1726" s="1293"/>
      <c r="H1726" s="1293"/>
      <c r="I1726" s="1293"/>
      <c r="J1726" s="499" t="str">
        <f>Noty!J1725</f>
        <v>odkryj</v>
      </c>
      <c r="K1726" s="197"/>
      <c r="N1726" s="387"/>
    </row>
    <row r="1727" spans="1:15" s="200" customFormat="1" x14ac:dyDescent="0.25">
      <c r="A1727" s="508"/>
      <c r="B1727" s="520">
        <v>3</v>
      </c>
      <c r="C1727" s="1294" t="str">
        <f>"-"&amp;IF(Input!D61="","",Input!D61&amp;" - "&amp;Input!B61&amp;IF(Noty!C1728="",".",","))</f>
        <v>-test - Prezes zarządu,</v>
      </c>
      <c r="D1727" s="1294"/>
      <c r="E1727" s="1294"/>
      <c r="F1727" s="1294"/>
      <c r="G1727" s="1294"/>
      <c r="H1727" s="1294"/>
      <c r="I1727" s="1294"/>
      <c r="J1727" s="499" t="str">
        <f>IF(Noty!C1727="","ukryj","odkryj")</f>
        <v>odkryj</v>
      </c>
      <c r="K1727" s="197"/>
      <c r="N1727" s="387"/>
    </row>
    <row r="1728" spans="1:15" s="200" customFormat="1" x14ac:dyDescent="0.25">
      <c r="A1728" s="508"/>
      <c r="B1728" s="520">
        <v>4</v>
      </c>
      <c r="C1728" s="1294" t="str">
        <f>"-"&amp;IF(Input!D62="","",Input!D62&amp;" - "&amp;Input!B62&amp;IF(Noty!C1729="",".",","))</f>
        <v>-test1 - Członek zarządu,</v>
      </c>
      <c r="D1728" s="1294"/>
      <c r="E1728" s="1294"/>
      <c r="F1728" s="1294"/>
      <c r="G1728" s="1294"/>
      <c r="H1728" s="1294"/>
      <c r="I1728" s="1294"/>
      <c r="J1728" s="499" t="str">
        <f>IF(Noty!C1727="","ukryj","odkryj")</f>
        <v>odkryj</v>
      </c>
      <c r="K1728" s="197"/>
      <c r="N1728" s="387"/>
    </row>
    <row r="1729" spans="1:14" s="200" customFormat="1" x14ac:dyDescent="0.25">
      <c r="A1729" s="508"/>
      <c r="B1729" s="520">
        <v>5</v>
      </c>
      <c r="C1729" s="1294" t="str">
        <f>"-"&amp;IF(Input!D63="","",Input!D63&amp;" - "&amp;Input!B63&amp;IF(Noty!C1730="",".",","))</f>
        <v>-tst2 - Członek zarządu,</v>
      </c>
      <c r="D1729" s="1294"/>
      <c r="E1729" s="1294"/>
      <c r="F1729" s="1294"/>
      <c r="G1729" s="1294"/>
      <c r="H1729" s="1294"/>
      <c r="I1729" s="1294"/>
      <c r="J1729" s="499" t="str">
        <f>IF(Noty!C1727="","ukryj","odkryj")</f>
        <v>odkryj</v>
      </c>
      <c r="K1729" s="197"/>
      <c r="N1729" s="387"/>
    </row>
    <row r="1730" spans="1:14" s="200" customFormat="1" x14ac:dyDescent="0.25">
      <c r="A1730" s="508"/>
      <c r="B1730" s="520">
        <v>6</v>
      </c>
      <c r="C1730" s="1294" t="str">
        <f>"-"&amp;IF(Input!D64="","",Input!D64&amp;" - "&amp;Input!B64&amp;IF(Noty!C1731="",".",","))</f>
        <v>-</v>
      </c>
      <c r="D1730" s="1294"/>
      <c r="E1730" s="1294"/>
      <c r="F1730" s="1294"/>
      <c r="G1730" s="1294"/>
      <c r="H1730" s="1294"/>
      <c r="I1730" s="1294"/>
      <c r="J1730" s="499" t="str">
        <f>IF(Noty!C1727="","ukryj","odkryj")</f>
        <v>odkryj</v>
      </c>
      <c r="K1730" s="197"/>
      <c r="N1730" s="387"/>
    </row>
    <row r="1731" spans="1:14" s="200" customFormat="1" x14ac:dyDescent="0.25">
      <c r="A1731" s="508"/>
      <c r="B1731" s="520">
        <v>7</v>
      </c>
      <c r="C1731" s="1294" t="str">
        <f>"-"&amp;IF(Input!D65="","",Input!D65&amp;" - "&amp;Input!B65&amp;IF(Noty!C1732="",".",","))</f>
        <v>-</v>
      </c>
      <c r="D1731" s="1294"/>
      <c r="E1731" s="1294"/>
      <c r="F1731" s="1294"/>
      <c r="G1731" s="1294"/>
      <c r="H1731" s="1294"/>
      <c r="I1731" s="1294"/>
      <c r="J1731" s="499" t="str">
        <f>IF(Noty!C1727="","ukryj","odkryj")</f>
        <v>odkryj</v>
      </c>
      <c r="K1731" s="197"/>
      <c r="N1731" s="387"/>
    </row>
    <row r="1732" spans="1:14" s="200" customFormat="1" x14ac:dyDescent="0.25">
      <c r="A1732" s="508"/>
      <c r="B1732" s="520">
        <v>8</v>
      </c>
      <c r="C1732" s="1294" t="str">
        <f>"-"&amp;IF(Input!D66="","",Input!D66&amp;" - "&amp;Input!B66&amp;IF(Noty!C1733="",".",","))</f>
        <v>-</v>
      </c>
      <c r="D1732" s="1294"/>
      <c r="E1732" s="1294"/>
      <c r="F1732" s="1294"/>
      <c r="G1732" s="1294"/>
      <c r="H1732" s="1294"/>
      <c r="I1732" s="1294"/>
      <c r="J1732" s="499" t="str">
        <f>IF(Noty!C1727="","ukryj","odkryj")</f>
        <v>odkryj</v>
      </c>
      <c r="K1732" s="197"/>
      <c r="N1732" s="387"/>
    </row>
    <row r="1733" spans="1:14" s="200" customFormat="1" ht="13.75" thickBot="1" x14ac:dyDescent="0.3">
      <c r="A1733" s="508"/>
      <c r="B1733" s="520">
        <v>9</v>
      </c>
      <c r="C1733" s="570"/>
      <c r="J1733" s="499" t="str">
        <f>Noty!J1732</f>
        <v>odkryj</v>
      </c>
      <c r="K1733" s="197"/>
      <c r="N1733" s="387"/>
    </row>
    <row r="1734" spans="1:14" s="200" customFormat="1" ht="13.75" thickBot="1" x14ac:dyDescent="0.3">
      <c r="A1734" s="508"/>
      <c r="B1734" s="520">
        <v>10</v>
      </c>
      <c r="C1734" s="1293" t="s">
        <v>10794</v>
      </c>
      <c r="D1734" s="1293"/>
      <c r="E1734" s="1293"/>
      <c r="F1734" s="1293"/>
      <c r="G1734" s="1293"/>
      <c r="H1734" s="1293"/>
      <c r="I1734" s="1293"/>
      <c r="J1734" s="499" t="str">
        <f>IF(Noty!K1734="n/a","ukryj","odkryj")</f>
        <v>ukryj</v>
      </c>
      <c r="K1734" s="1209" t="str">
        <f>IF(Input!D195="nie","n/a","")</f>
        <v>n/a</v>
      </c>
      <c r="N1734" s="387"/>
    </row>
    <row r="1735" spans="1:14" s="200" customFormat="1" x14ac:dyDescent="0.25">
      <c r="A1735" s="508"/>
      <c r="B1735" s="520">
        <v>11</v>
      </c>
      <c r="C1735" s="1292"/>
      <c r="D1735" s="1292"/>
      <c r="E1735" s="1292"/>
      <c r="F1735" s="1292"/>
      <c r="G1735" s="1292"/>
      <c r="H1735" s="1292"/>
      <c r="I1735" s="1292"/>
      <c r="J1735" s="499" t="str">
        <f>Noty!J1734</f>
        <v>ukryj</v>
      </c>
      <c r="K1735" s="197"/>
      <c r="N1735" s="387"/>
    </row>
    <row r="1736" spans="1:14" s="200" customFormat="1" x14ac:dyDescent="0.25">
      <c r="A1736" s="508"/>
      <c r="B1736" s="520">
        <v>12</v>
      </c>
      <c r="C1736" s="1292"/>
      <c r="D1736" s="1292"/>
      <c r="E1736" s="1292"/>
      <c r="F1736" s="1292"/>
      <c r="G1736" s="1292"/>
      <c r="H1736" s="1292"/>
      <c r="I1736" s="1292"/>
      <c r="J1736" s="499" t="str">
        <f>IF(Noty!C1736="","ukryj","odkryj")</f>
        <v>ukryj</v>
      </c>
      <c r="K1736" s="197"/>
      <c r="N1736" s="387"/>
    </row>
    <row r="1737" spans="1:14" s="200" customFormat="1" x14ac:dyDescent="0.25">
      <c r="A1737" s="508"/>
      <c r="B1737" s="520">
        <v>13</v>
      </c>
      <c r="C1737" s="1292"/>
      <c r="D1737" s="1292"/>
      <c r="E1737" s="1292"/>
      <c r="F1737" s="1292"/>
      <c r="G1737" s="1292"/>
      <c r="H1737" s="1292"/>
      <c r="I1737" s="1292"/>
      <c r="J1737" s="499" t="str">
        <f>IF(Noty!C1737="","ukryj","odkryj")</f>
        <v>ukryj</v>
      </c>
      <c r="K1737" s="197"/>
      <c r="N1737" s="387"/>
    </row>
    <row r="1738" spans="1:14" s="200" customFormat="1" x14ac:dyDescent="0.25">
      <c r="A1738" s="508"/>
      <c r="B1738" s="520">
        <v>14</v>
      </c>
      <c r="C1738" s="1292"/>
      <c r="D1738" s="1292"/>
      <c r="E1738" s="1292"/>
      <c r="F1738" s="1292"/>
      <c r="G1738" s="1292"/>
      <c r="H1738" s="1292"/>
      <c r="I1738" s="1292"/>
      <c r="J1738" s="499" t="str">
        <f>IF(Noty!C1738="","ukryj","odkryj")</f>
        <v>ukryj</v>
      </c>
      <c r="K1738" s="197"/>
      <c r="N1738" s="387"/>
    </row>
    <row r="1739" spans="1:14" s="200" customFormat="1" x14ac:dyDescent="0.25">
      <c r="A1739" s="508"/>
      <c r="B1739" s="520">
        <v>15</v>
      </c>
      <c r="C1739" s="1292"/>
      <c r="D1739" s="1292"/>
      <c r="E1739" s="1292"/>
      <c r="F1739" s="1292"/>
      <c r="G1739" s="1292"/>
      <c r="H1739" s="1292"/>
      <c r="I1739" s="1292"/>
      <c r="J1739" s="499" t="str">
        <f>IF(Noty!C1739="","ukryj","odkryj")</f>
        <v>ukryj</v>
      </c>
      <c r="K1739" s="197"/>
      <c r="N1739" s="387"/>
    </row>
    <row r="1740" spans="1:14" s="200" customFormat="1" ht="13.75" thickBot="1" x14ac:dyDescent="0.3">
      <c r="A1740" s="508"/>
      <c r="B1740" s="520">
        <v>16</v>
      </c>
      <c r="C1740" s="1292"/>
      <c r="D1740" s="1292"/>
      <c r="E1740" s="1292"/>
      <c r="F1740" s="1292"/>
      <c r="G1740" s="1292"/>
      <c r="H1740" s="1292"/>
      <c r="I1740" s="1292"/>
      <c r="J1740" s="499" t="str">
        <f>IF(Noty!C1740="","ukryj","odkryj")</f>
        <v>ukryj</v>
      </c>
      <c r="K1740" s="197"/>
      <c r="N1740" s="387"/>
    </row>
    <row r="1741" spans="1:14" s="200" customFormat="1" ht="13.75" thickBot="1" x14ac:dyDescent="0.3">
      <c r="A1741" s="508"/>
      <c r="B1741" s="520">
        <v>17</v>
      </c>
      <c r="C1741" s="1293" t="s">
        <v>10795</v>
      </c>
      <c r="D1741" s="1293"/>
      <c r="E1741" s="1293"/>
      <c r="F1741" s="1293"/>
      <c r="G1741" s="1293"/>
      <c r="H1741" s="1293"/>
      <c r="I1741" s="1293"/>
      <c r="J1741" s="499" t="str">
        <f>IF(Noty!K1741="n/a","ukryj","odkryj")</f>
        <v>odkryj</v>
      </c>
      <c r="K1741" s="1209" t="str">
        <f>IF(Noty!K1734="","n/a","")</f>
        <v/>
      </c>
      <c r="N1741" s="387"/>
    </row>
    <row r="1742" spans="1:14" s="200" customFormat="1" x14ac:dyDescent="0.25">
      <c r="A1742" s="508"/>
      <c r="B1742" s="520">
        <v>18</v>
      </c>
      <c r="C1742" s="570"/>
      <c r="J1742" s="499" t="str">
        <f>IF(OR(Noty!K1734="",Noty!K1741=""),"odkryj","ukryj")</f>
        <v>odkryj</v>
      </c>
      <c r="K1742" s="197"/>
      <c r="N1742" s="387"/>
    </row>
    <row r="1743" spans="1:14" s="200" customFormat="1" ht="15.05" x14ac:dyDescent="0.3">
      <c r="A1743" s="1180">
        <f>IF(K1743="n/a",A1724,A1724+1)</f>
        <v>25</v>
      </c>
      <c r="B1743" s="1182"/>
      <c r="C1743" s="1388" t="s">
        <v>10796</v>
      </c>
      <c r="D1743" s="1388"/>
      <c r="E1743" s="1388"/>
      <c r="F1743" s="1388"/>
      <c r="G1743" s="1388"/>
      <c r="H1743" s="1388"/>
      <c r="I1743" s="1388"/>
      <c r="J1743" s="499" t="s">
        <v>5070</v>
      </c>
      <c r="K1743" s="197"/>
      <c r="L1743" s="200" t="str">
        <f>A1743&amp;"."&amp;B1743</f>
        <v>25.</v>
      </c>
      <c r="N1743" s="1101" t="s">
        <v>9378</v>
      </c>
    </row>
    <row r="1744" spans="1:14" s="200" customFormat="1" x14ac:dyDescent="0.25">
      <c r="A1744" s="508"/>
      <c r="B1744" s="520"/>
      <c r="C1744" s="195"/>
      <c r="D1744" s="195"/>
      <c r="E1744" s="196"/>
      <c r="F1744" s="196"/>
      <c r="G1744" s="196"/>
      <c r="H1744" s="196"/>
      <c r="I1744" s="196"/>
      <c r="J1744" s="499" t="s">
        <v>5070</v>
      </c>
      <c r="K1744" s="197"/>
      <c r="N1744" s="387"/>
    </row>
    <row r="1745" spans="1:100" s="200" customFormat="1" x14ac:dyDescent="0.25">
      <c r="A1745" s="519" t="s">
        <v>3330</v>
      </c>
      <c r="B1745" s="257" t="str">
        <f>oświadczenie!A22</f>
        <v>test</v>
      </c>
      <c r="C1745" s="257"/>
      <c r="D1745" s="195"/>
      <c r="E1745" s="196"/>
      <c r="F1745" s="196"/>
      <c r="G1745" s="202"/>
      <c r="H1745" s="202"/>
      <c r="I1745" s="245"/>
      <c r="J1745" s="499" t="s">
        <v>5070</v>
      </c>
      <c r="K1745" s="197"/>
      <c r="N1745" s="387"/>
    </row>
    <row r="1746" spans="1:100" s="200" customFormat="1" x14ac:dyDescent="0.25">
      <c r="A1746" s="257"/>
      <c r="B1746" s="257" t="str">
        <f>oświadczenie!A23</f>
        <v>Prezes zarządu</v>
      </c>
      <c r="C1746" s="257"/>
      <c r="D1746" s="195"/>
      <c r="E1746" s="196"/>
      <c r="F1746" s="196"/>
      <c r="G1746" s="749"/>
      <c r="H1746" s="749"/>
      <c r="I1746" s="749"/>
      <c r="J1746" s="499" t="s">
        <v>5070</v>
      </c>
      <c r="K1746" s="197"/>
      <c r="N1746" s="387"/>
    </row>
    <row r="1747" spans="1:100" s="200" customFormat="1" x14ac:dyDescent="0.25">
      <c r="A1747" s="257"/>
      <c r="B1747" s="257"/>
      <c r="C1747" s="257"/>
      <c r="D1747" s="195"/>
      <c r="E1747" s="196"/>
      <c r="F1747" s="196"/>
      <c r="G1747" s="749"/>
      <c r="H1747" s="749"/>
      <c r="I1747" s="749"/>
      <c r="J1747" s="499" t="s">
        <v>5070</v>
      </c>
      <c r="K1747" s="197"/>
      <c r="N1747" s="387"/>
    </row>
    <row r="1748" spans="1:100" s="200" customFormat="1" x14ac:dyDescent="0.25">
      <c r="A1748" s="257"/>
      <c r="B1748" s="257" t="str">
        <f>oświadczenie!A27</f>
        <v>test1</v>
      </c>
      <c r="C1748" s="257"/>
      <c r="D1748" s="195"/>
      <c r="E1748" s="196"/>
      <c r="F1748" s="196"/>
      <c r="G1748" s="196"/>
      <c r="H1748" s="196"/>
      <c r="I1748" s="196"/>
      <c r="J1748" s="499" t="str">
        <f>IF(Noty!B1748="nazwisko","ukryj","odkryj")</f>
        <v>odkryj</v>
      </c>
      <c r="K1748" s="197"/>
      <c r="N1748" s="387"/>
    </row>
    <row r="1749" spans="1:100" s="200" customFormat="1" x14ac:dyDescent="0.25">
      <c r="A1749" s="257"/>
      <c r="B1749" s="257" t="str">
        <f>oświadczenie!A28</f>
        <v>Członek zarządu</v>
      </c>
      <c r="C1749" s="257"/>
      <c r="D1749" s="195"/>
      <c r="E1749" s="196"/>
      <c r="F1749" s="196"/>
      <c r="G1749" s="196"/>
      <c r="H1749" s="196"/>
      <c r="I1749" s="196"/>
      <c r="J1749" s="499" t="str">
        <f>Noty!J1748</f>
        <v>odkryj</v>
      </c>
      <c r="K1749" s="197"/>
      <c r="N1749" s="387"/>
    </row>
    <row r="1750" spans="1:100" s="447" customFormat="1" x14ac:dyDescent="0.25">
      <c r="A1750" s="257"/>
      <c r="B1750" s="257"/>
      <c r="C1750" s="257"/>
      <c r="D1750" s="195"/>
      <c r="E1750" s="196"/>
      <c r="F1750" s="196"/>
      <c r="G1750" s="196"/>
      <c r="H1750" s="196"/>
      <c r="I1750" s="196"/>
      <c r="J1750" s="499" t="str">
        <f>Noty!J1749</f>
        <v>odkryj</v>
      </c>
      <c r="K1750" s="197"/>
      <c r="L1750" s="200"/>
      <c r="M1750" s="200"/>
      <c r="N1750" s="475"/>
    </row>
    <row r="1751" spans="1:100" s="447" customFormat="1" x14ac:dyDescent="0.25">
      <c r="A1751" s="244"/>
      <c r="B1751" s="257" t="str">
        <f>oświadczenie!A32</f>
        <v>tst2</v>
      </c>
      <c r="C1751" s="840"/>
      <c r="D1751" s="195"/>
      <c r="E1751" s="196"/>
      <c r="F1751" s="196"/>
      <c r="G1751" s="196"/>
      <c r="H1751" s="196"/>
      <c r="I1751" s="196"/>
      <c r="J1751" s="499" t="str">
        <f>IF(Noty!B1751="nazwisko","ukryj","odkryj")</f>
        <v>odkryj</v>
      </c>
      <c r="K1751" s="197"/>
      <c r="L1751" s="200"/>
      <c r="M1751" s="200"/>
      <c r="N1751" s="475"/>
    </row>
    <row r="1752" spans="1:100" s="447" customFormat="1" x14ac:dyDescent="0.25">
      <c r="A1752" s="244"/>
      <c r="B1752" s="257" t="str">
        <f>oświadczenie!A33</f>
        <v>Członek zarządu</v>
      </c>
      <c r="C1752" s="257"/>
      <c r="D1752" s="195"/>
      <c r="E1752" s="196"/>
      <c r="F1752" s="196"/>
      <c r="G1752" s="196"/>
      <c r="H1752" s="196"/>
      <c r="I1752" s="196"/>
      <c r="J1752" s="499" t="str">
        <f>Noty!J1751</f>
        <v>odkryj</v>
      </c>
      <c r="K1752" s="197"/>
      <c r="L1752" s="200"/>
      <c r="M1752" s="200"/>
      <c r="N1752" s="475"/>
    </row>
    <row r="1753" spans="1:100" s="447" customFormat="1" x14ac:dyDescent="0.25">
      <c r="A1753" s="244"/>
      <c r="B1753" s="257"/>
      <c r="C1753" s="257"/>
      <c r="D1753" s="195"/>
      <c r="E1753" s="196"/>
      <c r="F1753" s="196"/>
      <c r="G1753" s="196"/>
      <c r="H1753" s="196"/>
      <c r="I1753" s="196"/>
      <c r="J1753" s="499" t="str">
        <f>Noty!J1752</f>
        <v>odkryj</v>
      </c>
      <c r="K1753" s="197"/>
      <c r="L1753" s="200"/>
      <c r="M1753" s="200"/>
      <c r="N1753" s="475"/>
    </row>
    <row r="1754" spans="1:100" s="200" customFormat="1" x14ac:dyDescent="0.25">
      <c r="A1754" s="519" t="s">
        <v>3330</v>
      </c>
      <c r="B1754" s="257" t="str">
        <f>oświadczenie!A37</f>
        <v/>
      </c>
      <c r="C1754" s="257"/>
      <c r="D1754" s="195"/>
      <c r="E1754" s="196"/>
      <c r="F1754" s="196"/>
      <c r="G1754" s="581"/>
      <c r="H1754" s="581"/>
      <c r="I1754" s="581"/>
      <c r="J1754" s="499" t="str">
        <f>IF(Noty!B1754="nazwisko","ukryj","odkryj")</f>
        <v>odkryj</v>
      </c>
      <c r="K1754" s="489"/>
      <c r="L1754" s="489"/>
      <c r="M1754" s="489"/>
      <c r="N1754" s="489"/>
      <c r="O1754" s="489"/>
      <c r="P1754" s="489"/>
      <c r="Q1754" s="489"/>
      <c r="R1754" s="489"/>
      <c r="S1754" s="489"/>
      <c r="T1754" s="489"/>
      <c r="U1754" s="489"/>
      <c r="V1754" s="489"/>
      <c r="W1754" s="489"/>
      <c r="X1754" s="489"/>
      <c r="Y1754" s="489"/>
      <c r="Z1754" s="489"/>
      <c r="AA1754" s="489"/>
      <c r="AB1754" s="489"/>
      <c r="AC1754" s="489"/>
      <c r="AD1754" s="489"/>
      <c r="AE1754" s="489"/>
      <c r="AF1754" s="489"/>
      <c r="AG1754" s="489"/>
      <c r="AH1754" s="489"/>
      <c r="AI1754" s="489"/>
      <c r="AJ1754" s="489"/>
      <c r="AK1754" s="489"/>
      <c r="AL1754" s="489"/>
      <c r="AM1754" s="489"/>
      <c r="AN1754" s="489"/>
      <c r="AO1754" s="489"/>
      <c r="AP1754" s="489"/>
      <c r="AQ1754" s="489"/>
      <c r="AR1754" s="489"/>
      <c r="AS1754" s="489"/>
      <c r="AT1754" s="489"/>
      <c r="AU1754" s="489"/>
      <c r="AV1754" s="489"/>
      <c r="AW1754" s="489"/>
      <c r="AX1754" s="489"/>
      <c r="AY1754" s="489"/>
      <c r="AZ1754" s="489"/>
      <c r="BA1754" s="489"/>
      <c r="BB1754" s="489"/>
      <c r="BC1754" s="489"/>
      <c r="BD1754" s="489"/>
      <c r="BE1754" s="489"/>
      <c r="BF1754" s="489"/>
      <c r="BG1754" s="489"/>
      <c r="BH1754" s="489"/>
      <c r="BI1754" s="489"/>
      <c r="BJ1754" s="489"/>
      <c r="BK1754" s="489"/>
      <c r="BL1754" s="489"/>
      <c r="BM1754" s="489"/>
      <c r="BN1754" s="489"/>
      <c r="BO1754" s="489"/>
      <c r="BP1754" s="489"/>
      <c r="BQ1754" s="489"/>
      <c r="BR1754" s="489"/>
      <c r="BS1754" s="489"/>
      <c r="BT1754" s="489"/>
      <c r="BU1754" s="489"/>
      <c r="BV1754" s="489"/>
      <c r="BW1754" s="489"/>
      <c r="BX1754" s="489"/>
      <c r="BY1754" s="489"/>
      <c r="BZ1754" s="489"/>
      <c r="CA1754" s="489"/>
      <c r="CB1754" s="489"/>
      <c r="CC1754" s="489"/>
      <c r="CD1754" s="489"/>
      <c r="CE1754" s="489"/>
      <c r="CF1754" s="489"/>
      <c r="CG1754" s="489"/>
      <c r="CH1754" s="489"/>
      <c r="CI1754" s="489"/>
      <c r="CJ1754" s="489"/>
      <c r="CK1754" s="489"/>
      <c r="CL1754" s="489"/>
      <c r="CM1754" s="489"/>
      <c r="CN1754" s="489"/>
      <c r="CO1754" s="489"/>
      <c r="CP1754" s="489"/>
      <c r="CQ1754" s="489"/>
      <c r="CR1754" s="489"/>
      <c r="CS1754" s="489"/>
      <c r="CT1754" s="489"/>
      <c r="CU1754" s="489"/>
      <c r="CV1754" s="489"/>
    </row>
    <row r="1755" spans="1:100" s="200" customFormat="1" x14ac:dyDescent="0.25">
      <c r="A1755" s="257"/>
      <c r="B1755" s="257" t="str">
        <f>oświadczenie!A38</f>
        <v>Członek zarządu</v>
      </c>
      <c r="C1755" s="257"/>
      <c r="D1755" s="195"/>
      <c r="E1755" s="196"/>
      <c r="F1755" s="196"/>
      <c r="G1755" s="581"/>
      <c r="H1755" s="581"/>
      <c r="I1755" s="581"/>
      <c r="J1755" s="499" t="str">
        <f>Noty!J1754</f>
        <v>odkryj</v>
      </c>
      <c r="K1755" s="489"/>
      <c r="L1755" s="489"/>
      <c r="M1755" s="489"/>
      <c r="N1755" s="489"/>
      <c r="O1755" s="489"/>
      <c r="P1755" s="489"/>
      <c r="Q1755" s="489"/>
      <c r="R1755" s="489"/>
      <c r="S1755" s="489"/>
      <c r="T1755" s="489"/>
      <c r="U1755" s="489"/>
      <c r="V1755" s="489"/>
      <c r="W1755" s="489"/>
      <c r="X1755" s="489"/>
      <c r="Y1755" s="489"/>
      <c r="Z1755" s="489"/>
      <c r="AA1755" s="489"/>
      <c r="AB1755" s="489"/>
      <c r="AC1755" s="489"/>
      <c r="AD1755" s="489"/>
      <c r="AE1755" s="489"/>
      <c r="AF1755" s="489"/>
      <c r="AG1755" s="489"/>
      <c r="AH1755" s="489"/>
      <c r="AI1755" s="489"/>
      <c r="AJ1755" s="489"/>
      <c r="AK1755" s="489"/>
      <c r="AL1755" s="489"/>
      <c r="AM1755" s="489"/>
      <c r="AN1755" s="489"/>
      <c r="AO1755" s="489"/>
      <c r="AP1755" s="489"/>
      <c r="AQ1755" s="489"/>
      <c r="AR1755" s="489"/>
      <c r="AS1755" s="489"/>
      <c r="AT1755" s="489"/>
      <c r="AU1755" s="489"/>
      <c r="AV1755" s="489"/>
      <c r="AW1755" s="489"/>
      <c r="AX1755" s="489"/>
      <c r="AY1755" s="489"/>
      <c r="AZ1755" s="489"/>
      <c r="BA1755" s="489"/>
      <c r="BB1755" s="489"/>
      <c r="BC1755" s="489"/>
      <c r="BD1755" s="489"/>
      <c r="BE1755" s="489"/>
      <c r="BF1755" s="489"/>
      <c r="BG1755" s="489"/>
      <c r="BH1755" s="489"/>
      <c r="BI1755" s="489"/>
      <c r="BJ1755" s="489"/>
      <c r="BK1755" s="489"/>
      <c r="BL1755" s="489"/>
      <c r="BM1755" s="489"/>
      <c r="BN1755" s="489"/>
      <c r="BO1755" s="489"/>
      <c r="BP1755" s="489"/>
      <c r="BQ1755" s="489"/>
      <c r="BR1755" s="489"/>
      <c r="BS1755" s="489"/>
      <c r="BT1755" s="489"/>
      <c r="BU1755" s="489"/>
      <c r="BV1755" s="489"/>
      <c r="BW1755" s="489"/>
      <c r="BX1755" s="489"/>
      <c r="BY1755" s="489"/>
      <c r="BZ1755" s="489"/>
      <c r="CA1755" s="489"/>
      <c r="CB1755" s="489"/>
      <c r="CC1755" s="489"/>
      <c r="CD1755" s="489"/>
      <c r="CE1755" s="489"/>
      <c r="CF1755" s="489"/>
      <c r="CG1755" s="489"/>
      <c r="CH1755" s="489"/>
      <c r="CI1755" s="489"/>
      <c r="CJ1755" s="489"/>
      <c r="CK1755" s="489"/>
      <c r="CL1755" s="489"/>
      <c r="CM1755" s="489"/>
      <c r="CN1755" s="489"/>
      <c r="CO1755" s="489"/>
      <c r="CP1755" s="489"/>
      <c r="CQ1755" s="489"/>
      <c r="CR1755" s="489"/>
      <c r="CS1755" s="489"/>
      <c r="CT1755" s="489"/>
      <c r="CU1755" s="489"/>
      <c r="CV1755" s="489"/>
    </row>
    <row r="1756" spans="1:100" s="200" customFormat="1" x14ac:dyDescent="0.25">
      <c r="A1756" s="257"/>
      <c r="B1756" s="257"/>
      <c r="C1756" s="257"/>
      <c r="D1756" s="195"/>
      <c r="E1756" s="196"/>
      <c r="F1756" s="196"/>
      <c r="G1756" s="581"/>
      <c r="H1756" s="581"/>
      <c r="I1756" s="581"/>
      <c r="J1756" s="499" t="str">
        <f>Noty!J1755</f>
        <v>odkryj</v>
      </c>
      <c r="K1756" s="489"/>
      <c r="L1756" s="489"/>
      <c r="M1756" s="489"/>
      <c r="N1756" s="489"/>
      <c r="O1756" s="489"/>
      <c r="P1756" s="489"/>
      <c r="Q1756" s="489"/>
      <c r="R1756" s="489"/>
      <c r="S1756" s="489"/>
      <c r="T1756" s="489"/>
      <c r="U1756" s="489"/>
      <c r="V1756" s="489"/>
      <c r="W1756" s="489"/>
      <c r="X1756" s="489"/>
      <c r="Y1756" s="489"/>
      <c r="Z1756" s="489"/>
      <c r="AA1756" s="489"/>
      <c r="AB1756" s="489"/>
      <c r="AC1756" s="489"/>
      <c r="AD1756" s="489"/>
      <c r="AE1756" s="489"/>
      <c r="AF1756" s="489"/>
      <c r="AG1756" s="489"/>
      <c r="AH1756" s="489"/>
      <c r="AI1756" s="489"/>
      <c r="AJ1756" s="489"/>
      <c r="AK1756" s="489"/>
      <c r="AL1756" s="489"/>
      <c r="AM1756" s="489"/>
      <c r="AN1756" s="489"/>
      <c r="AO1756" s="489"/>
      <c r="AP1756" s="489"/>
      <c r="AQ1756" s="489"/>
      <c r="AR1756" s="489"/>
      <c r="AS1756" s="489"/>
      <c r="AT1756" s="489"/>
      <c r="AU1756" s="489"/>
      <c r="AV1756" s="489"/>
      <c r="AW1756" s="489"/>
      <c r="AX1756" s="489"/>
      <c r="AY1756" s="489"/>
      <c r="AZ1756" s="489"/>
      <c r="BA1756" s="489"/>
      <c r="BB1756" s="489"/>
      <c r="BC1756" s="489"/>
      <c r="BD1756" s="489"/>
      <c r="BE1756" s="489"/>
      <c r="BF1756" s="489"/>
      <c r="BG1756" s="489"/>
      <c r="BH1756" s="489"/>
      <c r="BI1756" s="489"/>
      <c r="BJ1756" s="489"/>
      <c r="BK1756" s="489"/>
      <c r="BL1756" s="489"/>
      <c r="BM1756" s="489"/>
      <c r="BN1756" s="489"/>
      <c r="BO1756" s="489"/>
      <c r="BP1756" s="489"/>
      <c r="BQ1756" s="489"/>
      <c r="BR1756" s="489"/>
      <c r="BS1756" s="489"/>
      <c r="BT1756" s="489"/>
      <c r="BU1756" s="489"/>
      <c r="BV1756" s="489"/>
      <c r="BW1756" s="489"/>
      <c r="BX1756" s="489"/>
      <c r="BY1756" s="489"/>
      <c r="BZ1756" s="489"/>
      <c r="CA1756" s="489"/>
      <c r="CB1756" s="489"/>
      <c r="CC1756" s="489"/>
      <c r="CD1756" s="489"/>
      <c r="CE1756" s="489"/>
      <c r="CF1756" s="489"/>
      <c r="CG1756" s="489"/>
      <c r="CH1756" s="489"/>
      <c r="CI1756" s="489"/>
      <c r="CJ1756" s="489"/>
      <c r="CK1756" s="489"/>
      <c r="CL1756" s="489"/>
      <c r="CM1756" s="489"/>
      <c r="CN1756" s="489"/>
      <c r="CO1756" s="489"/>
      <c r="CP1756" s="489"/>
      <c r="CQ1756" s="489"/>
      <c r="CR1756" s="489"/>
      <c r="CS1756" s="489"/>
      <c r="CT1756" s="489"/>
      <c r="CU1756" s="489"/>
      <c r="CV1756" s="489"/>
    </row>
    <row r="1757" spans="1:100" s="200" customFormat="1" x14ac:dyDescent="0.25">
      <c r="A1757" s="257"/>
      <c r="B1757" s="257" t="str">
        <f>oświadczenie!A42</f>
        <v/>
      </c>
      <c r="C1757" s="257"/>
      <c r="D1757" s="195"/>
      <c r="E1757" s="196"/>
      <c r="F1757" s="196"/>
      <c r="G1757" s="196"/>
      <c r="H1757" s="196"/>
      <c r="I1757" s="196"/>
      <c r="J1757" s="499" t="str">
        <f>IF(Noty!B1757="nazwisko","ukryj","odkryj")</f>
        <v>odkryj</v>
      </c>
      <c r="K1757" s="489"/>
      <c r="L1757" s="489"/>
      <c r="M1757" s="489"/>
      <c r="N1757" s="489"/>
      <c r="O1757" s="489"/>
      <c r="P1757" s="489"/>
      <c r="Q1757" s="489"/>
      <c r="R1757" s="489"/>
      <c r="S1757" s="489"/>
      <c r="T1757" s="489"/>
      <c r="U1757" s="489"/>
      <c r="V1757" s="489"/>
      <c r="W1757" s="489"/>
      <c r="X1757" s="489"/>
      <c r="Y1757" s="489"/>
      <c r="Z1757" s="489"/>
      <c r="AA1757" s="489"/>
      <c r="AB1757" s="489"/>
      <c r="AC1757" s="489"/>
      <c r="AD1757" s="489"/>
      <c r="AE1757" s="489"/>
      <c r="AF1757" s="489"/>
      <c r="AG1757" s="489"/>
      <c r="AH1757" s="489"/>
      <c r="AI1757" s="489"/>
      <c r="AJ1757" s="489"/>
      <c r="AK1757" s="489"/>
      <c r="AL1757" s="489"/>
      <c r="AM1757" s="489"/>
      <c r="AN1757" s="489"/>
      <c r="AO1757" s="489"/>
      <c r="AP1757" s="489"/>
      <c r="AQ1757" s="489"/>
      <c r="AR1757" s="489"/>
      <c r="AS1757" s="489"/>
      <c r="AT1757" s="489"/>
      <c r="AU1757" s="489"/>
      <c r="AV1757" s="489"/>
      <c r="AW1757" s="489"/>
      <c r="AX1757" s="489"/>
      <c r="AY1757" s="489"/>
      <c r="AZ1757" s="489"/>
      <c r="BA1757" s="489"/>
      <c r="BB1757" s="489"/>
      <c r="BC1757" s="489"/>
      <c r="BD1757" s="489"/>
      <c r="BE1757" s="489"/>
      <c r="BF1757" s="489"/>
      <c r="BG1757" s="489"/>
      <c r="BH1757" s="489"/>
      <c r="BI1757" s="489"/>
      <c r="BJ1757" s="489"/>
      <c r="BK1757" s="489"/>
      <c r="BL1757" s="489"/>
      <c r="BM1757" s="489"/>
      <c r="BN1757" s="489"/>
      <c r="BO1757" s="489"/>
      <c r="BP1757" s="489"/>
      <c r="BQ1757" s="489"/>
      <c r="BR1757" s="489"/>
      <c r="BS1757" s="489"/>
      <c r="BT1757" s="489"/>
      <c r="BU1757" s="489"/>
      <c r="BV1757" s="489"/>
      <c r="BW1757" s="489"/>
      <c r="BX1757" s="489"/>
      <c r="BY1757" s="489"/>
      <c r="BZ1757" s="489"/>
      <c r="CA1757" s="489"/>
      <c r="CB1757" s="489"/>
      <c r="CC1757" s="489"/>
      <c r="CD1757" s="489"/>
      <c r="CE1757" s="489"/>
      <c r="CF1757" s="489"/>
      <c r="CG1757" s="489"/>
      <c r="CH1757" s="489"/>
      <c r="CI1757" s="489"/>
      <c r="CJ1757" s="489"/>
      <c r="CK1757" s="489"/>
      <c r="CL1757" s="489"/>
      <c r="CM1757" s="489"/>
      <c r="CN1757" s="489"/>
      <c r="CO1757" s="489"/>
      <c r="CP1757" s="489"/>
      <c r="CQ1757" s="489"/>
      <c r="CR1757" s="489"/>
      <c r="CS1757" s="489"/>
      <c r="CT1757" s="489"/>
      <c r="CU1757" s="489"/>
      <c r="CV1757" s="489"/>
    </row>
    <row r="1758" spans="1:100" s="200" customFormat="1" x14ac:dyDescent="0.25">
      <c r="A1758" s="257"/>
      <c r="B1758" s="257" t="str">
        <f>oświadczenie!A43</f>
        <v>Członek zarządu</v>
      </c>
      <c r="C1758" s="257"/>
      <c r="D1758" s="195"/>
      <c r="E1758" s="196"/>
      <c r="F1758" s="196"/>
      <c r="G1758" s="196"/>
      <c r="H1758" s="196"/>
      <c r="I1758" s="196"/>
      <c r="J1758" s="499" t="str">
        <f>Noty!J1757</f>
        <v>odkryj</v>
      </c>
      <c r="K1758" s="489"/>
      <c r="L1758" s="489"/>
      <c r="M1758" s="489"/>
      <c r="N1758" s="489"/>
      <c r="O1758" s="489"/>
      <c r="P1758" s="489"/>
      <c r="Q1758" s="489"/>
      <c r="R1758" s="489"/>
      <c r="S1758" s="489"/>
      <c r="T1758" s="489"/>
      <c r="U1758" s="489"/>
      <c r="V1758" s="489"/>
      <c r="W1758" s="489"/>
      <c r="X1758" s="489"/>
      <c r="Y1758" s="489"/>
      <c r="Z1758" s="489"/>
      <c r="AA1758" s="489"/>
      <c r="AB1758" s="489"/>
      <c r="AC1758" s="489"/>
      <c r="AD1758" s="489"/>
      <c r="AE1758" s="489"/>
      <c r="AF1758" s="489"/>
      <c r="AG1758" s="489"/>
      <c r="AH1758" s="489"/>
      <c r="AI1758" s="489"/>
      <c r="AJ1758" s="489"/>
      <c r="AK1758" s="489"/>
      <c r="AL1758" s="489"/>
      <c r="AM1758" s="489"/>
      <c r="AN1758" s="489"/>
      <c r="AO1758" s="489"/>
      <c r="AP1758" s="489"/>
      <c r="AQ1758" s="489"/>
      <c r="AR1758" s="489"/>
      <c r="AS1758" s="489"/>
      <c r="AT1758" s="489"/>
      <c r="AU1758" s="489"/>
      <c r="AV1758" s="489"/>
      <c r="AW1758" s="489"/>
      <c r="AX1758" s="489"/>
      <c r="AY1758" s="489"/>
      <c r="AZ1758" s="489"/>
      <c r="BA1758" s="489"/>
      <c r="BB1758" s="489"/>
      <c r="BC1758" s="489"/>
      <c r="BD1758" s="489"/>
      <c r="BE1758" s="489"/>
      <c r="BF1758" s="489"/>
      <c r="BG1758" s="489"/>
      <c r="BH1758" s="489"/>
      <c r="BI1758" s="489"/>
      <c r="BJ1758" s="489"/>
      <c r="BK1758" s="489"/>
      <c r="BL1758" s="489"/>
      <c r="BM1758" s="489"/>
      <c r="BN1758" s="489"/>
      <c r="BO1758" s="489"/>
      <c r="BP1758" s="489"/>
      <c r="BQ1758" s="489"/>
      <c r="BR1758" s="489"/>
      <c r="BS1758" s="489"/>
      <c r="BT1758" s="489"/>
      <c r="BU1758" s="489"/>
      <c r="BV1758" s="489"/>
      <c r="BW1758" s="489"/>
      <c r="BX1758" s="489"/>
      <c r="BY1758" s="489"/>
      <c r="BZ1758" s="489"/>
      <c r="CA1758" s="489"/>
      <c r="CB1758" s="489"/>
      <c r="CC1758" s="489"/>
      <c r="CD1758" s="489"/>
      <c r="CE1758" s="489"/>
      <c r="CF1758" s="489"/>
      <c r="CG1758" s="489"/>
      <c r="CH1758" s="489"/>
      <c r="CI1758" s="489"/>
      <c r="CJ1758" s="489"/>
      <c r="CK1758" s="489"/>
      <c r="CL1758" s="489"/>
      <c r="CM1758" s="489"/>
      <c r="CN1758" s="489"/>
      <c r="CO1758" s="489"/>
      <c r="CP1758" s="489"/>
      <c r="CQ1758" s="489"/>
      <c r="CR1758" s="489"/>
      <c r="CS1758" s="489"/>
      <c r="CT1758" s="489"/>
      <c r="CU1758" s="489"/>
      <c r="CV1758" s="489"/>
    </row>
    <row r="1759" spans="1:100" s="447" customFormat="1" x14ac:dyDescent="0.25">
      <c r="A1759" s="257"/>
      <c r="B1759" s="257"/>
      <c r="C1759" s="257"/>
      <c r="D1759" s="195"/>
      <c r="E1759" s="196"/>
      <c r="F1759" s="196"/>
      <c r="G1759" s="196"/>
      <c r="H1759" s="196"/>
      <c r="I1759" s="196"/>
      <c r="J1759" s="499" t="str">
        <f>Noty!J1758</f>
        <v>odkryj</v>
      </c>
      <c r="K1759" s="489"/>
      <c r="L1759" s="489"/>
      <c r="M1759" s="489"/>
      <c r="N1759" s="489"/>
      <c r="O1759" s="489"/>
      <c r="P1759" s="489"/>
      <c r="Q1759" s="489"/>
      <c r="R1759" s="489"/>
      <c r="S1759" s="489"/>
      <c r="T1759" s="489"/>
      <c r="U1759" s="489"/>
      <c r="V1759" s="489"/>
      <c r="W1759" s="489"/>
      <c r="X1759" s="489"/>
      <c r="Y1759" s="489"/>
      <c r="Z1759" s="489"/>
      <c r="AA1759" s="489"/>
      <c r="AB1759" s="489"/>
      <c r="AC1759" s="489"/>
      <c r="AD1759" s="489"/>
      <c r="AE1759" s="489"/>
      <c r="AF1759" s="489"/>
      <c r="AG1759" s="489"/>
      <c r="AH1759" s="489"/>
      <c r="AI1759" s="489"/>
      <c r="AJ1759" s="489"/>
      <c r="AK1759" s="489"/>
      <c r="AL1759" s="489"/>
      <c r="AM1759" s="489"/>
      <c r="AN1759" s="489"/>
      <c r="AO1759" s="489"/>
      <c r="AP1759" s="489"/>
      <c r="AQ1759" s="489"/>
      <c r="AR1759" s="489"/>
      <c r="AS1759" s="489"/>
      <c r="AT1759" s="489"/>
      <c r="AU1759" s="489"/>
      <c r="AV1759" s="489"/>
      <c r="AW1759" s="489"/>
      <c r="AX1759" s="489"/>
      <c r="AY1759" s="489"/>
      <c r="AZ1759" s="489"/>
      <c r="BA1759" s="489"/>
      <c r="BB1759" s="489"/>
      <c r="BC1759" s="489"/>
      <c r="BD1759" s="489"/>
      <c r="BE1759" s="489"/>
      <c r="BF1759" s="489"/>
      <c r="BG1759" s="489"/>
      <c r="BH1759" s="489"/>
      <c r="BI1759" s="489"/>
      <c r="BJ1759" s="489"/>
      <c r="BK1759" s="489"/>
      <c r="BL1759" s="489"/>
      <c r="BM1759" s="489"/>
      <c r="BN1759" s="489"/>
      <c r="BO1759" s="489"/>
      <c r="BP1759" s="489"/>
      <c r="BQ1759" s="489"/>
      <c r="BR1759" s="489"/>
      <c r="BS1759" s="489"/>
      <c r="BT1759" s="489"/>
      <c r="BU1759" s="489"/>
      <c r="BV1759" s="489"/>
      <c r="BW1759" s="489"/>
      <c r="BX1759" s="489"/>
      <c r="BY1759" s="489"/>
      <c r="BZ1759" s="489"/>
      <c r="CA1759" s="489"/>
      <c r="CB1759" s="489"/>
      <c r="CC1759" s="489"/>
      <c r="CD1759" s="489"/>
      <c r="CE1759" s="489"/>
      <c r="CF1759" s="489"/>
      <c r="CG1759" s="489"/>
      <c r="CH1759" s="489"/>
      <c r="CI1759" s="489"/>
      <c r="CJ1759" s="489"/>
      <c r="CK1759" s="489"/>
      <c r="CL1759" s="489"/>
      <c r="CM1759" s="489"/>
      <c r="CN1759" s="489"/>
      <c r="CO1759" s="489"/>
      <c r="CP1759" s="489"/>
      <c r="CQ1759" s="489"/>
      <c r="CR1759" s="489"/>
      <c r="CS1759" s="489"/>
      <c r="CT1759" s="489"/>
      <c r="CU1759" s="489"/>
      <c r="CV1759" s="489"/>
    </row>
    <row r="1760" spans="1:100" s="447" customFormat="1" x14ac:dyDescent="0.25">
      <c r="A1760" s="244"/>
      <c r="B1760" s="257" t="str">
        <f>oświadczenie!A47</f>
        <v/>
      </c>
      <c r="C1760" s="840"/>
      <c r="D1760" s="195"/>
      <c r="E1760" s="196"/>
      <c r="F1760" s="196"/>
      <c r="G1760" s="196"/>
      <c r="H1760" s="196"/>
      <c r="I1760" s="196"/>
      <c r="J1760" s="499" t="str">
        <f>IF(Noty!B1760="nazwisko","ukryj","odkryj")</f>
        <v>odkryj</v>
      </c>
      <c r="K1760" s="489"/>
      <c r="L1760" s="489"/>
      <c r="M1760" s="489"/>
      <c r="N1760" s="489"/>
      <c r="O1760" s="489"/>
      <c r="P1760" s="489"/>
      <c r="Q1760" s="489"/>
      <c r="R1760" s="489"/>
      <c r="S1760" s="489"/>
      <c r="T1760" s="489"/>
      <c r="U1760" s="489"/>
      <c r="V1760" s="489"/>
      <c r="W1760" s="489"/>
      <c r="X1760" s="489"/>
      <c r="Y1760" s="489"/>
      <c r="Z1760" s="489"/>
      <c r="AA1760" s="489"/>
      <c r="AB1760" s="489"/>
      <c r="AC1760" s="489"/>
      <c r="AD1760" s="489"/>
      <c r="AE1760" s="489"/>
      <c r="AF1760" s="489"/>
      <c r="AG1760" s="489"/>
      <c r="AH1760" s="489"/>
      <c r="AI1760" s="489"/>
      <c r="AJ1760" s="489"/>
      <c r="AK1760" s="489"/>
      <c r="AL1760" s="489"/>
      <c r="AM1760" s="489"/>
      <c r="AN1760" s="489"/>
      <c r="AO1760" s="489"/>
      <c r="AP1760" s="489"/>
      <c r="AQ1760" s="489"/>
      <c r="AR1760" s="489"/>
      <c r="AS1760" s="489"/>
      <c r="AT1760" s="489"/>
      <c r="AU1760" s="489"/>
      <c r="AV1760" s="489"/>
      <c r="AW1760" s="489"/>
      <c r="AX1760" s="489"/>
      <c r="AY1760" s="489"/>
      <c r="AZ1760" s="489"/>
      <c r="BA1760" s="489"/>
      <c r="BB1760" s="489"/>
      <c r="BC1760" s="489"/>
      <c r="BD1760" s="489"/>
      <c r="BE1760" s="489"/>
      <c r="BF1760" s="489"/>
      <c r="BG1760" s="489"/>
      <c r="BH1760" s="489"/>
      <c r="BI1760" s="489"/>
      <c r="BJ1760" s="489"/>
      <c r="BK1760" s="489"/>
      <c r="BL1760" s="489"/>
      <c r="BM1760" s="489"/>
      <c r="BN1760" s="489"/>
      <c r="BO1760" s="489"/>
      <c r="BP1760" s="489"/>
      <c r="BQ1760" s="489"/>
      <c r="BR1760" s="489"/>
      <c r="BS1760" s="489"/>
      <c r="BT1760" s="489"/>
      <c r="BU1760" s="489"/>
      <c r="BV1760" s="489"/>
      <c r="BW1760" s="489"/>
      <c r="BX1760" s="489"/>
      <c r="BY1760" s="489"/>
      <c r="BZ1760" s="489"/>
      <c r="CA1760" s="489"/>
      <c r="CB1760" s="489"/>
      <c r="CC1760" s="489"/>
      <c r="CD1760" s="489"/>
      <c r="CE1760" s="489"/>
      <c r="CF1760" s="489"/>
      <c r="CG1760" s="489"/>
      <c r="CH1760" s="489"/>
      <c r="CI1760" s="489"/>
      <c r="CJ1760" s="489"/>
      <c r="CK1760" s="489"/>
      <c r="CL1760" s="489"/>
      <c r="CM1760" s="489"/>
      <c r="CN1760" s="489"/>
      <c r="CO1760" s="489"/>
      <c r="CP1760" s="489"/>
      <c r="CQ1760" s="489"/>
      <c r="CR1760" s="489"/>
      <c r="CS1760" s="489"/>
      <c r="CT1760" s="489"/>
      <c r="CU1760" s="489"/>
      <c r="CV1760" s="489"/>
    </row>
    <row r="1761" spans="1:100" s="447" customFormat="1" x14ac:dyDescent="0.25">
      <c r="A1761" s="244"/>
      <c r="B1761" s="257" t="str">
        <f>oświadczenie!A48</f>
        <v>Członek zarządu</v>
      </c>
      <c r="C1761" s="257"/>
      <c r="D1761" s="195"/>
      <c r="E1761" s="196"/>
      <c r="F1761" s="196"/>
      <c r="G1761" s="196"/>
      <c r="H1761" s="196"/>
      <c r="I1761" s="196"/>
      <c r="J1761" s="499" t="str">
        <f>Noty!J1760</f>
        <v>odkryj</v>
      </c>
      <c r="K1761" s="489"/>
      <c r="L1761" s="489"/>
      <c r="M1761" s="489"/>
      <c r="N1761" s="489"/>
      <c r="O1761" s="489"/>
      <c r="P1761" s="489"/>
      <c r="Q1761" s="489"/>
      <c r="R1761" s="489"/>
      <c r="S1761" s="489"/>
      <c r="T1761" s="489"/>
      <c r="U1761" s="489"/>
      <c r="V1761" s="489"/>
      <c r="W1761" s="489"/>
      <c r="X1761" s="489"/>
      <c r="Y1761" s="489"/>
      <c r="Z1761" s="489"/>
      <c r="AA1761" s="489"/>
      <c r="AB1761" s="489"/>
      <c r="AC1761" s="489"/>
      <c r="AD1761" s="489"/>
      <c r="AE1761" s="489"/>
      <c r="AF1761" s="489"/>
      <c r="AG1761" s="489"/>
      <c r="AH1761" s="489"/>
      <c r="AI1761" s="489"/>
      <c r="AJ1761" s="489"/>
      <c r="AK1761" s="489"/>
      <c r="AL1761" s="489"/>
      <c r="AM1761" s="489"/>
      <c r="AN1761" s="489"/>
      <c r="AO1761" s="489"/>
      <c r="AP1761" s="489"/>
      <c r="AQ1761" s="489"/>
      <c r="AR1761" s="489"/>
      <c r="AS1761" s="489"/>
      <c r="AT1761" s="489"/>
      <c r="AU1761" s="489"/>
      <c r="AV1761" s="489"/>
      <c r="AW1761" s="489"/>
      <c r="AX1761" s="489"/>
      <c r="AY1761" s="489"/>
      <c r="AZ1761" s="489"/>
      <c r="BA1761" s="489"/>
      <c r="BB1761" s="489"/>
      <c r="BC1761" s="489"/>
      <c r="BD1761" s="489"/>
      <c r="BE1761" s="489"/>
      <c r="BF1761" s="489"/>
      <c r="BG1761" s="489"/>
      <c r="BH1761" s="489"/>
      <c r="BI1761" s="489"/>
      <c r="BJ1761" s="489"/>
      <c r="BK1761" s="489"/>
      <c r="BL1761" s="489"/>
      <c r="BM1761" s="489"/>
      <c r="BN1761" s="489"/>
      <c r="BO1761" s="489"/>
      <c r="BP1761" s="489"/>
      <c r="BQ1761" s="489"/>
      <c r="BR1761" s="489"/>
      <c r="BS1761" s="489"/>
      <c r="BT1761" s="489"/>
      <c r="BU1761" s="489"/>
      <c r="BV1761" s="489"/>
      <c r="BW1761" s="489"/>
      <c r="BX1761" s="489"/>
      <c r="BY1761" s="489"/>
      <c r="BZ1761" s="489"/>
      <c r="CA1761" s="489"/>
      <c r="CB1761" s="489"/>
      <c r="CC1761" s="489"/>
      <c r="CD1761" s="489"/>
      <c r="CE1761" s="489"/>
      <c r="CF1761" s="489"/>
      <c r="CG1761" s="489"/>
      <c r="CH1761" s="489"/>
      <c r="CI1761" s="489"/>
      <c r="CJ1761" s="489"/>
      <c r="CK1761" s="489"/>
      <c r="CL1761" s="489"/>
      <c r="CM1761" s="489"/>
      <c r="CN1761" s="489"/>
      <c r="CO1761" s="489"/>
      <c r="CP1761" s="489"/>
      <c r="CQ1761" s="489"/>
      <c r="CR1761" s="489"/>
      <c r="CS1761" s="489"/>
      <c r="CT1761" s="489"/>
      <c r="CU1761" s="489"/>
      <c r="CV1761" s="489"/>
    </row>
    <row r="1762" spans="1:100" s="447" customFormat="1" x14ac:dyDescent="0.25">
      <c r="A1762" s="244"/>
      <c r="B1762" s="257"/>
      <c r="C1762" s="257"/>
      <c r="D1762" s="195"/>
      <c r="E1762" s="196"/>
      <c r="F1762" s="196"/>
      <c r="G1762" s="196"/>
      <c r="H1762" s="196"/>
      <c r="I1762" s="196"/>
      <c r="J1762" s="499" t="str">
        <f>Noty!J1761</f>
        <v>odkryj</v>
      </c>
      <c r="K1762" s="489"/>
      <c r="L1762" s="489"/>
      <c r="M1762" s="489"/>
      <c r="N1762" s="489"/>
      <c r="O1762" s="489"/>
      <c r="P1762" s="489"/>
      <c r="Q1762" s="489"/>
      <c r="R1762" s="489"/>
      <c r="S1762" s="489"/>
      <c r="T1762" s="489"/>
      <c r="U1762" s="489"/>
      <c r="V1762" s="489"/>
      <c r="W1762" s="489"/>
      <c r="X1762" s="489"/>
      <c r="Y1762" s="489"/>
      <c r="Z1762" s="489"/>
      <c r="AA1762" s="489"/>
      <c r="AB1762" s="489"/>
      <c r="AC1762" s="489"/>
      <c r="AD1762" s="489"/>
      <c r="AE1762" s="489"/>
      <c r="AF1762" s="489"/>
      <c r="AG1762" s="489"/>
      <c r="AH1762" s="489"/>
      <c r="AI1762" s="489"/>
      <c r="AJ1762" s="489"/>
      <c r="AK1762" s="489"/>
      <c r="AL1762" s="489"/>
      <c r="AM1762" s="489"/>
      <c r="AN1762" s="489"/>
      <c r="AO1762" s="489"/>
      <c r="AP1762" s="489"/>
      <c r="AQ1762" s="489"/>
      <c r="AR1762" s="489"/>
      <c r="AS1762" s="489"/>
      <c r="AT1762" s="489"/>
      <c r="AU1762" s="489"/>
      <c r="AV1762" s="489"/>
      <c r="AW1762" s="489"/>
      <c r="AX1762" s="489"/>
      <c r="AY1762" s="489"/>
      <c r="AZ1762" s="489"/>
      <c r="BA1762" s="489"/>
      <c r="BB1762" s="489"/>
      <c r="BC1762" s="489"/>
      <c r="BD1762" s="489"/>
      <c r="BE1762" s="489"/>
      <c r="BF1762" s="489"/>
      <c r="BG1762" s="489"/>
      <c r="BH1762" s="489"/>
      <c r="BI1762" s="489"/>
      <c r="BJ1762" s="489"/>
      <c r="BK1762" s="489"/>
      <c r="BL1762" s="489"/>
      <c r="BM1762" s="489"/>
      <c r="BN1762" s="489"/>
      <c r="BO1762" s="489"/>
      <c r="BP1762" s="489"/>
      <c r="BQ1762" s="489"/>
      <c r="BR1762" s="489"/>
      <c r="BS1762" s="489"/>
      <c r="BT1762" s="489"/>
      <c r="BU1762" s="489"/>
      <c r="BV1762" s="489"/>
      <c r="BW1762" s="489"/>
      <c r="BX1762" s="489"/>
      <c r="BY1762" s="489"/>
      <c r="BZ1762" s="489"/>
      <c r="CA1762" s="489"/>
      <c r="CB1762" s="489"/>
      <c r="CC1762" s="489"/>
      <c r="CD1762" s="489"/>
      <c r="CE1762" s="489"/>
      <c r="CF1762" s="489"/>
      <c r="CG1762" s="489"/>
      <c r="CH1762" s="489"/>
      <c r="CI1762" s="489"/>
      <c r="CJ1762" s="489"/>
      <c r="CK1762" s="489"/>
      <c r="CL1762" s="489"/>
      <c r="CM1762" s="489"/>
      <c r="CN1762" s="489"/>
      <c r="CO1762" s="489"/>
      <c r="CP1762" s="489"/>
      <c r="CQ1762" s="489"/>
      <c r="CR1762" s="489"/>
      <c r="CS1762" s="489"/>
      <c r="CT1762" s="489"/>
      <c r="CU1762" s="489"/>
      <c r="CV1762" s="489"/>
    </row>
    <row r="1763" spans="1:100" s="447" customFormat="1" x14ac:dyDescent="0.25">
      <c r="A1763" s="244"/>
      <c r="B1763" s="257">
        <f>Input!D70</f>
        <v>0</v>
      </c>
      <c r="C1763" s="257"/>
      <c r="D1763" s="195"/>
      <c r="E1763" s="196"/>
      <c r="F1763" s="196"/>
      <c r="G1763" s="196"/>
      <c r="H1763" s="196"/>
      <c r="I1763" s="196"/>
      <c r="J1763" s="499" t="str">
        <f>IF(LEFT(Input!L41,5)="Shelf","ukryj","odkryj")</f>
        <v>odkryj</v>
      </c>
      <c r="K1763" s="489"/>
      <c r="L1763" s="489"/>
      <c r="M1763" s="489"/>
      <c r="N1763" s="489"/>
      <c r="O1763" s="489"/>
      <c r="P1763" s="489"/>
      <c r="Q1763" s="489"/>
      <c r="R1763" s="489"/>
      <c r="S1763" s="489"/>
      <c r="T1763" s="489"/>
      <c r="U1763" s="489"/>
      <c r="V1763" s="489"/>
      <c r="W1763" s="489"/>
      <c r="X1763" s="489"/>
      <c r="Y1763" s="489"/>
      <c r="Z1763" s="489"/>
      <c r="AA1763" s="489"/>
      <c r="AB1763" s="489"/>
      <c r="AC1763" s="489"/>
      <c r="AD1763" s="489"/>
      <c r="AE1763" s="489"/>
      <c r="AF1763" s="489"/>
      <c r="AG1763" s="489"/>
      <c r="AH1763" s="489"/>
      <c r="AI1763" s="489"/>
      <c r="AJ1763" s="489"/>
      <c r="AK1763" s="489"/>
      <c r="AL1763" s="489"/>
      <c r="AM1763" s="489"/>
      <c r="AN1763" s="489"/>
      <c r="AO1763" s="489"/>
      <c r="AP1763" s="489"/>
      <c r="AQ1763" s="489"/>
      <c r="AR1763" s="489"/>
      <c r="AS1763" s="489"/>
      <c r="AT1763" s="489"/>
      <c r="AU1763" s="489"/>
      <c r="AV1763" s="489"/>
      <c r="AW1763" s="489"/>
      <c r="AX1763" s="489"/>
      <c r="AY1763" s="489"/>
      <c r="AZ1763" s="489"/>
      <c r="BA1763" s="489"/>
      <c r="BB1763" s="489"/>
      <c r="BC1763" s="489"/>
      <c r="BD1763" s="489"/>
      <c r="BE1763" s="489"/>
      <c r="BF1763" s="489"/>
      <c r="BG1763" s="489"/>
      <c r="BH1763" s="489"/>
      <c r="BI1763" s="489"/>
      <c r="BJ1763" s="489"/>
      <c r="BK1763" s="489"/>
      <c r="BL1763" s="489"/>
      <c r="BM1763" s="489"/>
      <c r="BN1763" s="489"/>
      <c r="BO1763" s="489"/>
      <c r="BP1763" s="489"/>
      <c r="BQ1763" s="489"/>
      <c r="BR1763" s="489"/>
      <c r="BS1763" s="489"/>
      <c r="BT1763" s="489"/>
      <c r="BU1763" s="489"/>
      <c r="BV1763" s="489"/>
      <c r="BW1763" s="489"/>
      <c r="BX1763" s="489"/>
      <c r="BY1763" s="489"/>
      <c r="BZ1763" s="489"/>
      <c r="CA1763" s="489"/>
      <c r="CB1763" s="489"/>
      <c r="CC1763" s="489"/>
      <c r="CD1763" s="489"/>
      <c r="CE1763" s="489"/>
      <c r="CF1763" s="489"/>
      <c r="CG1763" s="489"/>
      <c r="CH1763" s="489"/>
      <c r="CI1763" s="489"/>
      <c r="CJ1763" s="489"/>
      <c r="CK1763" s="489"/>
      <c r="CL1763" s="489"/>
      <c r="CM1763" s="489"/>
      <c r="CN1763" s="489"/>
      <c r="CO1763" s="489"/>
      <c r="CP1763" s="489"/>
      <c r="CQ1763" s="489"/>
      <c r="CR1763" s="489"/>
      <c r="CS1763" s="489"/>
      <c r="CT1763" s="489"/>
      <c r="CU1763" s="489"/>
      <c r="CV1763" s="489"/>
    </row>
    <row r="1764" spans="1:100" s="447" customFormat="1" x14ac:dyDescent="0.25">
      <c r="A1764" s="244"/>
      <c r="B1764" s="257" t="str">
        <f>Input!B70</f>
        <v>Podmiot odpowiedzialny za prowadzenie ksiąg rachunkowych</v>
      </c>
      <c r="C1764" s="257"/>
      <c r="D1764" s="195"/>
      <c r="E1764" s="196"/>
      <c r="F1764" s="196"/>
      <c r="G1764" s="196"/>
      <c r="H1764" s="196"/>
      <c r="I1764" s="196"/>
      <c r="J1764" s="499" t="str">
        <f>IF(LEFT(Input!L41,5)="Shelf","ukryj","odkryj")</f>
        <v>odkryj</v>
      </c>
      <c r="K1764" s="489"/>
      <c r="L1764" s="489"/>
      <c r="M1764" s="489"/>
      <c r="N1764" s="489"/>
      <c r="O1764" s="489"/>
      <c r="P1764" s="489"/>
      <c r="Q1764" s="489"/>
      <c r="R1764" s="489"/>
      <c r="S1764" s="489"/>
      <c r="T1764" s="489"/>
      <c r="U1764" s="489"/>
      <c r="V1764" s="489"/>
      <c r="W1764" s="489"/>
      <c r="X1764" s="489"/>
      <c r="Y1764" s="489"/>
      <c r="Z1764" s="489"/>
      <c r="AA1764" s="489"/>
      <c r="AB1764" s="489"/>
      <c r="AC1764" s="489"/>
      <c r="AD1764" s="489"/>
      <c r="AE1764" s="489"/>
      <c r="AF1764" s="489"/>
      <c r="AG1764" s="489"/>
      <c r="AH1764" s="489"/>
      <c r="AI1764" s="489"/>
      <c r="AJ1764" s="489"/>
      <c r="AK1764" s="489"/>
      <c r="AL1764" s="489"/>
      <c r="AM1764" s="489"/>
      <c r="AN1764" s="489"/>
      <c r="AO1764" s="489"/>
      <c r="AP1764" s="489"/>
      <c r="AQ1764" s="489"/>
      <c r="AR1764" s="489"/>
      <c r="AS1764" s="489"/>
      <c r="AT1764" s="489"/>
      <c r="AU1764" s="489"/>
      <c r="AV1764" s="489"/>
      <c r="AW1764" s="489"/>
      <c r="AX1764" s="489"/>
      <c r="AY1764" s="489"/>
      <c r="AZ1764" s="489"/>
      <c r="BA1764" s="489"/>
      <c r="BB1764" s="489"/>
      <c r="BC1764" s="489"/>
      <c r="BD1764" s="489"/>
      <c r="BE1764" s="489"/>
      <c r="BF1764" s="489"/>
      <c r="BG1764" s="489"/>
      <c r="BH1764" s="489"/>
      <c r="BI1764" s="489"/>
      <c r="BJ1764" s="489"/>
      <c r="BK1764" s="489"/>
      <c r="BL1764" s="489"/>
      <c r="BM1764" s="489"/>
      <c r="BN1764" s="489"/>
      <c r="BO1764" s="489"/>
      <c r="BP1764" s="489"/>
      <c r="BQ1764" s="489"/>
      <c r="BR1764" s="489"/>
      <c r="BS1764" s="489"/>
      <c r="BT1764" s="489"/>
      <c r="BU1764" s="489"/>
      <c r="BV1764" s="489"/>
      <c r="BW1764" s="489"/>
      <c r="BX1764" s="489"/>
      <c r="BY1764" s="489"/>
      <c r="BZ1764" s="489"/>
      <c r="CA1764" s="489"/>
      <c r="CB1764" s="489"/>
      <c r="CC1764" s="489"/>
      <c r="CD1764" s="489"/>
      <c r="CE1764" s="489"/>
      <c r="CF1764" s="489"/>
      <c r="CG1764" s="489"/>
      <c r="CH1764" s="489"/>
      <c r="CI1764" s="489"/>
      <c r="CJ1764" s="489"/>
      <c r="CK1764" s="489"/>
      <c r="CL1764" s="489"/>
      <c r="CM1764" s="489"/>
      <c r="CN1764" s="489"/>
      <c r="CO1764" s="489"/>
      <c r="CP1764" s="489"/>
      <c r="CQ1764" s="489"/>
      <c r="CR1764" s="489"/>
      <c r="CS1764" s="489"/>
      <c r="CT1764" s="489"/>
      <c r="CU1764" s="489"/>
      <c r="CV1764" s="489"/>
    </row>
    <row r="1765" spans="1:100" s="447" customFormat="1" x14ac:dyDescent="0.25">
      <c r="A1765" s="244"/>
      <c r="B1765" s="257"/>
      <c r="C1765" s="257"/>
      <c r="D1765" s="195"/>
      <c r="E1765" s="196"/>
      <c r="F1765" s="196"/>
      <c r="G1765" s="196"/>
      <c r="H1765" s="196"/>
      <c r="I1765" s="196"/>
      <c r="J1765" s="499" t="s">
        <v>5070</v>
      </c>
      <c r="K1765" s="489"/>
      <c r="L1765" s="489"/>
      <c r="M1765" s="489"/>
      <c r="N1765" s="489"/>
      <c r="O1765" s="489"/>
      <c r="P1765" s="489"/>
      <c r="Q1765" s="489"/>
      <c r="R1765" s="489"/>
      <c r="S1765" s="489"/>
      <c r="T1765" s="489"/>
      <c r="U1765" s="489"/>
      <c r="V1765" s="489"/>
      <c r="W1765" s="489"/>
      <c r="X1765" s="489"/>
      <c r="Y1765" s="489"/>
      <c r="Z1765" s="489"/>
      <c r="AA1765" s="489"/>
      <c r="AB1765" s="489"/>
      <c r="AC1765" s="489"/>
      <c r="AD1765" s="489"/>
      <c r="AE1765" s="489"/>
      <c r="AF1765" s="489"/>
      <c r="AG1765" s="489"/>
      <c r="AH1765" s="489"/>
      <c r="AI1765" s="489"/>
      <c r="AJ1765" s="489"/>
      <c r="AK1765" s="489"/>
      <c r="AL1765" s="489"/>
      <c r="AM1765" s="489"/>
      <c r="AN1765" s="489"/>
      <c r="AO1765" s="489"/>
      <c r="AP1765" s="489"/>
      <c r="AQ1765" s="489"/>
      <c r="AR1765" s="489"/>
      <c r="AS1765" s="489"/>
      <c r="AT1765" s="489"/>
      <c r="AU1765" s="489"/>
      <c r="AV1765" s="489"/>
      <c r="AW1765" s="489"/>
      <c r="AX1765" s="489"/>
      <c r="AY1765" s="489"/>
      <c r="AZ1765" s="489"/>
      <c r="BA1765" s="489"/>
      <c r="BB1765" s="489"/>
      <c r="BC1765" s="489"/>
      <c r="BD1765" s="489"/>
      <c r="BE1765" s="489"/>
      <c r="BF1765" s="489"/>
      <c r="BG1765" s="489"/>
      <c r="BH1765" s="489"/>
      <c r="BI1765" s="489"/>
      <c r="BJ1765" s="489"/>
      <c r="BK1765" s="489"/>
      <c r="BL1765" s="489"/>
      <c r="BM1765" s="489"/>
      <c r="BN1765" s="489"/>
      <c r="BO1765" s="489"/>
      <c r="BP1765" s="489"/>
      <c r="BQ1765" s="489"/>
      <c r="BR1765" s="489"/>
      <c r="BS1765" s="489"/>
      <c r="BT1765" s="489"/>
      <c r="BU1765" s="489"/>
      <c r="BV1765" s="489"/>
      <c r="BW1765" s="489"/>
      <c r="BX1765" s="489"/>
      <c r="BY1765" s="489"/>
      <c r="BZ1765" s="489"/>
      <c r="CA1765" s="489"/>
      <c r="CB1765" s="489"/>
      <c r="CC1765" s="489"/>
      <c r="CD1765" s="489"/>
      <c r="CE1765" s="489"/>
      <c r="CF1765" s="489"/>
      <c r="CG1765" s="489"/>
      <c r="CH1765" s="489"/>
      <c r="CI1765" s="489"/>
      <c r="CJ1765" s="489"/>
      <c r="CK1765" s="489"/>
      <c r="CL1765" s="489"/>
      <c r="CM1765" s="489"/>
      <c r="CN1765" s="489"/>
      <c r="CO1765" s="489"/>
      <c r="CP1765" s="489"/>
      <c r="CQ1765" s="489"/>
      <c r="CR1765" s="489"/>
      <c r="CS1765" s="489"/>
      <c r="CT1765" s="489"/>
      <c r="CU1765" s="489"/>
      <c r="CV1765" s="489"/>
    </row>
    <row r="1766" spans="1:100" s="447" customFormat="1" x14ac:dyDescent="0.25">
      <c r="A1766" s="244"/>
      <c r="B1766" s="257"/>
      <c r="C1766" s="812"/>
      <c r="D1766" s="195"/>
      <c r="E1766" s="196"/>
      <c r="F1766" s="196"/>
      <c r="G1766" s="196"/>
      <c r="H1766" s="196"/>
      <c r="I1766" s="196"/>
      <c r="J1766" s="499"/>
      <c r="K1766" s="197"/>
      <c r="L1766" s="200"/>
      <c r="M1766" s="200"/>
      <c r="N1766" s="475"/>
      <c r="O1766" s="489"/>
    </row>
    <row r="1767" spans="1:100" s="257" customFormat="1" x14ac:dyDescent="0.25">
      <c r="A1767" s="171"/>
      <c r="D1767" s="202"/>
      <c r="E1767" s="202"/>
      <c r="F1767" s="202"/>
      <c r="G1767" s="202"/>
      <c r="H1767" s="202"/>
      <c r="I1767" s="608"/>
      <c r="J1767" s="499"/>
      <c r="K1767" s="154"/>
      <c r="N1767" s="172"/>
      <c r="O1767" s="489" t="str">
        <f>A1682+1&amp;"."</f>
        <v>22.</v>
      </c>
    </row>
    <row r="1768" spans="1:100" x14ac:dyDescent="0.25"/>
    <row r="1769" spans="1:100" x14ac:dyDescent="0.25"/>
    <row r="1770" spans="1:100" x14ac:dyDescent="0.25"/>
    <row r="1771" spans="1:100" x14ac:dyDescent="0.25"/>
    <row r="1772" spans="1:100" x14ac:dyDescent="0.25"/>
    <row r="1773" spans="1:100" x14ac:dyDescent="0.25"/>
    <row r="1774" spans="1:100" x14ac:dyDescent="0.25"/>
    <row r="1775" spans="1:100" x14ac:dyDescent="0.25"/>
    <row r="1776" spans="1:100" x14ac:dyDescent="0.25"/>
    <row r="1777" x14ac:dyDescent="0.25"/>
    <row r="1778" x14ac:dyDescent="0.25"/>
    <row r="1779" x14ac:dyDescent="0.25"/>
    <row r="1780" x14ac:dyDescent="0.25"/>
    <row r="1781" x14ac:dyDescent="0.25"/>
    <row r="1782" x14ac:dyDescent="0.25"/>
    <row r="1783" x14ac:dyDescent="0.25"/>
    <row r="1784" x14ac:dyDescent="0.25"/>
    <row r="1785" x14ac:dyDescent="0.25"/>
    <row r="1786" x14ac:dyDescent="0.25"/>
    <row r="1787" x14ac:dyDescent="0.25"/>
    <row r="1788" x14ac:dyDescent="0.25"/>
    <row r="1789" x14ac:dyDescent="0.25"/>
    <row r="1790" x14ac:dyDescent="0.25"/>
    <row r="1791" x14ac:dyDescent="0.25"/>
    <row r="1792" x14ac:dyDescent="0.25"/>
    <row r="1793" x14ac:dyDescent="0.25"/>
    <row r="1794" x14ac:dyDescent="0.25"/>
    <row r="1795" x14ac:dyDescent="0.25"/>
    <row r="1796" x14ac:dyDescent="0.25"/>
    <row r="1797" x14ac:dyDescent="0.25"/>
    <row r="1798" x14ac:dyDescent="0.25"/>
    <row r="1799" x14ac:dyDescent="0.25"/>
    <row r="1800" x14ac:dyDescent="0.25"/>
    <row r="1801" x14ac:dyDescent="0.25"/>
    <row r="1802" x14ac:dyDescent="0.25"/>
    <row r="1803" x14ac:dyDescent="0.25"/>
    <row r="1804" x14ac:dyDescent="0.25"/>
    <row r="1805" x14ac:dyDescent="0.25"/>
    <row r="1806" x14ac:dyDescent="0.25"/>
    <row r="1807" x14ac:dyDescent="0.25"/>
    <row r="1808" x14ac:dyDescent="0.25"/>
    <row r="1809" x14ac:dyDescent="0.25"/>
    <row r="1810" x14ac:dyDescent="0.25"/>
    <row r="1811" x14ac:dyDescent="0.25"/>
    <row r="1812" x14ac:dyDescent="0.25"/>
    <row r="1813" x14ac:dyDescent="0.25"/>
    <row r="1814" x14ac:dyDescent="0.25"/>
    <row r="1815" x14ac:dyDescent="0.25"/>
    <row r="1816" x14ac:dyDescent="0.25"/>
    <row r="1817" x14ac:dyDescent="0.25"/>
    <row r="1818" x14ac:dyDescent="0.25"/>
  </sheetData>
  <sheetProtection formatCells="0" formatColumns="0" formatRows="0" sort="0" autoFilter="0"/>
  <protectedRanges>
    <protectedRange sqref="M132 H133:I133 H72:I72 H139:I139 H147:I147 H156:I156 H60:I60" name="Range1_1"/>
    <protectedRange sqref="C226" name="Range1_1_1"/>
    <protectedRange sqref="B318 B334 B350 B366 B382" name="Range1"/>
    <protectedRange sqref="A334 A318 A350 A366 A382" name="Range1_1_2"/>
    <protectedRange sqref="B317:I317" name="Range1_2"/>
    <protectedRange sqref="B424 B438" name="Range1_3"/>
    <protectedRange sqref="H392:H394 G421:H421 H409:H420 I409:I421 H396:I407 I390:I394 G390:H391 A390:F421 H435:I435" name="Range1_1_3"/>
    <protectedRange sqref="B465" name="Range1_4"/>
    <protectedRange sqref="A463" name="Range1_2_1"/>
    <protectedRange sqref="B535 B509:B510" name="Range1_1_4"/>
    <protectedRange sqref="A562" name="Range1_2_1_1"/>
    <protectedRange sqref="A820" name="Range1_2_2"/>
    <protectedRange sqref="A915" name="Range1_2_3"/>
    <protectedRange sqref="B1108 B1018 B1089 B1131" name="Range1_1_5"/>
  </protectedRanges>
  <autoFilter ref="J2:J1767" xr:uid="{00000000-0009-0000-0000-000013000000}"/>
  <dataConsolidate/>
  <mergeCells count="948">
    <mergeCell ref="C1717:I1717"/>
    <mergeCell ref="C1718:I1718"/>
    <mergeCell ref="C1719:I1719"/>
    <mergeCell ref="C1720:I1720"/>
    <mergeCell ref="C1721:I1721"/>
    <mergeCell ref="C1722:I1722"/>
    <mergeCell ref="C1707:I1707"/>
    <mergeCell ref="C1708:I1708"/>
    <mergeCell ref="C1709:I1709"/>
    <mergeCell ref="C1710:I1710"/>
    <mergeCell ref="C1711:I1711"/>
    <mergeCell ref="C1712:I1712"/>
    <mergeCell ref="C1713:I1713"/>
    <mergeCell ref="C1715:I1715"/>
    <mergeCell ref="C1716:I1716"/>
    <mergeCell ref="C1743:I1743"/>
    <mergeCell ref="C1726:I1726"/>
    <mergeCell ref="C1727:I1727"/>
    <mergeCell ref="C1728:I1728"/>
    <mergeCell ref="C1729:I1729"/>
    <mergeCell ref="C1730:I1730"/>
    <mergeCell ref="C1731:I1731"/>
    <mergeCell ref="C1732:I1732"/>
    <mergeCell ref="C1734:I1734"/>
    <mergeCell ref="C1735:I1735"/>
    <mergeCell ref="C1736:I1736"/>
    <mergeCell ref="C1737:I1737"/>
    <mergeCell ref="C1738:I1738"/>
    <mergeCell ref="C1739:I1739"/>
    <mergeCell ref="C1740:I1740"/>
    <mergeCell ref="C1741:I1741"/>
    <mergeCell ref="C1488:I1488"/>
    <mergeCell ref="C1495:I1495"/>
    <mergeCell ref="C1518:I1518"/>
    <mergeCell ref="C1601:I1601"/>
    <mergeCell ref="C1644:I1644"/>
    <mergeCell ref="C1651:I1651"/>
    <mergeCell ref="C1667:I1667"/>
    <mergeCell ref="C1675:I1675"/>
    <mergeCell ref="C1682:I1682"/>
    <mergeCell ref="C1673:I1673"/>
    <mergeCell ref="C1638:I1638"/>
    <mergeCell ref="C1639:I1639"/>
    <mergeCell ref="C1640:I1640"/>
    <mergeCell ref="C1641:I1641"/>
    <mergeCell ref="C1642:I1642"/>
    <mergeCell ref="C1646:I1646"/>
    <mergeCell ref="C1595:I1595"/>
    <mergeCell ref="C1597:I1597"/>
    <mergeCell ref="C1599:I1599"/>
    <mergeCell ref="C1634:I1634"/>
    <mergeCell ref="C1636:I1636"/>
    <mergeCell ref="C1637:I1637"/>
    <mergeCell ref="C1588:E1588"/>
    <mergeCell ref="C1589:E1589"/>
    <mergeCell ref="C1389:I1389"/>
    <mergeCell ref="C1396:I1396"/>
    <mergeCell ref="C1403:I1403"/>
    <mergeCell ref="C1410:I1410"/>
    <mergeCell ref="C1422:I1422"/>
    <mergeCell ref="C1380:I1380"/>
    <mergeCell ref="C1391:I1391"/>
    <mergeCell ref="C1398:I1398"/>
    <mergeCell ref="C1405:I1405"/>
    <mergeCell ref="C1408:I1408"/>
    <mergeCell ref="C1420:I1420"/>
    <mergeCell ref="C1382:I1382"/>
    <mergeCell ref="C1384:I1384"/>
    <mergeCell ref="C1386:I1386"/>
    <mergeCell ref="C1387:I1387"/>
    <mergeCell ref="C1067:I1067"/>
    <mergeCell ref="C1087:I1087"/>
    <mergeCell ref="C1089:I1089"/>
    <mergeCell ref="C1108:I1108"/>
    <mergeCell ref="C1131:I1131"/>
    <mergeCell ref="C1150:I1150"/>
    <mergeCell ref="C1162:I1162"/>
    <mergeCell ref="C1183:I1183"/>
    <mergeCell ref="C1260:I1260"/>
    <mergeCell ref="C1177:I1177"/>
    <mergeCell ref="C1179:G1179"/>
    <mergeCell ref="C1181:I1181"/>
    <mergeCell ref="C1196:F1196"/>
    <mergeCell ref="C1197:F1197"/>
    <mergeCell ref="C1258:I1258"/>
    <mergeCell ref="C1165:F1165"/>
    <mergeCell ref="C1166:F1166"/>
    <mergeCell ref="C1171:F1171"/>
    <mergeCell ref="C1172:F1172"/>
    <mergeCell ref="D1106:E1106"/>
    <mergeCell ref="H1106:I1106"/>
    <mergeCell ref="C1109:I1109"/>
    <mergeCell ref="C1114:F1114"/>
    <mergeCell ref="C1132:I1132"/>
    <mergeCell ref="C809:I809"/>
    <mergeCell ref="C820:I820"/>
    <mergeCell ref="C822:I822"/>
    <mergeCell ref="C847:I847"/>
    <mergeCell ref="C872:I872"/>
    <mergeCell ref="C889:I889"/>
    <mergeCell ref="C915:I915"/>
    <mergeCell ref="C917:I917"/>
    <mergeCell ref="C931:I931"/>
    <mergeCell ref="C925:F925"/>
    <mergeCell ref="C926:F926"/>
    <mergeCell ref="C929:I929"/>
    <mergeCell ref="E913:F913"/>
    <mergeCell ref="G913:I913"/>
    <mergeCell ref="G914:H914"/>
    <mergeCell ref="C920:F920"/>
    <mergeCell ref="C921:F921"/>
    <mergeCell ref="C922:F922"/>
    <mergeCell ref="C924:F924"/>
    <mergeCell ref="C908:I908"/>
    <mergeCell ref="C910:D910"/>
    <mergeCell ref="E910:F911"/>
    <mergeCell ref="G910:I911"/>
    <mergeCell ref="E912:F912"/>
    <mergeCell ref="C668:I668"/>
    <mergeCell ref="C694:I694"/>
    <mergeCell ref="C707:I707"/>
    <mergeCell ref="C716:I716"/>
    <mergeCell ref="C734:I734"/>
    <mergeCell ref="C748:I748"/>
    <mergeCell ref="C768:I768"/>
    <mergeCell ref="C770:I770"/>
    <mergeCell ref="C780:I780"/>
    <mergeCell ref="F736:G736"/>
    <mergeCell ref="H736:I736"/>
    <mergeCell ref="C743:E743"/>
    <mergeCell ref="C771:E771"/>
    <mergeCell ref="C772:E772"/>
    <mergeCell ref="C681:I681"/>
    <mergeCell ref="C709:D709"/>
    <mergeCell ref="C710:D710"/>
    <mergeCell ref="C711:D711"/>
    <mergeCell ref="C712:D712"/>
    <mergeCell ref="C713:D713"/>
    <mergeCell ref="C463:I463"/>
    <mergeCell ref="C465:I465"/>
    <mergeCell ref="C509:I509"/>
    <mergeCell ref="C535:I535"/>
    <mergeCell ref="C551:I551"/>
    <mergeCell ref="C553:I553"/>
    <mergeCell ref="C562:I562"/>
    <mergeCell ref="C564:I564"/>
    <mergeCell ref="C589:I589"/>
    <mergeCell ref="C583:I583"/>
    <mergeCell ref="C585:G585"/>
    <mergeCell ref="C587:I587"/>
    <mergeCell ref="C571:E571"/>
    <mergeCell ref="C572:E572"/>
    <mergeCell ref="C573:E573"/>
    <mergeCell ref="C574:E574"/>
    <mergeCell ref="C575:E575"/>
    <mergeCell ref="C576:E576"/>
    <mergeCell ref="C547:D547"/>
    <mergeCell ref="C548:D548"/>
    <mergeCell ref="C549:D549"/>
    <mergeCell ref="C568:E568"/>
    <mergeCell ref="C569:E569"/>
    <mergeCell ref="C570:E570"/>
    <mergeCell ref="C318:I318"/>
    <mergeCell ref="C334:I334"/>
    <mergeCell ref="C350:I350"/>
    <mergeCell ref="C366:I366"/>
    <mergeCell ref="C382:I382"/>
    <mergeCell ref="C390:I390"/>
    <mergeCell ref="C422:I422"/>
    <mergeCell ref="C424:I424"/>
    <mergeCell ref="C438:I438"/>
    <mergeCell ref="C403:F403"/>
    <mergeCell ref="C404:F404"/>
    <mergeCell ref="C408:F408"/>
    <mergeCell ref="C426:I426"/>
    <mergeCell ref="H380:I380"/>
    <mergeCell ref="C395:F395"/>
    <mergeCell ref="C396:F396"/>
    <mergeCell ref="C397:F397"/>
    <mergeCell ref="C398:F398"/>
    <mergeCell ref="C399:F399"/>
    <mergeCell ref="C400:F400"/>
    <mergeCell ref="C401:F401"/>
    <mergeCell ref="C402:F402"/>
    <mergeCell ref="C6:I6"/>
    <mergeCell ref="C8:I8"/>
    <mergeCell ref="C59:I59"/>
    <mergeCell ref="C66:I66"/>
    <mergeCell ref="C70:I70"/>
    <mergeCell ref="C77:I77"/>
    <mergeCell ref="C79:I79"/>
    <mergeCell ref="C131:I131"/>
    <mergeCell ref="C145:I145"/>
    <mergeCell ref="C135:F135"/>
    <mergeCell ref="C136:F136"/>
    <mergeCell ref="C140:F140"/>
    <mergeCell ref="C75:I75"/>
    <mergeCell ref="D57:E57"/>
    <mergeCell ref="H61:I61"/>
    <mergeCell ref="C63:H63"/>
    <mergeCell ref="C64:D64"/>
    <mergeCell ref="E64:I64"/>
    <mergeCell ref="C68:I68"/>
    <mergeCell ref="C73:F73"/>
    <mergeCell ref="C134:F134"/>
    <mergeCell ref="D48:E48"/>
    <mergeCell ref="D49:E49"/>
    <mergeCell ref="D50:E50"/>
    <mergeCell ref="C1684:I1684"/>
    <mergeCell ref="C1661:I1661"/>
    <mergeCell ref="C1663:I1663"/>
    <mergeCell ref="C1664:I1664"/>
    <mergeCell ref="C1665:I1665"/>
    <mergeCell ref="C1669:I1669"/>
    <mergeCell ref="C1670:I1670"/>
    <mergeCell ref="C1649:I1649"/>
    <mergeCell ref="C1653:I1653"/>
    <mergeCell ref="C1655:I1655"/>
    <mergeCell ref="C1657:I1657"/>
    <mergeCell ref="C1658:I1658"/>
    <mergeCell ref="C1659:I1659"/>
    <mergeCell ref="C1677:I1677"/>
    <mergeCell ref="C1679:I1679"/>
    <mergeCell ref="C1680:I1680"/>
    <mergeCell ref="C1590:E1590"/>
    <mergeCell ref="C1591:E1591"/>
    <mergeCell ref="C1592:E1592"/>
    <mergeCell ref="C1593:E1593"/>
    <mergeCell ref="C1584:E1584"/>
    <mergeCell ref="A1586:A1587"/>
    <mergeCell ref="B1586:B1587"/>
    <mergeCell ref="C1586:E1587"/>
    <mergeCell ref="F1586:G1586"/>
    <mergeCell ref="H1586:I1586"/>
    <mergeCell ref="H1577:I1577"/>
    <mergeCell ref="C1579:E1579"/>
    <mergeCell ref="C1580:E1580"/>
    <mergeCell ref="C1581:E1581"/>
    <mergeCell ref="C1582:E1582"/>
    <mergeCell ref="C1583:E1583"/>
    <mergeCell ref="C1574:E1574"/>
    <mergeCell ref="C1575:E1575"/>
    <mergeCell ref="A1577:A1578"/>
    <mergeCell ref="B1577:B1578"/>
    <mergeCell ref="C1577:E1578"/>
    <mergeCell ref="F1577:G1577"/>
    <mergeCell ref="F1568:G1568"/>
    <mergeCell ref="H1568:I1568"/>
    <mergeCell ref="C1570:E1570"/>
    <mergeCell ref="C1571:E1571"/>
    <mergeCell ref="C1572:E1572"/>
    <mergeCell ref="C1573:E1573"/>
    <mergeCell ref="C1562:E1562"/>
    <mergeCell ref="C1563:E1563"/>
    <mergeCell ref="C1564:E1564"/>
    <mergeCell ref="C1565:E1565"/>
    <mergeCell ref="C1566:E1566"/>
    <mergeCell ref="A1568:A1569"/>
    <mergeCell ref="B1568:B1569"/>
    <mergeCell ref="C1568:E1569"/>
    <mergeCell ref="A1559:A1560"/>
    <mergeCell ref="B1559:B1560"/>
    <mergeCell ref="C1559:E1560"/>
    <mergeCell ref="F1559:G1559"/>
    <mergeCell ref="H1559:I1559"/>
    <mergeCell ref="C1561:E1561"/>
    <mergeCell ref="C1552:E1552"/>
    <mergeCell ref="C1553:E1553"/>
    <mergeCell ref="C1554:E1554"/>
    <mergeCell ref="C1555:E1555"/>
    <mergeCell ref="C1556:E1556"/>
    <mergeCell ref="C1557:E1557"/>
    <mergeCell ref="C1548:E1548"/>
    <mergeCell ref="F1548:G1548"/>
    <mergeCell ref="H1548:I1548"/>
    <mergeCell ref="A1550:A1551"/>
    <mergeCell ref="C1550:E1551"/>
    <mergeCell ref="F1550:G1550"/>
    <mergeCell ref="H1550:I1550"/>
    <mergeCell ref="C1546:E1546"/>
    <mergeCell ref="F1546:G1546"/>
    <mergeCell ref="H1546:I1546"/>
    <mergeCell ref="C1547:E1547"/>
    <mergeCell ref="F1547:G1547"/>
    <mergeCell ref="H1547:I1547"/>
    <mergeCell ref="C1544:E1544"/>
    <mergeCell ref="F1544:G1544"/>
    <mergeCell ref="H1544:I1544"/>
    <mergeCell ref="C1545:E1545"/>
    <mergeCell ref="F1545:G1545"/>
    <mergeCell ref="H1545:I1545"/>
    <mergeCell ref="C1538:I1538"/>
    <mergeCell ref="C1540:I1540"/>
    <mergeCell ref="C1542:E1542"/>
    <mergeCell ref="F1542:G1542"/>
    <mergeCell ref="H1542:I1542"/>
    <mergeCell ref="C1543:E1543"/>
    <mergeCell ref="F1543:G1543"/>
    <mergeCell ref="H1543:I1543"/>
    <mergeCell ref="C1526:I1526"/>
    <mergeCell ref="C1528:I1528"/>
    <mergeCell ref="C1530:I1530"/>
    <mergeCell ref="C1532:I1532"/>
    <mergeCell ref="C1534:I1534"/>
    <mergeCell ref="C1536:I1536"/>
    <mergeCell ref="C1513:D1513"/>
    <mergeCell ref="E1513:F1513"/>
    <mergeCell ref="C1516:I1516"/>
    <mergeCell ref="C1520:I1520"/>
    <mergeCell ref="C1522:I1522"/>
    <mergeCell ref="C1524:I1524"/>
    <mergeCell ref="C1510:D1510"/>
    <mergeCell ref="E1510:F1510"/>
    <mergeCell ref="C1511:D1511"/>
    <mergeCell ref="E1511:F1511"/>
    <mergeCell ref="C1512:D1512"/>
    <mergeCell ref="E1512:F1512"/>
    <mergeCell ref="C1504:D1504"/>
    <mergeCell ref="F1504:G1504"/>
    <mergeCell ref="C1505:D1505"/>
    <mergeCell ref="F1505:G1505"/>
    <mergeCell ref="F1506:G1506"/>
    <mergeCell ref="C1508:I1508"/>
    <mergeCell ref="C1501:D1501"/>
    <mergeCell ref="F1501:G1501"/>
    <mergeCell ref="C1502:D1502"/>
    <mergeCell ref="F1502:G1502"/>
    <mergeCell ref="C1503:D1503"/>
    <mergeCell ref="F1503:G1503"/>
    <mergeCell ref="C1490:I1490"/>
    <mergeCell ref="C1493:I1493"/>
    <mergeCell ref="C1497:I1497"/>
    <mergeCell ref="C1499:D1499"/>
    <mergeCell ref="F1499:G1499"/>
    <mergeCell ref="C1500:D1500"/>
    <mergeCell ref="F1500:G1500"/>
    <mergeCell ref="C1479:E1479"/>
    <mergeCell ref="C1480:E1480"/>
    <mergeCell ref="C1481:E1481"/>
    <mergeCell ref="C1482:E1482"/>
    <mergeCell ref="C1483:E1483"/>
    <mergeCell ref="C1486:I1486"/>
    <mergeCell ref="C1435:I1435"/>
    <mergeCell ref="C1437:I1437"/>
    <mergeCell ref="C1441:I1441"/>
    <mergeCell ref="C1449:I1449"/>
    <mergeCell ref="C1457:I1457"/>
    <mergeCell ref="C1465:I1465"/>
    <mergeCell ref="C1439:I1439"/>
    <mergeCell ref="C1473:I1473"/>
    <mergeCell ref="C1367:I1367"/>
    <mergeCell ref="C1369:I1369"/>
    <mergeCell ref="C1371:I1371"/>
    <mergeCell ref="C1373:I1373"/>
    <mergeCell ref="C1375:I1375"/>
    <mergeCell ref="C1377:I1377"/>
    <mergeCell ref="C1338:F1338"/>
    <mergeCell ref="C1340:F1340"/>
    <mergeCell ref="C1341:F1341"/>
    <mergeCell ref="C1342:F1342"/>
    <mergeCell ref="C1343:F1343"/>
    <mergeCell ref="C1353:F1353"/>
    <mergeCell ref="C1356:F1356"/>
    <mergeCell ref="C1365:I1365"/>
    <mergeCell ref="C1348:F1348"/>
    <mergeCell ref="C1350:F1350"/>
    <mergeCell ref="C1351:F1351"/>
    <mergeCell ref="C1344:F1344"/>
    <mergeCell ref="C1347:F1347"/>
    <mergeCell ref="C1349:F1349"/>
    <mergeCell ref="C1352:F1352"/>
    <mergeCell ref="C1357:F1357"/>
    <mergeCell ref="C1358:F1358"/>
    <mergeCell ref="C1361:I1361"/>
    <mergeCell ref="C1315:F1315"/>
    <mergeCell ref="C1316:F1316"/>
    <mergeCell ref="C1337:F1337"/>
    <mergeCell ref="C1320:F1320"/>
    <mergeCell ref="C1321:F1321"/>
    <mergeCell ref="C1336:F1336"/>
    <mergeCell ref="C1339:F1339"/>
    <mergeCell ref="C1306:F1306"/>
    <mergeCell ref="C1311:F1311"/>
    <mergeCell ref="C1312:F1312"/>
    <mergeCell ref="C1313:F1313"/>
    <mergeCell ref="C1314:F1314"/>
    <mergeCell ref="C1300:I1300"/>
    <mergeCell ref="C1305:F1305"/>
    <mergeCell ref="C1295:F1295"/>
    <mergeCell ref="C1296:F1296"/>
    <mergeCell ref="C1297:F1297"/>
    <mergeCell ref="C1304:F1304"/>
    <mergeCell ref="C1307:F1307"/>
    <mergeCell ref="C1262:I1262"/>
    <mergeCell ref="C1264:I1264"/>
    <mergeCell ref="C1279:I1279"/>
    <mergeCell ref="C1280:I1280"/>
    <mergeCell ref="C1284:I1284"/>
    <mergeCell ref="C1200:F1200"/>
    <mergeCell ref="C1248:F1248"/>
    <mergeCell ref="C1255:I1255"/>
    <mergeCell ref="C1257:I1257"/>
    <mergeCell ref="C1266:I1266"/>
    <mergeCell ref="C1277:I1277"/>
    <mergeCell ref="C1282:I1282"/>
    <mergeCell ref="C1152:I1152"/>
    <mergeCell ref="C1160:I1160"/>
    <mergeCell ref="C1135:F1135"/>
    <mergeCell ref="C1136:F1136"/>
    <mergeCell ref="C1156:F1156"/>
    <mergeCell ref="C1157:F1157"/>
    <mergeCell ref="C1158:F1158"/>
    <mergeCell ref="D1104:E1104"/>
    <mergeCell ref="H1104:I1104"/>
    <mergeCell ref="D1105:E1105"/>
    <mergeCell ref="H1105:I1105"/>
    <mergeCell ref="D1102:E1102"/>
    <mergeCell ref="H1102:I1102"/>
    <mergeCell ref="D1103:E1103"/>
    <mergeCell ref="H1103:I1103"/>
    <mergeCell ref="D1100:E1100"/>
    <mergeCell ref="H1100:I1100"/>
    <mergeCell ref="D1101:E1101"/>
    <mergeCell ref="H1101:I1101"/>
    <mergeCell ref="D1098:E1098"/>
    <mergeCell ref="H1098:I1098"/>
    <mergeCell ref="D1099:E1099"/>
    <mergeCell ref="H1099:I1099"/>
    <mergeCell ref="D1096:E1096"/>
    <mergeCell ref="H1096:I1096"/>
    <mergeCell ref="D1097:E1097"/>
    <mergeCell ref="H1097:I1097"/>
    <mergeCell ref="H1093:I1093"/>
    <mergeCell ref="D1094:E1094"/>
    <mergeCell ref="H1094:I1094"/>
    <mergeCell ref="D1095:E1095"/>
    <mergeCell ref="H1095:I1095"/>
    <mergeCell ref="C1068:I1068"/>
    <mergeCell ref="C1090:I1090"/>
    <mergeCell ref="A1091:A1093"/>
    <mergeCell ref="D1091:I1091"/>
    <mergeCell ref="D1092:E1093"/>
    <mergeCell ref="F1092:I1092"/>
    <mergeCell ref="C1091:C1093"/>
    <mergeCell ref="C1071:F1071"/>
    <mergeCell ref="C1072:F1072"/>
    <mergeCell ref="C1073:F1073"/>
    <mergeCell ref="D1033:E1033"/>
    <mergeCell ref="H1033:I1033"/>
    <mergeCell ref="C1036:I1036"/>
    <mergeCell ref="C1050:F1050"/>
    <mergeCell ref="D1031:E1031"/>
    <mergeCell ref="H1031:I1031"/>
    <mergeCell ref="D1032:E1032"/>
    <mergeCell ref="H1032:I1032"/>
    <mergeCell ref="C1040:F1040"/>
    <mergeCell ref="C1035:I1035"/>
    <mergeCell ref="D1029:E1029"/>
    <mergeCell ref="H1029:I1029"/>
    <mergeCell ref="D1030:E1030"/>
    <mergeCell ref="H1030:I1030"/>
    <mergeCell ref="D1027:E1027"/>
    <mergeCell ref="H1027:I1027"/>
    <mergeCell ref="D1028:E1028"/>
    <mergeCell ref="H1028:I1028"/>
    <mergeCell ref="D1025:E1025"/>
    <mergeCell ref="H1025:I1025"/>
    <mergeCell ref="D1026:E1026"/>
    <mergeCell ref="H1026:I1026"/>
    <mergeCell ref="D1023:E1023"/>
    <mergeCell ref="H1023:I1023"/>
    <mergeCell ref="D1024:E1024"/>
    <mergeCell ref="H1024:I1024"/>
    <mergeCell ref="C936:F936"/>
    <mergeCell ref="C937:F937"/>
    <mergeCell ref="A1020:A1022"/>
    <mergeCell ref="C1020:C1022"/>
    <mergeCell ref="D1020:I1020"/>
    <mergeCell ref="D1021:E1022"/>
    <mergeCell ref="F1021:I1021"/>
    <mergeCell ref="H1022:I1022"/>
    <mergeCell ref="C944:I944"/>
    <mergeCell ref="C963:I963"/>
    <mergeCell ref="C991:I991"/>
    <mergeCell ref="C1019:I1019"/>
    <mergeCell ref="C940:F940"/>
    <mergeCell ref="C941:F941"/>
    <mergeCell ref="C946:I946"/>
    <mergeCell ref="C962:I962"/>
    <mergeCell ref="C990:I990"/>
    <mergeCell ref="C1016:I1016"/>
    <mergeCell ref="C1018:I1018"/>
    <mergeCell ref="G912:I912"/>
    <mergeCell ref="C904:D904"/>
    <mergeCell ref="F904:G904"/>
    <mergeCell ref="C905:D905"/>
    <mergeCell ref="F905:G905"/>
    <mergeCell ref="C906:D906"/>
    <mergeCell ref="F906:G906"/>
    <mergeCell ref="D898:E898"/>
    <mergeCell ref="F898:G898"/>
    <mergeCell ref="H898:I898"/>
    <mergeCell ref="C900:I900"/>
    <mergeCell ref="C902:D903"/>
    <mergeCell ref="E902:E903"/>
    <mergeCell ref="F902:G903"/>
    <mergeCell ref="H902:I902"/>
    <mergeCell ref="D896:E896"/>
    <mergeCell ref="F896:G896"/>
    <mergeCell ref="H896:I896"/>
    <mergeCell ref="D897:E897"/>
    <mergeCell ref="F897:G897"/>
    <mergeCell ref="H897:I897"/>
    <mergeCell ref="C886:E886"/>
    <mergeCell ref="C891:I891"/>
    <mergeCell ref="D892:H892"/>
    <mergeCell ref="C893:I893"/>
    <mergeCell ref="D895:E895"/>
    <mergeCell ref="F895:G895"/>
    <mergeCell ref="H895:I895"/>
    <mergeCell ref="C880:E880"/>
    <mergeCell ref="C881:E881"/>
    <mergeCell ref="C882:E882"/>
    <mergeCell ref="C883:E883"/>
    <mergeCell ref="C884:E884"/>
    <mergeCell ref="C885:E885"/>
    <mergeCell ref="C812:F812"/>
    <mergeCell ref="B866:C866"/>
    <mergeCell ref="C874:D874"/>
    <mergeCell ref="C876:E876"/>
    <mergeCell ref="C877:E877"/>
    <mergeCell ref="C878:E878"/>
    <mergeCell ref="C879:E879"/>
    <mergeCell ref="B849:C849"/>
    <mergeCell ref="B850:C850"/>
    <mergeCell ref="B854:C854"/>
    <mergeCell ref="B858:C858"/>
    <mergeCell ref="B862:C862"/>
    <mergeCell ref="C818:F818"/>
    <mergeCell ref="C806:D806"/>
    <mergeCell ref="F806:G806"/>
    <mergeCell ref="H806:I806"/>
    <mergeCell ref="F807:G807"/>
    <mergeCell ref="H807:I807"/>
    <mergeCell ref="C804:D804"/>
    <mergeCell ref="F804:G804"/>
    <mergeCell ref="H804:I804"/>
    <mergeCell ref="C805:D805"/>
    <mergeCell ref="F805:G805"/>
    <mergeCell ref="H805:I805"/>
    <mergeCell ref="C785:F785"/>
    <mergeCell ref="C786:F786"/>
    <mergeCell ref="C787:F787"/>
    <mergeCell ref="C802:D802"/>
    <mergeCell ref="F802:G802"/>
    <mergeCell ref="H802:I802"/>
    <mergeCell ref="C803:D803"/>
    <mergeCell ref="F803:G803"/>
    <mergeCell ref="H803:I803"/>
    <mergeCell ref="C790:I790"/>
    <mergeCell ref="C794:I794"/>
    <mergeCell ref="C796:I796"/>
    <mergeCell ref="C798:I798"/>
    <mergeCell ref="F800:I800"/>
    <mergeCell ref="F801:G801"/>
    <mergeCell ref="H801:I801"/>
    <mergeCell ref="C792:I792"/>
    <mergeCell ref="C782:E782"/>
    <mergeCell ref="C781:E781"/>
    <mergeCell ref="C773:F773"/>
    <mergeCell ref="C774:F774"/>
    <mergeCell ref="C775:F775"/>
    <mergeCell ref="C776:F776"/>
    <mergeCell ref="C777:F777"/>
    <mergeCell ref="C783:F783"/>
    <mergeCell ref="C784:F784"/>
    <mergeCell ref="D664:E664"/>
    <mergeCell ref="F664:G664"/>
    <mergeCell ref="H664:I664"/>
    <mergeCell ref="D666:E666"/>
    <mergeCell ref="F666:G666"/>
    <mergeCell ref="H666:I666"/>
    <mergeCell ref="D661:E661"/>
    <mergeCell ref="F661:G661"/>
    <mergeCell ref="H661:I661"/>
    <mergeCell ref="D662:E662"/>
    <mergeCell ref="F662:G662"/>
    <mergeCell ref="H662:I662"/>
    <mergeCell ref="D659:E659"/>
    <mergeCell ref="F659:G659"/>
    <mergeCell ref="H659:I659"/>
    <mergeCell ref="D660:E660"/>
    <mergeCell ref="F660:G660"/>
    <mergeCell ref="H660:I660"/>
    <mergeCell ref="C650:I650"/>
    <mergeCell ref="C651:I651"/>
    <mergeCell ref="C652:I652"/>
    <mergeCell ref="C653:I653"/>
    <mergeCell ref="D657:E657"/>
    <mergeCell ref="F657:G657"/>
    <mergeCell ref="H657:I657"/>
    <mergeCell ref="C655:I655"/>
    <mergeCell ref="C604:D604"/>
    <mergeCell ref="C605:E605"/>
    <mergeCell ref="C606:D606"/>
    <mergeCell ref="C611:I611"/>
    <mergeCell ref="C615:I615"/>
    <mergeCell ref="C649:I649"/>
    <mergeCell ref="C577:E577"/>
    <mergeCell ref="C580:I580"/>
    <mergeCell ref="C581:I581"/>
    <mergeCell ref="C591:I591"/>
    <mergeCell ref="C597:E597"/>
    <mergeCell ref="C602:E602"/>
    <mergeCell ref="C599:I599"/>
    <mergeCell ref="C609:I609"/>
    <mergeCell ref="C613:I613"/>
    <mergeCell ref="C617:I617"/>
    <mergeCell ref="C619:I619"/>
    <mergeCell ref="C629:I629"/>
    <mergeCell ref="C639:I639"/>
    <mergeCell ref="C540:D540"/>
    <mergeCell ref="C541:D541"/>
    <mergeCell ref="C542:D542"/>
    <mergeCell ref="C544:D544"/>
    <mergeCell ref="C545:D545"/>
    <mergeCell ref="C546:D546"/>
    <mergeCell ref="C511:D511"/>
    <mergeCell ref="C512:E512"/>
    <mergeCell ref="C519:F519"/>
    <mergeCell ref="C537:D537"/>
    <mergeCell ref="C538:D538"/>
    <mergeCell ref="C539:D539"/>
    <mergeCell ref="C488:D489"/>
    <mergeCell ref="G488:I488"/>
    <mergeCell ref="C495:F495"/>
    <mergeCell ref="C499:D499"/>
    <mergeCell ref="C500:F500"/>
    <mergeCell ref="C504:F504"/>
    <mergeCell ref="C467:D468"/>
    <mergeCell ref="G467:I467"/>
    <mergeCell ref="C474:F474"/>
    <mergeCell ref="C478:D478"/>
    <mergeCell ref="C479:F479"/>
    <mergeCell ref="C483:F483"/>
    <mergeCell ref="G442:H442"/>
    <mergeCell ref="G443:H443"/>
    <mergeCell ref="G444:H444"/>
    <mergeCell ref="G446:H446"/>
    <mergeCell ref="C448:I448"/>
    <mergeCell ref="C461:I461"/>
    <mergeCell ref="H430:I430"/>
    <mergeCell ref="H431:I431"/>
    <mergeCell ref="H432:I432"/>
    <mergeCell ref="G440:H440"/>
    <mergeCell ref="G441:H441"/>
    <mergeCell ref="C436:F436"/>
    <mergeCell ref="B428:B429"/>
    <mergeCell ref="C428:C429"/>
    <mergeCell ref="E428:I428"/>
    <mergeCell ref="H429:I429"/>
    <mergeCell ref="C409:F409"/>
    <mergeCell ref="C410:F410"/>
    <mergeCell ref="C411:F411"/>
    <mergeCell ref="C412:F412"/>
    <mergeCell ref="C413:F413"/>
    <mergeCell ref="C414:F414"/>
    <mergeCell ref="C415:F415"/>
    <mergeCell ref="C416:F416"/>
    <mergeCell ref="C417:F417"/>
    <mergeCell ref="B378:B379"/>
    <mergeCell ref="C378:C379"/>
    <mergeCell ref="D378:E378"/>
    <mergeCell ref="H378:I378"/>
    <mergeCell ref="D379:E379"/>
    <mergeCell ref="H379:I379"/>
    <mergeCell ref="B376:B377"/>
    <mergeCell ref="C376:C377"/>
    <mergeCell ref="D376:E376"/>
    <mergeCell ref="H376:I376"/>
    <mergeCell ref="D377:E377"/>
    <mergeCell ref="H377:I377"/>
    <mergeCell ref="B374:B375"/>
    <mergeCell ref="C374:C375"/>
    <mergeCell ref="D374:E374"/>
    <mergeCell ref="H374:I374"/>
    <mergeCell ref="D375:E375"/>
    <mergeCell ref="H375:I375"/>
    <mergeCell ref="B372:B373"/>
    <mergeCell ref="C372:C373"/>
    <mergeCell ref="D372:E372"/>
    <mergeCell ref="H372:I372"/>
    <mergeCell ref="D373:E373"/>
    <mergeCell ref="H373:I373"/>
    <mergeCell ref="B370:B371"/>
    <mergeCell ref="C370:C371"/>
    <mergeCell ref="D370:E370"/>
    <mergeCell ref="H370:I370"/>
    <mergeCell ref="D371:E371"/>
    <mergeCell ref="H371:I371"/>
    <mergeCell ref="H364:I364"/>
    <mergeCell ref="B368:B369"/>
    <mergeCell ref="C368:C369"/>
    <mergeCell ref="D368:E368"/>
    <mergeCell ref="H368:I368"/>
    <mergeCell ref="D369:E369"/>
    <mergeCell ref="H369:I369"/>
    <mergeCell ref="B362:B363"/>
    <mergeCell ref="C362:C363"/>
    <mergeCell ref="D362:E362"/>
    <mergeCell ref="H362:I362"/>
    <mergeCell ref="D363:E363"/>
    <mergeCell ref="H363:I363"/>
    <mergeCell ref="B360:B361"/>
    <mergeCell ref="C360:C361"/>
    <mergeCell ref="D360:E360"/>
    <mergeCell ref="H360:I360"/>
    <mergeCell ref="D361:E361"/>
    <mergeCell ref="H361:I361"/>
    <mergeCell ref="B358:B359"/>
    <mergeCell ref="C358:C359"/>
    <mergeCell ref="D358:E358"/>
    <mergeCell ref="H358:I358"/>
    <mergeCell ref="D359:E359"/>
    <mergeCell ref="H359:I359"/>
    <mergeCell ref="B356:B357"/>
    <mergeCell ref="C356:C357"/>
    <mergeCell ref="D356:E356"/>
    <mergeCell ref="H356:I356"/>
    <mergeCell ref="D357:E357"/>
    <mergeCell ref="H357:I357"/>
    <mergeCell ref="B354:B355"/>
    <mergeCell ref="C354:C355"/>
    <mergeCell ref="D354:E354"/>
    <mergeCell ref="H354:I354"/>
    <mergeCell ref="D355:E355"/>
    <mergeCell ref="H355:I355"/>
    <mergeCell ref="H348:I348"/>
    <mergeCell ref="B352:B353"/>
    <mergeCell ref="C352:C353"/>
    <mergeCell ref="D352:E352"/>
    <mergeCell ref="H352:I352"/>
    <mergeCell ref="D353:E353"/>
    <mergeCell ref="H353:I353"/>
    <mergeCell ref="B346:B347"/>
    <mergeCell ref="C346:C347"/>
    <mergeCell ref="D346:E346"/>
    <mergeCell ref="H346:I346"/>
    <mergeCell ref="D347:E347"/>
    <mergeCell ref="H347:I347"/>
    <mergeCell ref="B344:B345"/>
    <mergeCell ref="C344:C345"/>
    <mergeCell ref="D344:E344"/>
    <mergeCell ref="H344:I344"/>
    <mergeCell ref="D345:E345"/>
    <mergeCell ref="H345:I345"/>
    <mergeCell ref="B342:B343"/>
    <mergeCell ref="C342:C343"/>
    <mergeCell ref="D342:E342"/>
    <mergeCell ref="H342:I342"/>
    <mergeCell ref="D343:E343"/>
    <mergeCell ref="H343:I343"/>
    <mergeCell ref="B340:B341"/>
    <mergeCell ref="C340:C341"/>
    <mergeCell ref="D340:E340"/>
    <mergeCell ref="H340:I340"/>
    <mergeCell ref="D341:E341"/>
    <mergeCell ref="H341:I341"/>
    <mergeCell ref="B338:B339"/>
    <mergeCell ref="C338:C339"/>
    <mergeCell ref="D338:E338"/>
    <mergeCell ref="H338:I338"/>
    <mergeCell ref="D339:E339"/>
    <mergeCell ref="H339:I339"/>
    <mergeCell ref="H332:I332"/>
    <mergeCell ref="B336:B337"/>
    <mergeCell ref="C336:C337"/>
    <mergeCell ref="D336:E336"/>
    <mergeCell ref="H336:I336"/>
    <mergeCell ref="D337:E337"/>
    <mergeCell ref="H337:I337"/>
    <mergeCell ref="B330:B331"/>
    <mergeCell ref="C330:C331"/>
    <mergeCell ref="D330:E330"/>
    <mergeCell ref="H330:I330"/>
    <mergeCell ref="D331:E331"/>
    <mergeCell ref="H331:I331"/>
    <mergeCell ref="B328:B329"/>
    <mergeCell ref="C328:C329"/>
    <mergeCell ref="D328:E328"/>
    <mergeCell ref="H328:I328"/>
    <mergeCell ref="D329:E329"/>
    <mergeCell ref="H329:I329"/>
    <mergeCell ref="B326:B327"/>
    <mergeCell ref="C326:C327"/>
    <mergeCell ref="D326:E326"/>
    <mergeCell ref="H326:I326"/>
    <mergeCell ref="D327:E327"/>
    <mergeCell ref="H327:I327"/>
    <mergeCell ref="B324:B325"/>
    <mergeCell ref="C324:C325"/>
    <mergeCell ref="D324:E324"/>
    <mergeCell ref="H324:I324"/>
    <mergeCell ref="D325:E325"/>
    <mergeCell ref="H325:I325"/>
    <mergeCell ref="B322:B323"/>
    <mergeCell ref="C322:C323"/>
    <mergeCell ref="D322:E322"/>
    <mergeCell ref="H322:I322"/>
    <mergeCell ref="D323:E323"/>
    <mergeCell ref="H323:I323"/>
    <mergeCell ref="B320:B321"/>
    <mergeCell ref="C320:C321"/>
    <mergeCell ref="D320:E320"/>
    <mergeCell ref="H320:I320"/>
    <mergeCell ref="D321:E321"/>
    <mergeCell ref="H321:I321"/>
    <mergeCell ref="G309:I309"/>
    <mergeCell ref="G310:I310"/>
    <mergeCell ref="G311:I311"/>
    <mergeCell ref="G312:I312"/>
    <mergeCell ref="G313:I313"/>
    <mergeCell ref="C316:I316"/>
    <mergeCell ref="G300:I300"/>
    <mergeCell ref="G301:I301"/>
    <mergeCell ref="G302:I302"/>
    <mergeCell ref="G303:I303"/>
    <mergeCell ref="G304:I304"/>
    <mergeCell ref="G308:I308"/>
    <mergeCell ref="C247:D247"/>
    <mergeCell ref="C248:D248"/>
    <mergeCell ref="C249:D249"/>
    <mergeCell ref="C250:D250"/>
    <mergeCell ref="C251:D251"/>
    <mergeCell ref="G299:I299"/>
    <mergeCell ref="G230:H230"/>
    <mergeCell ref="C241:D241"/>
    <mergeCell ref="C242:D242"/>
    <mergeCell ref="C243:D243"/>
    <mergeCell ref="C244:D244"/>
    <mergeCell ref="C246:D246"/>
    <mergeCell ref="C232:I232"/>
    <mergeCell ref="C234:I234"/>
    <mergeCell ref="C296:I296"/>
    <mergeCell ref="G224:H224"/>
    <mergeCell ref="C227:D227"/>
    <mergeCell ref="G227:H227"/>
    <mergeCell ref="C228:E228"/>
    <mergeCell ref="G228:H228"/>
    <mergeCell ref="C229:D229"/>
    <mergeCell ref="G229:H229"/>
    <mergeCell ref="C221:D221"/>
    <mergeCell ref="G221:H221"/>
    <mergeCell ref="C222:E222"/>
    <mergeCell ref="G222:H222"/>
    <mergeCell ref="C223:D223"/>
    <mergeCell ref="G223:H223"/>
    <mergeCell ref="D213:E213"/>
    <mergeCell ref="F213:G213"/>
    <mergeCell ref="H213:I213"/>
    <mergeCell ref="C216:I216"/>
    <mergeCell ref="C219:E219"/>
    <mergeCell ref="G219:H219"/>
    <mergeCell ref="D211:E211"/>
    <mergeCell ref="F211:G211"/>
    <mergeCell ref="H211:I211"/>
    <mergeCell ref="D212:E212"/>
    <mergeCell ref="F212:G212"/>
    <mergeCell ref="H212:I212"/>
    <mergeCell ref="C218:I218"/>
    <mergeCell ref="D209:E209"/>
    <mergeCell ref="F209:G209"/>
    <mergeCell ref="H209:I209"/>
    <mergeCell ref="D210:E210"/>
    <mergeCell ref="F210:G210"/>
    <mergeCell ref="H210:I210"/>
    <mergeCell ref="C176:D176"/>
    <mergeCell ref="C177:D177"/>
    <mergeCell ref="C201:F201"/>
    <mergeCell ref="D207:E207"/>
    <mergeCell ref="F207:G207"/>
    <mergeCell ref="H207:I207"/>
    <mergeCell ref="C195:I195"/>
    <mergeCell ref="C197:I197"/>
    <mergeCell ref="C205:I205"/>
    <mergeCell ref="C160:I160"/>
    <mergeCell ref="C164:I164"/>
    <mergeCell ref="C171:D171"/>
    <mergeCell ref="C172:D172"/>
    <mergeCell ref="C174:D174"/>
    <mergeCell ref="C175:D175"/>
    <mergeCell ref="C143:I143"/>
    <mergeCell ref="C149:I149"/>
    <mergeCell ref="C150:I150"/>
    <mergeCell ref="C152:I152"/>
    <mergeCell ref="C148:F148"/>
    <mergeCell ref="C157:F157"/>
    <mergeCell ref="C154:I154"/>
    <mergeCell ref="C162:I162"/>
    <mergeCell ref="C166:I166"/>
    <mergeCell ref="D51:E51"/>
    <mergeCell ref="D52:E52"/>
    <mergeCell ref="D56:E56"/>
    <mergeCell ref="D39:E39"/>
    <mergeCell ref="D40:E40"/>
    <mergeCell ref="D41:E41"/>
    <mergeCell ref="D42:E42"/>
    <mergeCell ref="D46:E46"/>
    <mergeCell ref="D47:E47"/>
    <mergeCell ref="D33:E33"/>
    <mergeCell ref="D34:E34"/>
    <mergeCell ref="D35:E35"/>
    <mergeCell ref="D36:E36"/>
    <mergeCell ref="D37:E37"/>
    <mergeCell ref="D38:E38"/>
    <mergeCell ref="D24:E24"/>
    <mergeCell ref="D25:E25"/>
    <mergeCell ref="D26:E26"/>
    <mergeCell ref="D27:E27"/>
    <mergeCell ref="D31:E31"/>
    <mergeCell ref="D32:E32"/>
    <mergeCell ref="D18:E18"/>
    <mergeCell ref="D19:E19"/>
    <mergeCell ref="D20:E20"/>
    <mergeCell ref="D21:E21"/>
    <mergeCell ref="D22:E22"/>
    <mergeCell ref="D23:E23"/>
    <mergeCell ref="D10:E10"/>
    <mergeCell ref="D13:E13"/>
    <mergeCell ref="D14:E14"/>
    <mergeCell ref="D15:E15"/>
    <mergeCell ref="D16:E16"/>
    <mergeCell ref="D17:E17"/>
    <mergeCell ref="C1698:I1698"/>
    <mergeCell ref="C1699:I1699"/>
    <mergeCell ref="C1700:I1700"/>
    <mergeCell ref="C1701:I1701"/>
    <mergeCell ref="C1702:I1702"/>
    <mergeCell ref="C1703:I1703"/>
    <mergeCell ref="C1688:I1688"/>
    <mergeCell ref="C1689:I1689"/>
    <mergeCell ref="C1690:I1690"/>
    <mergeCell ref="C1691:I1691"/>
    <mergeCell ref="C1692:I1692"/>
    <mergeCell ref="C1693:I1693"/>
    <mergeCell ref="C1694:I1694"/>
    <mergeCell ref="C1696:I1696"/>
    <mergeCell ref="C1697:I1697"/>
  </mergeCells>
  <conditionalFormatting sqref="B1:C1048576">
    <cfRule type="expression" dxfId="10" priority="1">
      <formula>$J1="ukryj"</formula>
    </cfRule>
  </conditionalFormatting>
  <dataValidations disablePrompts="1" count="13">
    <dataValidation operator="lessThan" allowBlank="1" showInputMessage="1" showErrorMessage="1" sqref="D1106 H1063:I1063 H1146:I1148 F1106 H1106 H1302:I1302 H1412:I1412" xr:uid="{00000000-0002-0000-1300-000000000000}"/>
    <dataValidation type="decimal" errorStyle="warning" operator="greaterThanOrEqual" allowBlank="1" showInputMessage="1" showErrorMessage="1" error="Wpisz wartość dodatnią" sqref="F221:F223 F227:F229 F604:F606" xr:uid="{00000000-0002-0000-1300-000001000000}">
      <formula1>0</formula1>
    </dataValidation>
    <dataValidation type="decimal" errorStyle="information" operator="greaterThanOrEqual" allowBlank="1" showInputMessage="1" showErrorMessage="1" sqref="G200:G202" xr:uid="{00000000-0002-0000-1300-000002000000}">
      <formula1>0</formula1>
    </dataValidation>
    <dataValidation type="decimal" operator="lessThanOrEqual" allowBlank="1" showInputMessage="1" showErrorMessage="1" sqref="H209:H210 I181:I183 D209:D210 F209:F210 I186 I190:I192" xr:uid="{00000000-0002-0000-1300-000003000000}">
      <formula1>0</formula1>
    </dataValidation>
    <dataValidation errorStyle="warning" operator="greaterThanOrEqual" allowBlank="1" showInputMessage="1" showErrorMessage="1" sqref="D35 F35:I35" xr:uid="{00000000-0002-0000-1300-000004000000}"/>
    <dataValidation errorStyle="warning" operator="lessThanOrEqual" allowBlank="1" showInputMessage="1" showErrorMessage="1" sqref="F41:I41 D20 F20:I20" xr:uid="{00000000-0002-0000-1300-000005000000}"/>
    <dataValidation type="decimal" errorStyle="warning" operator="lessThan" allowBlank="1" showInputMessage="1" showErrorMessage="1" sqref="D92:H92" xr:uid="{00000000-0002-0000-1300-000006000000}">
      <formula1>0</formula1>
    </dataValidation>
    <dataValidation type="decimal" errorStyle="warning" operator="lessThanOrEqual" allowBlank="1" showInputMessage="1" showErrorMessage="1" sqref="I31:I34 F46:I47 D103:H104 D93:H97 F32:H32 F51:I51 D32 E245:I245 E271:H271 E262:H262 H270 I21:I25" xr:uid="{00000000-0002-0000-1300-000007000000}">
      <formula1>0</formula1>
    </dataValidation>
    <dataValidation type="decimal" operator="greaterThanOrEqual" allowBlank="1" showInputMessage="1" showErrorMessage="1" sqref="H211:H212 D85:H85 D14 F14:H14 F211:F212 I49:I50 I13:I19" xr:uid="{00000000-0002-0000-1300-000008000000}">
      <formula1>0</formula1>
    </dataValidation>
    <dataValidation type="decimal" errorStyle="warning" operator="greaterThanOrEqual" allowBlank="1" showInputMessage="1" showErrorMessage="1" sqref="I36:I40" xr:uid="{00000000-0002-0000-1300-000009000000}">
      <formula1>0</formula1>
    </dataValidation>
    <dataValidation type="decimal" operator="greaterThanOrEqual" allowBlank="1" showInputMessage="1" showErrorMessage="1" error="Wpisz wartość dodatnią" sqref="D86:H91 F13:H13 F15:H19 D84:H84 D108:H112 D121:H122 F49:H50 I171:I174 I187:I188 E287:H288 E239:H239 E241:H244 E258:H258 E260:H261 E275:H279 I169 D443:G444 H431 F36:H40" xr:uid="{00000000-0002-0000-1300-00000A000000}">
      <formula1>0</formula1>
    </dataValidation>
    <dataValidation type="decimal" errorStyle="warning" operator="lessThanOrEqual" allowBlank="1" showInputMessage="1" showErrorMessage="1" error="Wpisz wartość ujemną" sqref="G604:G606 G221:G223 G227:G229 F21:H25" xr:uid="{00000000-0002-0000-1300-00000B000000}">
      <formula1>0</formula1>
    </dataValidation>
    <dataValidation type="decimal" operator="lessThanOrEqual" allowBlank="1" showInputMessage="1" showErrorMessage="1" error="Wpisz wartość ujemną" sqref="D118:H119 D105:H106 D31 F31:H31 D33:D34 F33:H34 I184:I185 E270:G270 E284:H285 E263:H265 E272:H273 E246:H251 I176:I180 D441:G442 E431:G431" xr:uid="{00000000-0002-0000-1300-00000C000000}">
      <formula1>0</formula1>
    </dataValidation>
  </dataValidations>
  <hyperlinks>
    <hyperlink ref="N1682" location="Input!B192" display="Powrot do spisu tresci" xr:uid="{00000000-0004-0000-1300-000000000000}"/>
    <hyperlink ref="N1465" location="Input!B181" display="Powrot do spisu tresci" xr:uid="{00000000-0004-0000-1300-000001000000}"/>
    <hyperlink ref="N1457" location="Input!B180" display="Powrot do spisu tresci" xr:uid="{00000000-0004-0000-1300-000002000000}"/>
    <hyperlink ref="N1449" location="Input!B179" display="Powrot do spisu tresci" xr:uid="{00000000-0004-0000-1300-000003000000}"/>
    <hyperlink ref="N1441" location="Input!B178" display="Powrot do spisu tresci" xr:uid="{00000000-0004-0000-1300-000004000000}"/>
    <hyperlink ref="N553" location="Input!B117" display="Powrot do spisu tresci" xr:uid="{00000000-0004-0000-1300-000005000000}"/>
    <hyperlink ref="L551" location="_aktywa!$C$51" display="_aktywa!$C$51" xr:uid="{00000000-0004-0000-1300-000006000000}"/>
    <hyperlink ref="N551" location="Input!B116" display="Powrot do spisu tresci" xr:uid="{00000000-0004-0000-1300-000007000000}"/>
    <hyperlink ref="N599" location="Input!B121" display="Powrot do spisu tresci" xr:uid="{00000000-0004-0000-1300-000008000000}"/>
    <hyperlink ref="N562" location="Input!B118" display="Powrot do spisu tresci" xr:uid="{00000000-0004-0000-1300-000009000000}"/>
    <hyperlink ref="L1162" location="rzis!$C$56" display="rzis!$C$56" xr:uid="{00000000-0004-0000-1300-00000A000000}"/>
    <hyperlink ref="L1131" location="rzis!$C$54" display="rzis!$C$54" xr:uid="{00000000-0004-0000-1300-00000B000000}"/>
    <hyperlink ref="L1108" location="rzis!$C$53" display="rzis!$C$53" xr:uid="{00000000-0004-0000-1300-00000C000000}"/>
    <hyperlink ref="L1089" location="rzis!$C$49" display="rzis!$C$49" xr:uid="{00000000-0004-0000-1300-00000D000000}"/>
    <hyperlink ref="L1087" location="rzis!$C$48" display="rzis!$C$48" xr:uid="{00000000-0004-0000-1300-00000E000000}"/>
    <hyperlink ref="L1067" location="rzis!$C$47" display="rzis!$C$47" xr:uid="{00000000-0004-0000-1300-00000F000000}"/>
    <hyperlink ref="L1035" location="rzis!$C$46" display="rzis!$C$46" xr:uid="{00000000-0004-0000-1300-000010000000}"/>
    <hyperlink ref="L1018" location="rzis!$C$42" display="rzis!$C$42" xr:uid="{00000000-0004-0000-1300-000011000000}"/>
    <hyperlink ref="L1016" location="rzis!$C$36" display="rzis!$C$36" xr:uid="{00000000-0004-0000-1300-000012000000}"/>
    <hyperlink ref="L990" location="rzis!$C$31" display="rzis!$C$31" xr:uid="{00000000-0004-0000-1300-000013000000}"/>
    <hyperlink ref="L962" location="rzis!$C$26" display="rzis!$C$26" xr:uid="{00000000-0004-0000-1300-000014000000}"/>
    <hyperlink ref="L915" location="rzis!$C$8" display="rzis!$C$8" xr:uid="{00000000-0004-0000-1300-000015000000}"/>
    <hyperlink ref="L780" location="_pasywa!$C$66" display="_pasywa!$C$66" xr:uid="{00000000-0004-0000-1300-000016000000}"/>
    <hyperlink ref="L770" location="_pasywa!$C$65" display="_pasywa!$C$65" xr:uid="{00000000-0004-0000-1300-000017000000}"/>
    <hyperlink ref="L768" location="_pasywa!$C$64" display="_pasywa!$C$64" xr:uid="{00000000-0004-0000-1300-000018000000}"/>
    <hyperlink ref="L694" location="_pasywa!$C$32" display="_pasywa!$C$32" xr:uid="{00000000-0004-0000-1300-000019000000}"/>
    <hyperlink ref="L681" location="_pasywa!$C$31" display="_pasywa!$C$31" xr:uid="{00000000-0004-0000-1300-00001A000000}"/>
    <hyperlink ref="L668" location="_pasywa!$C$30" display="_pasywa!$C$30" xr:uid="{00000000-0004-0000-1300-00001B000000}"/>
    <hyperlink ref="L655" location="_pasywa!$C$29" display="_pasywa!$C$29" xr:uid="{00000000-0004-0000-1300-00001C000000}"/>
    <hyperlink ref="L639" location="_pasywa!$C$28" display="_pasywa!$C$28" xr:uid="{00000000-0004-0000-1300-00001D000000}"/>
    <hyperlink ref="L629" location="_pasywa!$C$27" display="_pasywa!$C$27" xr:uid="{00000000-0004-0000-1300-00001E000000}"/>
    <hyperlink ref="L619" location="_pasywa!$C$23" display="_pasywa!$C$23" xr:uid="{00000000-0004-0000-1300-00001F000000}"/>
    <hyperlink ref="L564" location="_pasywa!$C$9" display="_pasywa!$C$9" xr:uid="{00000000-0004-0000-1300-000020000000}"/>
    <hyperlink ref="L1183" location="_pasywa!$C$22" display="_pasywa!$C$22" xr:uid="{00000000-0004-0000-1300-000021000000}"/>
    <hyperlink ref="L613" location="_aktywa!$C$94" display="_aktywa!$C$94" xr:uid="{00000000-0004-0000-1300-000022000000}"/>
    <hyperlink ref="L609" location="_aktywa!$C$93" display="_aktywa!$C$93" xr:uid="{00000000-0004-0000-1300-000023000000}"/>
    <hyperlink ref="L465" location="_aktywa!$C$59" display="_aktywa!$C$59" xr:uid="{00000000-0004-0000-1300-000024000000}"/>
    <hyperlink ref="L463" location="_aktywa!$C$57" display="_aktywa!$C$57" xr:uid="{00000000-0004-0000-1300-000025000000}"/>
    <hyperlink ref="L422" location="_aktywa!$C$51" display="_aktywa!$C$51" xr:uid="{00000000-0004-0000-1300-000026000000}"/>
    <hyperlink ref="L390" location="_aktywa!$C$49" display="_aktywa!$C$49" xr:uid="{00000000-0004-0000-1300-000027000000}"/>
    <hyperlink ref="L232" location="_aktywa!$C$27" display="_aktywa!$C$27" xr:uid="{00000000-0004-0000-1300-000028000000}"/>
    <hyperlink ref="L195" location="_aktywa!$C$23" display="_aktywa!$C$23" xr:uid="{00000000-0004-0000-1300-000029000000}"/>
    <hyperlink ref="L166" location="_aktywa!$C$21" display="_aktywa!$C$21" xr:uid="{00000000-0004-0000-1300-00002A000000}"/>
    <hyperlink ref="L6" location="_aktywa!$C$9" display="_aktywa!$C$9" xr:uid="{00000000-0004-0000-1300-00002B000000}"/>
    <hyperlink ref="L77" location="_aktywa!$C$15" display="_aktywa!$C$15" xr:uid="{00000000-0004-0000-1300-00002C000000}"/>
    <hyperlink ref="N76" location="Input!B78" display="Powrot do spisu tresci" xr:uid="{00000000-0004-0000-1300-00002D000000}"/>
    <hyperlink ref="N6" location="Input!B83" display="Powrot do spisu tresci" xr:uid="{00000000-0004-0000-1300-00002E000000}"/>
    <hyperlink ref="N8" location="Input!B84" display="Powrot do spisu tresci" xr:uid="{00000000-0004-0000-1300-00002F000000}"/>
    <hyperlink ref="N1667" location="Input!B190" display="Powrot do spisu tresci" xr:uid="{00000000-0004-0000-1300-000030000000}"/>
    <hyperlink ref="N1651" location="Input!B189" display="Powrot do spisu tresci" xr:uid="{00000000-0004-0000-1300-000031000000}"/>
    <hyperlink ref="N1644" location="Input!B188" display="Powrot do spisu tresci" xr:uid="{00000000-0004-0000-1300-000032000000}"/>
    <hyperlink ref="N1601" location="Input!B187" display="Powrot do spisu tresci" xr:uid="{00000000-0004-0000-1300-000033000000}"/>
    <hyperlink ref="N1518" location="Input!B186" display="Powrot do spisu tresci" xr:uid="{00000000-0004-0000-1300-000034000000}"/>
    <hyperlink ref="N1508" location="Input!B185" display="Powrot do spisu tresci" xr:uid="{00000000-0004-0000-1300-000035000000}"/>
    <hyperlink ref="N1495" location="Input!B184" display="Powrot do spisu tresci" xr:uid="{00000000-0004-0000-1300-000036000000}"/>
    <hyperlink ref="N1488" location="Input!B183" display="Powrot do spisu tresci" xr:uid="{00000000-0004-0000-1300-000037000000}"/>
    <hyperlink ref="N1473" location="Input!B182" display="Powrot do spisu tresci" xr:uid="{00000000-0004-0000-1300-000038000000}"/>
    <hyperlink ref="N1435" location="Input!B177" display="Powrot do spisu tresci" xr:uid="{00000000-0004-0000-1300-000039000000}"/>
    <hyperlink ref="N1422" location="Input!B176" display="Powrot do spisu tresci" xr:uid="{00000000-0004-0000-1300-00003A000000}"/>
    <hyperlink ref="N1410" location="Input!B175" display="Powrot do spisu tresci" xr:uid="{00000000-0004-0000-1300-00003B000000}"/>
    <hyperlink ref="N1403" location="Input!B174" display="Powrot do spisu tresci" xr:uid="{00000000-0004-0000-1300-00003C000000}"/>
    <hyperlink ref="N1396" location="Input!B173" display="Powrot do spisu tresci" xr:uid="{00000000-0004-0000-1300-00003D000000}"/>
    <hyperlink ref="N1389" location="Input!B172" display="Powrot do spisu tresci" xr:uid="{00000000-0004-0000-1300-00003E000000}"/>
    <hyperlink ref="N1361" location="Input!B170" display="Powrot do spisu tresci" xr:uid="{00000000-0004-0000-1300-00003F000000}"/>
    <hyperlink ref="N1282" location="Input!B169" display="Powrot do spisu tresci" xr:uid="{00000000-0004-0000-1300-000040000000}"/>
    <hyperlink ref="N1277" location="Input!B168" display="Powrot do spisu tresci" xr:uid="{00000000-0004-0000-1300-000041000000}"/>
    <hyperlink ref="N1260" location="Input!B166" display="Powrot do spisu tresci" xr:uid="{00000000-0004-0000-1300-000042000000}"/>
    <hyperlink ref="N1183" location="Input!B165" display="Powrot do spisu tresci" xr:uid="{00000000-0004-0000-1300-000043000000}"/>
    <hyperlink ref="N1162" location="Input!B163" display="Powrot do spisu tresci" xr:uid="{00000000-0004-0000-1300-000044000000}"/>
    <hyperlink ref="N1266" location="Input!B167" display="Powrot do spisu tresci" xr:uid="{00000000-0004-0000-1300-000045000000}"/>
    <hyperlink ref="N1131" location="Input!B161" display="Powrot do spisu tresci" xr:uid="{00000000-0004-0000-1300-000046000000}"/>
    <hyperlink ref="N1108" location="Input!B160" display="Powrot do spisu tresci" xr:uid="{00000000-0004-0000-1300-000047000000}"/>
    <hyperlink ref="N1089" location="Input!B159" display="Powrot do spisu tresci" xr:uid="{00000000-0004-0000-1300-000048000000}"/>
    <hyperlink ref="N1087" location="Input!B158" display="Powrot do spisu tresci" xr:uid="{00000000-0004-0000-1300-000049000000}"/>
    <hyperlink ref="N1067" location="Input!B157" display="Powrot do spisu tresci" xr:uid="{00000000-0004-0000-1300-00004A000000}"/>
    <hyperlink ref="N1035" location="Input!B156" display="Powrot do spisu tresci" xr:uid="{00000000-0004-0000-1300-00004B000000}"/>
    <hyperlink ref="N1018" location="Input!B155" display="Powrot do spisu tresci" xr:uid="{00000000-0004-0000-1300-00004C000000}"/>
    <hyperlink ref="N1016" location="Input!B154" display="Powrot do spisu tresci" xr:uid="{00000000-0004-0000-1300-00004D000000}"/>
    <hyperlink ref="N990" location="Input!B153" display="Powrot do spisu tresci" xr:uid="{00000000-0004-0000-1300-00004E000000}"/>
    <hyperlink ref="N962" location="Input!B152" display="Powrot do spisu tresci" xr:uid="{00000000-0004-0000-1300-00004F000000}"/>
    <hyperlink ref="N931" location="Input!B150" display="Powrot do spisu tresci" xr:uid="{00000000-0004-0000-1300-000050000000}"/>
    <hyperlink ref="N917" location="Input!B149" display="Powrot do spisu tresci" xr:uid="{00000000-0004-0000-1300-000051000000}"/>
    <hyperlink ref="N915" location="Input!B148" display="Powrot do spisu tresci" xr:uid="{00000000-0004-0000-1300-000052000000}"/>
    <hyperlink ref="N889" location="Input!B147" display="Powrot do spisu tresci" xr:uid="{00000000-0004-0000-1300-000053000000}"/>
    <hyperlink ref="N872" location="Input!B146" display="Powrot do spisu tresci" xr:uid="{00000000-0004-0000-1300-000054000000}"/>
    <hyperlink ref="N847" location="Input!B145" display="Powrot do spisu tresci" xr:uid="{00000000-0004-0000-1300-000055000000}"/>
    <hyperlink ref="N822" location="Input!B144" display="Powrot do spisu tresci" xr:uid="{00000000-0004-0000-1300-000056000000}"/>
    <hyperlink ref="N820" location="Input!B143" display="Powrot do spisu tresci" xr:uid="{00000000-0004-0000-1300-000057000000}"/>
    <hyperlink ref="N809" location="Input!B142" display="Powrot do spisu tresci" xr:uid="{00000000-0004-0000-1300-000058000000}"/>
    <hyperlink ref="N798" location="Input!B141" display="Powrot do spisu tresci" xr:uid="{00000000-0004-0000-1300-000059000000}"/>
    <hyperlink ref="N794" location="Input!B140" display="Powrot do spisu tresci" xr:uid="{00000000-0004-0000-1300-00005A000000}"/>
    <hyperlink ref="N792" location="Input!B139" display="Powrot do spisu tresci" xr:uid="{00000000-0004-0000-1300-00005B000000}"/>
    <hyperlink ref="N780" location="Input!B138" display="Powrot do spisu tresci" xr:uid="{00000000-0004-0000-1300-00005C000000}"/>
    <hyperlink ref="N770" location="Input!B137" display="Powrot do spisu tresci" xr:uid="{00000000-0004-0000-1300-00005D000000}"/>
    <hyperlink ref="N768" location="Input!B136" display="Powrot do spisu tresci" xr:uid="{00000000-0004-0000-1300-00005E000000}"/>
    <hyperlink ref="N734" location="Input!B134" display="Powrot do spisu tresci" xr:uid="{00000000-0004-0000-1300-00005F000000}"/>
    <hyperlink ref="N716" location="Input!B133" display="Powrot do spisu tresci" xr:uid="{00000000-0004-0000-1300-000060000000}"/>
    <hyperlink ref="N707" location="Input!B132" display="Powrot do spisu tresci" xr:uid="{00000000-0004-0000-1300-000061000000}"/>
    <hyperlink ref="N694" location="Input!B131" display="Powrot do spisu tresci" xr:uid="{00000000-0004-0000-1300-000062000000}"/>
    <hyperlink ref="N681" location="Input!B130" display="Powrot do spisu tresci" xr:uid="{00000000-0004-0000-1300-000063000000}"/>
    <hyperlink ref="N668" location="Input!B129" display="Powrot do spisu tresci" xr:uid="{00000000-0004-0000-1300-000064000000}"/>
    <hyperlink ref="N655" location="Input!B128" display="Powrot do spisu tresci" xr:uid="{00000000-0004-0000-1300-000065000000}"/>
    <hyperlink ref="N639" location="Input!B127" display="Powrot do spisu tresci" xr:uid="{00000000-0004-0000-1300-000066000000}"/>
    <hyperlink ref="N629" location="Input!B126" display="Powrot do spisu tresci" xr:uid="{00000000-0004-0000-1300-000067000000}"/>
    <hyperlink ref="N619" location="Input!B125" display="Powrot do spisu tresci" xr:uid="{00000000-0004-0000-1300-000068000000}"/>
    <hyperlink ref="N617" location="Input!B124" display="Powrot do spisu tresci" xr:uid="{00000000-0004-0000-1300-000069000000}"/>
    <hyperlink ref="N613" location="Input!B123" display="Powrot do spisu tresci" xr:uid="{00000000-0004-0000-1300-00006A000000}"/>
    <hyperlink ref="N609" location="Input!B122" display="Powrot do spisu tresci" xr:uid="{00000000-0004-0000-1300-00006B000000}"/>
    <hyperlink ref="N589" location="Input!B120" display="Powrot do spisu tresci" xr:uid="{00000000-0004-0000-1300-00006C000000}"/>
    <hyperlink ref="N564" location="Input!B119" display="Powrot do spisu tresci" xr:uid="{00000000-0004-0000-1300-00006D000000}"/>
    <hyperlink ref="N535" location="Input!B115" display="Powrot do spisu tresci" xr:uid="{00000000-0004-0000-1300-00006E000000}"/>
    <hyperlink ref="N509" location="Input!B114" display="Powrot do spisu tresci" xr:uid="{00000000-0004-0000-1300-00006F000000}"/>
    <hyperlink ref="N465" location="Input!B113" display="Powrot do spisu tresci" xr:uid="{00000000-0004-0000-1300-000070000000}"/>
    <hyperlink ref="N463" location="Input!B112" display="Powrot do spisu tresci" xr:uid="{00000000-0004-0000-1300-000071000000}"/>
    <hyperlink ref="N448" location="Input!B111" display="Powrot do spisu tresci" xr:uid="{00000000-0004-0000-1300-000072000000}"/>
    <hyperlink ref="N438" location="Input!B110" display="Powrot do spisu tresci" xr:uid="{00000000-0004-0000-1300-000073000000}"/>
    <hyperlink ref="N424" location="Input!B109" display="Powrot do spisu tresci" xr:uid="{00000000-0004-0000-1300-000074000000}"/>
    <hyperlink ref="N422" location="Input!B108" display="Powrot do spisu tresci" xr:uid="{00000000-0004-0000-1300-000075000000}"/>
    <hyperlink ref="N390" location="Input!B107" display="Powrot do spisu tresci" xr:uid="{00000000-0004-0000-1300-000076000000}"/>
    <hyperlink ref="N382" location="Input!B106" display="Powrot do spisu tresci" xr:uid="{00000000-0004-0000-1300-000077000000}"/>
    <hyperlink ref="N366" location="Input!B105" display="Powrot do spisu tresci" xr:uid="{00000000-0004-0000-1300-000078000000}"/>
    <hyperlink ref="N350" location="Input!B104" display="Powrot do spisu tresci" xr:uid="{00000000-0004-0000-1300-000079000000}"/>
    <hyperlink ref="N334" location="Input!B103" display="Powrot do spisu tresci" xr:uid="{00000000-0004-0000-1300-00007A000000}"/>
    <hyperlink ref="N318" location="Input!B102" display="Powrot do spisu tresci" xr:uid="{00000000-0004-0000-1300-00007B000000}"/>
    <hyperlink ref="N296" location="Input!B101" display="Powrot do spisu tresci" xr:uid="{00000000-0004-0000-1300-00007C000000}"/>
    <hyperlink ref="N234" location="Input!B100" display="Powrot do spisu tresci" xr:uid="{00000000-0004-0000-1300-00007D000000}"/>
    <hyperlink ref="N232" location="Input!B99" display="Powrot do spisu tresci" xr:uid="{00000000-0004-0000-1300-00007E000000}"/>
    <hyperlink ref="N218" location="Input!B98" display="Powrot do spisu tresci" xr:uid="{00000000-0004-0000-1300-00007F000000}"/>
    <hyperlink ref="N205" location="Input!B97" display="Powrot do spisu tresci" xr:uid="{00000000-0004-0000-1300-000080000000}"/>
    <hyperlink ref="N197" location="Input!B96" display="Powrot do spisu tresci" xr:uid="{00000000-0004-0000-1300-000081000000}"/>
    <hyperlink ref="N195" location="Input!B95" display="Powrot do spisu tresci" xr:uid="{00000000-0004-0000-1300-000082000000}"/>
    <hyperlink ref="N166" location="Input!B94" display="Powrot do spisu tresci" xr:uid="{00000000-0004-0000-1300-000083000000}"/>
    <hyperlink ref="N162" location="Input!B93" display="Powrot do spisu tresci" xr:uid="{00000000-0004-0000-1300-000084000000}"/>
    <hyperlink ref="N154" location="Input!B92" display="Powrot do spisu tresci" xr:uid="{00000000-0004-0000-1300-000085000000}"/>
    <hyperlink ref="N145" location="Input!B91" display="Powrot do spisu tresci" xr:uid="{00000000-0004-0000-1300-000086000000}"/>
    <hyperlink ref="N131" location="Input!B90" display="Powrot do spisu tresci" xr:uid="{00000000-0004-0000-1300-000087000000}"/>
    <hyperlink ref="N79" location="Input!B89" display="Powrot do spisu tresci" xr:uid="{00000000-0004-0000-1300-000088000000}"/>
    <hyperlink ref="N77" location="Input!B88" display="Powrot do spisu tresci" xr:uid="{00000000-0004-0000-1300-000089000000}"/>
    <hyperlink ref="N70" location="Input!B87" display="Powrot do spisu tresci" xr:uid="{00000000-0004-0000-1300-00008A000000}"/>
    <hyperlink ref="N66" location="Input!B86" display="Powrot do spisu tresci" xr:uid="{00000000-0004-0000-1300-00008B000000}"/>
    <hyperlink ref="N59" location="Input!B85" display="Powrot do spisu tresci" xr:uid="{00000000-0004-0000-1300-00008C000000}"/>
    <hyperlink ref="L553" location="_aktywa!$C$88" display="_aktywa!$C$88" xr:uid="{00000000-0004-0000-1300-00008D000000}"/>
    <hyperlink ref="L1150" location="rzis!$C$47" display="rzis!$C$47" xr:uid="{00000000-0004-0000-1300-00008E000000}"/>
    <hyperlink ref="N1150" location="Input!B162" display="Powrot do spisu tresci" xr:uid="{00000000-0004-0000-1300-00008F000000}"/>
    <hyperlink ref="L1260" location="rzis!$C$56" display="rzis!$C$56" xr:uid="{00000000-0004-0000-1300-000090000000}"/>
    <hyperlink ref="N1743" location="Input!B194" display="Powrot do spisu tresci" xr:uid="{00000000-0004-0000-1300-000091000000}"/>
    <hyperlink ref="N748" location="Input!B135" display="Powrot do spisu tresci" xr:uid="{00000000-0004-0000-1300-000092000000}"/>
    <hyperlink ref="N946" location="Input!B151" display="Powrot do spisu tresci" xr:uid="{95B5DF71-9440-4C1F-836C-36E9D85F2C4E}"/>
    <hyperlink ref="N1382" location="Input!B171" display="Powrot do spisu tresci" xr:uid="{03B9DF9D-4D0E-4C25-A3E7-A974BBF424F3}"/>
    <hyperlink ref="N1675" location="Input!B191" display="Powrot do spisu tresci" xr:uid="{F77DD205-7872-4AE5-8C1B-B94EE9C13FA4}"/>
    <hyperlink ref="N1175" location="Input!B164" display="Powrot do spisu tresci" xr:uid="{4E587EE8-8389-45BB-BF8C-7BCE010DD6F6}"/>
    <hyperlink ref="N1724" location="Input!B193" display="Powrot do spisu tresci" xr:uid="{D386D8B8-BD47-46DD-B90A-B3E0D0BC4463}"/>
  </hyperlinks>
  <pageMargins left="0.70866141732283472" right="0.70866141732283472" top="0.74803149606299213" bottom="0.74803149606299213" header="0.31496062992125984" footer="0.31496062992125984"/>
  <pageSetup paperSize="9" scale="90" orientation="portrait" blackAndWhite="1" r:id="rId1"/>
  <headerFooter>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7697" r:id="rId4" name="Dodaj notę">
              <controlPr defaultSize="0" print="0" autoFill="0" autoPict="0" macro="[0]!Dodaj_Note">
                <anchor>
                  <from>
                    <xdr:col>0</xdr:col>
                    <xdr:colOff>41564</xdr:colOff>
                    <xdr:row>0</xdr:row>
                    <xdr:rowOff>41564</xdr:rowOff>
                  </from>
                  <to>
                    <xdr:col>2</xdr:col>
                    <xdr:colOff>606829</xdr:colOff>
                    <xdr:row>0</xdr:row>
                    <xdr:rowOff>507076</xdr:rowOff>
                  </to>
                </anchor>
              </controlPr>
            </control>
          </mc:Choice>
        </mc:AlternateContent>
        <mc:AlternateContent xmlns:mc="http://schemas.openxmlformats.org/markup-compatibility/2006">
          <mc:Choice Requires="x14">
            <control shapeId="157698" r:id="rId5" name="Usuń dodaną notę">
              <controlPr defaultSize="0" print="0" autoFill="0" autoPict="0" macro="[0]!Usun_Dodana_Note">
                <anchor>
                  <from>
                    <xdr:col>2</xdr:col>
                    <xdr:colOff>631767</xdr:colOff>
                    <xdr:row>0</xdr:row>
                    <xdr:rowOff>41564</xdr:rowOff>
                  </from>
                  <to>
                    <xdr:col>3</xdr:col>
                    <xdr:colOff>507076</xdr:colOff>
                    <xdr:row>0</xdr:row>
                    <xdr:rowOff>507076</xdr:rowOff>
                  </to>
                </anchor>
              </controlPr>
            </control>
          </mc:Choice>
        </mc:AlternateContent>
        <mc:AlternateContent xmlns:mc="http://schemas.openxmlformats.org/markup-compatibility/2006">
          <mc:Choice Requires="x14">
            <control shapeId="157699" r:id="rId6" name="Dodaj wiersz">
              <controlPr defaultSize="0" print="0" autoFill="0" autoPict="0" macro="[0]!dodajWierszNoty">
                <anchor>
                  <from>
                    <xdr:col>5</xdr:col>
                    <xdr:colOff>41564</xdr:colOff>
                    <xdr:row>0</xdr:row>
                    <xdr:rowOff>41564</xdr:rowOff>
                  </from>
                  <to>
                    <xdr:col>6</xdr:col>
                    <xdr:colOff>241069</xdr:colOff>
                    <xdr:row>0</xdr:row>
                    <xdr:rowOff>507076</xdr:rowOff>
                  </to>
                </anchor>
              </controlPr>
            </control>
          </mc:Choice>
        </mc:AlternateContent>
        <mc:AlternateContent xmlns:mc="http://schemas.openxmlformats.org/markup-compatibility/2006">
          <mc:Choice Requires="x14">
            <control shapeId="157700" r:id="rId7" name="Usuń wybrane dodane wiersze">
              <controlPr defaultSize="0" print="0" autoFill="0" autoPict="0" macro="[0]!UsunDodaneWiersze">
                <anchor>
                  <from>
                    <xdr:col>6</xdr:col>
                    <xdr:colOff>257695</xdr:colOff>
                    <xdr:row>0</xdr:row>
                    <xdr:rowOff>41564</xdr:rowOff>
                  </from>
                  <to>
                    <xdr:col>7</xdr:col>
                    <xdr:colOff>457200</xdr:colOff>
                    <xdr:row>0</xdr:row>
                    <xdr:rowOff>507076</xdr:rowOff>
                  </to>
                </anchor>
              </controlPr>
            </control>
          </mc:Choice>
        </mc:AlternateContent>
        <mc:AlternateContent xmlns:mc="http://schemas.openxmlformats.org/markup-compatibility/2006">
          <mc:Choice Requires="x14">
            <control shapeId="157701" r:id="rId8" name="Odkryj wszystkie wiersze">
              <controlPr defaultSize="0" print="0" autoFill="0" autoPict="0" macro="[0]!filtr_Odkryj">
                <anchor>
                  <from>
                    <xdr:col>10</xdr:col>
                    <xdr:colOff>282633</xdr:colOff>
                    <xdr:row>0</xdr:row>
                    <xdr:rowOff>41564</xdr:rowOff>
                  </from>
                  <to>
                    <xdr:col>12</xdr:col>
                    <xdr:colOff>182880</xdr:colOff>
                    <xdr:row>0</xdr:row>
                    <xdr:rowOff>507076</xdr:rowOff>
                  </to>
                </anchor>
              </controlPr>
            </control>
          </mc:Choice>
        </mc:AlternateContent>
        <mc:AlternateContent xmlns:mc="http://schemas.openxmlformats.org/markup-compatibility/2006">
          <mc:Choice Requires="x14">
            <control shapeId="157703" r:id="rId9" name="Ukryj wszystkie wiersze">
              <controlPr defaultSize="0" print="0" autoFill="0" autoPict="0" macro="[0]!filtr_Ukryj_Arkusz">
                <anchor>
                  <from>
                    <xdr:col>9</xdr:col>
                    <xdr:colOff>0</xdr:colOff>
                    <xdr:row>0</xdr:row>
                    <xdr:rowOff>41564</xdr:rowOff>
                  </from>
                  <to>
                    <xdr:col>10</xdr:col>
                    <xdr:colOff>257695</xdr:colOff>
                    <xdr:row>0</xdr:row>
                    <xdr:rowOff>507076</xdr:rowOff>
                  </to>
                </anchor>
              </controlPr>
            </control>
          </mc:Choice>
        </mc:AlternateContent>
        <mc:AlternateContent xmlns:mc="http://schemas.openxmlformats.org/markup-compatibility/2006">
          <mc:Choice Requires="x14">
            <control shapeId="157704" r:id="rId10" name="Dodaj fragment">
              <controlPr defaultSize="0" print="0" autoFill="0" autoPict="0" macro="[0]!Wezwij_fragment">
                <anchor>
                  <from>
                    <xdr:col>3</xdr:col>
                    <xdr:colOff>640080</xdr:colOff>
                    <xdr:row>0</xdr:row>
                    <xdr:rowOff>41564</xdr:rowOff>
                  </from>
                  <to>
                    <xdr:col>5</xdr:col>
                    <xdr:colOff>16625</xdr:colOff>
                    <xdr:row>0</xdr:row>
                    <xdr:rowOff>507076</xdr:rowOff>
                  </to>
                </anchor>
              </controlPr>
            </control>
          </mc:Choice>
        </mc:AlternateContent>
        <mc:AlternateContent xmlns:mc="http://schemas.openxmlformats.org/markup-compatibility/2006">
          <mc:Choice Requires="x14">
            <control shapeId="157705" r:id="rId11" name="Scal/rozdziel komórki">
              <controlPr defaultSize="0" print="0" autoFill="0" autoPict="0" macro="[0]!Merge_cells">
                <anchor>
                  <from>
                    <xdr:col>7</xdr:col>
                    <xdr:colOff>590204</xdr:colOff>
                    <xdr:row>0</xdr:row>
                    <xdr:rowOff>41564</xdr:rowOff>
                  </from>
                  <to>
                    <xdr:col>8</xdr:col>
                    <xdr:colOff>789709</xdr:colOff>
                    <xdr:row>0</xdr:row>
                    <xdr:rowOff>507076</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CV1931"/>
  <sheetViews>
    <sheetView view="pageBreakPreview" zoomScaleNormal="100" zoomScaleSheetLayoutView="100" workbookViewId="0">
      <pane ySplit="1" topLeftCell="A1682" activePane="bottomLeft" state="frozen"/>
      <selection activeCell="B4" sqref="B4"/>
      <selection pane="bottomLeft" activeCell="J1693" sqref="J1693"/>
    </sheetView>
  </sheetViews>
  <sheetFormatPr defaultColWidth="11.44140625" defaultRowHeight="13.1" zeroHeight="1" x14ac:dyDescent="0.25"/>
  <cols>
    <col min="1" max="1" width="3.88671875" style="171" customWidth="1"/>
    <col min="2" max="2" width="2.88671875" style="257" customWidth="1"/>
    <col min="3" max="3" width="17.109375" style="257" customWidth="1"/>
    <col min="4" max="9" width="12.33203125" style="202" customWidth="1"/>
    <col min="10" max="10" width="11.44140625" style="806" customWidth="1"/>
    <col min="11" max="11" width="11.44140625" style="489" customWidth="1"/>
    <col min="12" max="12" width="5.33203125" style="257" customWidth="1"/>
    <col min="13" max="13" width="6.33203125" style="257" customWidth="1"/>
    <col min="14" max="14" width="26.6640625" style="257" customWidth="1"/>
    <col min="15" max="15" width="11.44140625" style="257" customWidth="1"/>
    <col min="16" max="16384" width="11.44140625" style="257"/>
  </cols>
  <sheetData>
    <row r="1" spans="1:14" ht="43.55" customHeight="1" x14ac:dyDescent="0.25"/>
    <row r="2" spans="1:14" x14ac:dyDescent="0.25">
      <c r="A2" s="171" t="str">
        <f>UPPER(Input!C2)</f>
        <v>TESTOWA 185 SP. Z O.O.</v>
      </c>
      <c r="J2" s="499" t="str">
        <f>Noty!J2</f>
        <v>odkryj</v>
      </c>
      <c r="K2" s="257"/>
    </row>
    <row r="3" spans="1:14" x14ac:dyDescent="0.25">
      <c r="A3" s="171" t="s">
        <v>9275</v>
      </c>
      <c r="I3" s="608"/>
      <c r="J3" s="499" t="str">
        <f>Noty!J3</f>
        <v>odkryj</v>
      </c>
      <c r="K3" s="257"/>
    </row>
    <row r="4" spans="1:14" x14ac:dyDescent="0.25">
      <c r="A4" s="257" t="s">
        <v>10797</v>
      </c>
      <c r="I4" s="608"/>
      <c r="J4" s="499" t="str">
        <f>Noty!J4</f>
        <v>odkryj</v>
      </c>
      <c r="K4" s="257"/>
    </row>
    <row r="5" spans="1:14" ht="13.75" thickBot="1" x14ac:dyDescent="0.3">
      <c r="I5" s="608"/>
      <c r="J5" s="499" t="str">
        <f>Noty!J5</f>
        <v>odkryj</v>
      </c>
      <c r="K5" s="257"/>
    </row>
    <row r="6" spans="1:14" ht="15.05" customHeight="1" thickTop="1" thickBot="1" x14ac:dyDescent="0.35">
      <c r="A6" s="1180">
        <f>IF(K6="n/a",0,1)</f>
        <v>0</v>
      </c>
      <c r="B6" s="1181"/>
      <c r="C6" s="1280" t="s">
        <v>7949</v>
      </c>
      <c r="D6" s="1280"/>
      <c r="E6" s="1280"/>
      <c r="F6" s="1280"/>
      <c r="G6" s="1280"/>
      <c r="H6" s="1280"/>
      <c r="I6" s="1280"/>
      <c r="J6" s="499" t="str">
        <f>Noty!J6</f>
        <v>ukryj</v>
      </c>
      <c r="K6" s="585" t="str">
        <f>Noty!K6</f>
        <v>n/a</v>
      </c>
      <c r="L6" s="488" t="str">
        <f>A6&amp;"."&amp;B6</f>
        <v>0.</v>
      </c>
      <c r="M6" s="488"/>
      <c r="N6" s="1101" t="s">
        <v>9378</v>
      </c>
    </row>
    <row r="7" spans="1:14" ht="13.6" customHeight="1" thickTop="1" thickBot="1" x14ac:dyDescent="0.3">
      <c r="B7" s="244"/>
      <c r="C7" s="504"/>
      <c r="D7" s="185"/>
      <c r="E7" s="185"/>
      <c r="F7" s="185"/>
      <c r="G7" s="185"/>
      <c r="H7" s="185"/>
      <c r="I7" s="608"/>
      <c r="J7" s="499" t="str">
        <f>Noty!J7</f>
        <v>ukryj</v>
      </c>
      <c r="K7" s="174"/>
    </row>
    <row r="8" spans="1:14" s="164" customFormat="1" ht="16.399999999999999" thickTop="1" thickBot="1" x14ac:dyDescent="0.35">
      <c r="A8" s="1183">
        <f>A6</f>
        <v>0</v>
      </c>
      <c r="B8" s="1184">
        <f>IF(K8="n/a",0,1)</f>
        <v>0</v>
      </c>
      <c r="C8" s="1235" t="s">
        <v>10798</v>
      </c>
      <c r="D8" s="1235"/>
      <c r="E8" s="1235"/>
      <c r="F8" s="1235"/>
      <c r="G8" s="1235"/>
      <c r="H8" s="1235"/>
      <c r="I8" s="1235"/>
      <c r="J8" s="499" t="str">
        <f>Noty!J8</f>
        <v>ukryj</v>
      </c>
      <c r="K8" s="585" t="str">
        <f>Noty!K8</f>
        <v>n/a</v>
      </c>
      <c r="L8" s="586" t="str">
        <f>A8&amp;"."&amp;B8</f>
        <v>0.0</v>
      </c>
      <c r="N8" s="1101" t="s">
        <v>9378</v>
      </c>
    </row>
    <row r="9" spans="1:14" s="164" customFormat="1" ht="13.6" customHeight="1" thickTop="1" x14ac:dyDescent="0.25">
      <c r="A9" s="509"/>
      <c r="B9" s="520"/>
      <c r="C9" s="175"/>
      <c r="D9" s="218"/>
      <c r="E9" s="218"/>
      <c r="F9" s="218"/>
      <c r="G9" s="218"/>
      <c r="H9" s="218"/>
      <c r="I9" s="218"/>
      <c r="J9" s="499" t="str">
        <f>Noty!J9</f>
        <v>ukryj</v>
      </c>
      <c r="K9" s="174"/>
      <c r="L9" s="176"/>
    </row>
    <row r="10" spans="1:14" s="840" customFormat="1" ht="38.950000000000003" customHeight="1" x14ac:dyDescent="0.25">
      <c r="A10" s="509"/>
      <c r="B10" s="520"/>
      <c r="C10" s="175"/>
      <c r="D10" s="1297" t="s">
        <v>7774</v>
      </c>
      <c r="E10" s="1297"/>
      <c r="F10" s="801" t="s">
        <v>7776</v>
      </c>
      <c r="G10" s="801" t="s">
        <v>7960</v>
      </c>
      <c r="H10" s="801" t="s">
        <v>10799</v>
      </c>
      <c r="I10" s="801" t="s">
        <v>9287</v>
      </c>
      <c r="J10" s="499" t="str">
        <f>Noty!J10</f>
        <v>ukryj</v>
      </c>
      <c r="K10" s="174"/>
      <c r="L10" s="178"/>
    </row>
    <row r="11" spans="1:14" ht="13.6" customHeight="1" x14ac:dyDescent="0.25">
      <c r="C11" s="244" t="s">
        <v>10800</v>
      </c>
      <c r="E11" s="609"/>
      <c r="F11" s="609"/>
      <c r="G11" s="609"/>
      <c r="H11" s="609"/>
      <c r="I11" s="609"/>
      <c r="J11" s="499" t="str">
        <f>Noty!J11</f>
        <v>ukryj</v>
      </c>
      <c r="K11" s="174"/>
      <c r="L11" s="178"/>
    </row>
    <row r="12" spans="1:14" ht="13.6" customHeight="1" x14ac:dyDescent="0.25">
      <c r="E12" s="609"/>
      <c r="F12" s="609"/>
      <c r="G12" s="609"/>
      <c r="H12" s="609"/>
      <c r="I12" s="609"/>
      <c r="J12" s="499" t="str">
        <f>Noty!J12</f>
        <v>ukryj</v>
      </c>
      <c r="K12" s="174"/>
      <c r="L12" s="178"/>
    </row>
    <row r="13" spans="1:14" ht="13.6" customHeight="1" x14ac:dyDescent="0.25">
      <c r="C13" s="821" t="str">
        <f>CONCATENATE("As at ",Input!$C$6)</f>
        <v>As at 01.01.2020</v>
      </c>
      <c r="D13" s="1296" t="str">
        <f>IF(Noty!D13="","",Noty!D13)</f>
        <v/>
      </c>
      <c r="E13" s="1295"/>
      <c r="F13" s="800" t="str">
        <f>IF(Noty!F13="","",Noty!F13)</f>
        <v/>
      </c>
      <c r="G13" s="800" t="str">
        <f>IF(Noty!G13="","",Noty!G13)</f>
        <v/>
      </c>
      <c r="H13" s="800" t="str">
        <f>IF(Noty!H13="","",Noty!H13)</f>
        <v/>
      </c>
      <c r="I13" s="800">
        <f>IF(Noty!I13="","",Noty!I13)</f>
        <v>0</v>
      </c>
      <c r="J13" s="499" t="str">
        <f>Noty!J13</f>
        <v>ukryj</v>
      </c>
      <c r="K13" s="174"/>
      <c r="L13" s="178"/>
    </row>
    <row r="14" spans="1:14" ht="13.6" customHeight="1" x14ac:dyDescent="0.25">
      <c r="C14" s="821" t="s">
        <v>10801</v>
      </c>
      <c r="D14" s="1296">
        <f>IF(Noty!D14="","",Noty!D14)</f>
        <v>0</v>
      </c>
      <c r="E14" s="1296"/>
      <c r="F14" s="800">
        <f>IF(Noty!F14="","",Noty!F14)</f>
        <v>0</v>
      </c>
      <c r="G14" s="800">
        <f>IF(Noty!G14="","",Noty!G14)</f>
        <v>0</v>
      </c>
      <c r="H14" s="800">
        <f>IF(Noty!H14="","",Noty!H14)</f>
        <v>0</v>
      </c>
      <c r="I14" s="800">
        <f>IF(Noty!I14="","",Noty!I14)</f>
        <v>0</v>
      </c>
      <c r="J14" s="499" t="str">
        <f>Noty!J14</f>
        <v>ukryj</v>
      </c>
      <c r="K14" s="174"/>
      <c r="L14" s="178"/>
    </row>
    <row r="15" spans="1:14" ht="13.6" customHeight="1" x14ac:dyDescent="0.25">
      <c r="C15" s="179" t="s">
        <v>10802</v>
      </c>
      <c r="D15" s="1296" t="str">
        <f>IF(Noty!D15="","",Noty!D15)</f>
        <v/>
      </c>
      <c r="E15" s="1295"/>
      <c r="F15" s="800" t="str">
        <f>IF(Noty!F15="","",Noty!F15)</f>
        <v/>
      </c>
      <c r="G15" s="800" t="str">
        <f>IF(Noty!G15="","",Noty!G15)</f>
        <v/>
      </c>
      <c r="H15" s="800" t="str">
        <f>IF(Noty!H15="","",Noty!H15)</f>
        <v/>
      </c>
      <c r="I15" s="800">
        <f>IF(Noty!I15="","",Noty!I15)</f>
        <v>0</v>
      </c>
      <c r="J15" s="499" t="str">
        <f>Noty!J15</f>
        <v>ukryj</v>
      </c>
      <c r="K15" s="587"/>
      <c r="L15" s="178"/>
    </row>
    <row r="16" spans="1:14" ht="38.950000000000003" customHeight="1" x14ac:dyDescent="0.25">
      <c r="C16" s="180" t="s">
        <v>10803</v>
      </c>
      <c r="D16" s="1296" t="str">
        <f>IF(Noty!D16="","",Noty!D16)</f>
        <v/>
      </c>
      <c r="E16" s="1295"/>
      <c r="F16" s="800" t="str">
        <f>IF(Noty!F16="","",Noty!F16)</f>
        <v/>
      </c>
      <c r="G16" s="800" t="str">
        <f>IF(Noty!G16="","",Noty!G16)</f>
        <v/>
      </c>
      <c r="H16" s="800" t="str">
        <f>IF(Noty!H16="","",Noty!H16)</f>
        <v/>
      </c>
      <c r="I16" s="800">
        <f>IF(Noty!I16="","",Noty!I16)</f>
        <v>0</v>
      </c>
      <c r="J16" s="499" t="str">
        <f>Noty!J16</f>
        <v>ukryj</v>
      </c>
      <c r="K16" s="587"/>
      <c r="L16" s="178"/>
    </row>
    <row r="17" spans="1:12" ht="13.6" customHeight="1" x14ac:dyDescent="0.25">
      <c r="C17" s="179" t="s">
        <v>10804</v>
      </c>
      <c r="D17" s="1296" t="str">
        <f>IF(Noty!D17="","",Noty!D17)</f>
        <v/>
      </c>
      <c r="E17" s="1295"/>
      <c r="F17" s="800" t="str">
        <f>IF(Noty!F17="","",Noty!F17)</f>
        <v/>
      </c>
      <c r="G17" s="800" t="str">
        <f>IF(Noty!G17="","",Noty!G17)</f>
        <v/>
      </c>
      <c r="H17" s="800" t="str">
        <f>IF(Noty!H17="","",Noty!H17)</f>
        <v/>
      </c>
      <c r="I17" s="800">
        <f>IF(Noty!I17="","",Noty!I17)</f>
        <v>0</v>
      </c>
      <c r="J17" s="499" t="str">
        <f>Noty!J17</f>
        <v>ukryj</v>
      </c>
      <c r="K17" s="587"/>
      <c r="L17" s="178"/>
    </row>
    <row r="18" spans="1:12" ht="13.6" customHeight="1" x14ac:dyDescent="0.25">
      <c r="C18" s="179" t="s">
        <v>10805</v>
      </c>
      <c r="D18" s="1296" t="str">
        <f>IF(Noty!D18="","",Noty!D18)</f>
        <v/>
      </c>
      <c r="E18" s="1295"/>
      <c r="F18" s="800" t="str">
        <f>IF(Noty!F18="","",Noty!F18)</f>
        <v/>
      </c>
      <c r="G18" s="800" t="str">
        <f>IF(Noty!G18="","",Noty!G18)</f>
        <v/>
      </c>
      <c r="H18" s="800" t="str">
        <f>IF(Noty!H18="","",Noty!H18)</f>
        <v/>
      </c>
      <c r="I18" s="800">
        <f>IF(Noty!I18="","",Noty!I18)</f>
        <v>0</v>
      </c>
      <c r="J18" s="499" t="str">
        <f>Noty!J18</f>
        <v>ukryj</v>
      </c>
      <c r="K18" s="587"/>
      <c r="L18" s="178"/>
    </row>
    <row r="19" spans="1:12" ht="13.6" customHeight="1" x14ac:dyDescent="0.25">
      <c r="C19" s="181" t="s">
        <v>8162</v>
      </c>
      <c r="D19" s="1296" t="str">
        <f>IF(Noty!D19="","",Noty!D19)</f>
        <v/>
      </c>
      <c r="E19" s="1295"/>
      <c r="F19" s="800" t="str">
        <f>IF(Noty!F19="","",Noty!F19)</f>
        <v/>
      </c>
      <c r="G19" s="800" t="str">
        <f>IF(Noty!G19="","",Noty!G19)</f>
        <v/>
      </c>
      <c r="H19" s="800" t="str">
        <f>IF(Noty!H19="","",Noty!H19)</f>
        <v/>
      </c>
      <c r="I19" s="800">
        <f>IF(Noty!I19="","",Noty!I19)</f>
        <v>0</v>
      </c>
      <c r="J19" s="499" t="str">
        <f>Noty!J19</f>
        <v>ukryj</v>
      </c>
      <c r="K19" s="587"/>
      <c r="L19" s="178"/>
    </row>
    <row r="20" spans="1:12" ht="13.6" customHeight="1" x14ac:dyDescent="0.25">
      <c r="C20" s="821" t="s">
        <v>10806</v>
      </c>
      <c r="D20" s="1296">
        <f>IF(Noty!D20="","",Noty!D20)</f>
        <v>0</v>
      </c>
      <c r="E20" s="1296"/>
      <c r="F20" s="800">
        <f>IF(Noty!F20="","",Noty!F20)</f>
        <v>0</v>
      </c>
      <c r="G20" s="800">
        <f>IF(Noty!G20="","",Noty!G20)</f>
        <v>0</v>
      </c>
      <c r="H20" s="800">
        <f>IF(Noty!H20="","",Noty!H20)</f>
        <v>0</v>
      </c>
      <c r="I20" s="800">
        <f>IF(Noty!I20="","",Noty!I20)</f>
        <v>0</v>
      </c>
      <c r="J20" s="499" t="str">
        <f>Noty!J20</f>
        <v>ukryj</v>
      </c>
      <c r="K20" s="588"/>
      <c r="L20" s="178"/>
    </row>
    <row r="21" spans="1:12" ht="13.6" customHeight="1" x14ac:dyDescent="0.25">
      <c r="C21" s="182" t="s">
        <v>10807</v>
      </c>
      <c r="D21" s="1296" t="str">
        <f>IF(Noty!D21="","",Noty!D21)</f>
        <v/>
      </c>
      <c r="E21" s="1295"/>
      <c r="F21" s="800" t="str">
        <f>IF(Noty!F21="","",Noty!F21)</f>
        <v/>
      </c>
      <c r="G21" s="800" t="str">
        <f>IF(Noty!G21="","",Noty!G21)</f>
        <v/>
      </c>
      <c r="H21" s="800" t="str">
        <f>IF(Noty!H21="","",Noty!H21)</f>
        <v/>
      </c>
      <c r="I21" s="800">
        <f>IF(Noty!I21="","",Noty!I21)</f>
        <v>0</v>
      </c>
      <c r="J21" s="499" t="str">
        <f>Noty!J21</f>
        <v>ukryj</v>
      </c>
      <c r="K21" s="587"/>
      <c r="L21" s="178"/>
    </row>
    <row r="22" spans="1:12" ht="13.6" customHeight="1" x14ac:dyDescent="0.25">
      <c r="C22" s="182" t="s">
        <v>10808</v>
      </c>
      <c r="D22" s="1296" t="str">
        <f>IF(Noty!D22="","",Noty!D22)</f>
        <v/>
      </c>
      <c r="E22" s="1295"/>
      <c r="F22" s="800" t="str">
        <f>IF(Noty!F22="","",Noty!F22)</f>
        <v/>
      </c>
      <c r="G22" s="800" t="str">
        <f>IF(Noty!G22="","",Noty!G22)</f>
        <v/>
      </c>
      <c r="H22" s="800" t="str">
        <f>IF(Noty!H22="","",Noty!H22)</f>
        <v/>
      </c>
      <c r="I22" s="800">
        <f>IF(Noty!I22="","",Noty!I22)</f>
        <v>0</v>
      </c>
      <c r="J22" s="499" t="str">
        <f>Noty!J22</f>
        <v>ukryj</v>
      </c>
      <c r="K22" s="587"/>
      <c r="L22" s="178"/>
    </row>
    <row r="23" spans="1:12" ht="13.6" customHeight="1" x14ac:dyDescent="0.25">
      <c r="C23" s="182" t="s">
        <v>10809</v>
      </c>
      <c r="D23" s="1296" t="str">
        <f>IF(Noty!D23="","",Noty!D23)</f>
        <v/>
      </c>
      <c r="E23" s="1295"/>
      <c r="F23" s="800" t="str">
        <f>IF(Noty!F23="","",Noty!F23)</f>
        <v/>
      </c>
      <c r="G23" s="800" t="str">
        <f>IF(Noty!G23="","",Noty!G23)</f>
        <v/>
      </c>
      <c r="H23" s="800" t="str">
        <f>IF(Noty!H23="","",Noty!H23)</f>
        <v/>
      </c>
      <c r="I23" s="800">
        <f>IF(Noty!I23="","",Noty!I23)</f>
        <v>0</v>
      </c>
      <c r="J23" s="499" t="str">
        <f>Noty!J23</f>
        <v>ukryj</v>
      </c>
      <c r="K23" s="587"/>
      <c r="L23" s="178"/>
    </row>
    <row r="24" spans="1:12" ht="13.6" customHeight="1" x14ac:dyDescent="0.25">
      <c r="C24" s="182" t="s">
        <v>10805</v>
      </c>
      <c r="D24" s="1296" t="str">
        <f>IF(Noty!D24="","",Noty!D24)</f>
        <v/>
      </c>
      <c r="E24" s="1295"/>
      <c r="F24" s="800" t="str">
        <f>IF(Noty!F24="","",Noty!F24)</f>
        <v/>
      </c>
      <c r="G24" s="800" t="str">
        <f>IF(Noty!G24="","",Noty!G24)</f>
        <v/>
      </c>
      <c r="H24" s="800" t="str">
        <f>IF(Noty!H24="","",Noty!H24)</f>
        <v/>
      </c>
      <c r="I24" s="800">
        <f>IF(Noty!I24="","",Noty!I24)</f>
        <v>0</v>
      </c>
      <c r="J24" s="499" t="str">
        <f>Noty!J24</f>
        <v>ukryj</v>
      </c>
      <c r="K24" s="587"/>
      <c r="L24" s="178"/>
    </row>
    <row r="25" spans="1:12" ht="13.6" customHeight="1" x14ac:dyDescent="0.25">
      <c r="C25" s="181" t="s">
        <v>8162</v>
      </c>
      <c r="D25" s="1296" t="str">
        <f>IF(Noty!D25="","",Noty!D25)</f>
        <v/>
      </c>
      <c r="E25" s="1295"/>
      <c r="F25" s="800" t="str">
        <f>IF(Noty!F25="","",Noty!F25)</f>
        <v/>
      </c>
      <c r="G25" s="800" t="str">
        <f>IF(Noty!G25="","",Noty!G25)</f>
        <v/>
      </c>
      <c r="H25" s="800" t="str">
        <f>IF(Noty!H25="","",Noty!H25)</f>
        <v/>
      </c>
      <c r="I25" s="800">
        <f>IF(Noty!I25="","",Noty!I25)</f>
        <v>0</v>
      </c>
      <c r="J25" s="499" t="str">
        <f>Noty!J25</f>
        <v>ukryj</v>
      </c>
      <c r="K25" s="587"/>
      <c r="L25" s="178"/>
    </row>
    <row r="26" spans="1:12" ht="15.75" customHeight="1" x14ac:dyDescent="0.25">
      <c r="A26" s="509"/>
      <c r="B26" s="520"/>
      <c r="C26" s="821" t="s">
        <v>10810</v>
      </c>
      <c r="D26" s="1391" t="str">
        <f>IF(Noty!D26="","",Noty!D26)</f>
        <v/>
      </c>
      <c r="E26" s="1299"/>
      <c r="F26" s="800" t="str">
        <f>IF(Noty!F26="","",Noty!F26)</f>
        <v/>
      </c>
      <c r="G26" s="800" t="str">
        <f>IF(Noty!G26="","",Noty!G26)</f>
        <v/>
      </c>
      <c r="H26" s="800" t="str">
        <f>IF(Noty!H26="","",Noty!H26)</f>
        <v/>
      </c>
      <c r="I26" s="800">
        <f>IF(Noty!I26="","",Noty!I26)</f>
        <v>0</v>
      </c>
      <c r="J26" s="499" t="str">
        <f>Noty!J26</f>
        <v>ukryj</v>
      </c>
      <c r="K26" s="587"/>
    </row>
    <row r="27" spans="1:12" ht="13.6" customHeight="1" x14ac:dyDescent="0.25">
      <c r="C27" s="821" t="str">
        <f>CONCATENATE("As at ",Input!$C$7)</f>
        <v>As at 31.12.2020</v>
      </c>
      <c r="D27" s="1300">
        <f>IF(Noty!D27="","",Noty!D27)</f>
        <v>0</v>
      </c>
      <c r="E27" s="1300"/>
      <c r="F27" s="803">
        <f>IF(Noty!F27="","",Noty!F27)</f>
        <v>0</v>
      </c>
      <c r="G27" s="803">
        <f>IF(Noty!G27="","",Noty!G27)</f>
        <v>0</v>
      </c>
      <c r="H27" s="803">
        <f>IF(Noty!H27="","",Noty!H27)</f>
        <v>0</v>
      </c>
      <c r="I27" s="803">
        <f>IF(Noty!I27="","",Noty!I27)</f>
        <v>0</v>
      </c>
      <c r="J27" s="499" t="str">
        <f>Noty!J27</f>
        <v>ukryj</v>
      </c>
      <c r="K27" s="587"/>
      <c r="L27" s="178"/>
    </row>
    <row r="28" spans="1:12" ht="13.6" customHeight="1" x14ac:dyDescent="0.25">
      <c r="E28" s="183"/>
      <c r="F28" s="183"/>
      <c r="G28" s="183"/>
      <c r="H28" s="183"/>
      <c r="I28" s="184"/>
      <c r="J28" s="499" t="str">
        <f>Noty!J28</f>
        <v>ukryj</v>
      </c>
      <c r="K28" s="588"/>
      <c r="L28" s="178"/>
    </row>
    <row r="29" spans="1:12" ht="13.6" customHeight="1" x14ac:dyDescent="0.25">
      <c r="C29" s="821" t="s">
        <v>10811</v>
      </c>
      <c r="E29" s="183"/>
      <c r="F29" s="183"/>
      <c r="G29" s="183"/>
      <c r="H29" s="183"/>
      <c r="I29" s="184"/>
      <c r="J29" s="499" t="str">
        <f>Noty!J29</f>
        <v>ukryj</v>
      </c>
      <c r="K29" s="589"/>
      <c r="L29" s="178"/>
    </row>
    <row r="30" spans="1:12" ht="13.6" customHeight="1" x14ac:dyDescent="0.25">
      <c r="E30" s="183"/>
      <c r="F30" s="183"/>
      <c r="G30" s="183"/>
      <c r="H30" s="183"/>
      <c r="I30" s="184"/>
      <c r="J30" s="499" t="str">
        <f>Noty!J30</f>
        <v>ukryj</v>
      </c>
      <c r="K30" s="588"/>
      <c r="L30" s="178"/>
    </row>
    <row r="31" spans="1:12" ht="13.6" customHeight="1" x14ac:dyDescent="0.25">
      <c r="C31" s="821" t="str">
        <f>CONCATENATE("As at ",Input!$C$6)</f>
        <v>As at 01.01.2020</v>
      </c>
      <c r="D31" s="1487" t="str">
        <f>IF(Noty!D31="","",Noty!D31)</f>
        <v/>
      </c>
      <c r="E31" s="1298"/>
      <c r="F31" s="1103" t="str">
        <f>IF(Noty!F31="","",Noty!F31)</f>
        <v/>
      </c>
      <c r="G31" s="1103" t="str">
        <f>IF(Noty!G31="","",Noty!G31)</f>
        <v/>
      </c>
      <c r="H31" s="1103" t="str">
        <f>IF(Noty!H31="","",Noty!H31)</f>
        <v/>
      </c>
      <c r="I31" s="800">
        <f>IF(Noty!I31="","",Noty!I31)</f>
        <v>0</v>
      </c>
      <c r="J31" s="499" t="str">
        <f>Noty!J31</f>
        <v>ukryj</v>
      </c>
      <c r="K31" s="588"/>
      <c r="L31" s="178"/>
    </row>
    <row r="32" spans="1:12" ht="13.6" customHeight="1" x14ac:dyDescent="0.25">
      <c r="C32" s="821" t="s">
        <v>10801</v>
      </c>
      <c r="D32" s="1296">
        <f>IF(Noty!D32="","",Noty!D32)</f>
        <v>0</v>
      </c>
      <c r="E32" s="1296"/>
      <c r="F32" s="800">
        <f>IF(Noty!F32="","",Noty!F32)</f>
        <v>0</v>
      </c>
      <c r="G32" s="800">
        <f>IF(Noty!G32="","",Noty!G32)</f>
        <v>0</v>
      </c>
      <c r="H32" s="800">
        <f>IF(Noty!H32="","",Noty!H32)</f>
        <v>0</v>
      </c>
      <c r="I32" s="800">
        <f>IF(Noty!I32="","",Noty!I32)</f>
        <v>0</v>
      </c>
      <c r="J32" s="499" t="str">
        <f>Noty!J32</f>
        <v>ukryj</v>
      </c>
      <c r="K32" s="587"/>
      <c r="L32" s="178"/>
    </row>
    <row r="33" spans="1:12" ht="26.2" customHeight="1" x14ac:dyDescent="0.25">
      <c r="C33" s="180" t="s">
        <v>10812</v>
      </c>
      <c r="D33" s="1487" t="str">
        <f>IF(Noty!D33="","",Noty!D33)</f>
        <v/>
      </c>
      <c r="E33" s="1298"/>
      <c r="F33" s="1103" t="str">
        <f>IF(Noty!F33="","",Noty!F33)</f>
        <v/>
      </c>
      <c r="G33" s="1103" t="str">
        <f>IF(Noty!G33="","",Noty!G33)</f>
        <v/>
      </c>
      <c r="H33" s="1103" t="str">
        <f>IF(Noty!H33="","",Noty!H33)</f>
        <v/>
      </c>
      <c r="I33" s="800">
        <f>IF(Noty!I33="","",Noty!I33)</f>
        <v>0</v>
      </c>
      <c r="J33" s="499" t="str">
        <f>Noty!J33</f>
        <v>ukryj</v>
      </c>
      <c r="K33" s="587"/>
      <c r="L33" s="178"/>
    </row>
    <row r="34" spans="1:12" ht="13.6" customHeight="1" x14ac:dyDescent="0.25">
      <c r="C34" s="181" t="s">
        <v>8162</v>
      </c>
      <c r="D34" s="1487" t="str">
        <f>IF(Noty!D34="","",Noty!D34)</f>
        <v/>
      </c>
      <c r="E34" s="1298"/>
      <c r="F34" s="1103" t="str">
        <f>IF(Noty!F34="","",Noty!F34)</f>
        <v/>
      </c>
      <c r="G34" s="1103" t="str">
        <f>IF(Noty!G34="","",Noty!G34)</f>
        <v/>
      </c>
      <c r="H34" s="1103" t="str">
        <f>IF(Noty!H34="","",Noty!H34)</f>
        <v/>
      </c>
      <c r="I34" s="800">
        <f>IF(Noty!I34="","",Noty!I34)</f>
        <v>0</v>
      </c>
      <c r="J34" s="499" t="str">
        <f>Noty!J34</f>
        <v>ukryj</v>
      </c>
      <c r="K34" s="587"/>
      <c r="L34" s="178"/>
    </row>
    <row r="35" spans="1:12" ht="15.75" customHeight="1" x14ac:dyDescent="0.25">
      <c r="A35" s="509"/>
      <c r="B35" s="520"/>
      <c r="C35" s="821" t="s">
        <v>10806</v>
      </c>
      <c r="D35" s="1296">
        <f>IF(Noty!D35="","",Noty!D35)</f>
        <v>0</v>
      </c>
      <c r="E35" s="1296"/>
      <c r="F35" s="800">
        <f>IF(Noty!F35="","",Noty!F35)</f>
        <v>0</v>
      </c>
      <c r="G35" s="800">
        <f>IF(Noty!G35="","",Noty!G35)</f>
        <v>0</v>
      </c>
      <c r="H35" s="800">
        <f>IF(Noty!H35="","",Noty!H35)</f>
        <v>0</v>
      </c>
      <c r="I35" s="800">
        <f>IF(Noty!I35="","",Noty!I35)</f>
        <v>0</v>
      </c>
      <c r="J35" s="499" t="str">
        <f>Noty!J35</f>
        <v>ukryj</v>
      </c>
      <c r="K35" s="588"/>
    </row>
    <row r="36" spans="1:12" ht="15.75" customHeight="1" x14ac:dyDescent="0.25">
      <c r="A36" s="509"/>
      <c r="B36" s="520"/>
      <c r="C36" s="182" t="s">
        <v>10807</v>
      </c>
      <c r="D36" s="1487" t="str">
        <f>IF(Noty!D36="","",Noty!D36)</f>
        <v/>
      </c>
      <c r="E36" s="1298"/>
      <c r="F36" s="1103" t="str">
        <f>IF(Noty!F36="","",Noty!F36)</f>
        <v/>
      </c>
      <c r="G36" s="1103" t="str">
        <f>IF(Noty!G36="","",Noty!G36)</f>
        <v/>
      </c>
      <c r="H36" s="1103" t="str">
        <f>IF(Noty!H36="","",Noty!H36)</f>
        <v/>
      </c>
      <c r="I36" s="800">
        <f>IF(Noty!I36="","",Noty!I36)</f>
        <v>0</v>
      </c>
      <c r="J36" s="499" t="str">
        <f>Noty!J36</f>
        <v>ukryj</v>
      </c>
      <c r="K36" s="587"/>
    </row>
    <row r="37" spans="1:12" ht="15.75" customHeight="1" x14ac:dyDescent="0.25">
      <c r="A37" s="509"/>
      <c r="B37" s="520"/>
      <c r="C37" s="182" t="s">
        <v>10808</v>
      </c>
      <c r="D37" s="1487" t="str">
        <f>IF(Noty!D37="","",Noty!D37)</f>
        <v/>
      </c>
      <c r="E37" s="1298"/>
      <c r="F37" s="1103" t="str">
        <f>IF(Noty!F37="","",Noty!F37)</f>
        <v/>
      </c>
      <c r="G37" s="1103" t="str">
        <f>IF(Noty!G37="","",Noty!G37)</f>
        <v/>
      </c>
      <c r="H37" s="1103" t="str">
        <f>IF(Noty!H37="","",Noty!H37)</f>
        <v/>
      </c>
      <c r="I37" s="800">
        <f>IF(Noty!I37="","",Noty!I37)</f>
        <v>0</v>
      </c>
      <c r="J37" s="499" t="str">
        <f>Noty!J37</f>
        <v>ukryj</v>
      </c>
      <c r="K37" s="587"/>
    </row>
    <row r="38" spans="1:12" ht="15.75" customHeight="1" x14ac:dyDescent="0.25">
      <c r="A38" s="509"/>
      <c r="B38" s="520"/>
      <c r="C38" s="182" t="s">
        <v>10809</v>
      </c>
      <c r="D38" s="1487" t="str">
        <f>IF(Noty!D38="","",Noty!D38)</f>
        <v/>
      </c>
      <c r="E38" s="1298"/>
      <c r="F38" s="1103" t="str">
        <f>IF(Noty!F38="","",Noty!F38)</f>
        <v/>
      </c>
      <c r="G38" s="1103" t="str">
        <f>IF(Noty!G38="","",Noty!G38)</f>
        <v/>
      </c>
      <c r="H38" s="1103" t="str">
        <f>IF(Noty!H38="","",Noty!H38)</f>
        <v/>
      </c>
      <c r="I38" s="800">
        <f>IF(Noty!I38="","",Noty!I38)</f>
        <v>0</v>
      </c>
      <c r="J38" s="499" t="str">
        <f>Noty!J38</f>
        <v>ukryj</v>
      </c>
      <c r="K38" s="587"/>
    </row>
    <row r="39" spans="1:12" ht="15.75" customHeight="1" x14ac:dyDescent="0.25">
      <c r="A39" s="509"/>
      <c r="B39" s="520"/>
      <c r="C39" s="182" t="s">
        <v>10805</v>
      </c>
      <c r="D39" s="1487" t="str">
        <f>IF(Noty!D39="","",Noty!D39)</f>
        <v/>
      </c>
      <c r="E39" s="1298"/>
      <c r="F39" s="1103" t="str">
        <f>IF(Noty!F39="","",Noty!F39)</f>
        <v/>
      </c>
      <c r="G39" s="1103" t="str">
        <f>IF(Noty!G39="","",Noty!G39)</f>
        <v/>
      </c>
      <c r="H39" s="1103" t="str">
        <f>IF(Noty!H39="","",Noty!H39)</f>
        <v/>
      </c>
      <c r="I39" s="800">
        <f>IF(Noty!I39="","",Noty!I39)</f>
        <v>0</v>
      </c>
      <c r="J39" s="499" t="str">
        <f>Noty!J39</f>
        <v>ukryj</v>
      </c>
      <c r="K39" s="587"/>
    </row>
    <row r="40" spans="1:12" ht="13.6" customHeight="1" x14ac:dyDescent="0.25">
      <c r="C40" s="181" t="s">
        <v>8162</v>
      </c>
      <c r="D40" s="1487" t="str">
        <f>IF(Noty!D40="","",Noty!D40)</f>
        <v/>
      </c>
      <c r="E40" s="1298"/>
      <c r="F40" s="1103" t="str">
        <f>IF(Noty!F40="","",Noty!F40)</f>
        <v/>
      </c>
      <c r="G40" s="1103" t="str">
        <f>IF(Noty!G40="","",Noty!G40)</f>
        <v/>
      </c>
      <c r="H40" s="1103" t="str">
        <f>IF(Noty!H40="","",Noty!H40)</f>
        <v/>
      </c>
      <c r="I40" s="800">
        <f>IF(Noty!I40="","",Noty!I40)</f>
        <v>0</v>
      </c>
      <c r="J40" s="499" t="str">
        <f>Noty!J40</f>
        <v>ukryj</v>
      </c>
      <c r="K40" s="587"/>
      <c r="L40" s="178"/>
    </row>
    <row r="41" spans="1:12" ht="15.75" customHeight="1" x14ac:dyDescent="0.25">
      <c r="A41" s="509"/>
      <c r="B41" s="520"/>
      <c r="C41" s="821" t="s">
        <v>10810</v>
      </c>
      <c r="D41" s="1501" t="str">
        <f>IF(Noty!D41="","",Noty!D41)</f>
        <v/>
      </c>
      <c r="E41" s="1301"/>
      <c r="F41" s="1103" t="str">
        <f>IF(Noty!F41="","",Noty!F41)</f>
        <v/>
      </c>
      <c r="G41" s="1103" t="str">
        <f>IF(Noty!G41="","",Noty!G41)</f>
        <v/>
      </c>
      <c r="H41" s="1141" t="str">
        <f>IF(Noty!H41="","",Noty!H41)</f>
        <v/>
      </c>
      <c r="I41" s="800">
        <f>IF(Noty!I41="","",Noty!I41)</f>
        <v>0</v>
      </c>
      <c r="J41" s="499" t="str">
        <f>Noty!J41</f>
        <v>ukryj</v>
      </c>
      <c r="K41" s="587"/>
    </row>
    <row r="42" spans="1:12" ht="13.6" customHeight="1" x14ac:dyDescent="0.25">
      <c r="C42" s="821" t="str">
        <f>CONCATENATE("As at ",Input!$C$7)</f>
        <v>As at 31.12.2020</v>
      </c>
      <c r="D42" s="1300">
        <f>IF(Noty!D42="","",Noty!D42)</f>
        <v>0</v>
      </c>
      <c r="E42" s="1300"/>
      <c r="F42" s="803">
        <f>IF(Noty!F42="","",Noty!F42)</f>
        <v>0</v>
      </c>
      <c r="G42" s="803">
        <f>IF(Noty!G42="","",Noty!G42)</f>
        <v>0</v>
      </c>
      <c r="H42" s="803">
        <f>IF(Noty!H42="","",Noty!H42)</f>
        <v>0</v>
      </c>
      <c r="I42" s="803">
        <f>IF(Noty!I42="","",Noty!I42)</f>
        <v>0</v>
      </c>
      <c r="J42" s="499" t="str">
        <f>Noty!J42</f>
        <v>ukryj</v>
      </c>
      <c r="K42" s="587"/>
      <c r="L42" s="178"/>
    </row>
    <row r="43" spans="1:12" ht="13.6" customHeight="1" x14ac:dyDescent="0.25">
      <c r="E43" s="184"/>
      <c r="F43" s="184"/>
      <c r="G43" s="184"/>
      <c r="H43" s="184"/>
      <c r="I43" s="184"/>
      <c r="J43" s="499" t="str">
        <f>Noty!J43</f>
        <v>ukryj</v>
      </c>
      <c r="K43" s="587"/>
      <c r="L43" s="178"/>
    </row>
    <row r="44" spans="1:12" ht="13.6" customHeight="1" x14ac:dyDescent="0.25">
      <c r="C44" s="185" t="s">
        <v>10813</v>
      </c>
      <c r="E44" s="183"/>
      <c r="F44" s="183"/>
      <c r="G44" s="183"/>
      <c r="H44" s="183"/>
      <c r="I44" s="184"/>
      <c r="J44" s="499" t="str">
        <f>Noty!J44</f>
        <v>ukryj</v>
      </c>
      <c r="K44" s="174"/>
      <c r="L44" s="178"/>
    </row>
    <row r="45" spans="1:12" ht="13.6" customHeight="1" x14ac:dyDescent="0.25">
      <c r="E45" s="183"/>
      <c r="F45" s="183"/>
      <c r="G45" s="183"/>
      <c r="H45" s="183"/>
      <c r="I45" s="184"/>
      <c r="J45" s="499" t="str">
        <f>Noty!J45</f>
        <v>ukryj</v>
      </c>
      <c r="K45" s="174"/>
      <c r="L45" s="178"/>
    </row>
    <row r="46" spans="1:12" ht="13.6" customHeight="1" x14ac:dyDescent="0.25">
      <c r="C46" s="821" t="str">
        <f>CONCATENATE("As at ",Input!$C$6)</f>
        <v>As at 01.01.2020</v>
      </c>
      <c r="D46" s="1487" t="str">
        <f>IF(Noty!D46="","",Noty!D46)</f>
        <v/>
      </c>
      <c r="E46" s="1298"/>
      <c r="F46" s="1103" t="str">
        <f>IF(Noty!F46="","",Noty!F46)</f>
        <v/>
      </c>
      <c r="G46" s="1103" t="str">
        <f>IF(Noty!G46="","",Noty!G46)</f>
        <v/>
      </c>
      <c r="H46" s="1141" t="str">
        <f>IF(Noty!H46="","",Noty!H46)</f>
        <v/>
      </c>
      <c r="I46" s="800">
        <f>IF(Noty!I46="","",Noty!I46)</f>
        <v>0</v>
      </c>
      <c r="J46" s="499" t="str">
        <f>Noty!J46</f>
        <v>ukryj</v>
      </c>
      <c r="K46" s="174"/>
      <c r="L46" s="178"/>
    </row>
    <row r="47" spans="1:12" ht="13.6" customHeight="1" x14ac:dyDescent="0.25">
      <c r="C47" s="821" t="s">
        <v>10801</v>
      </c>
      <c r="D47" s="1487" t="str">
        <f>IF(Noty!D47="","",Noty!D47)</f>
        <v/>
      </c>
      <c r="E47" s="1298"/>
      <c r="F47" s="1103" t="str">
        <f>IF(Noty!F47="","",Noty!F47)</f>
        <v/>
      </c>
      <c r="G47" s="1103" t="str">
        <f>IF(Noty!G47="","",Noty!G47)</f>
        <v/>
      </c>
      <c r="H47" s="1103" t="str">
        <f>IF(Noty!H47="","",Noty!H47)</f>
        <v/>
      </c>
      <c r="I47" s="800">
        <f>IF(Noty!I47="","",Noty!I47)</f>
        <v>0</v>
      </c>
      <c r="J47" s="499" t="str">
        <f>Noty!J47</f>
        <v>ukryj</v>
      </c>
      <c r="K47" s="174"/>
      <c r="L47" s="178"/>
    </row>
    <row r="48" spans="1:12" ht="13.6" customHeight="1" x14ac:dyDescent="0.25">
      <c r="C48" s="821" t="s">
        <v>10806</v>
      </c>
      <c r="D48" s="1296">
        <f>IF(Noty!D48="","",Noty!D48)</f>
        <v>0</v>
      </c>
      <c r="E48" s="1296"/>
      <c r="F48" s="800">
        <f>IF(Noty!F48="","",Noty!F48)</f>
        <v>0</v>
      </c>
      <c r="G48" s="800">
        <f>IF(Noty!G48="","",Noty!G48)</f>
        <v>0</v>
      </c>
      <c r="H48" s="800">
        <f>IF(Noty!H48="","",Noty!H48)</f>
        <v>0</v>
      </c>
      <c r="I48" s="800">
        <f>IF(Noty!I48="","",Noty!I48)</f>
        <v>0</v>
      </c>
      <c r="J48" s="499" t="str">
        <f>Noty!J48</f>
        <v>ukryj</v>
      </c>
      <c r="K48" s="174"/>
      <c r="L48" s="178"/>
    </row>
    <row r="49" spans="1:14" ht="13.6" customHeight="1" x14ac:dyDescent="0.25">
      <c r="C49" s="181" t="s">
        <v>10814</v>
      </c>
      <c r="D49" s="1487" t="str">
        <f>IF(Noty!D49="","",Noty!D49)</f>
        <v/>
      </c>
      <c r="E49" s="1298"/>
      <c r="F49" s="800" t="str">
        <f>IF(Noty!F49="","",Noty!F49)</f>
        <v/>
      </c>
      <c r="G49" s="800" t="str">
        <f>IF(Noty!G49="","",Noty!G49)</f>
        <v/>
      </c>
      <c r="H49" s="800" t="str">
        <f>IF(Noty!H49="","",Noty!H49)</f>
        <v/>
      </c>
      <c r="I49" s="800">
        <f>IF(Noty!I49="","",Noty!I49)</f>
        <v>0</v>
      </c>
      <c r="J49" s="499" t="str">
        <f>Noty!J49</f>
        <v>ukryj</v>
      </c>
      <c r="K49" s="174"/>
      <c r="L49" s="178"/>
    </row>
    <row r="50" spans="1:14" ht="13.6" customHeight="1" x14ac:dyDescent="0.25">
      <c r="C50" s="181" t="s">
        <v>10815</v>
      </c>
      <c r="D50" s="1487" t="str">
        <f>IF(Noty!D50="","",Noty!D50)</f>
        <v/>
      </c>
      <c r="E50" s="1298"/>
      <c r="F50" s="800" t="str">
        <f>IF(Noty!F50="","",Noty!F50)</f>
        <v/>
      </c>
      <c r="G50" s="800" t="str">
        <f>IF(Noty!G50="","",Noty!G50)</f>
        <v/>
      </c>
      <c r="H50" s="800" t="str">
        <f>IF(Noty!H50="","",Noty!H50)</f>
        <v/>
      </c>
      <c r="I50" s="800">
        <f>IF(Noty!I50="","",Noty!I50)</f>
        <v>0</v>
      </c>
      <c r="J50" s="499" t="str">
        <f>Noty!J50</f>
        <v>ukryj</v>
      </c>
      <c r="K50" s="174"/>
      <c r="L50" s="178"/>
    </row>
    <row r="51" spans="1:14" ht="15.75" customHeight="1" x14ac:dyDescent="0.25">
      <c r="A51" s="509"/>
      <c r="B51" s="520"/>
      <c r="C51" s="805" t="s">
        <v>10810</v>
      </c>
      <c r="D51" s="1501" t="str">
        <f>IF(Noty!D51="","",Noty!D51)</f>
        <v/>
      </c>
      <c r="E51" s="1301"/>
      <c r="F51" s="1103" t="str">
        <f>IF(Noty!F51="","",Noty!F51)</f>
        <v/>
      </c>
      <c r="G51" s="1103" t="str">
        <f>IF(Noty!G51="","",Noty!G51)</f>
        <v/>
      </c>
      <c r="H51" s="1141" t="str">
        <f>IF(Noty!H51="","",Noty!H51)</f>
        <v/>
      </c>
      <c r="I51" s="800">
        <f>IF(Noty!I51="","",Noty!I51)</f>
        <v>0</v>
      </c>
      <c r="J51" s="499" t="str">
        <f>Noty!J51</f>
        <v>ukryj</v>
      </c>
      <c r="K51" s="174"/>
    </row>
    <row r="52" spans="1:14" ht="13.6" customHeight="1" x14ac:dyDescent="0.25">
      <c r="C52" s="821" t="str">
        <f>CONCATENATE("As at ",Input!$C$7)</f>
        <v>As at 31.12.2020</v>
      </c>
      <c r="D52" s="1300">
        <f>IF(Noty!D52="","",Noty!D52)</f>
        <v>0</v>
      </c>
      <c r="E52" s="1300"/>
      <c r="F52" s="803">
        <f>IF(Noty!F52="","",Noty!F52)</f>
        <v>0</v>
      </c>
      <c r="G52" s="803">
        <f>IF(Noty!G52="","",Noty!G52)</f>
        <v>0</v>
      </c>
      <c r="H52" s="803">
        <f>IF(Noty!H52="","",Noty!H52)</f>
        <v>0</v>
      </c>
      <c r="I52" s="803">
        <f>IF(Noty!I52="","",Noty!I52)</f>
        <v>0</v>
      </c>
      <c r="J52" s="499" t="str">
        <f>Noty!J52</f>
        <v>ukryj</v>
      </c>
      <c r="K52" s="174"/>
      <c r="L52" s="178"/>
    </row>
    <row r="53" spans="1:14" ht="13.6" customHeight="1" x14ac:dyDescent="0.25">
      <c r="E53" s="184"/>
      <c r="F53" s="184"/>
      <c r="G53" s="184"/>
      <c r="H53" s="184"/>
      <c r="I53" s="184"/>
      <c r="J53" s="499" t="str">
        <f>Noty!J53</f>
        <v>ukryj</v>
      </c>
      <c r="K53" s="174"/>
      <c r="L53" s="178"/>
    </row>
    <row r="54" spans="1:14" ht="13.6" customHeight="1" x14ac:dyDescent="0.25">
      <c r="C54" s="244" t="s">
        <v>10816</v>
      </c>
      <c r="E54" s="184"/>
      <c r="F54" s="184"/>
      <c r="G54" s="184"/>
      <c r="H54" s="184"/>
      <c r="I54" s="184"/>
      <c r="J54" s="499" t="str">
        <f>Noty!J54</f>
        <v>ukryj</v>
      </c>
      <c r="K54" s="174"/>
      <c r="L54" s="178"/>
    </row>
    <row r="55" spans="1:14" ht="13.6" customHeight="1" x14ac:dyDescent="0.25">
      <c r="C55" s="244"/>
      <c r="E55" s="184"/>
      <c r="F55" s="184"/>
      <c r="G55" s="184"/>
      <c r="H55" s="184"/>
      <c r="I55" s="184"/>
      <c r="J55" s="499" t="str">
        <f>Noty!J55</f>
        <v>ukryj</v>
      </c>
      <c r="K55" s="174"/>
      <c r="L55" s="178"/>
    </row>
    <row r="56" spans="1:14" ht="13.6" customHeight="1" x14ac:dyDescent="0.25">
      <c r="C56" s="821" t="str">
        <f>CONCATENATE("As at ",Input!$C$6)</f>
        <v>As at 01.01.2020</v>
      </c>
      <c r="D56" s="1302">
        <f>IF(Noty!D56="","",Noty!D56)</f>
        <v>0</v>
      </c>
      <c r="E56" s="1302"/>
      <c r="F56" s="1127">
        <f>IF(Noty!F56="","",Noty!F56)</f>
        <v>0</v>
      </c>
      <c r="G56" s="1127">
        <f>IF(Noty!G56="","",Noty!G56)</f>
        <v>0</v>
      </c>
      <c r="H56" s="1127">
        <f>IF(Noty!H56="","",Noty!H56)</f>
        <v>0</v>
      </c>
      <c r="I56" s="1127">
        <f>IF(Noty!I56="","",Noty!I56)</f>
        <v>0</v>
      </c>
      <c r="J56" s="499" t="str">
        <f>Noty!J56</f>
        <v>ukryj</v>
      </c>
      <c r="K56" s="174"/>
      <c r="L56" s="178"/>
    </row>
    <row r="57" spans="1:14" ht="13.6" customHeight="1" x14ac:dyDescent="0.25">
      <c r="C57" s="821" t="str">
        <f>CONCATENATE("As at ",Input!$C$7)</f>
        <v>As at 31.12.2020</v>
      </c>
      <c r="D57" s="1302">
        <f>IF(Noty!D57="","",Noty!D57)</f>
        <v>0</v>
      </c>
      <c r="E57" s="1302"/>
      <c r="F57" s="1127">
        <f>IF(Noty!F57="","",Noty!F57)</f>
        <v>0</v>
      </c>
      <c r="G57" s="1127">
        <f>IF(Noty!G57="","",Noty!G57)</f>
        <v>0</v>
      </c>
      <c r="H57" s="1127">
        <f>IF(Noty!H57="","",Noty!H57)</f>
        <v>0</v>
      </c>
      <c r="I57" s="1127">
        <f>IF(Noty!I57="","",Noty!I57)</f>
        <v>0</v>
      </c>
      <c r="J57" s="499" t="str">
        <f>Noty!J57</f>
        <v>ukryj</v>
      </c>
      <c r="K57" s="174"/>
      <c r="L57" s="178"/>
    </row>
    <row r="58" spans="1:14" ht="15.75" customHeight="1" thickBot="1" x14ac:dyDescent="0.3">
      <c r="D58" s="183"/>
      <c r="E58" s="183"/>
      <c r="F58" s="183"/>
      <c r="G58" s="183"/>
      <c r="H58" s="183"/>
      <c r="I58" s="608"/>
      <c r="J58" s="499" t="str">
        <f>Noty!J58</f>
        <v>ukryj</v>
      </c>
      <c r="K58" s="257"/>
    </row>
    <row r="59" spans="1:14" s="490" customFormat="1" ht="15.75" customHeight="1" thickTop="1" thickBot="1" x14ac:dyDescent="0.35">
      <c r="A59" s="1183">
        <f>A6</f>
        <v>0</v>
      </c>
      <c r="B59" s="1184">
        <f>IF(K59="n/a",B8,B8+1)</f>
        <v>0</v>
      </c>
      <c r="C59" s="1235" t="s">
        <v>7774</v>
      </c>
      <c r="D59" s="1235"/>
      <c r="E59" s="1235"/>
      <c r="F59" s="1235"/>
      <c r="G59" s="1235"/>
      <c r="H59" s="1235"/>
      <c r="I59" s="1235"/>
      <c r="J59" s="499" t="str">
        <f>Noty!J59</f>
        <v>ukryj</v>
      </c>
      <c r="K59" s="585" t="str">
        <f>Noty!K59</f>
        <v>n/a</v>
      </c>
      <c r="L59" s="573" t="str">
        <f>A59&amp;"."&amp;B59</f>
        <v>0.0</v>
      </c>
      <c r="N59" s="1101" t="s">
        <v>9378</v>
      </c>
    </row>
    <row r="60" spans="1:14" ht="15.75" customHeight="1" thickTop="1" x14ac:dyDescent="0.25">
      <c r="H60" s="581"/>
      <c r="I60" s="581"/>
      <c r="J60" s="499" t="str">
        <f>Noty!J60</f>
        <v>ukryj</v>
      </c>
      <c r="K60" s="257"/>
    </row>
    <row r="61" spans="1:14" s="360" customFormat="1" ht="15.75" customHeight="1" x14ac:dyDescent="0.25">
      <c r="A61" s="171"/>
      <c r="B61" s="257"/>
      <c r="C61" s="257" t="s">
        <v>10817</v>
      </c>
      <c r="D61" s="209"/>
      <c r="E61" s="209"/>
      <c r="F61" s="209"/>
      <c r="G61" s="209"/>
      <c r="H61" s="1498" t="str">
        <f>IF(Noty!H61="","",Noty!H61)</f>
        <v/>
      </c>
      <c r="I61" s="1459"/>
      <c r="J61" s="499" t="str">
        <f>Noty!J61</f>
        <v>ukryj</v>
      </c>
    </row>
    <row r="62" spans="1:14" s="240" customFormat="1" ht="15.75" customHeight="1" x14ac:dyDescent="0.25">
      <c r="A62" s="171"/>
      <c r="B62" s="257"/>
      <c r="C62" s="187" t="s">
        <v>7933</v>
      </c>
      <c r="D62" s="834"/>
      <c r="E62" s="834"/>
      <c r="F62" s="834"/>
      <c r="G62" s="834"/>
      <c r="H62" s="834"/>
      <c r="I62" s="608"/>
      <c r="J62" s="499" t="str">
        <f>Noty!J62</f>
        <v>ukryj</v>
      </c>
    </row>
    <row r="63" spans="1:14" ht="15.05" customHeight="1" x14ac:dyDescent="0.25">
      <c r="C63" s="1460" t="s">
        <v>10818</v>
      </c>
      <c r="D63" s="1460"/>
      <c r="E63" s="1460"/>
      <c r="F63" s="1460"/>
      <c r="G63" s="1460"/>
      <c r="H63" s="1515" t="str">
        <f>IF(Noty!I63="","",Noty!I63)</f>
        <v/>
      </c>
      <c r="I63" s="1104" t="str">
        <f>IF(Noty!I63="","",Noty!I63)</f>
        <v/>
      </c>
      <c r="J63" s="499" t="str">
        <f>Noty!J63</f>
        <v>ukryj</v>
      </c>
      <c r="K63" s="257"/>
    </row>
    <row r="64" spans="1:14" x14ac:dyDescent="0.25">
      <c r="C64" s="1460" t="s">
        <v>10819</v>
      </c>
      <c r="D64" s="1460"/>
      <c r="E64" s="1461"/>
      <c r="F64" s="1516" t="str">
        <f>IF(Noty!E64="","",Noty!E64)</f>
        <v/>
      </c>
      <c r="G64" s="1461"/>
      <c r="H64" s="1461"/>
      <c r="I64" s="1461"/>
      <c r="J64" s="499" t="str">
        <f>Noty!J64</f>
        <v>ukryj</v>
      </c>
      <c r="K64" s="257"/>
    </row>
    <row r="65" spans="1:14" ht="15.75" customHeight="1" thickBot="1" x14ac:dyDescent="0.3">
      <c r="I65" s="608"/>
      <c r="J65" s="499" t="str">
        <f>Noty!J65</f>
        <v>ukryj</v>
      </c>
      <c r="K65" s="257"/>
    </row>
    <row r="66" spans="1:14" s="164" customFormat="1" ht="15.75" customHeight="1" thickTop="1" thickBot="1" x14ac:dyDescent="0.35">
      <c r="A66" s="1183">
        <f>A59</f>
        <v>0</v>
      </c>
      <c r="B66" s="1184">
        <f>IF(K66="n/a",B59,B59+1)</f>
        <v>0</v>
      </c>
      <c r="C66" s="1235" t="s">
        <v>7776</v>
      </c>
      <c r="D66" s="1235"/>
      <c r="E66" s="1235"/>
      <c r="F66" s="1235"/>
      <c r="G66" s="1235"/>
      <c r="H66" s="1235"/>
      <c r="I66" s="1235"/>
      <c r="J66" s="499" t="str">
        <f>Noty!J66</f>
        <v>ukryj</v>
      </c>
      <c r="K66" s="585" t="str">
        <f>Noty!K66</f>
        <v>n/a</v>
      </c>
      <c r="L66" s="573" t="str">
        <f>A66&amp;"."&amp;B66</f>
        <v>0.0</v>
      </c>
      <c r="N66" s="1101" t="s">
        <v>9378</v>
      </c>
    </row>
    <row r="67" spans="1:14" ht="15.75" customHeight="1" thickTop="1" x14ac:dyDescent="0.25">
      <c r="I67" s="608"/>
      <c r="J67" s="499" t="str">
        <f>Noty!J67</f>
        <v>ukryj</v>
      </c>
      <c r="K67" s="257"/>
    </row>
    <row r="68" spans="1:14" s="240" customFormat="1" ht="12.8" customHeight="1" x14ac:dyDescent="0.25">
      <c r="A68" s="171"/>
      <c r="B68" s="257"/>
      <c r="C68" s="1458" t="s">
        <v>10820</v>
      </c>
      <c r="D68" s="1458"/>
      <c r="E68" s="1458"/>
      <c r="F68" s="1458"/>
      <c r="G68" s="1458"/>
      <c r="H68" s="1458"/>
      <c r="I68" s="1458"/>
      <c r="J68" s="499" t="str">
        <f>Noty!J68</f>
        <v>ukryj</v>
      </c>
    </row>
    <row r="69" spans="1:14" ht="15.75" customHeight="1" thickBot="1" x14ac:dyDescent="0.3">
      <c r="I69" s="608"/>
      <c r="J69" s="499" t="str">
        <f>Noty!J69</f>
        <v>ukryj</v>
      </c>
      <c r="K69" s="257"/>
    </row>
    <row r="70" spans="1:14" s="164" customFormat="1" ht="15.75" customHeight="1" thickTop="1" thickBot="1" x14ac:dyDescent="0.35">
      <c r="A70" s="1183">
        <f>A6</f>
        <v>0</v>
      </c>
      <c r="B70" s="1184">
        <f>IF(K70="n/a",B66,B66+1)</f>
        <v>0</v>
      </c>
      <c r="C70" s="1235" t="s">
        <v>10821</v>
      </c>
      <c r="D70" s="1235"/>
      <c r="E70" s="1235"/>
      <c r="F70" s="1235"/>
      <c r="G70" s="1235"/>
      <c r="H70" s="1235"/>
      <c r="I70" s="1235"/>
      <c r="J70" s="499" t="str">
        <f>Noty!J70</f>
        <v>ukryj</v>
      </c>
      <c r="K70" s="585" t="str">
        <f>Noty!K70</f>
        <v>n/a</v>
      </c>
      <c r="L70" s="573" t="str">
        <f>A70&amp;"."&amp;B70</f>
        <v>0.0</v>
      </c>
      <c r="N70" s="1101" t="s">
        <v>9378</v>
      </c>
    </row>
    <row r="71" spans="1:14" s="164" customFormat="1" ht="15.75" customHeight="1" thickTop="1" x14ac:dyDescent="0.25">
      <c r="A71" s="489"/>
      <c r="B71" s="520"/>
      <c r="C71" s="356"/>
      <c r="D71" s="218"/>
      <c r="E71" s="218"/>
      <c r="F71" s="218"/>
      <c r="G71" s="218"/>
      <c r="H71" s="218"/>
      <c r="I71" s="218"/>
      <c r="J71" s="499" t="str">
        <f>Noty!J71</f>
        <v>ukryj</v>
      </c>
      <c r="K71" s="489"/>
      <c r="L71" s="573"/>
      <c r="N71" s="488"/>
    </row>
    <row r="72" spans="1:14" ht="15.75" customHeight="1" x14ac:dyDescent="0.25">
      <c r="G72" s="610"/>
      <c r="H72" s="999" t="str">
        <f>IF(Noty!H72="","",Noty!H72)</f>
        <v>31.12.2020</v>
      </c>
      <c r="I72" s="1000" t="str">
        <f>IF(Noty!I72="","",Noty!I72)</f>
        <v>31.12.2019</v>
      </c>
      <c r="J72" s="499" t="str">
        <f>Noty!J72</f>
        <v>ukryj</v>
      </c>
      <c r="K72" s="257"/>
    </row>
    <row r="73" spans="1:14" ht="29.95" customHeight="1" x14ac:dyDescent="0.25">
      <c r="C73" s="1308" t="s">
        <v>10822</v>
      </c>
      <c r="D73" s="1308"/>
      <c r="E73" s="1308"/>
      <c r="F73" s="1308"/>
      <c r="G73" s="995"/>
      <c r="H73" s="1142" t="str">
        <f>IF(Noty!H73="","",Noty!H73)</f>
        <v/>
      </c>
      <c r="I73" s="1142" t="str">
        <f>IF(Noty!I73="","",Noty!I73)</f>
        <v/>
      </c>
      <c r="J73" s="499" t="str">
        <f>Noty!J73</f>
        <v>ukryj</v>
      </c>
      <c r="K73" s="257"/>
    </row>
    <row r="74" spans="1:14" ht="15.75" customHeight="1" x14ac:dyDescent="0.25">
      <c r="I74" s="608"/>
      <c r="J74" s="499" t="str">
        <f>Noty!J74</f>
        <v>ukryj</v>
      </c>
      <c r="K74" s="257"/>
    </row>
    <row r="75" spans="1:14" ht="15.75" customHeight="1" x14ac:dyDescent="0.25">
      <c r="C75" s="1458" t="s">
        <v>10823</v>
      </c>
      <c r="D75" s="1458"/>
      <c r="E75" s="1458"/>
      <c r="F75" s="1458"/>
      <c r="G75" s="1458"/>
      <c r="H75" s="1458"/>
      <c r="I75" s="1458"/>
      <c r="J75" s="499" t="str">
        <f>Noty!J75</f>
        <v>ukryj</v>
      </c>
      <c r="K75" s="257"/>
    </row>
    <row r="76" spans="1:14" ht="15.75" customHeight="1" thickBot="1" x14ac:dyDescent="0.3">
      <c r="I76" s="608"/>
      <c r="J76" s="499" t="str">
        <f>Noty!J76</f>
        <v>ukryj</v>
      </c>
      <c r="K76" s="257"/>
    </row>
    <row r="77" spans="1:14" ht="16.399999999999999" thickTop="1" thickBot="1" x14ac:dyDescent="0.35">
      <c r="A77" s="1180">
        <f>IF(K77="n/a",A70,A70+1)</f>
        <v>0</v>
      </c>
      <c r="B77" s="1182"/>
      <c r="C77" s="1280" t="s">
        <v>7973</v>
      </c>
      <c r="D77" s="1280"/>
      <c r="E77" s="1280"/>
      <c r="F77" s="1280"/>
      <c r="G77" s="1280"/>
      <c r="H77" s="1280"/>
      <c r="I77" s="1280"/>
      <c r="J77" s="499" t="str">
        <f>Noty!J77</f>
        <v>ukryj</v>
      </c>
      <c r="K77" s="585" t="str">
        <f>Noty!K77</f>
        <v>n/a</v>
      </c>
      <c r="L77" s="496" t="str">
        <f>A77&amp;"."&amp;B77</f>
        <v>0.</v>
      </c>
      <c r="N77" s="1101" t="s">
        <v>9378</v>
      </c>
    </row>
    <row r="78" spans="1:14" ht="13.6" customHeight="1" thickTop="1" thickBot="1" x14ac:dyDescent="0.3">
      <c r="A78" s="510"/>
      <c r="B78" s="520"/>
      <c r="D78" s="609"/>
      <c r="E78" s="609"/>
      <c r="F78" s="609"/>
      <c r="G78" s="609"/>
      <c r="H78" s="609"/>
      <c r="I78" s="609"/>
      <c r="J78" s="499" t="str">
        <f>Noty!J78</f>
        <v>ukryj</v>
      </c>
      <c r="K78" s="257"/>
    </row>
    <row r="79" spans="1:14" ht="16.399999999999999" thickTop="1" thickBot="1" x14ac:dyDescent="0.35">
      <c r="A79" s="1183">
        <f>A77</f>
        <v>0</v>
      </c>
      <c r="B79" s="1184">
        <f>IF(K79="n/a",0,1)</f>
        <v>0</v>
      </c>
      <c r="C79" s="1235" t="s">
        <v>10824</v>
      </c>
      <c r="D79" s="1235"/>
      <c r="E79" s="1235"/>
      <c r="F79" s="1235"/>
      <c r="G79" s="1235"/>
      <c r="H79" s="1235"/>
      <c r="I79" s="1235"/>
      <c r="J79" s="499" t="str">
        <f>Noty!J79</f>
        <v>ukryj</v>
      </c>
      <c r="K79" s="585" t="str">
        <f>Noty!K79</f>
        <v>n/a</v>
      </c>
      <c r="L79" s="200" t="str">
        <f>A79&amp;"."&amp;B79</f>
        <v>0.0</v>
      </c>
      <c r="N79" s="1101" t="s">
        <v>9378</v>
      </c>
    </row>
    <row r="80" spans="1:14" ht="120.8" customHeight="1" thickTop="1" x14ac:dyDescent="0.25">
      <c r="A80" s="509"/>
      <c r="B80" s="520"/>
      <c r="D80" s="801" t="s">
        <v>10825</v>
      </c>
      <c r="E80" s="801" t="s">
        <v>10826</v>
      </c>
      <c r="F80" s="801" t="s">
        <v>7794</v>
      </c>
      <c r="G80" s="801" t="s">
        <v>7795</v>
      </c>
      <c r="H80" s="801" t="s">
        <v>10827</v>
      </c>
      <c r="I80" s="801" t="s">
        <v>9287</v>
      </c>
      <c r="J80" s="499" t="str">
        <f>Noty!J80</f>
        <v>ukryj</v>
      </c>
      <c r="K80" s="257"/>
    </row>
    <row r="81" spans="1:11" ht="13.6" customHeight="1" x14ac:dyDescent="0.25">
      <c r="A81" s="509"/>
      <c r="B81" s="520"/>
      <c r="D81" s="609"/>
      <c r="E81" s="609"/>
      <c r="F81" s="609"/>
      <c r="G81" s="609"/>
      <c r="H81" s="609"/>
      <c r="I81" s="609"/>
      <c r="J81" s="499" t="str">
        <f>Noty!J81</f>
        <v>ukryj</v>
      </c>
      <c r="K81" s="257"/>
    </row>
    <row r="82" spans="1:11" ht="13.6" customHeight="1" x14ac:dyDescent="0.25">
      <c r="A82" s="509"/>
      <c r="B82" s="520"/>
      <c r="C82" s="821" t="s">
        <v>10800</v>
      </c>
      <c r="D82" s="609"/>
      <c r="E82" s="609"/>
      <c r="F82" s="609"/>
      <c r="G82" s="609"/>
      <c r="H82" s="609"/>
      <c r="I82" s="609"/>
      <c r="J82" s="499" t="str">
        <f>Noty!J82</f>
        <v>ukryj</v>
      </c>
      <c r="K82" s="257"/>
    </row>
    <row r="83" spans="1:11" ht="13.6" customHeight="1" x14ac:dyDescent="0.25">
      <c r="A83" s="509"/>
      <c r="B83" s="520"/>
      <c r="D83" s="609"/>
      <c r="E83" s="609"/>
      <c r="F83" s="609"/>
      <c r="G83" s="609"/>
      <c r="H83" s="609"/>
      <c r="I83" s="609"/>
      <c r="J83" s="499" t="str">
        <f>Noty!J83</f>
        <v>ukryj</v>
      </c>
      <c r="K83" s="257"/>
    </row>
    <row r="84" spans="1:11" ht="13.6" customHeight="1" x14ac:dyDescent="0.25">
      <c r="A84" s="509"/>
      <c r="B84" s="520"/>
      <c r="C84" s="821" t="str">
        <f>CONCATENATE("As at ",Input!$C$6)</f>
        <v>As at 01.01.2020</v>
      </c>
      <c r="D84" s="800" t="str">
        <f>IF(Noty!D84="","",Noty!D84)</f>
        <v/>
      </c>
      <c r="E84" s="800" t="str">
        <f>IF(Noty!E84="","",Noty!E84)</f>
        <v/>
      </c>
      <c r="F84" s="800" t="str">
        <f>IF(Noty!F84="","",Noty!F84)</f>
        <v/>
      </c>
      <c r="G84" s="800" t="str">
        <f>IF(Noty!G84="","",Noty!G84)</f>
        <v/>
      </c>
      <c r="H84" s="800" t="str">
        <f>IF(Noty!H84="","",Noty!H84)</f>
        <v/>
      </c>
      <c r="I84" s="800">
        <f>IF(Noty!I84="","",Noty!I84)</f>
        <v>0</v>
      </c>
      <c r="J84" s="499" t="str">
        <f>Noty!J84</f>
        <v>ukryj</v>
      </c>
      <c r="K84" s="189"/>
    </row>
    <row r="85" spans="1:11" ht="13.6" customHeight="1" x14ac:dyDescent="0.25">
      <c r="A85" s="509"/>
      <c r="B85" s="520"/>
      <c r="C85" s="821" t="s">
        <v>10801</v>
      </c>
      <c r="D85" s="800">
        <f>IF(Noty!D85="","",Noty!D85)</f>
        <v>0</v>
      </c>
      <c r="E85" s="800">
        <f>IF(Noty!E85="","",Noty!E85)</f>
        <v>0</v>
      </c>
      <c r="F85" s="800">
        <f>IF(Noty!F85="","",Noty!F85)</f>
        <v>0</v>
      </c>
      <c r="G85" s="800">
        <f>IF(Noty!G85="","",Noty!G85)</f>
        <v>0</v>
      </c>
      <c r="H85" s="800">
        <f>IF(Noty!H85="","",Noty!H85)</f>
        <v>0</v>
      </c>
      <c r="I85" s="800">
        <f>IF(Noty!I85="","",Noty!I85)</f>
        <v>0</v>
      </c>
      <c r="J85" s="499" t="str">
        <f>Noty!J85</f>
        <v>ukryj</v>
      </c>
      <c r="K85" s="189"/>
    </row>
    <row r="86" spans="1:11" ht="25.55" customHeight="1" x14ac:dyDescent="0.25">
      <c r="A86" s="257"/>
      <c r="B86" s="520"/>
      <c r="C86" s="190" t="s">
        <v>10828</v>
      </c>
      <c r="D86" s="800" t="str">
        <f>IF(Noty!D86="","",Noty!D86)</f>
        <v/>
      </c>
      <c r="E86" s="800" t="str">
        <f>IF(Noty!E86="","",Noty!E86)</f>
        <v/>
      </c>
      <c r="F86" s="800" t="str">
        <f>IF(Noty!F86="","",Noty!F86)</f>
        <v/>
      </c>
      <c r="G86" s="800" t="str">
        <f>IF(Noty!G86="","",Noty!G86)</f>
        <v/>
      </c>
      <c r="H86" s="800" t="str">
        <f>IF(Noty!H86="","",Noty!H86)</f>
        <v/>
      </c>
      <c r="I86" s="800">
        <f>IF(Noty!I86="","",Noty!I86)</f>
        <v>0</v>
      </c>
      <c r="J86" s="499" t="str">
        <f>Noty!J86</f>
        <v>ukryj</v>
      </c>
      <c r="K86" s="189"/>
    </row>
    <row r="87" spans="1:11" ht="38.299999999999997" customHeight="1" x14ac:dyDescent="0.25">
      <c r="A87" s="257"/>
      <c r="B87" s="520"/>
      <c r="C87" s="190" t="s">
        <v>10829</v>
      </c>
      <c r="D87" s="800" t="str">
        <f>IF(Noty!D87="","",Noty!D87)</f>
        <v/>
      </c>
      <c r="E87" s="800" t="str">
        <f>IF(Noty!E87="","",Noty!E87)</f>
        <v/>
      </c>
      <c r="F87" s="800" t="str">
        <f>IF(Noty!F87="","",Noty!F87)</f>
        <v/>
      </c>
      <c r="G87" s="800" t="str">
        <f>IF(Noty!G87="","",Noty!G87)</f>
        <v/>
      </c>
      <c r="H87" s="800" t="str">
        <f>IF(Noty!H87="","",Noty!H87)</f>
        <v/>
      </c>
      <c r="I87" s="800">
        <f>IF(Noty!I87="","",Noty!I87)</f>
        <v>0</v>
      </c>
      <c r="J87" s="499" t="str">
        <f>Noty!J87</f>
        <v>ukryj</v>
      </c>
      <c r="K87" s="189"/>
    </row>
    <row r="88" spans="1:11" ht="13.6" customHeight="1" x14ac:dyDescent="0.25">
      <c r="A88" s="257"/>
      <c r="B88" s="520"/>
      <c r="C88" s="190" t="s">
        <v>10830</v>
      </c>
      <c r="D88" s="800" t="str">
        <f>IF(Noty!D88="","",Noty!D88)</f>
        <v/>
      </c>
      <c r="E88" s="800" t="str">
        <f>IF(Noty!E88="","",Noty!E88)</f>
        <v/>
      </c>
      <c r="F88" s="800" t="str">
        <f>IF(Noty!F88="","",Noty!F88)</f>
        <v/>
      </c>
      <c r="G88" s="800" t="str">
        <f>IF(Noty!G88="","",Noty!G88)</f>
        <v/>
      </c>
      <c r="H88" s="800" t="str">
        <f>IF(Noty!H88="","",Noty!H88)</f>
        <v/>
      </c>
      <c r="I88" s="800">
        <f>IF(Noty!I88="","",Noty!I88)</f>
        <v>0</v>
      </c>
      <c r="J88" s="499" t="str">
        <f>Noty!J88</f>
        <v>ukryj</v>
      </c>
      <c r="K88" s="189"/>
    </row>
    <row r="89" spans="1:11" ht="25.55" customHeight="1" x14ac:dyDescent="0.25">
      <c r="A89" s="257"/>
      <c r="B89" s="520"/>
      <c r="C89" s="190" t="s">
        <v>10831</v>
      </c>
      <c r="D89" s="800" t="str">
        <f>IF(Noty!D89="","",Noty!D89)</f>
        <v/>
      </c>
      <c r="E89" s="800" t="str">
        <f>IF(Noty!E89="","",Noty!E89)</f>
        <v/>
      </c>
      <c r="F89" s="800" t="str">
        <f>IF(Noty!F89="","",Noty!F89)</f>
        <v/>
      </c>
      <c r="G89" s="800" t="str">
        <f>IF(Noty!G89="","",Noty!G89)</f>
        <v/>
      </c>
      <c r="H89" s="800" t="str">
        <f>IF(Noty!H89="","",Noty!H89)</f>
        <v/>
      </c>
      <c r="I89" s="800">
        <f>IF(Noty!I89="","",Noty!I89)</f>
        <v>0</v>
      </c>
      <c r="J89" s="499" t="str">
        <f>Noty!J89</f>
        <v>ukryj</v>
      </c>
      <c r="K89" s="189"/>
    </row>
    <row r="90" spans="1:11" ht="51.05" customHeight="1" x14ac:dyDescent="0.25">
      <c r="A90" s="257"/>
      <c r="B90" s="520"/>
      <c r="C90" s="182" t="s">
        <v>10832</v>
      </c>
      <c r="D90" s="800" t="str">
        <f>IF(Noty!D90="","",Noty!D90)</f>
        <v/>
      </c>
      <c r="E90" s="800" t="str">
        <f>IF(Noty!E90="","",Noty!E90)</f>
        <v/>
      </c>
      <c r="F90" s="800" t="str">
        <f>IF(Noty!F90="","",Noty!F90)</f>
        <v/>
      </c>
      <c r="G90" s="800" t="str">
        <f>IF(Noty!G90="","",Noty!G90)</f>
        <v/>
      </c>
      <c r="H90" s="800" t="str">
        <f>IF(Noty!H90="","",Noty!H90)</f>
        <v/>
      </c>
      <c r="I90" s="800">
        <f>IF(Noty!I90="","",Noty!I90)</f>
        <v>0</v>
      </c>
      <c r="J90" s="499" t="str">
        <f>Noty!J90</f>
        <v>ukryj</v>
      </c>
      <c r="K90" s="189"/>
    </row>
    <row r="91" spans="1:11" ht="13.6" customHeight="1" x14ac:dyDescent="0.25">
      <c r="A91" s="257"/>
      <c r="B91" s="520"/>
      <c r="C91" s="190" t="s">
        <v>8162</v>
      </c>
      <c r="D91" s="800" t="str">
        <f>IF(Noty!D91="","",Noty!D91)</f>
        <v/>
      </c>
      <c r="E91" s="800" t="str">
        <f>IF(Noty!E91="","",Noty!E91)</f>
        <v/>
      </c>
      <c r="F91" s="800" t="str">
        <f>IF(Noty!F91="","",Noty!F91)</f>
        <v/>
      </c>
      <c r="G91" s="800" t="str">
        <f>IF(Noty!G91="","",Noty!G91)</f>
        <v/>
      </c>
      <c r="H91" s="800" t="str">
        <f>IF(Noty!H91="","",Noty!H91)</f>
        <v/>
      </c>
      <c r="I91" s="800">
        <f>IF(Noty!I91="","",Noty!I91)</f>
        <v>0</v>
      </c>
      <c r="J91" s="499" t="str">
        <f>Noty!J91</f>
        <v>ukryj</v>
      </c>
      <c r="K91" s="189"/>
    </row>
    <row r="92" spans="1:11" ht="13.6" customHeight="1" x14ac:dyDescent="0.25">
      <c r="A92" s="509"/>
      <c r="B92" s="520"/>
      <c r="C92" s="821" t="s">
        <v>10806</v>
      </c>
      <c r="D92" s="800">
        <f>IF(Noty!D92="","",Noty!D92)</f>
        <v>0</v>
      </c>
      <c r="E92" s="800">
        <f>IF(Noty!E92="","",Noty!E92)</f>
        <v>0</v>
      </c>
      <c r="F92" s="800">
        <f>IF(Noty!F92="","",Noty!F92)</f>
        <v>0</v>
      </c>
      <c r="G92" s="800">
        <f>IF(Noty!G92="","",Noty!G92)</f>
        <v>0</v>
      </c>
      <c r="H92" s="800">
        <f>IF(Noty!H92="","",Noty!H92)</f>
        <v>0</v>
      </c>
      <c r="I92" s="800">
        <f>IF(Noty!I92="","",Noty!I92)</f>
        <v>0</v>
      </c>
      <c r="J92" s="499" t="str">
        <f>Noty!J92</f>
        <v>ukryj</v>
      </c>
      <c r="K92" s="257"/>
    </row>
    <row r="93" spans="1:11" ht="13.6" customHeight="1" x14ac:dyDescent="0.25">
      <c r="A93" s="509"/>
      <c r="B93" s="520"/>
      <c r="C93" s="190" t="s">
        <v>10807</v>
      </c>
      <c r="D93" s="1103" t="str">
        <f>IF(Noty!D93="","",Noty!D93)</f>
        <v/>
      </c>
      <c r="E93" s="1103" t="str">
        <f>IF(Noty!E93="","",Noty!E93)</f>
        <v/>
      </c>
      <c r="F93" s="1103" t="str">
        <f>IF(Noty!F93="","",Noty!F93)</f>
        <v/>
      </c>
      <c r="G93" s="1103" t="str">
        <f>IF(Noty!G93="","",Noty!G93)</f>
        <v/>
      </c>
      <c r="H93" s="1103" t="str">
        <f>IF(Noty!H93="","",Noty!H93)</f>
        <v/>
      </c>
      <c r="I93" s="800">
        <f>IF(Noty!I93="","",Noty!I93)</f>
        <v>0</v>
      </c>
      <c r="J93" s="499" t="str">
        <f>Noty!J93</f>
        <v>ukryj</v>
      </c>
      <c r="K93" s="257"/>
    </row>
    <row r="94" spans="1:11" ht="13.6" customHeight="1" x14ac:dyDescent="0.25">
      <c r="A94" s="509"/>
      <c r="B94" s="520"/>
      <c r="C94" s="190" t="s">
        <v>10808</v>
      </c>
      <c r="D94" s="1103" t="str">
        <f>IF(Noty!D94="","",Noty!D94)</f>
        <v/>
      </c>
      <c r="E94" s="1103" t="str">
        <f>IF(Noty!E94="","",Noty!E94)</f>
        <v/>
      </c>
      <c r="F94" s="1103" t="str">
        <f>IF(Noty!F94="","",Noty!F94)</f>
        <v/>
      </c>
      <c r="G94" s="1103" t="str">
        <f>IF(Noty!G94="","",Noty!G94)</f>
        <v/>
      </c>
      <c r="H94" s="1103" t="str">
        <f>IF(Noty!H94="","",Noty!H94)</f>
        <v/>
      </c>
      <c r="I94" s="800">
        <f>IF(Noty!I94="","",Noty!I94)</f>
        <v>0</v>
      </c>
      <c r="J94" s="499" t="str">
        <f>Noty!J94</f>
        <v>ukryj</v>
      </c>
      <c r="K94" s="257"/>
    </row>
    <row r="95" spans="1:11" ht="13.6" customHeight="1" x14ac:dyDescent="0.25">
      <c r="A95" s="509"/>
      <c r="B95" s="520"/>
      <c r="C95" s="190" t="s">
        <v>10805</v>
      </c>
      <c r="D95" s="1103" t="str">
        <f>IF(Noty!D95="","",Noty!D95)</f>
        <v/>
      </c>
      <c r="E95" s="1103" t="str">
        <f>IF(Noty!E95="","",Noty!E95)</f>
        <v/>
      </c>
      <c r="F95" s="1103" t="str">
        <f>IF(Noty!F95="","",Noty!F95)</f>
        <v/>
      </c>
      <c r="G95" s="1103" t="str">
        <f>IF(Noty!G95="","",Noty!G95)</f>
        <v/>
      </c>
      <c r="H95" s="1103" t="str">
        <f>IF(Noty!H95="","",Noty!H95)</f>
        <v/>
      </c>
      <c r="I95" s="800">
        <f>IF(Noty!I95="","",Noty!I95)</f>
        <v>0</v>
      </c>
      <c r="J95" s="499" t="str">
        <f>Noty!J95</f>
        <v>ukryj</v>
      </c>
      <c r="K95" s="257"/>
    </row>
    <row r="96" spans="1:11" ht="13.6" customHeight="1" x14ac:dyDescent="0.25">
      <c r="A96" s="509"/>
      <c r="B96" s="520"/>
      <c r="C96" s="190" t="s">
        <v>10833</v>
      </c>
      <c r="D96" s="1103" t="str">
        <f>IF(Noty!D96="","",Noty!D96)</f>
        <v/>
      </c>
      <c r="E96" s="1103" t="str">
        <f>IF(Noty!E96="","",Noty!E96)</f>
        <v/>
      </c>
      <c r="F96" s="1103" t="str">
        <f>IF(Noty!F96="","",Noty!F96)</f>
        <v/>
      </c>
      <c r="G96" s="1103" t="str">
        <f>IF(Noty!G96="","",Noty!G96)</f>
        <v/>
      </c>
      <c r="H96" s="1103" t="str">
        <f>IF(Noty!H96="","",Noty!H96)</f>
        <v/>
      </c>
      <c r="I96" s="800">
        <f>IF(Noty!I96="","",Noty!I96)</f>
        <v>0</v>
      </c>
      <c r="J96" s="499" t="str">
        <f>Noty!J96</f>
        <v>ukryj</v>
      </c>
      <c r="K96" s="257"/>
    </row>
    <row r="97" spans="1:11" ht="13.6" customHeight="1" x14ac:dyDescent="0.25">
      <c r="A97" s="509"/>
      <c r="B97" s="520"/>
      <c r="C97" s="190" t="s">
        <v>8162</v>
      </c>
      <c r="D97" s="1103" t="str">
        <f>IF(Noty!D97="","",Noty!D97)</f>
        <v/>
      </c>
      <c r="E97" s="1103" t="str">
        <f>IF(Noty!E97="","",Noty!E97)</f>
        <v/>
      </c>
      <c r="F97" s="1103" t="str">
        <f>IF(Noty!F97="","",Noty!F97)</f>
        <v/>
      </c>
      <c r="G97" s="1103" t="str">
        <f>IF(Noty!G97="","",Noty!G97)</f>
        <v/>
      </c>
      <c r="H97" s="1103" t="str">
        <f>IF(Noty!H97="","",Noty!H97)</f>
        <v/>
      </c>
      <c r="I97" s="800">
        <f>IF(Noty!I97="","",Noty!I97)</f>
        <v>0</v>
      </c>
      <c r="J97" s="499" t="str">
        <f>Noty!J97</f>
        <v>ukryj</v>
      </c>
      <c r="K97" s="257"/>
    </row>
    <row r="98" spans="1:11" ht="13.6" customHeight="1" x14ac:dyDescent="0.25">
      <c r="A98" s="509"/>
      <c r="B98" s="520"/>
      <c r="C98" s="821" t="s">
        <v>10810</v>
      </c>
      <c r="D98" s="1103" t="str">
        <f>IF(Noty!D98="","",Noty!D98)</f>
        <v/>
      </c>
      <c r="E98" s="1103" t="str">
        <f>IF(Noty!E98="","",Noty!E98)</f>
        <v/>
      </c>
      <c r="F98" s="1103" t="str">
        <f>IF(Noty!F98="","",Noty!F98)</f>
        <v/>
      </c>
      <c r="G98" s="1103" t="str">
        <f>IF(Noty!G98="","",Noty!G98)</f>
        <v/>
      </c>
      <c r="H98" s="1103" t="str">
        <f>IF(Noty!H98="","",Noty!H98)</f>
        <v/>
      </c>
      <c r="I98" s="800">
        <f>IF(Noty!I98="","",Noty!I98)</f>
        <v>0</v>
      </c>
      <c r="J98" s="499" t="str">
        <f>Noty!J98</f>
        <v>ukryj</v>
      </c>
      <c r="K98" s="189"/>
    </row>
    <row r="99" spans="1:11" ht="13.6" customHeight="1" x14ac:dyDescent="0.25">
      <c r="A99" s="509"/>
      <c r="B99" s="520"/>
      <c r="C99" s="821" t="str">
        <f>CONCATENATE("As at ",Input!$C$7)</f>
        <v>As at 31.12.2020</v>
      </c>
      <c r="D99" s="803">
        <f>IF(Noty!D99="","",Noty!D99)</f>
        <v>0</v>
      </c>
      <c r="E99" s="803">
        <f>IF(Noty!E99="","",Noty!E99)</f>
        <v>0</v>
      </c>
      <c r="F99" s="803">
        <f>IF(Noty!F99="","",Noty!F99)</f>
        <v>0</v>
      </c>
      <c r="G99" s="803">
        <f>IF(Noty!G99="","",Noty!G99)</f>
        <v>0</v>
      </c>
      <c r="H99" s="803">
        <f>IF(Noty!H99="","",Noty!H99)</f>
        <v>0</v>
      </c>
      <c r="I99" s="803">
        <f>IF(Noty!I99="","",Noty!I99)</f>
        <v>0</v>
      </c>
      <c r="J99" s="499" t="str">
        <f>Noty!J99</f>
        <v>ukryj</v>
      </c>
      <c r="K99" s="257"/>
    </row>
    <row r="100" spans="1:11" ht="13.6" customHeight="1" x14ac:dyDescent="0.25">
      <c r="A100" s="509"/>
      <c r="B100" s="520"/>
      <c r="D100" s="183"/>
      <c r="E100" s="183"/>
      <c r="F100" s="183"/>
      <c r="G100" s="183"/>
      <c r="H100" s="183"/>
      <c r="I100" s="184"/>
      <c r="J100" s="499" t="str">
        <f>Noty!J100</f>
        <v>ukryj</v>
      </c>
      <c r="K100" s="257"/>
    </row>
    <row r="101" spans="1:11" ht="25.55" customHeight="1" x14ac:dyDescent="0.25">
      <c r="A101" s="509"/>
      <c r="B101" s="520"/>
      <c r="C101" s="821" t="s">
        <v>10811</v>
      </c>
      <c r="D101" s="183"/>
      <c r="E101" s="183"/>
      <c r="F101" s="183"/>
      <c r="G101" s="183"/>
      <c r="H101" s="183"/>
      <c r="I101" s="184"/>
      <c r="J101" s="499" t="str">
        <f>Noty!J101</f>
        <v>ukryj</v>
      </c>
      <c r="K101" s="257"/>
    </row>
    <row r="102" spans="1:11" ht="13.6" customHeight="1" x14ac:dyDescent="0.25">
      <c r="A102" s="509"/>
      <c r="B102" s="520"/>
      <c r="D102" s="183"/>
      <c r="E102" s="183"/>
      <c r="F102" s="183"/>
      <c r="G102" s="183"/>
      <c r="H102" s="183"/>
      <c r="I102" s="184"/>
      <c r="J102" s="499" t="str">
        <f>Noty!J102</f>
        <v>ukryj</v>
      </c>
      <c r="K102" s="257"/>
    </row>
    <row r="103" spans="1:11" ht="13.6" customHeight="1" x14ac:dyDescent="0.25">
      <c r="A103" s="509"/>
      <c r="B103" s="520"/>
      <c r="C103" s="821" t="str">
        <f>CONCATENATE("As at ",Input!$C$6)</f>
        <v>As at 01.01.2020</v>
      </c>
      <c r="D103" s="1103" t="str">
        <f>IF(Noty!D103="","",Noty!D103)</f>
        <v/>
      </c>
      <c r="E103" s="1103" t="str">
        <f>IF(Noty!E103="","",Noty!E103)</f>
        <v/>
      </c>
      <c r="F103" s="1103" t="str">
        <f>IF(Noty!F103="","",Noty!F103)</f>
        <v/>
      </c>
      <c r="G103" s="1103" t="str">
        <f>IF(Noty!G103="","",Noty!G103)</f>
        <v/>
      </c>
      <c r="H103" s="1103" t="str">
        <f>IF(Noty!H103="","",Noty!H103)</f>
        <v/>
      </c>
      <c r="I103" s="800">
        <f>IF(Noty!I103="","",Noty!I103)</f>
        <v>0</v>
      </c>
      <c r="J103" s="499" t="str">
        <f>Noty!J103</f>
        <v>ukryj</v>
      </c>
      <c r="K103" s="257"/>
    </row>
    <row r="104" spans="1:11" ht="13.6" customHeight="1" x14ac:dyDescent="0.25">
      <c r="A104" s="509"/>
      <c r="B104" s="520"/>
      <c r="C104" s="821" t="s">
        <v>10801</v>
      </c>
      <c r="D104" s="800">
        <f>IF(Noty!D104="","",Noty!D104)</f>
        <v>0</v>
      </c>
      <c r="E104" s="800">
        <f>IF(Noty!E104="","",Noty!E104)</f>
        <v>0</v>
      </c>
      <c r="F104" s="800">
        <f>IF(Noty!F104="","",Noty!F104)</f>
        <v>0</v>
      </c>
      <c r="G104" s="800">
        <f>IF(Noty!G104="","",Noty!G104)</f>
        <v>0</v>
      </c>
      <c r="H104" s="800">
        <f>IF(Noty!H104="","",Noty!H104)</f>
        <v>0</v>
      </c>
      <c r="I104" s="800">
        <f>IF(Noty!I104="","",Noty!I104)</f>
        <v>0</v>
      </c>
      <c r="J104" s="499" t="str">
        <f>Noty!J104</f>
        <v>ukryj</v>
      </c>
      <c r="K104" s="257"/>
    </row>
    <row r="105" spans="1:11" ht="25.55" customHeight="1" x14ac:dyDescent="0.25">
      <c r="A105" s="509"/>
      <c r="B105" s="520"/>
      <c r="C105" s="182" t="s">
        <v>10834</v>
      </c>
      <c r="D105" s="1103" t="str">
        <f>IF(Noty!D105="","",Noty!D105)</f>
        <v/>
      </c>
      <c r="E105" s="1103" t="str">
        <f>IF(Noty!E105="","",Noty!E105)</f>
        <v/>
      </c>
      <c r="F105" s="1103" t="str">
        <f>IF(Noty!F105="","",Noty!F105)</f>
        <v/>
      </c>
      <c r="G105" s="1103" t="str">
        <f>IF(Noty!G105="","",Noty!G105)</f>
        <v/>
      </c>
      <c r="H105" s="1103" t="str">
        <f>IF(Noty!H105="","",Noty!H105)</f>
        <v/>
      </c>
      <c r="I105" s="800">
        <f>IF(Noty!I105="","",Noty!I105)</f>
        <v>0</v>
      </c>
      <c r="J105" s="499" t="str">
        <f>Noty!J105</f>
        <v>ukryj</v>
      </c>
      <c r="K105" s="257"/>
    </row>
    <row r="106" spans="1:11" ht="13.6" customHeight="1" x14ac:dyDescent="0.25">
      <c r="A106" s="509"/>
      <c r="B106" s="520"/>
      <c r="C106" s="190" t="s">
        <v>8162</v>
      </c>
      <c r="D106" s="1103" t="str">
        <f>IF(Noty!D106="","",Noty!D106)</f>
        <v/>
      </c>
      <c r="E106" s="1103" t="str">
        <f>IF(Noty!E106="","",Noty!E106)</f>
        <v/>
      </c>
      <c r="F106" s="1103" t="str">
        <f>IF(Noty!F106="","",Noty!F106)</f>
        <v/>
      </c>
      <c r="G106" s="1103" t="str">
        <f>IF(Noty!G106="","",Noty!G106)</f>
        <v/>
      </c>
      <c r="H106" s="1103" t="str">
        <f>IF(Noty!H106="","",Noty!H106)</f>
        <v/>
      </c>
      <c r="I106" s="800">
        <f>IF(Noty!I106="","",Noty!I106)</f>
        <v>0</v>
      </c>
      <c r="J106" s="499" t="str">
        <f>Noty!J106</f>
        <v>ukryj</v>
      </c>
      <c r="K106" s="257"/>
    </row>
    <row r="107" spans="1:11" ht="17.2" customHeight="1" x14ac:dyDescent="0.25">
      <c r="A107" s="509"/>
      <c r="B107" s="520"/>
      <c r="C107" s="821" t="s">
        <v>10806</v>
      </c>
      <c r="D107" s="800">
        <f>IF(Noty!D107="","",Noty!D107)</f>
        <v>0</v>
      </c>
      <c r="E107" s="800">
        <f>IF(Noty!E107="","",Noty!E107)</f>
        <v>0</v>
      </c>
      <c r="F107" s="800">
        <f>IF(Noty!F107="","",Noty!F107)</f>
        <v>0</v>
      </c>
      <c r="G107" s="800">
        <f>IF(Noty!G107="","",Noty!G107)</f>
        <v>0</v>
      </c>
      <c r="H107" s="800">
        <f>IF(Noty!H107="","",Noty!H107)</f>
        <v>0</v>
      </c>
      <c r="I107" s="800">
        <f>IF(Noty!I107="","",Noty!I107)</f>
        <v>0</v>
      </c>
      <c r="J107" s="499" t="str">
        <f>Noty!J107</f>
        <v>ukryj</v>
      </c>
      <c r="K107" s="257"/>
    </row>
    <row r="108" spans="1:11" ht="13.6" customHeight="1" x14ac:dyDescent="0.25">
      <c r="A108" s="509"/>
      <c r="B108" s="520"/>
      <c r="C108" s="190" t="s">
        <v>10807</v>
      </c>
      <c r="D108" s="800" t="str">
        <f>IF(Noty!D108="","",Noty!D108)</f>
        <v/>
      </c>
      <c r="E108" s="800" t="str">
        <f>IF(Noty!E108="","",Noty!E108)</f>
        <v/>
      </c>
      <c r="F108" s="800" t="str">
        <f>IF(Noty!F108="","",Noty!F108)</f>
        <v/>
      </c>
      <c r="G108" s="800" t="str">
        <f>IF(Noty!G108="","",Noty!G108)</f>
        <v/>
      </c>
      <c r="H108" s="800" t="str">
        <f>IF(Noty!H108="","",Noty!H108)</f>
        <v/>
      </c>
      <c r="I108" s="800">
        <f>IF(Noty!I108="","",Noty!I108)</f>
        <v>0</v>
      </c>
      <c r="J108" s="499" t="str">
        <f>Noty!J108</f>
        <v>ukryj</v>
      </c>
      <c r="K108" s="257"/>
    </row>
    <row r="109" spans="1:11" ht="13.6" customHeight="1" x14ac:dyDescent="0.25">
      <c r="A109" s="509"/>
      <c r="B109" s="520"/>
      <c r="C109" s="190" t="s">
        <v>10808</v>
      </c>
      <c r="D109" s="800" t="str">
        <f>IF(Noty!D109="","",Noty!D109)</f>
        <v/>
      </c>
      <c r="E109" s="800" t="str">
        <f>IF(Noty!E109="","",Noty!E109)</f>
        <v/>
      </c>
      <c r="F109" s="800" t="str">
        <f>IF(Noty!F109="","",Noty!F109)</f>
        <v/>
      </c>
      <c r="G109" s="800" t="str">
        <f>IF(Noty!G109="","",Noty!G109)</f>
        <v/>
      </c>
      <c r="H109" s="800" t="str">
        <f>IF(Noty!H109="","",Noty!H109)</f>
        <v/>
      </c>
      <c r="I109" s="800">
        <f>IF(Noty!I109="","",Noty!I109)</f>
        <v>0</v>
      </c>
      <c r="J109" s="499" t="str">
        <f>Noty!J109</f>
        <v>ukryj</v>
      </c>
      <c r="K109" s="257"/>
    </row>
    <row r="110" spans="1:11" ht="13.6" customHeight="1" x14ac:dyDescent="0.25">
      <c r="A110" s="509"/>
      <c r="B110" s="520"/>
      <c r="C110" s="190" t="s">
        <v>10805</v>
      </c>
      <c r="D110" s="800" t="str">
        <f>IF(Noty!D110="","",Noty!D110)</f>
        <v/>
      </c>
      <c r="E110" s="800" t="str">
        <f>IF(Noty!E110="","",Noty!E110)</f>
        <v/>
      </c>
      <c r="F110" s="800" t="str">
        <f>IF(Noty!F110="","",Noty!F110)</f>
        <v/>
      </c>
      <c r="G110" s="800" t="str">
        <f>IF(Noty!G110="","",Noty!G110)</f>
        <v/>
      </c>
      <c r="H110" s="800" t="str">
        <f>IF(Noty!H110="","",Noty!H110)</f>
        <v/>
      </c>
      <c r="I110" s="800">
        <f>IF(Noty!I110="","",Noty!I110)</f>
        <v>0</v>
      </c>
      <c r="J110" s="499" t="str">
        <f>Noty!J110</f>
        <v>ukryj</v>
      </c>
      <c r="K110" s="257"/>
    </row>
    <row r="111" spans="1:11" ht="13.6" customHeight="1" x14ac:dyDescent="0.25">
      <c r="A111" s="509"/>
      <c r="B111" s="520"/>
      <c r="C111" s="190" t="s">
        <v>10833</v>
      </c>
      <c r="D111" s="800" t="str">
        <f>IF(Noty!D111="","",Noty!D111)</f>
        <v/>
      </c>
      <c r="E111" s="800" t="str">
        <f>IF(Noty!E111="","",Noty!E111)</f>
        <v/>
      </c>
      <c r="F111" s="800" t="str">
        <f>IF(Noty!F111="","",Noty!F111)</f>
        <v/>
      </c>
      <c r="G111" s="800" t="str">
        <f>IF(Noty!G111="","",Noty!G111)</f>
        <v/>
      </c>
      <c r="H111" s="800" t="str">
        <f>IF(Noty!H111="","",Noty!H111)</f>
        <v/>
      </c>
      <c r="I111" s="800">
        <f>IF(Noty!I111="","",Noty!I111)</f>
        <v>0</v>
      </c>
      <c r="J111" s="499" t="str">
        <f>Noty!J111</f>
        <v>ukryj</v>
      </c>
      <c r="K111" s="257"/>
    </row>
    <row r="112" spans="1:11" ht="13.6" customHeight="1" x14ac:dyDescent="0.25">
      <c r="A112" s="509"/>
      <c r="B112" s="520"/>
      <c r="C112" s="190" t="s">
        <v>8162</v>
      </c>
      <c r="D112" s="800" t="str">
        <f>IF(Noty!D112="","",Noty!D112)</f>
        <v/>
      </c>
      <c r="E112" s="800" t="str">
        <f>IF(Noty!E112="","",Noty!E112)</f>
        <v/>
      </c>
      <c r="F112" s="800" t="str">
        <f>IF(Noty!F112="","",Noty!F112)</f>
        <v/>
      </c>
      <c r="G112" s="800" t="str">
        <f>IF(Noty!G112="","",Noty!G112)</f>
        <v/>
      </c>
      <c r="H112" s="800" t="str">
        <f>IF(Noty!H112="","",Noty!H112)</f>
        <v/>
      </c>
      <c r="I112" s="800">
        <f>IF(Noty!I112="","",Noty!I112)</f>
        <v>0</v>
      </c>
      <c r="J112" s="499" t="str">
        <f>Noty!J112</f>
        <v>ukryj</v>
      </c>
      <c r="K112" s="257"/>
    </row>
    <row r="113" spans="1:11" ht="13.6" customHeight="1" x14ac:dyDescent="0.25">
      <c r="A113" s="509"/>
      <c r="B113" s="520"/>
      <c r="C113" s="821" t="s">
        <v>10810</v>
      </c>
      <c r="D113" s="1103" t="str">
        <f>IF(Noty!D113="","",Noty!D113)</f>
        <v/>
      </c>
      <c r="E113" s="1103" t="str">
        <f>IF(Noty!E113="","",Noty!E113)</f>
        <v/>
      </c>
      <c r="F113" s="1103" t="str">
        <f>IF(Noty!F113="","",Noty!F113)</f>
        <v/>
      </c>
      <c r="G113" s="1103" t="str">
        <f>IF(Noty!G113="","",Noty!G113)</f>
        <v/>
      </c>
      <c r="H113" s="1103" t="str">
        <f>IF(Noty!H113="","",Noty!H113)</f>
        <v/>
      </c>
      <c r="I113" s="800">
        <f>IF(Noty!I113="","",Noty!I113)</f>
        <v>0</v>
      </c>
      <c r="J113" s="499" t="str">
        <f>Noty!J113</f>
        <v>ukryj</v>
      </c>
      <c r="K113" s="257"/>
    </row>
    <row r="114" spans="1:11" ht="13.6" customHeight="1" x14ac:dyDescent="0.25">
      <c r="A114" s="509"/>
      <c r="B114" s="520"/>
      <c r="C114" s="821" t="str">
        <f>CONCATENATE("As at ",Input!$C$7)</f>
        <v>As at 31.12.2020</v>
      </c>
      <c r="D114" s="803">
        <f>IF(Noty!D114="","",Noty!D114)</f>
        <v>0</v>
      </c>
      <c r="E114" s="803">
        <f>IF(Noty!E114="","",Noty!E114)</f>
        <v>0</v>
      </c>
      <c r="F114" s="803">
        <f>IF(Noty!F114="","",Noty!F114)</f>
        <v>0</v>
      </c>
      <c r="G114" s="803">
        <f>IF(Noty!G114="","",Noty!G114)</f>
        <v>0</v>
      </c>
      <c r="H114" s="803">
        <f>IF(Noty!H114="","",Noty!H114)</f>
        <v>0</v>
      </c>
      <c r="I114" s="803">
        <f>IF(Noty!I114="","",Noty!I114)</f>
        <v>0</v>
      </c>
      <c r="J114" s="499" t="str">
        <f>Noty!J114</f>
        <v>ukryj</v>
      </c>
      <c r="K114" s="257"/>
    </row>
    <row r="115" spans="1:11" ht="13.6" customHeight="1" x14ac:dyDescent="0.25">
      <c r="A115" s="509"/>
      <c r="B115" s="520"/>
      <c r="D115" s="191"/>
      <c r="E115" s="191"/>
      <c r="F115" s="191"/>
      <c r="G115" s="191"/>
      <c r="H115" s="191"/>
      <c r="I115" s="191"/>
      <c r="J115" s="499" t="str">
        <f>Noty!J115</f>
        <v>ukryj</v>
      </c>
      <c r="K115" s="257"/>
    </row>
    <row r="116" spans="1:11" ht="25.55" customHeight="1" x14ac:dyDescent="0.25">
      <c r="A116" s="509"/>
      <c r="B116" s="520"/>
      <c r="C116" s="821" t="s">
        <v>10813</v>
      </c>
      <c r="D116" s="446"/>
      <c r="E116" s="192"/>
      <c r="F116" s="192"/>
      <c r="G116" s="192"/>
      <c r="H116" s="192"/>
      <c r="I116" s="191"/>
      <c r="J116" s="499" t="str">
        <f>Noty!J116</f>
        <v>ukryj</v>
      </c>
      <c r="K116" s="257"/>
    </row>
    <row r="117" spans="1:11" ht="13.6" customHeight="1" x14ac:dyDescent="0.25">
      <c r="A117" s="509"/>
      <c r="B117" s="520"/>
      <c r="D117" s="192"/>
      <c r="E117" s="192"/>
      <c r="F117" s="192"/>
      <c r="G117" s="192"/>
      <c r="H117" s="192"/>
      <c r="I117" s="191"/>
      <c r="J117" s="499" t="str">
        <f>Noty!J117</f>
        <v>ukryj</v>
      </c>
      <c r="K117" s="257"/>
    </row>
    <row r="118" spans="1:11" ht="13.6" customHeight="1" x14ac:dyDescent="0.25">
      <c r="A118" s="509"/>
      <c r="B118" s="520"/>
      <c r="C118" s="821" t="str">
        <f>CONCATENATE("As at ",Input!$C$6)</f>
        <v>As at 01.01.2020</v>
      </c>
      <c r="D118" s="1103" t="str">
        <f>IF(Noty!D118="","",Noty!D118)</f>
        <v/>
      </c>
      <c r="E118" s="1103" t="str">
        <f>IF(Noty!E118="","",Noty!E118)</f>
        <v/>
      </c>
      <c r="F118" s="1103" t="str">
        <f>IF(Noty!F118="","",Noty!F118)</f>
        <v/>
      </c>
      <c r="G118" s="1103" t="str">
        <f>IF(Noty!G118="","",Noty!G118)</f>
        <v/>
      </c>
      <c r="H118" s="1103" t="str">
        <f>IF(Noty!H118="","",Noty!H118)</f>
        <v/>
      </c>
      <c r="I118" s="800">
        <f>IF(Noty!I118="","",Noty!I118)</f>
        <v>0</v>
      </c>
      <c r="J118" s="499" t="str">
        <f>Noty!J118</f>
        <v>ukryj</v>
      </c>
      <c r="K118" s="257"/>
    </row>
    <row r="119" spans="1:11" ht="13.6" customHeight="1" x14ac:dyDescent="0.25">
      <c r="A119" s="509"/>
      <c r="B119" s="520"/>
      <c r="C119" s="821" t="s">
        <v>10801</v>
      </c>
      <c r="D119" s="1103" t="str">
        <f>IF(Noty!D119="","",Noty!D119)</f>
        <v/>
      </c>
      <c r="E119" s="1103" t="str">
        <f>IF(Noty!E119="","",Noty!E119)</f>
        <v/>
      </c>
      <c r="F119" s="1103" t="str">
        <f>IF(Noty!F119="","",Noty!F119)</f>
        <v/>
      </c>
      <c r="G119" s="1103" t="str">
        <f>IF(Noty!G119="","",Noty!G119)</f>
        <v/>
      </c>
      <c r="H119" s="1103" t="str">
        <f>IF(Noty!H119="","",Noty!H119)</f>
        <v/>
      </c>
      <c r="I119" s="800">
        <f>IF(Noty!I119="","",Noty!I119)</f>
        <v>0</v>
      </c>
      <c r="J119" s="499" t="str">
        <f>Noty!J119</f>
        <v>ukryj</v>
      </c>
      <c r="K119" s="257"/>
    </row>
    <row r="120" spans="1:11" ht="13.6" customHeight="1" x14ac:dyDescent="0.25">
      <c r="A120" s="509"/>
      <c r="B120" s="520"/>
      <c r="C120" s="821" t="s">
        <v>10806</v>
      </c>
      <c r="D120" s="800">
        <f>IF(Noty!D120="","",Noty!D120)</f>
        <v>0</v>
      </c>
      <c r="E120" s="800">
        <f>IF(Noty!E120="","",Noty!E120)</f>
        <v>0</v>
      </c>
      <c r="F120" s="800">
        <f>IF(Noty!F120="","",Noty!F120)</f>
        <v>0</v>
      </c>
      <c r="G120" s="800">
        <f>IF(Noty!G120="","",Noty!G120)</f>
        <v>0</v>
      </c>
      <c r="H120" s="800">
        <f>IF(Noty!H120="","",Noty!H120)</f>
        <v>0</v>
      </c>
      <c r="I120" s="800">
        <f>IF(Noty!I120="","",Noty!I120)</f>
        <v>0</v>
      </c>
      <c r="J120" s="499" t="str">
        <f>Noty!J120</f>
        <v>ukryj</v>
      </c>
      <c r="K120" s="257"/>
    </row>
    <row r="121" spans="1:11" ht="13.6" customHeight="1" x14ac:dyDescent="0.25">
      <c r="A121" s="509"/>
      <c r="B121" s="520"/>
      <c r="C121" s="181" t="s">
        <v>10814</v>
      </c>
      <c r="D121" s="800" t="str">
        <f>IF(Noty!D121="","",Noty!D121)</f>
        <v/>
      </c>
      <c r="E121" s="800" t="str">
        <f>IF(Noty!E121="","",Noty!E121)</f>
        <v/>
      </c>
      <c r="F121" s="800" t="str">
        <f>IF(Noty!F121="","",Noty!F121)</f>
        <v/>
      </c>
      <c r="G121" s="800" t="str">
        <f>IF(Noty!G121="","",Noty!G121)</f>
        <v/>
      </c>
      <c r="H121" s="800" t="str">
        <f>IF(Noty!H121="","",Noty!H121)</f>
        <v/>
      </c>
      <c r="I121" s="800">
        <f>IF(Noty!I121="","",Noty!I121)</f>
        <v>0</v>
      </c>
      <c r="J121" s="499" t="str">
        <f>Noty!J121</f>
        <v>ukryj</v>
      </c>
      <c r="K121" s="257"/>
    </row>
    <row r="122" spans="1:11" ht="13.6" customHeight="1" x14ac:dyDescent="0.25">
      <c r="A122" s="509"/>
      <c r="B122" s="520"/>
      <c r="C122" s="181" t="s">
        <v>10815</v>
      </c>
      <c r="D122" s="800" t="str">
        <f>IF(Noty!D122="","",Noty!D122)</f>
        <v/>
      </c>
      <c r="E122" s="800" t="str">
        <f>IF(Noty!E122="","",Noty!E122)</f>
        <v/>
      </c>
      <c r="F122" s="800" t="str">
        <f>IF(Noty!F122="","",Noty!F122)</f>
        <v/>
      </c>
      <c r="G122" s="800" t="str">
        <f>IF(Noty!G122="","",Noty!G122)</f>
        <v/>
      </c>
      <c r="H122" s="800" t="str">
        <f>IF(Noty!H122="","",Noty!H122)</f>
        <v/>
      </c>
      <c r="I122" s="800">
        <f>IF(Noty!I122="","",Noty!I122)</f>
        <v>0</v>
      </c>
      <c r="J122" s="499" t="str">
        <f>Noty!J122</f>
        <v>ukryj</v>
      </c>
      <c r="K122" s="257"/>
    </row>
    <row r="123" spans="1:11" ht="13.6" customHeight="1" x14ac:dyDescent="0.25">
      <c r="A123" s="509"/>
      <c r="B123" s="520"/>
      <c r="C123" s="821" t="s">
        <v>10810</v>
      </c>
      <c r="D123" s="1103" t="str">
        <f>IF(Noty!D123="","",Noty!D123)</f>
        <v/>
      </c>
      <c r="E123" s="1103" t="str">
        <f>IF(Noty!E123="","",Noty!E123)</f>
        <v/>
      </c>
      <c r="F123" s="1103" t="str">
        <f>IF(Noty!F123="","",Noty!F123)</f>
        <v/>
      </c>
      <c r="G123" s="1103" t="str">
        <f>IF(Noty!G123="","",Noty!G123)</f>
        <v/>
      </c>
      <c r="H123" s="1103" t="str">
        <f>IF(Noty!H123="","",Noty!H123)</f>
        <v/>
      </c>
      <c r="I123" s="800">
        <f>IF(Noty!I123="","",Noty!I123)</f>
        <v>0</v>
      </c>
      <c r="J123" s="499" t="str">
        <f>Noty!J123</f>
        <v>ukryj</v>
      </c>
      <c r="K123" s="257"/>
    </row>
    <row r="124" spans="1:11" ht="13.6" customHeight="1" x14ac:dyDescent="0.25">
      <c r="A124" s="509"/>
      <c r="B124" s="520"/>
      <c r="C124" s="821" t="str">
        <f>CONCATENATE("As at ",Input!$C$7)</f>
        <v>As at 31.12.2020</v>
      </c>
      <c r="D124" s="803">
        <f>IF(Noty!D124="","",Noty!D124)</f>
        <v>0</v>
      </c>
      <c r="E124" s="803">
        <f>IF(Noty!E124="","",Noty!E124)</f>
        <v>0</v>
      </c>
      <c r="F124" s="803">
        <f>IF(Noty!F124="","",Noty!F124)</f>
        <v>0</v>
      </c>
      <c r="G124" s="803">
        <f>IF(Noty!G124="","",Noty!G124)</f>
        <v>0</v>
      </c>
      <c r="H124" s="803">
        <f>IF(Noty!H124="","",Noty!H124)</f>
        <v>0</v>
      </c>
      <c r="I124" s="803">
        <f>IF(Noty!I124="","",Noty!I124)</f>
        <v>0</v>
      </c>
      <c r="J124" s="499" t="str">
        <f>Noty!J124</f>
        <v>ukryj</v>
      </c>
      <c r="K124" s="257"/>
    </row>
    <row r="125" spans="1:11" ht="13.6" customHeight="1" x14ac:dyDescent="0.25">
      <c r="A125" s="509"/>
      <c r="B125" s="520"/>
      <c r="C125" s="805"/>
      <c r="D125" s="191"/>
      <c r="E125" s="191"/>
      <c r="F125" s="191"/>
      <c r="G125" s="191"/>
      <c r="H125" s="191"/>
      <c r="I125" s="191"/>
      <c r="J125" s="499" t="str">
        <f>Noty!J125</f>
        <v>ukryj</v>
      </c>
      <c r="K125" s="257"/>
    </row>
    <row r="126" spans="1:11" ht="13.6" customHeight="1" x14ac:dyDescent="0.25">
      <c r="A126" s="509"/>
      <c r="B126" s="520"/>
      <c r="C126" s="244" t="s">
        <v>10816</v>
      </c>
      <c r="D126" s="191"/>
      <c r="E126" s="191"/>
      <c r="F126" s="191"/>
      <c r="G126" s="191"/>
      <c r="H126" s="191"/>
      <c r="I126" s="191"/>
      <c r="J126" s="499" t="str">
        <f>Noty!J126</f>
        <v>ukryj</v>
      </c>
      <c r="K126" s="257"/>
    </row>
    <row r="127" spans="1:11" ht="12.8" customHeight="1" x14ac:dyDescent="0.25">
      <c r="A127" s="509"/>
      <c r="B127" s="520"/>
      <c r="D127" s="192"/>
      <c r="E127" s="192"/>
      <c r="F127" s="192"/>
      <c r="G127" s="192"/>
      <c r="H127" s="192"/>
      <c r="I127" s="192"/>
      <c r="J127" s="499" t="str">
        <f>Noty!J127</f>
        <v>ukryj</v>
      </c>
      <c r="K127" s="257"/>
    </row>
    <row r="128" spans="1:11" ht="15.75" customHeight="1" x14ac:dyDescent="0.25">
      <c r="A128" s="509"/>
      <c r="B128" s="520"/>
      <c r="C128" s="821" t="str">
        <f>CONCATENATE("As at ",Input!$C$6)</f>
        <v>As at 01.01.2020</v>
      </c>
      <c r="D128" s="1127">
        <f>IF(Noty!D128="","",Noty!D128)</f>
        <v>0</v>
      </c>
      <c r="E128" s="1127">
        <f>IF(Noty!E128="","",Noty!E128)</f>
        <v>0</v>
      </c>
      <c r="F128" s="1127">
        <f>IF(Noty!F128="","",Noty!F128)</f>
        <v>0</v>
      </c>
      <c r="G128" s="1127">
        <f>IF(Noty!G128="","",Noty!G128)</f>
        <v>0</v>
      </c>
      <c r="H128" s="1127">
        <f>IF(Noty!H128="","",Noty!H128)</f>
        <v>0</v>
      </c>
      <c r="I128" s="1127">
        <f>IF(Noty!I128="","",Noty!I128)</f>
        <v>0</v>
      </c>
      <c r="J128" s="499" t="str">
        <f>Noty!J128</f>
        <v>ukryj</v>
      </c>
      <c r="K128" s="257"/>
    </row>
    <row r="129" spans="1:14" ht="15.05" customHeight="1" x14ac:dyDescent="0.25">
      <c r="A129" s="509"/>
      <c r="B129" s="520"/>
      <c r="C129" s="821" t="str">
        <f>CONCATENATE("As at ",Input!$C$7)</f>
        <v>As at 31.12.2020</v>
      </c>
      <c r="D129" s="1127">
        <f>IF(Noty!D129="","",Noty!D129)</f>
        <v>0</v>
      </c>
      <c r="E129" s="1127">
        <f>IF(Noty!E129="","",Noty!E129)</f>
        <v>0</v>
      </c>
      <c r="F129" s="1127">
        <f>IF(Noty!F129="","",Noty!F129)</f>
        <v>0</v>
      </c>
      <c r="G129" s="1127">
        <f>IF(Noty!G129="","",Noty!G129)</f>
        <v>0</v>
      </c>
      <c r="H129" s="1127">
        <f>IF(Noty!H129="","",Noty!H129)</f>
        <v>0</v>
      </c>
      <c r="I129" s="1127">
        <f>IF(Noty!I129="","",Noty!I129)</f>
        <v>0</v>
      </c>
      <c r="J129" s="499" t="str">
        <f>Noty!J129</f>
        <v>ukryj</v>
      </c>
      <c r="K129" s="257"/>
    </row>
    <row r="130" spans="1:14" ht="15.75" customHeight="1" thickBot="1" x14ac:dyDescent="0.3">
      <c r="I130" s="608"/>
      <c r="J130" s="499" t="str">
        <f>Noty!J130</f>
        <v>ukryj</v>
      </c>
      <c r="K130" s="257"/>
      <c r="L130" s="188"/>
    </row>
    <row r="131" spans="1:14" ht="14.25" customHeight="1" thickTop="1" thickBot="1" x14ac:dyDescent="0.35">
      <c r="A131" s="1183">
        <f>A77</f>
        <v>0</v>
      </c>
      <c r="B131" s="1184">
        <f>IF(K131="n/a",B79,B79+1)</f>
        <v>0</v>
      </c>
      <c r="C131" s="1235" t="s">
        <v>10835</v>
      </c>
      <c r="D131" s="1235"/>
      <c r="E131" s="1235"/>
      <c r="F131" s="1235"/>
      <c r="G131" s="1235"/>
      <c r="H131" s="1235"/>
      <c r="I131" s="1235"/>
      <c r="J131" s="499" t="str">
        <f>Noty!J131</f>
        <v>ukryj</v>
      </c>
      <c r="K131" s="585" t="str">
        <f>Noty!K131</f>
        <v>n/a</v>
      </c>
      <c r="L131" s="573" t="str">
        <f>A131&amp;"."&amp;B131</f>
        <v>0.0</v>
      </c>
      <c r="N131" s="1101" t="s">
        <v>9378</v>
      </c>
    </row>
    <row r="132" spans="1:14" ht="13.6" customHeight="1" thickTop="1" thickBot="1" x14ac:dyDescent="0.3">
      <c r="A132" s="509"/>
      <c r="B132" s="520"/>
      <c r="C132" s="356"/>
      <c r="J132" s="499" t="str">
        <f>Noty!J132</f>
        <v>ukryj</v>
      </c>
      <c r="L132" s="573"/>
    </row>
    <row r="133" spans="1:14" ht="15.05" customHeight="1" thickTop="1" thickBot="1" x14ac:dyDescent="0.3">
      <c r="A133" s="509"/>
      <c r="B133" s="521"/>
      <c r="C133" s="811" t="s">
        <v>10836</v>
      </c>
      <c r="G133" s="610"/>
      <c r="H133" s="999" t="str">
        <f>IF(Noty!H133="","",Noty!H133)</f>
        <v>31.12.2020</v>
      </c>
      <c r="I133" s="1000" t="str">
        <f>IF(Noty!I133="","",Noty!I133)</f>
        <v>31.12.2019</v>
      </c>
      <c r="J133" s="499" t="str">
        <f>Noty!J133</f>
        <v>ukryj</v>
      </c>
      <c r="K133" s="585" t="str">
        <f>Noty!K133</f>
        <v>n/a</v>
      </c>
      <c r="L133" s="573"/>
    </row>
    <row r="134" spans="1:14" ht="14.25" customHeight="1" thickTop="1" x14ac:dyDescent="0.25">
      <c r="A134" s="509"/>
      <c r="B134" s="522"/>
      <c r="C134" s="1457"/>
      <c r="D134" s="1457"/>
      <c r="E134" s="1457"/>
      <c r="F134" s="1457"/>
      <c r="G134" s="1001"/>
      <c r="H134" s="1103" t="str">
        <f>IF(Noty!H134="","",Noty!H134)</f>
        <v/>
      </c>
      <c r="I134" s="1103" t="str">
        <f>IF(Noty!I134="","",Noty!I134)</f>
        <v/>
      </c>
      <c r="J134" s="499" t="str">
        <f>Noty!J134</f>
        <v>ukryj</v>
      </c>
      <c r="L134" s="573"/>
    </row>
    <row r="135" spans="1:14" ht="14.25" customHeight="1" x14ac:dyDescent="0.25">
      <c r="A135" s="509"/>
      <c r="B135" s="522"/>
      <c r="C135" s="1457"/>
      <c r="D135" s="1457"/>
      <c r="E135" s="1457"/>
      <c r="F135" s="1457"/>
      <c r="G135" s="1001"/>
      <c r="H135" s="1103" t="str">
        <f>IF(Noty!H135="","",Noty!H135)</f>
        <v/>
      </c>
      <c r="I135" s="1103" t="str">
        <f>IF(Noty!I135="","",Noty!I135)</f>
        <v/>
      </c>
      <c r="J135" s="499" t="str">
        <f>Noty!J135</f>
        <v>ukryj</v>
      </c>
      <c r="L135" s="573"/>
    </row>
    <row r="136" spans="1:14" ht="14.25" customHeight="1" x14ac:dyDescent="0.25">
      <c r="A136" s="509"/>
      <c r="B136" s="522"/>
      <c r="C136" s="1457"/>
      <c r="D136" s="1457"/>
      <c r="E136" s="1457"/>
      <c r="F136" s="1457"/>
      <c r="G136" s="1001"/>
      <c r="H136" s="1103" t="str">
        <f>IF(Noty!H136="","",Noty!H136)</f>
        <v/>
      </c>
      <c r="I136" s="1103" t="str">
        <f>IF(Noty!I136="","",Noty!I136)</f>
        <v/>
      </c>
      <c r="J136" s="499" t="str">
        <f>Noty!J136</f>
        <v>ukryj</v>
      </c>
      <c r="L136" s="573"/>
    </row>
    <row r="137" spans="1:14" ht="14.25" customHeight="1" x14ac:dyDescent="0.25">
      <c r="A137" s="509"/>
      <c r="B137" s="357"/>
      <c r="C137" s="841"/>
      <c r="G137" s="610"/>
      <c r="H137" s="803">
        <f>IF(Noty!H137="","",Noty!H137)</f>
        <v>0</v>
      </c>
      <c r="I137" s="803">
        <f>IF(Noty!I137="","",Noty!I137)</f>
        <v>0</v>
      </c>
      <c r="J137" s="499" t="str">
        <f>Noty!J137</f>
        <v>ukryj</v>
      </c>
      <c r="L137" s="573"/>
    </row>
    <row r="138" spans="1:14" ht="14.25" customHeight="1" x14ac:dyDescent="0.25">
      <c r="A138" s="489"/>
      <c r="B138" s="357"/>
      <c r="C138" s="841"/>
      <c r="H138" s="581"/>
      <c r="I138" s="581"/>
      <c r="J138" s="499" t="str">
        <f>Noty!J138</f>
        <v>ukryj</v>
      </c>
      <c r="L138" s="573"/>
    </row>
    <row r="139" spans="1:14" ht="14.25" customHeight="1" x14ac:dyDescent="0.25">
      <c r="A139" s="509"/>
      <c r="B139" s="520"/>
      <c r="C139" s="356"/>
      <c r="G139" s="610"/>
      <c r="H139" s="999" t="str">
        <f>IF(Noty!H139="","",Noty!H139)</f>
        <v>31.12.2020</v>
      </c>
      <c r="I139" s="1000" t="str">
        <f>IF(Noty!I139="","",Noty!I139)</f>
        <v>31.12.2019</v>
      </c>
      <c r="J139" s="499" t="str">
        <f>Noty!J139</f>
        <v>ukryj</v>
      </c>
      <c r="L139" s="573"/>
    </row>
    <row r="140" spans="1:14" ht="40.6" customHeight="1" x14ac:dyDescent="0.25">
      <c r="A140" s="509"/>
      <c r="B140" s="520"/>
      <c r="C140" s="1308" t="s">
        <v>10837</v>
      </c>
      <c r="D140" s="1308"/>
      <c r="E140" s="1308"/>
      <c r="F140" s="1308"/>
      <c r="G140" s="995"/>
      <c r="H140" s="1142" t="str">
        <f>IF(Noty!H140="","",Noty!H140)</f>
        <v/>
      </c>
      <c r="I140" s="1142" t="str">
        <f>IF(Noty!I140="","",Noty!I140)</f>
        <v/>
      </c>
      <c r="J140" s="499" t="str">
        <f>Noty!J140</f>
        <v>ukryj</v>
      </c>
      <c r="L140" s="806"/>
    </row>
    <row r="141" spans="1:14" ht="15.05" customHeight="1" x14ac:dyDescent="0.25">
      <c r="A141" s="509"/>
      <c r="B141" s="520"/>
      <c r="C141" s="808"/>
      <c r="D141" s="834"/>
      <c r="E141" s="834"/>
      <c r="F141" s="834"/>
      <c r="G141" s="834"/>
      <c r="H141" s="834"/>
      <c r="I141" s="834"/>
      <c r="J141" s="499" t="str">
        <f>Noty!J141</f>
        <v>ukryj</v>
      </c>
      <c r="L141" s="806"/>
    </row>
    <row r="142" spans="1:14" ht="15.05" customHeight="1" thickBot="1" x14ac:dyDescent="0.3">
      <c r="A142" s="509"/>
      <c r="B142" s="520"/>
      <c r="C142" s="219" t="s">
        <v>7756</v>
      </c>
      <c r="D142" s="834"/>
      <c r="E142" s="834"/>
      <c r="F142" s="834"/>
      <c r="G142" s="834"/>
      <c r="H142" s="834"/>
      <c r="I142" s="834"/>
      <c r="J142" s="499" t="str">
        <f>Noty!J142</f>
        <v>ukryj</v>
      </c>
      <c r="L142" s="806"/>
    </row>
    <row r="143" spans="1:14" ht="15.05" customHeight="1" thickTop="1" thickBot="1" x14ac:dyDescent="0.3">
      <c r="A143" s="509"/>
      <c r="B143" s="520"/>
      <c r="C143" s="1303" t="s">
        <v>10838</v>
      </c>
      <c r="D143" s="1303"/>
      <c r="E143" s="1303"/>
      <c r="F143" s="1303"/>
      <c r="G143" s="1303"/>
      <c r="H143" s="1303"/>
      <c r="I143" s="1303"/>
      <c r="J143" s="499" t="str">
        <f>Noty!J143</f>
        <v>ukryj</v>
      </c>
      <c r="K143" s="585" t="str">
        <f>Noty!K143</f>
        <v>n/a</v>
      </c>
      <c r="L143" s="573"/>
    </row>
    <row r="144" spans="1:14" ht="13.6" customHeight="1" thickTop="1" thickBot="1" x14ac:dyDescent="0.3">
      <c r="A144" s="509"/>
      <c r="B144" s="520"/>
      <c r="C144" s="808"/>
      <c r="D144" s="834"/>
      <c r="E144" s="834"/>
      <c r="F144" s="834"/>
      <c r="G144" s="834"/>
      <c r="H144" s="834"/>
      <c r="I144" s="834"/>
      <c r="J144" s="499" t="str">
        <f>Noty!J144</f>
        <v>ukryj</v>
      </c>
      <c r="L144" s="806"/>
    </row>
    <row r="145" spans="1:14" ht="15.05" customHeight="1" thickTop="1" thickBot="1" x14ac:dyDescent="0.35">
      <c r="A145" s="1183">
        <f>A77</f>
        <v>0</v>
      </c>
      <c r="B145" s="1184">
        <f>IF(K145="n/a",B131,B131+1)</f>
        <v>0</v>
      </c>
      <c r="C145" s="1235" t="s">
        <v>10839</v>
      </c>
      <c r="D145" s="1235"/>
      <c r="E145" s="1235"/>
      <c r="F145" s="1235"/>
      <c r="G145" s="1235"/>
      <c r="H145" s="1235"/>
      <c r="I145" s="1235"/>
      <c r="J145" s="499" t="str">
        <f>Noty!J145</f>
        <v>ukryj</v>
      </c>
      <c r="K145" s="585" t="str">
        <f>Noty!K145</f>
        <v>n/a</v>
      </c>
      <c r="L145" s="573" t="str">
        <f>A145&amp;"."&amp;B145</f>
        <v>0.0</v>
      </c>
      <c r="N145" s="1101" t="s">
        <v>9378</v>
      </c>
    </row>
    <row r="146" spans="1:14" ht="15.05" customHeight="1" thickTop="1" thickBot="1" x14ac:dyDescent="0.3">
      <c r="A146" s="489"/>
      <c r="B146" s="520"/>
      <c r="C146" s="356"/>
      <c r="J146" s="499" t="str">
        <f>Noty!J146</f>
        <v>ukryj</v>
      </c>
      <c r="L146" s="573"/>
      <c r="N146" s="488"/>
    </row>
    <row r="147" spans="1:14" ht="13.6" customHeight="1" thickTop="1" thickBot="1" x14ac:dyDescent="0.3">
      <c r="A147" s="509"/>
      <c r="B147" s="520"/>
      <c r="C147" s="175"/>
      <c r="G147" s="610"/>
      <c r="H147" s="999" t="str">
        <f>IF(Noty!H147="","",Noty!H147)</f>
        <v>31.12.2020</v>
      </c>
      <c r="I147" s="1000" t="str">
        <f>IF(Noty!I147="","",Noty!I147)</f>
        <v>31.12.2019</v>
      </c>
      <c r="J147" s="499" t="str">
        <f>Noty!J147</f>
        <v>ukryj</v>
      </c>
      <c r="K147" s="585" t="str">
        <f>Noty!K147</f>
        <v>n/a</v>
      </c>
      <c r="L147" s="806"/>
    </row>
    <row r="148" spans="1:14" ht="29.95" customHeight="1" thickTop="1" x14ac:dyDescent="0.25">
      <c r="A148" s="509"/>
      <c r="B148" s="520"/>
      <c r="C148" s="1308" t="s">
        <v>10840</v>
      </c>
      <c r="D148" s="1308"/>
      <c r="E148" s="1308"/>
      <c r="F148" s="1308"/>
      <c r="G148" s="995"/>
      <c r="H148" s="1142" t="str">
        <f>IF(Noty!H148="","",Noty!H148)</f>
        <v/>
      </c>
      <c r="I148" s="1142" t="str">
        <f>IF(Noty!I148="","",Noty!I148)</f>
        <v/>
      </c>
      <c r="J148" s="499" t="str">
        <f>Noty!J148</f>
        <v>ukryj</v>
      </c>
      <c r="L148" s="573"/>
    </row>
    <row r="149" spans="1:14" ht="29.95" customHeight="1" x14ac:dyDescent="0.25">
      <c r="A149" s="489"/>
      <c r="B149" s="520"/>
      <c r="C149" s="1307" t="s">
        <v>10841</v>
      </c>
      <c r="D149" s="1307"/>
      <c r="E149" s="1307"/>
      <c r="F149" s="1307"/>
      <c r="G149" s="1307"/>
      <c r="H149" s="1307"/>
      <c r="I149" s="1307"/>
      <c r="J149" s="499" t="str">
        <f>Noty!J149</f>
        <v>ukryj</v>
      </c>
      <c r="L149" s="573"/>
    </row>
    <row r="150" spans="1:14" ht="14.25" customHeight="1" x14ac:dyDescent="0.25">
      <c r="A150" s="509"/>
      <c r="B150" s="520"/>
      <c r="C150" s="1308"/>
      <c r="D150" s="1308"/>
      <c r="E150" s="1308"/>
      <c r="F150" s="1308"/>
      <c r="G150" s="1308"/>
      <c r="H150" s="1308"/>
      <c r="I150" s="1308"/>
      <c r="J150" s="499" t="str">
        <f>Noty!J150</f>
        <v>ukryj</v>
      </c>
      <c r="L150" s="806"/>
    </row>
    <row r="151" spans="1:14" ht="15.05" customHeight="1" thickBot="1" x14ac:dyDescent="0.3">
      <c r="A151" s="509"/>
      <c r="B151" s="520"/>
      <c r="C151" s="219" t="s">
        <v>7756</v>
      </c>
      <c r="J151" s="499" t="str">
        <f>Noty!J151</f>
        <v>ukryj</v>
      </c>
      <c r="L151" s="806"/>
    </row>
    <row r="152" spans="1:14" ht="26.2" customHeight="1" thickTop="1" thickBot="1" x14ac:dyDescent="0.3">
      <c r="A152" s="509"/>
      <c r="B152" s="520"/>
      <c r="C152" s="1303" t="s">
        <v>10842</v>
      </c>
      <c r="D152" s="1303"/>
      <c r="E152" s="1303"/>
      <c r="F152" s="1303"/>
      <c r="G152" s="1303"/>
      <c r="H152" s="1303"/>
      <c r="I152" s="1303"/>
      <c r="J152" s="499" t="str">
        <f>Noty!J152</f>
        <v>ukryj</v>
      </c>
      <c r="K152" s="585" t="str">
        <f>Noty!K152</f>
        <v>n/a</v>
      </c>
      <c r="L152" s="573"/>
    </row>
    <row r="153" spans="1:14" ht="13.6" customHeight="1" thickTop="1" thickBot="1" x14ac:dyDescent="0.3">
      <c r="A153" s="509"/>
      <c r="B153" s="520"/>
      <c r="C153" s="175"/>
      <c r="J153" s="499" t="str">
        <f>Noty!J153</f>
        <v>ukryj</v>
      </c>
      <c r="L153" s="806"/>
    </row>
    <row r="154" spans="1:14" ht="15.05" customHeight="1" thickTop="1" thickBot="1" x14ac:dyDescent="0.35">
      <c r="A154" s="1183">
        <f>A77</f>
        <v>0</v>
      </c>
      <c r="B154" s="1184">
        <f>IF(K154="n/a",B145,B145+1)</f>
        <v>0</v>
      </c>
      <c r="C154" s="1235" t="s">
        <v>10843</v>
      </c>
      <c r="D154" s="1235"/>
      <c r="E154" s="1235"/>
      <c r="F154" s="1235"/>
      <c r="G154" s="1235"/>
      <c r="H154" s="1235"/>
      <c r="I154" s="1235"/>
      <c r="J154" s="499" t="str">
        <f>Noty!J154</f>
        <v>ukryj</v>
      </c>
      <c r="K154" s="585" t="str">
        <f>Noty!K154</f>
        <v>n/a</v>
      </c>
      <c r="L154" s="573" t="str">
        <f>A154&amp;"."&amp;B154</f>
        <v>0.0</v>
      </c>
      <c r="N154" s="1101" t="s">
        <v>9378</v>
      </c>
    </row>
    <row r="155" spans="1:14" ht="15.05" customHeight="1" thickTop="1" thickBot="1" x14ac:dyDescent="0.3">
      <c r="A155" s="489"/>
      <c r="B155" s="520"/>
      <c r="C155" s="356"/>
      <c r="J155" s="499" t="str">
        <f>Noty!J155</f>
        <v>ukryj</v>
      </c>
      <c r="L155" s="573"/>
      <c r="N155" s="488"/>
    </row>
    <row r="156" spans="1:14" ht="14.4" thickTop="1" thickBot="1" x14ac:dyDescent="0.3">
      <c r="A156" s="509"/>
      <c r="B156" s="520"/>
      <c r="C156" s="175"/>
      <c r="G156" s="610"/>
      <c r="H156" s="999" t="str">
        <f>IF(Noty!H156="","",Noty!H156)</f>
        <v>31.12.2020</v>
      </c>
      <c r="I156" s="1000" t="str">
        <f>IF(Noty!I156="","",Noty!I156)</f>
        <v>31.12.2019</v>
      </c>
      <c r="J156" s="499" t="str">
        <f>Noty!J156</f>
        <v>ukryj</v>
      </c>
      <c r="K156" s="585" t="str">
        <f>Noty!K156</f>
        <v>n/a</v>
      </c>
      <c r="L156" s="806"/>
    </row>
    <row r="157" spans="1:14" ht="15.05" customHeight="1" thickTop="1" x14ac:dyDescent="0.25">
      <c r="A157" s="509"/>
      <c r="B157" s="520"/>
      <c r="C157" s="1308" t="str">
        <f>"The cost of fixed assets produced for internal use "</f>
        <v xml:space="preserve">The cost of fixed assets produced for internal use </v>
      </c>
      <c r="D157" s="1308"/>
      <c r="E157" s="1308"/>
      <c r="F157" s="1308"/>
      <c r="G157" s="995"/>
      <c r="H157" s="1142" t="str">
        <f>IF(Noty!H157="","",Noty!H157)</f>
        <v/>
      </c>
      <c r="I157" s="1142" t="str">
        <f>IF(Noty!I157="","",Noty!I157)</f>
        <v/>
      </c>
      <c r="J157" s="499" t="str">
        <f>Noty!J157</f>
        <v>ukryj</v>
      </c>
      <c r="L157" s="573"/>
    </row>
    <row r="158" spans="1:14" ht="15.05" customHeight="1" x14ac:dyDescent="0.25">
      <c r="A158" s="509"/>
      <c r="B158" s="520"/>
      <c r="D158" s="822"/>
      <c r="E158" s="822"/>
      <c r="F158" s="822"/>
      <c r="G158" s="822"/>
      <c r="H158" s="822"/>
      <c r="I158" s="822"/>
      <c r="J158" s="499" t="str">
        <f>Noty!J158</f>
        <v>ukryj</v>
      </c>
      <c r="L158" s="573"/>
    </row>
    <row r="159" spans="1:14" ht="15.05" customHeight="1" thickBot="1" x14ac:dyDescent="0.3">
      <c r="A159" s="509"/>
      <c r="B159" s="520"/>
      <c r="C159" s="219" t="s">
        <v>7756</v>
      </c>
      <c r="J159" s="499" t="str">
        <f>Noty!J159</f>
        <v>ukryj</v>
      </c>
      <c r="L159" s="806"/>
    </row>
    <row r="160" spans="1:14" ht="15.05" customHeight="1" thickTop="1" thickBot="1" x14ac:dyDescent="0.3">
      <c r="A160" s="509"/>
      <c r="B160" s="520"/>
      <c r="C160" s="1303" t="s">
        <v>10844</v>
      </c>
      <c r="D160" s="1303"/>
      <c r="E160" s="1303"/>
      <c r="F160" s="1303"/>
      <c r="G160" s="1303"/>
      <c r="H160" s="1303"/>
      <c r="I160" s="1303"/>
      <c r="J160" s="499" t="str">
        <f>Noty!J160</f>
        <v>ukryj</v>
      </c>
      <c r="K160" s="585" t="str">
        <f>Noty!K160</f>
        <v>n/a</v>
      </c>
      <c r="L160" s="573"/>
    </row>
    <row r="161" spans="1:14" ht="13.6" customHeight="1" thickTop="1" thickBot="1" x14ac:dyDescent="0.3">
      <c r="A161" s="509"/>
      <c r="B161" s="520"/>
      <c r="J161" s="499" t="str">
        <f>Noty!J161</f>
        <v>ukryj</v>
      </c>
      <c r="L161" s="806"/>
    </row>
    <row r="162" spans="1:14" ht="16.399999999999999" thickTop="1" thickBot="1" x14ac:dyDescent="0.35">
      <c r="A162" s="1183">
        <f>A77</f>
        <v>0</v>
      </c>
      <c r="B162" s="1184">
        <f>IF(K162="n/a",B154,B154+1)</f>
        <v>0</v>
      </c>
      <c r="C162" s="1235" t="s">
        <v>10845</v>
      </c>
      <c r="D162" s="1235"/>
      <c r="E162" s="1235"/>
      <c r="F162" s="1235"/>
      <c r="G162" s="1235"/>
      <c r="H162" s="1235"/>
      <c r="I162" s="1235"/>
      <c r="J162" s="499" t="str">
        <f>Noty!J162</f>
        <v>ukryj</v>
      </c>
      <c r="K162" s="585" t="str">
        <f>Noty!K162</f>
        <v>n/a</v>
      </c>
      <c r="L162" s="573" t="str">
        <f>A162&amp;"."&amp;B162</f>
        <v>0.0</v>
      </c>
      <c r="N162" s="1101" t="s">
        <v>9378</v>
      </c>
    </row>
    <row r="163" spans="1:14" ht="13.6" customHeight="1" thickTop="1" x14ac:dyDescent="0.25">
      <c r="A163" s="509"/>
      <c r="B163" s="520"/>
      <c r="C163" s="175"/>
      <c r="J163" s="499" t="str">
        <f>Noty!J163</f>
        <v>ukryj</v>
      </c>
      <c r="L163" s="806"/>
    </row>
    <row r="164" spans="1:14" ht="15.75" customHeight="1" x14ac:dyDescent="0.25">
      <c r="A164" s="509"/>
      <c r="B164" s="520"/>
      <c r="C164" s="1304" t="s">
        <v>10846</v>
      </c>
      <c r="D164" s="1304"/>
      <c r="E164" s="1304"/>
      <c r="F164" s="1304"/>
      <c r="G164" s="1304"/>
      <c r="H164" s="1304"/>
      <c r="I164" s="1304"/>
      <c r="J164" s="499" t="str">
        <f>Noty!J164</f>
        <v>ukryj</v>
      </c>
      <c r="L164" s="806"/>
    </row>
    <row r="165" spans="1:14" ht="13.6" customHeight="1" thickBot="1" x14ac:dyDescent="0.3">
      <c r="A165" s="509"/>
      <c r="B165" s="520"/>
      <c r="C165" s="361"/>
      <c r="D165" s="611"/>
      <c r="E165" s="611"/>
      <c r="F165" s="611"/>
      <c r="G165" s="611"/>
      <c r="H165" s="611"/>
      <c r="I165" s="611"/>
      <c r="J165" s="499" t="str">
        <f>Noty!J165</f>
        <v>ukryj</v>
      </c>
      <c r="L165" s="806"/>
    </row>
    <row r="166" spans="1:14" ht="16.399999999999999" thickTop="1" thickBot="1" x14ac:dyDescent="0.35">
      <c r="A166" s="1180">
        <f>IF(K166="n/a",A162,A162+1)</f>
        <v>0</v>
      </c>
      <c r="B166" s="1182"/>
      <c r="C166" s="1280" t="s">
        <v>10847</v>
      </c>
      <c r="D166" s="1280"/>
      <c r="E166" s="1280"/>
      <c r="F166" s="1280"/>
      <c r="G166" s="1280"/>
      <c r="H166" s="1280"/>
      <c r="I166" s="1280"/>
      <c r="J166" s="499" t="str">
        <f>Noty!J166</f>
        <v>ukryj</v>
      </c>
      <c r="K166" s="585" t="str">
        <f>Noty!K166</f>
        <v>n/a</v>
      </c>
      <c r="L166" s="590" t="str">
        <f>A166&amp;"."&amp;B166</f>
        <v>0.</v>
      </c>
      <c r="N166" s="1101" t="s">
        <v>9378</v>
      </c>
    </row>
    <row r="167" spans="1:14" ht="28.5" customHeight="1" thickTop="1" x14ac:dyDescent="0.25">
      <c r="A167" s="509"/>
      <c r="B167" s="520"/>
      <c r="C167" s="175"/>
      <c r="I167" s="801" t="s">
        <v>10847</v>
      </c>
      <c r="J167" s="499" t="str">
        <f>Noty!J167</f>
        <v>ukryj</v>
      </c>
      <c r="L167" s="806"/>
    </row>
    <row r="168" spans="1:14" ht="15.05" customHeight="1" x14ac:dyDescent="0.25">
      <c r="A168" s="509"/>
      <c r="B168" s="520"/>
      <c r="C168" s="821" t="s">
        <v>10800</v>
      </c>
      <c r="I168" s="362"/>
      <c r="J168" s="499" t="str">
        <f>Noty!J168</f>
        <v>ukryj</v>
      </c>
      <c r="L168" s="806"/>
    </row>
    <row r="169" spans="1:14" ht="15.05" customHeight="1" x14ac:dyDescent="0.25">
      <c r="A169" s="509"/>
      <c r="B169" s="520"/>
      <c r="C169" s="821" t="str">
        <f>CONCATENATE("As at ",Input!$C$6)</f>
        <v>As at 01.01.2020</v>
      </c>
      <c r="H169" s="610"/>
      <c r="I169" s="800" t="str">
        <f>IF(Noty!I169="","",Noty!I169)</f>
        <v/>
      </c>
      <c r="J169" s="499" t="str">
        <f>Noty!J169</f>
        <v>ukryj</v>
      </c>
      <c r="L169" s="806"/>
    </row>
    <row r="170" spans="1:14" ht="15.05" customHeight="1" x14ac:dyDescent="0.25">
      <c r="A170" s="509"/>
      <c r="B170" s="520"/>
      <c r="C170" s="810" t="s">
        <v>10801</v>
      </c>
      <c r="H170" s="610"/>
      <c r="I170" s="800">
        <f>IF(Noty!I170="","",Noty!I170)</f>
        <v>0</v>
      </c>
      <c r="J170" s="499" t="str">
        <f>Noty!J170</f>
        <v>ukryj</v>
      </c>
      <c r="L170" s="806"/>
    </row>
    <row r="171" spans="1:14" ht="15.05" customHeight="1" x14ac:dyDescent="0.25">
      <c r="A171" s="509"/>
      <c r="B171" s="520"/>
      <c r="C171" s="1305" t="s">
        <v>10848</v>
      </c>
      <c r="D171" s="1305"/>
      <c r="H171" s="610"/>
      <c r="I171" s="800" t="str">
        <f>IF(Noty!I171="","",Noty!I171)</f>
        <v/>
      </c>
      <c r="J171" s="499" t="str">
        <f>Noty!J171</f>
        <v>ukryj</v>
      </c>
      <c r="L171" s="363"/>
    </row>
    <row r="172" spans="1:14" ht="15.05" customHeight="1" x14ac:dyDescent="0.25">
      <c r="A172" s="509"/>
      <c r="B172" s="520"/>
      <c r="C172" s="1305" t="s">
        <v>10849</v>
      </c>
      <c r="D172" s="1305"/>
      <c r="H172" s="610"/>
      <c r="I172" s="800" t="str">
        <f>IF(Noty!I172="","",Noty!I172)</f>
        <v/>
      </c>
      <c r="J172" s="499" t="str">
        <f>Noty!J172</f>
        <v>ukryj</v>
      </c>
      <c r="L172" s="364"/>
    </row>
    <row r="173" spans="1:14" ht="15.05" customHeight="1" x14ac:dyDescent="0.25">
      <c r="A173" s="509"/>
      <c r="B173" s="520"/>
      <c r="C173" s="366" t="s">
        <v>10850</v>
      </c>
      <c r="D173" s="612"/>
      <c r="H173" s="610"/>
      <c r="I173" s="800" t="str">
        <f>IF(Noty!I173="","",Noty!I173)</f>
        <v/>
      </c>
      <c r="J173" s="499" t="str">
        <f>Noty!J173</f>
        <v>ukryj</v>
      </c>
      <c r="L173" s="364"/>
    </row>
    <row r="174" spans="1:14" ht="15.05" customHeight="1" x14ac:dyDescent="0.25">
      <c r="A174" s="509"/>
      <c r="B174" s="520"/>
      <c r="C174" s="1305" t="s">
        <v>8162</v>
      </c>
      <c r="D174" s="1305"/>
      <c r="H174" s="610"/>
      <c r="I174" s="800" t="str">
        <f>IF(Noty!I174="","",Noty!I174)</f>
        <v/>
      </c>
      <c r="J174" s="499" t="str">
        <f>Noty!J174</f>
        <v>ukryj</v>
      </c>
      <c r="L174" s="364"/>
    </row>
    <row r="175" spans="1:14" ht="15.05" customHeight="1" x14ac:dyDescent="0.25">
      <c r="A175" s="509"/>
      <c r="B175" s="520"/>
      <c r="C175" s="1306" t="s">
        <v>10806</v>
      </c>
      <c r="D175" s="1306"/>
      <c r="H175" s="610"/>
      <c r="I175" s="800">
        <f>IF(Noty!I175="","",Noty!I175)</f>
        <v>0</v>
      </c>
      <c r="J175" s="499" t="str">
        <f>Noty!J175</f>
        <v>ukryj</v>
      </c>
      <c r="L175" s="367"/>
    </row>
    <row r="176" spans="1:14" ht="15.05" customHeight="1" x14ac:dyDescent="0.25">
      <c r="A176" s="509"/>
      <c r="B176" s="520"/>
      <c r="C176" s="1305" t="s">
        <v>10851</v>
      </c>
      <c r="D176" s="1305"/>
      <c r="H176" s="610"/>
      <c r="I176" s="800" t="str">
        <f>IF(Noty!I176="","",Noty!I176)</f>
        <v/>
      </c>
      <c r="J176" s="499" t="str">
        <f>Noty!J176</f>
        <v>ukryj</v>
      </c>
      <c r="L176" s="367"/>
    </row>
    <row r="177" spans="1:12" ht="15.05" customHeight="1" x14ac:dyDescent="0.25">
      <c r="A177" s="509"/>
      <c r="B177" s="520"/>
      <c r="C177" s="1305" t="s">
        <v>10852</v>
      </c>
      <c r="D177" s="1305"/>
      <c r="H177" s="610"/>
      <c r="I177" s="1103" t="str">
        <f>IF(Noty!I177="","",Noty!I177)</f>
        <v/>
      </c>
      <c r="J177" s="499" t="str">
        <f>Noty!J177</f>
        <v>ukryj</v>
      </c>
      <c r="L177" s="367"/>
    </row>
    <row r="178" spans="1:12" ht="15.05" customHeight="1" x14ac:dyDescent="0.25">
      <c r="A178" s="509"/>
      <c r="B178" s="520"/>
      <c r="C178" s="366" t="s">
        <v>10853</v>
      </c>
      <c r="D178" s="612"/>
      <c r="H178" s="610"/>
      <c r="I178" s="1103" t="str">
        <f>IF(Noty!I178="","",Noty!I178)</f>
        <v/>
      </c>
      <c r="J178" s="499" t="str">
        <f>Noty!J178</f>
        <v>ukryj</v>
      </c>
      <c r="L178" s="806"/>
    </row>
    <row r="179" spans="1:12" ht="15.05" customHeight="1" x14ac:dyDescent="0.25">
      <c r="A179" s="509"/>
      <c r="B179" s="520"/>
      <c r="C179" s="366" t="s">
        <v>10854</v>
      </c>
      <c r="D179" s="612"/>
      <c r="H179" s="610"/>
      <c r="I179" s="1103" t="str">
        <f>IF(Noty!I179="","",Noty!I179)</f>
        <v/>
      </c>
      <c r="J179" s="499" t="str">
        <f>Noty!J179</f>
        <v>ukryj</v>
      </c>
      <c r="L179" s="806"/>
    </row>
    <row r="180" spans="1:12" ht="15.05" customHeight="1" x14ac:dyDescent="0.25">
      <c r="A180" s="509"/>
      <c r="B180" s="520"/>
      <c r="C180" s="809" t="s">
        <v>8162</v>
      </c>
      <c r="H180" s="610"/>
      <c r="I180" s="1103" t="str">
        <f>IF(Noty!I180="","",Noty!I180)</f>
        <v/>
      </c>
      <c r="J180" s="499" t="str">
        <f>Noty!J180</f>
        <v>ukryj</v>
      </c>
      <c r="L180" s="806"/>
    </row>
    <row r="181" spans="1:12" ht="15.05" customHeight="1" x14ac:dyDescent="0.25">
      <c r="A181" s="509"/>
      <c r="B181" s="520"/>
      <c r="C181" s="821" t="str">
        <f>CONCATENATE("As at ",Input!$C$7)</f>
        <v>As at 31.12.2020</v>
      </c>
      <c r="H181" s="610"/>
      <c r="I181" s="803">
        <f>IF(Noty!I181="","",Noty!I181)</f>
        <v>0</v>
      </c>
      <c r="J181" s="499" t="str">
        <f>Noty!J181</f>
        <v>ukryj</v>
      </c>
      <c r="L181" s="806"/>
    </row>
    <row r="182" spans="1:12" ht="15.05" customHeight="1" x14ac:dyDescent="0.25">
      <c r="A182" s="509"/>
      <c r="B182" s="520"/>
      <c r="C182" s="809"/>
      <c r="I182" s="561"/>
      <c r="J182" s="499" t="str">
        <f>Noty!J182</f>
        <v>ukryj</v>
      </c>
      <c r="L182" s="806"/>
    </row>
    <row r="183" spans="1:12" ht="26.2" customHeight="1" x14ac:dyDescent="0.25">
      <c r="A183" s="509"/>
      <c r="B183" s="520"/>
      <c r="C183" s="821" t="s">
        <v>10813</v>
      </c>
      <c r="I183" s="561"/>
      <c r="J183" s="499" t="str">
        <f>Noty!J183</f>
        <v>ukryj</v>
      </c>
      <c r="L183" s="806"/>
    </row>
    <row r="184" spans="1:12" ht="15.05" customHeight="1" x14ac:dyDescent="0.25">
      <c r="A184" s="509"/>
      <c r="B184" s="520"/>
      <c r="C184" s="821" t="str">
        <f>CONCATENATE("As at ",Input!$C$6)</f>
        <v>As at 01.01.2020</v>
      </c>
      <c r="H184" s="610"/>
      <c r="I184" s="800" t="str">
        <f>IF(Noty!I184="","",Noty!I184)</f>
        <v/>
      </c>
      <c r="J184" s="499" t="str">
        <f>Noty!J184</f>
        <v>ukryj</v>
      </c>
      <c r="L184" s="806"/>
    </row>
    <row r="185" spans="1:12" ht="15.05" customHeight="1" x14ac:dyDescent="0.25">
      <c r="A185" s="509"/>
      <c r="B185" s="520"/>
      <c r="C185" s="821" t="s">
        <v>10801</v>
      </c>
      <c r="H185" s="610"/>
      <c r="I185" s="1103" t="str">
        <f>IF(Noty!I185="","",Noty!I185)</f>
        <v/>
      </c>
      <c r="J185" s="499" t="str">
        <f>Noty!J185</f>
        <v>ukryj</v>
      </c>
      <c r="L185" s="806"/>
    </row>
    <row r="186" spans="1:12" ht="15.05" customHeight="1" x14ac:dyDescent="0.25">
      <c r="A186" s="509"/>
      <c r="B186" s="520"/>
      <c r="C186" s="821" t="s">
        <v>10806</v>
      </c>
      <c r="H186" s="610"/>
      <c r="I186" s="800">
        <f>IF(Noty!I186="","",Noty!I186)</f>
        <v>0</v>
      </c>
      <c r="J186" s="499" t="str">
        <f>Noty!J186</f>
        <v>ukryj</v>
      </c>
      <c r="L186" s="806"/>
    </row>
    <row r="187" spans="1:12" ht="15.05" customHeight="1" x14ac:dyDescent="0.25">
      <c r="A187" s="509"/>
      <c r="B187" s="520"/>
      <c r="C187" s="181" t="s">
        <v>10814</v>
      </c>
      <c r="H187" s="610"/>
      <c r="I187" s="1103" t="str">
        <f>IF(Noty!I187="","",Noty!I187)</f>
        <v/>
      </c>
      <c r="J187" s="499" t="str">
        <f>Noty!J187</f>
        <v>ukryj</v>
      </c>
      <c r="L187" s="806"/>
    </row>
    <row r="188" spans="1:12" ht="15.05" customHeight="1" x14ac:dyDescent="0.25">
      <c r="A188" s="509"/>
      <c r="B188" s="520"/>
      <c r="C188" s="181" t="s">
        <v>10855</v>
      </c>
      <c r="H188" s="610"/>
      <c r="I188" s="1103" t="str">
        <f>IF(Noty!I188="","",Noty!I188)</f>
        <v/>
      </c>
      <c r="J188" s="499" t="str">
        <f>Noty!J188</f>
        <v>ukryj</v>
      </c>
      <c r="L188" s="806"/>
    </row>
    <row r="189" spans="1:12" ht="15.05" customHeight="1" x14ac:dyDescent="0.25">
      <c r="A189" s="509"/>
      <c r="B189" s="520"/>
      <c r="C189" s="821" t="str">
        <f>CONCATENATE("As at ",Input!$C$7)</f>
        <v>As at 31.12.2020</v>
      </c>
      <c r="H189" s="610"/>
      <c r="I189" s="803">
        <f>IF(Noty!I189="","",Noty!I189)</f>
        <v>0</v>
      </c>
      <c r="J189" s="499" t="str">
        <f>Noty!J189</f>
        <v>ukryj</v>
      </c>
      <c r="L189" s="806"/>
    </row>
    <row r="190" spans="1:12" ht="15.05" customHeight="1" x14ac:dyDescent="0.25">
      <c r="A190" s="509"/>
      <c r="B190" s="520"/>
      <c r="C190" s="809"/>
      <c r="I190" s="561"/>
      <c r="J190" s="499" t="str">
        <f>Noty!J190</f>
        <v>ukryj</v>
      </c>
      <c r="L190" s="806"/>
    </row>
    <row r="191" spans="1:12" ht="15.05" customHeight="1" x14ac:dyDescent="0.25">
      <c r="A191" s="509"/>
      <c r="B191" s="520"/>
      <c r="C191" s="244" t="s">
        <v>10816</v>
      </c>
      <c r="I191" s="561"/>
      <c r="J191" s="499" t="str">
        <f>Noty!J191</f>
        <v>ukryj</v>
      </c>
      <c r="L191" s="806"/>
    </row>
    <row r="192" spans="1:12" ht="15.05" customHeight="1" x14ac:dyDescent="0.25">
      <c r="A192" s="509"/>
      <c r="B192" s="520"/>
      <c r="C192" s="821" t="str">
        <f>CONCATENATE("As at ",Input!$C$6)</f>
        <v>As at 01.01.2020</v>
      </c>
      <c r="H192" s="610"/>
      <c r="I192" s="803">
        <f>IF(Noty!I192="","",Noty!I192)</f>
        <v>0</v>
      </c>
      <c r="J192" s="499" t="str">
        <f>Noty!J192</f>
        <v>ukryj</v>
      </c>
      <c r="L192" s="806"/>
    </row>
    <row r="193" spans="1:14" ht="15.05" customHeight="1" x14ac:dyDescent="0.25">
      <c r="A193" s="509"/>
      <c r="B193" s="520"/>
      <c r="C193" s="821" t="str">
        <f>CONCATENATE("As at ",Input!$C$7)</f>
        <v>As at 31.12.2020</v>
      </c>
      <c r="H193" s="610"/>
      <c r="I193" s="803">
        <f>IF(Noty!I193="","",Noty!I193)</f>
        <v>0</v>
      </c>
      <c r="J193" s="499" t="str">
        <f>Noty!J193</f>
        <v>ukryj</v>
      </c>
      <c r="L193" s="806"/>
    </row>
    <row r="194" spans="1:14" ht="13.6" customHeight="1" thickBot="1" x14ac:dyDescent="0.3">
      <c r="A194" s="509"/>
      <c r="B194" s="520"/>
      <c r="C194" s="810"/>
      <c r="E194" s="184"/>
      <c r="J194" s="499" t="str">
        <f>Noty!J194</f>
        <v>ukryj</v>
      </c>
      <c r="L194" s="591"/>
    </row>
    <row r="195" spans="1:14" ht="15.05" customHeight="1" thickTop="1" thickBot="1" x14ac:dyDescent="0.35">
      <c r="A195" s="1180">
        <f>+IF(K195="n/a",A166,A166+1)</f>
        <v>0</v>
      </c>
      <c r="B195" s="1182"/>
      <c r="C195" s="1280" t="s">
        <v>8011</v>
      </c>
      <c r="D195" s="1280"/>
      <c r="E195" s="1280"/>
      <c r="F195" s="1280"/>
      <c r="G195" s="1280"/>
      <c r="H195" s="1280"/>
      <c r="I195" s="1280"/>
      <c r="J195" s="499" t="str">
        <f>Noty!J195</f>
        <v>ukryj</v>
      </c>
      <c r="K195" s="585" t="str">
        <f>Noty!K195</f>
        <v>n/a</v>
      </c>
      <c r="L195" s="591" t="str">
        <f>A195&amp;"."&amp;B195</f>
        <v>0.</v>
      </c>
      <c r="N195" s="1101" t="s">
        <v>9378</v>
      </c>
    </row>
    <row r="196" spans="1:14" ht="13.6" customHeight="1" thickTop="1" thickBot="1" x14ac:dyDescent="0.3">
      <c r="A196" s="511"/>
      <c r="B196" s="520"/>
      <c r="D196" s="609"/>
      <c r="E196" s="609"/>
      <c r="F196" s="609"/>
      <c r="G196" s="609"/>
      <c r="H196" s="609"/>
      <c r="I196" s="609"/>
      <c r="J196" s="499" t="str">
        <f>Noty!J196</f>
        <v>ukryj</v>
      </c>
      <c r="L196" s="806"/>
    </row>
    <row r="197" spans="1:14" ht="16.399999999999999" thickTop="1" thickBot="1" x14ac:dyDescent="0.35">
      <c r="A197" s="1183">
        <f>A195</f>
        <v>0</v>
      </c>
      <c r="B197" s="1184">
        <f>IF(K197="n/a",0,1)</f>
        <v>0</v>
      </c>
      <c r="C197" s="1235" t="s">
        <v>10856</v>
      </c>
      <c r="D197" s="1235"/>
      <c r="E197" s="1235"/>
      <c r="F197" s="1235"/>
      <c r="G197" s="1235"/>
      <c r="H197" s="1235"/>
      <c r="I197" s="1235"/>
      <c r="J197" s="499" t="str">
        <f>Noty!J197</f>
        <v>ukryj</v>
      </c>
      <c r="K197" s="585" t="str">
        <f>Noty!K197</f>
        <v>n/a</v>
      </c>
      <c r="L197" s="573" t="str">
        <f>A197&amp;"."&amp;B197</f>
        <v>0.0</v>
      </c>
      <c r="N197" s="1101" t="s">
        <v>9378</v>
      </c>
    </row>
    <row r="198" spans="1:14" ht="51.75" customHeight="1" thickTop="1" x14ac:dyDescent="0.25">
      <c r="A198" s="509"/>
      <c r="B198" s="520"/>
      <c r="G198" s="801" t="s">
        <v>10857</v>
      </c>
      <c r="H198" s="801" t="s">
        <v>10858</v>
      </c>
      <c r="I198" s="801" t="s">
        <v>10859</v>
      </c>
      <c r="J198" s="499" t="str">
        <f>Noty!J198</f>
        <v>ukryj</v>
      </c>
      <c r="L198" s="806"/>
    </row>
    <row r="199" spans="1:14" ht="15.05" customHeight="1" x14ac:dyDescent="0.25">
      <c r="A199" s="509"/>
      <c r="B199" s="520"/>
      <c r="G199" s="609"/>
      <c r="H199" s="609"/>
      <c r="I199" s="609"/>
      <c r="J199" s="499" t="str">
        <f>Noty!J199</f>
        <v>ukryj</v>
      </c>
      <c r="L199" s="806"/>
    </row>
    <row r="200" spans="1:14" ht="15.05" customHeight="1" x14ac:dyDescent="0.25">
      <c r="A200" s="509"/>
      <c r="B200" s="520"/>
      <c r="C200" s="202" t="s">
        <v>8015</v>
      </c>
      <c r="G200" s="800" t="str">
        <f>IF(Noty!G200="","",Noty!G200)</f>
        <v/>
      </c>
      <c r="H200" s="800">
        <f>IF(Noty!H200="","",Noty!H200)</f>
        <v>0</v>
      </c>
      <c r="I200" s="800">
        <f>IF(Noty!I200="","",Noty!I200)</f>
        <v>0</v>
      </c>
      <c r="J200" s="499" t="str">
        <f>Noty!J200</f>
        <v>ukryj</v>
      </c>
      <c r="L200" s="806"/>
    </row>
    <row r="201" spans="1:14" ht="29.3" customHeight="1" x14ac:dyDescent="0.25">
      <c r="A201" s="509"/>
      <c r="B201" s="520"/>
      <c r="C201" s="1308" t="s">
        <v>8020</v>
      </c>
      <c r="D201" s="1308"/>
      <c r="E201" s="1308"/>
      <c r="F201" s="1308"/>
      <c r="G201" s="800" t="str">
        <f>IF(Noty!G201="","",Noty!G201)</f>
        <v/>
      </c>
      <c r="H201" s="800">
        <f>IF(Noty!H201="","",Noty!H201)</f>
        <v>0</v>
      </c>
      <c r="I201" s="800">
        <f>IF(Noty!I201="","",Noty!I201)</f>
        <v>0</v>
      </c>
      <c r="J201" s="499" t="str">
        <f>Noty!J201</f>
        <v>ukryj</v>
      </c>
      <c r="L201" s="806"/>
    </row>
    <row r="202" spans="1:14" ht="15.05" customHeight="1" x14ac:dyDescent="0.25">
      <c r="A202" s="509"/>
      <c r="B202" s="520"/>
      <c r="C202" s="202" t="s">
        <v>8024</v>
      </c>
      <c r="G202" s="800" t="str">
        <f>IF(Noty!G202="","",Noty!G202)</f>
        <v/>
      </c>
      <c r="H202" s="800">
        <f>IF(Noty!H202="","",Noty!H202)</f>
        <v>0</v>
      </c>
      <c r="I202" s="800">
        <f>IF(Noty!I202="","",Noty!I202)</f>
        <v>0</v>
      </c>
      <c r="J202" s="499" t="str">
        <f>Noty!J202</f>
        <v>ukryj</v>
      </c>
      <c r="L202" s="806"/>
    </row>
    <row r="203" spans="1:14" ht="15.05" customHeight="1" x14ac:dyDescent="0.25">
      <c r="A203" s="509"/>
      <c r="B203" s="520"/>
      <c r="C203" s="841"/>
      <c r="G203" s="803">
        <f>IF(Noty!G203="","",Noty!G203)</f>
        <v>0</v>
      </c>
      <c r="H203" s="803">
        <f>IF(Noty!H203="","",Noty!H203)</f>
        <v>0</v>
      </c>
      <c r="I203" s="803">
        <f>IF(Noty!I203="","",Noty!I203)</f>
        <v>0</v>
      </c>
      <c r="J203" s="499" t="str">
        <f>Noty!J203</f>
        <v>ukryj</v>
      </c>
      <c r="L203" s="806"/>
    </row>
    <row r="204" spans="1:14" ht="13.6" customHeight="1" thickBot="1" x14ac:dyDescent="0.3">
      <c r="A204" s="509"/>
      <c r="B204" s="520"/>
      <c r="C204" s="841"/>
      <c r="F204" s="377"/>
      <c r="G204" s="613"/>
      <c r="H204" s="613"/>
      <c r="I204" s="613"/>
      <c r="J204" s="499" t="str">
        <f>Noty!J204</f>
        <v>ukryj</v>
      </c>
      <c r="L204" s="806"/>
    </row>
    <row r="205" spans="1:14" ht="15.75" customHeight="1" thickTop="1" thickBot="1" x14ac:dyDescent="0.35">
      <c r="A205" s="1183">
        <f>A195</f>
        <v>0</v>
      </c>
      <c r="B205" s="1184">
        <f>IF(K205="n/a",B197,B197+1)</f>
        <v>0</v>
      </c>
      <c r="C205" s="1235" t="s">
        <v>10858</v>
      </c>
      <c r="D205" s="1235"/>
      <c r="E205" s="1235"/>
      <c r="F205" s="1235"/>
      <c r="G205" s="1235"/>
      <c r="H205" s="1235"/>
      <c r="I205" s="1235"/>
      <c r="J205" s="499" t="str">
        <f>Noty!J205</f>
        <v>ukryj</v>
      </c>
      <c r="K205" s="585" t="str">
        <f>Noty!K205</f>
        <v>n/a</v>
      </c>
      <c r="L205" s="573" t="str">
        <f>A205&amp;"."&amp;B205</f>
        <v>0.0</v>
      </c>
      <c r="N205" s="1101" t="s">
        <v>9378</v>
      </c>
    </row>
    <row r="206" spans="1:14" ht="13.6" customHeight="1" thickTop="1" x14ac:dyDescent="0.25">
      <c r="A206" s="509"/>
      <c r="B206" s="520"/>
      <c r="C206" s="175"/>
      <c r="D206" s="183"/>
      <c r="E206" s="192"/>
      <c r="F206" s="192"/>
      <c r="G206" s="191"/>
      <c r="H206" s="191"/>
      <c r="I206" s="446"/>
      <c r="J206" s="499" t="str">
        <f>Noty!J206</f>
        <v>ukryj</v>
      </c>
      <c r="L206" s="806"/>
    </row>
    <row r="207" spans="1:14" ht="65.3" customHeight="1" x14ac:dyDescent="0.25">
      <c r="A207" s="509"/>
      <c r="B207" s="520"/>
      <c r="C207" s="175"/>
      <c r="D207" s="1310" t="s">
        <v>10860</v>
      </c>
      <c r="E207" s="1310"/>
      <c r="F207" s="1310" t="s">
        <v>10861</v>
      </c>
      <c r="G207" s="1310"/>
      <c r="H207" s="1310" t="s">
        <v>10862</v>
      </c>
      <c r="I207" s="1310"/>
      <c r="J207" s="499" t="str">
        <f>Noty!J207</f>
        <v>ukryj</v>
      </c>
      <c r="L207" s="806"/>
    </row>
    <row r="208" spans="1:14" ht="15.05" customHeight="1" x14ac:dyDescent="0.25">
      <c r="A208" s="509"/>
      <c r="B208" s="520"/>
      <c r="D208" s="183"/>
      <c r="E208" s="192"/>
      <c r="F208" s="446"/>
      <c r="G208" s="192"/>
      <c r="H208" s="192"/>
      <c r="I208" s="446"/>
      <c r="J208" s="499" t="str">
        <f>Noty!J208</f>
        <v>ukryj</v>
      </c>
      <c r="L208" s="806"/>
    </row>
    <row r="209" spans="1:14" ht="13.6" customHeight="1" x14ac:dyDescent="0.25">
      <c r="A209" s="509"/>
      <c r="B209" s="520"/>
      <c r="C209" s="821" t="str">
        <f>CONCATENATE("As at ",Input!$C$6)</f>
        <v>As at 01.01.2020</v>
      </c>
      <c r="D209" s="1499" t="str">
        <f>IF(Noty!D209="","",Noty!D209)</f>
        <v/>
      </c>
      <c r="E209" s="1309"/>
      <c r="F209" s="1499" t="str">
        <f>IF(Noty!F209="","",Noty!F209)</f>
        <v/>
      </c>
      <c r="G209" s="1309"/>
      <c r="H209" s="1499" t="str">
        <f>IF(Noty!H209="","",Noty!H209)</f>
        <v/>
      </c>
      <c r="I209" s="1309"/>
      <c r="J209" s="499" t="str">
        <f>Noty!J209</f>
        <v>ukryj</v>
      </c>
      <c r="L209" s="806"/>
    </row>
    <row r="210" spans="1:14" ht="27" customHeight="1" x14ac:dyDescent="0.25">
      <c r="A210" s="509"/>
      <c r="B210" s="520"/>
      <c r="C210" s="822" t="s">
        <v>10863</v>
      </c>
      <c r="D210" s="1499" t="str">
        <f>IF(Noty!D210="","",Noty!D210)</f>
        <v/>
      </c>
      <c r="E210" s="1309"/>
      <c r="F210" s="1499" t="str">
        <f>IF(Noty!F210="","",Noty!F210)</f>
        <v/>
      </c>
      <c r="G210" s="1309"/>
      <c r="H210" s="1499" t="str">
        <f>IF(Noty!H210="","",Noty!H210)</f>
        <v/>
      </c>
      <c r="I210" s="1309"/>
      <c r="J210" s="499" t="str">
        <f>Noty!J210</f>
        <v>ukryj</v>
      </c>
      <c r="L210" s="806"/>
    </row>
    <row r="211" spans="1:14" ht="27" customHeight="1" x14ac:dyDescent="0.25">
      <c r="A211" s="509"/>
      <c r="B211" s="520"/>
      <c r="C211" s="822" t="s">
        <v>10864</v>
      </c>
      <c r="D211" s="1499" t="str">
        <f>IF(Noty!D211="","",Noty!D211)</f>
        <v/>
      </c>
      <c r="E211" s="1309"/>
      <c r="F211" s="1499" t="str">
        <f>IF(Noty!F211="","",Noty!F211)</f>
        <v/>
      </c>
      <c r="G211" s="1309"/>
      <c r="H211" s="1499" t="str">
        <f>IF(Noty!H211="","",Noty!H211)</f>
        <v/>
      </c>
      <c r="I211" s="1309"/>
      <c r="J211" s="499" t="str">
        <f>Noty!J211</f>
        <v>ukryj</v>
      </c>
      <c r="L211" s="806"/>
    </row>
    <row r="212" spans="1:14" ht="27.85" customHeight="1" x14ac:dyDescent="0.25">
      <c r="A212" s="509"/>
      <c r="B212" s="520"/>
      <c r="C212" s="822" t="s">
        <v>10865</v>
      </c>
      <c r="D212" s="1500" t="str">
        <f>IF(Noty!D212="","",Noty!D212)</f>
        <v/>
      </c>
      <c r="E212" s="1312"/>
      <c r="F212" s="1500" t="str">
        <f>IF(Noty!F212="","",Noty!F212)</f>
        <v/>
      </c>
      <c r="G212" s="1312"/>
      <c r="H212" s="1500" t="str">
        <f>IF(Noty!H212="","",Noty!H212)</f>
        <v/>
      </c>
      <c r="I212" s="1312"/>
      <c r="J212" s="499" t="str">
        <f>Noty!J212</f>
        <v>ukryj</v>
      </c>
      <c r="L212" s="806"/>
    </row>
    <row r="213" spans="1:14" ht="14.25" customHeight="1" x14ac:dyDescent="0.25">
      <c r="A213" s="509"/>
      <c r="B213" s="520"/>
      <c r="C213" s="821" t="str">
        <f>CONCATENATE("As at ",Input!$C$7)</f>
        <v>As at 31.12.2020</v>
      </c>
      <c r="D213" s="1300">
        <f>IF(Noty!D213="","",Noty!D213)</f>
        <v>0</v>
      </c>
      <c r="E213" s="1300"/>
      <c r="F213" s="1300">
        <f>IF(Noty!F213="","",Noty!F213)</f>
        <v>0</v>
      </c>
      <c r="G213" s="1300"/>
      <c r="H213" s="1300">
        <f>IF(Noty!H213="","",Noty!H213)</f>
        <v>0</v>
      </c>
      <c r="I213" s="1300"/>
      <c r="J213" s="499" t="str">
        <f>Noty!J213</f>
        <v>ukryj</v>
      </c>
      <c r="L213" s="806"/>
    </row>
    <row r="214" spans="1:14" ht="14.25" customHeight="1" x14ac:dyDescent="0.25">
      <c r="A214" s="509"/>
      <c r="B214" s="520"/>
      <c r="C214" s="821"/>
      <c r="D214" s="614"/>
      <c r="E214" s="614"/>
      <c r="F214" s="614"/>
      <c r="G214" s="614"/>
      <c r="H214" s="614"/>
      <c r="I214" s="614"/>
      <c r="J214" s="499" t="str">
        <f>Noty!J214</f>
        <v>ukryj</v>
      </c>
      <c r="L214" s="806"/>
    </row>
    <row r="215" spans="1:14" ht="14.25" customHeight="1" x14ac:dyDescent="0.25">
      <c r="A215" s="509"/>
      <c r="B215" s="520"/>
      <c r="C215" s="368" t="s">
        <v>7933</v>
      </c>
      <c r="D215" s="615"/>
      <c r="E215" s="615"/>
      <c r="F215" s="615"/>
      <c r="G215" s="615"/>
      <c r="H215" s="615"/>
      <c r="I215" s="615"/>
      <c r="J215" s="499" t="str">
        <f>Noty!J215</f>
        <v>ukryj</v>
      </c>
      <c r="L215" s="806"/>
    </row>
    <row r="216" spans="1:14" ht="15.05" customHeight="1" x14ac:dyDescent="0.25">
      <c r="A216" s="509"/>
      <c r="B216" s="520"/>
      <c r="C216" s="1307" t="s">
        <v>10866</v>
      </c>
      <c r="D216" s="1307"/>
      <c r="E216" s="1307"/>
      <c r="F216" s="1307"/>
      <c r="G216" s="1307"/>
      <c r="H216" s="1307"/>
      <c r="I216" s="1307"/>
      <c r="J216" s="983" t="str">
        <f>Noty!J216</f>
        <v>ukryj</v>
      </c>
      <c r="L216" s="806"/>
    </row>
    <row r="217" spans="1:14" ht="14.25" customHeight="1" thickBot="1" x14ac:dyDescent="0.3">
      <c r="A217" s="509"/>
      <c r="B217" s="520"/>
      <c r="C217" s="369"/>
      <c r="D217" s="831"/>
      <c r="E217" s="831"/>
      <c r="F217" s="831"/>
      <c r="G217" s="831"/>
      <c r="H217" s="831"/>
      <c r="I217" s="831"/>
      <c r="J217" s="499" t="str">
        <f>Noty!J217</f>
        <v>ukryj</v>
      </c>
      <c r="L217" s="806"/>
    </row>
    <row r="218" spans="1:14" s="592" customFormat="1" ht="15.05" customHeight="1" thickTop="1" thickBot="1" x14ac:dyDescent="0.35">
      <c r="A218" s="1183">
        <f>A195</f>
        <v>0</v>
      </c>
      <c r="B218" s="1184">
        <f>IF(K218="n/a",B205,B205+1)</f>
        <v>0</v>
      </c>
      <c r="C218" s="1313" t="s">
        <v>10867</v>
      </c>
      <c r="D218" s="1313"/>
      <c r="E218" s="1313"/>
      <c r="F218" s="1313"/>
      <c r="G218" s="1313"/>
      <c r="H218" s="1313"/>
      <c r="I218" s="1313"/>
      <c r="J218" s="499" t="str">
        <f>Noty!J218</f>
        <v>ukryj</v>
      </c>
      <c r="K218" s="585" t="str">
        <f>Noty!K218</f>
        <v>n/a</v>
      </c>
      <c r="L218" s="573" t="str">
        <f>A218&amp;"."&amp;B218</f>
        <v>0.0</v>
      </c>
      <c r="N218" s="1101" t="s">
        <v>9378</v>
      </c>
    </row>
    <row r="219" spans="1:14" s="592" customFormat="1" ht="14.25" customHeight="1" thickTop="1" x14ac:dyDescent="0.25">
      <c r="A219" s="509"/>
      <c r="B219" s="520"/>
      <c r="C219" s="1311" t="s">
        <v>10868</v>
      </c>
      <c r="D219" s="1311"/>
      <c r="E219" s="1311"/>
      <c r="F219" s="801" t="s">
        <v>10857</v>
      </c>
      <c r="G219" s="1297" t="s">
        <v>10869</v>
      </c>
      <c r="H219" s="1297"/>
      <c r="I219" s="801" t="s">
        <v>10859</v>
      </c>
      <c r="J219" s="499" t="str">
        <f>Noty!J219</f>
        <v>ukryj</v>
      </c>
      <c r="K219" s="489"/>
      <c r="L219" s="593"/>
    </row>
    <row r="220" spans="1:14" ht="15.05" customHeight="1" x14ac:dyDescent="0.25">
      <c r="A220" s="509"/>
      <c r="B220" s="520"/>
      <c r="F220" s="609"/>
      <c r="G220" s="609"/>
      <c r="H220" s="609"/>
      <c r="I220" s="609"/>
      <c r="J220" s="499" t="str">
        <f>Noty!J220</f>
        <v>ukryj</v>
      </c>
      <c r="L220" s="806"/>
    </row>
    <row r="221" spans="1:14" ht="15.05" customHeight="1" x14ac:dyDescent="0.25">
      <c r="A221" s="509"/>
      <c r="B221" s="520"/>
      <c r="C221" s="1314" t="s">
        <v>8015</v>
      </c>
      <c r="D221" s="1314"/>
      <c r="F221" s="800" t="str">
        <f>IF(Noty!F221="","",Noty!F221)</f>
        <v/>
      </c>
      <c r="G221" s="1487" t="str">
        <f>IF(Noty!G221="","",Noty!G221)</f>
        <v/>
      </c>
      <c r="H221" s="1298"/>
      <c r="I221" s="800">
        <f>IF(Noty!I221="","",Noty!I221)</f>
        <v>0</v>
      </c>
      <c r="J221" s="499" t="str">
        <f>Noty!J221</f>
        <v>ukryj</v>
      </c>
      <c r="L221" s="806"/>
    </row>
    <row r="222" spans="1:14" ht="29.95" customHeight="1" x14ac:dyDescent="0.25">
      <c r="A222" s="509"/>
      <c r="B222" s="520"/>
      <c r="C222" s="1303" t="s">
        <v>8020</v>
      </c>
      <c r="D222" s="1303"/>
      <c r="E222" s="1303"/>
      <c r="F222" s="800" t="str">
        <f>IF(Noty!F222="","",Noty!F222)</f>
        <v/>
      </c>
      <c r="G222" s="1487" t="str">
        <f>IF(Noty!G222="","",Noty!G222)</f>
        <v/>
      </c>
      <c r="H222" s="1298"/>
      <c r="I222" s="800">
        <f>IF(Noty!I222="","",Noty!I222)</f>
        <v>0</v>
      </c>
      <c r="J222" s="499" t="str">
        <f>Noty!J222</f>
        <v>ukryj</v>
      </c>
      <c r="L222" s="806"/>
    </row>
    <row r="223" spans="1:14" ht="15.05" customHeight="1" x14ac:dyDescent="0.25">
      <c r="A223" s="509"/>
      <c r="B223" s="520"/>
      <c r="C223" s="1314" t="s">
        <v>8024</v>
      </c>
      <c r="D223" s="1314"/>
      <c r="F223" s="800" t="str">
        <f>IF(Noty!F223="","",Noty!F223)</f>
        <v/>
      </c>
      <c r="G223" s="1501" t="str">
        <f>IF(Noty!G223="","",Noty!G223)</f>
        <v/>
      </c>
      <c r="H223" s="1301"/>
      <c r="I223" s="800">
        <f>IF(Noty!I223="","",Noty!I223)</f>
        <v>0</v>
      </c>
      <c r="J223" s="499" t="str">
        <f>Noty!J223</f>
        <v>ukryj</v>
      </c>
      <c r="L223" s="806"/>
    </row>
    <row r="224" spans="1:14" ht="15.05" customHeight="1" x14ac:dyDescent="0.25">
      <c r="A224" s="509"/>
      <c r="B224" s="520"/>
      <c r="C224" s="370"/>
      <c r="F224" s="803">
        <f>IF(Noty!F224="","",Noty!F224)</f>
        <v>0</v>
      </c>
      <c r="G224" s="1300">
        <f>IF(Noty!G224="","",Noty!G224)</f>
        <v>0</v>
      </c>
      <c r="H224" s="1300"/>
      <c r="I224" s="803">
        <f>IF(Noty!I224="","",Noty!I224)</f>
        <v>0</v>
      </c>
      <c r="J224" s="499" t="str">
        <f>Noty!J224</f>
        <v>ukryj</v>
      </c>
      <c r="L224" s="806"/>
    </row>
    <row r="225" spans="1:14" ht="15.05" customHeight="1" x14ac:dyDescent="0.25">
      <c r="A225" s="509"/>
      <c r="B225" s="520"/>
      <c r="C225" s="370"/>
      <c r="F225" s="377"/>
      <c r="G225" s="613"/>
      <c r="H225" s="613"/>
      <c r="I225" s="613"/>
      <c r="J225" s="499" t="str">
        <f>Noty!J225</f>
        <v>ukryj</v>
      </c>
      <c r="L225" s="806"/>
    </row>
    <row r="226" spans="1:14" ht="15.05" customHeight="1" x14ac:dyDescent="0.25">
      <c r="A226" s="509"/>
      <c r="B226" s="520"/>
      <c r="C226" s="534" t="s">
        <v>10870</v>
      </c>
      <c r="F226" s="377"/>
      <c r="G226" s="613"/>
      <c r="H226" s="613"/>
      <c r="I226" s="613"/>
      <c r="J226" s="499" t="str">
        <f>Noty!J226</f>
        <v>ukryj</v>
      </c>
      <c r="L226" s="806"/>
    </row>
    <row r="227" spans="1:14" ht="15.05" customHeight="1" x14ac:dyDescent="0.25">
      <c r="A227" s="509"/>
      <c r="B227" s="520"/>
      <c r="C227" s="1314" t="s">
        <v>8015</v>
      </c>
      <c r="D227" s="1314"/>
      <c r="E227" s="616"/>
      <c r="F227" s="800" t="str">
        <f>IF(Noty!F227="","",Noty!F227)</f>
        <v/>
      </c>
      <c r="G227" s="1487" t="str">
        <f>IF(Noty!G227="","",Noty!G227)</f>
        <v/>
      </c>
      <c r="H227" s="1298"/>
      <c r="I227" s="800">
        <f>IF(Noty!I227="","",Noty!I227)</f>
        <v>0</v>
      </c>
      <c r="J227" s="499" t="str">
        <f>Noty!J227</f>
        <v>ukryj</v>
      </c>
      <c r="L227" s="806"/>
    </row>
    <row r="228" spans="1:14" ht="15.05" customHeight="1" x14ac:dyDescent="0.25">
      <c r="A228" s="509"/>
      <c r="B228" s="520"/>
      <c r="C228" s="1303" t="s">
        <v>8020</v>
      </c>
      <c r="D228" s="1303"/>
      <c r="E228" s="1303"/>
      <c r="F228" s="800" t="str">
        <f>IF(Noty!F228="","",Noty!F228)</f>
        <v/>
      </c>
      <c r="G228" s="1487" t="str">
        <f>IF(Noty!G228="","",Noty!G228)</f>
        <v/>
      </c>
      <c r="H228" s="1298"/>
      <c r="I228" s="800">
        <f>IF(Noty!I228="","",Noty!I228)</f>
        <v>0</v>
      </c>
      <c r="J228" s="499" t="str">
        <f>Noty!J228</f>
        <v>ukryj</v>
      </c>
      <c r="L228" s="806"/>
    </row>
    <row r="229" spans="1:14" ht="15.05" customHeight="1" x14ac:dyDescent="0.25">
      <c r="A229" s="509"/>
      <c r="B229" s="520"/>
      <c r="C229" s="1314" t="s">
        <v>8024</v>
      </c>
      <c r="D229" s="1314"/>
      <c r="E229" s="616"/>
      <c r="F229" s="1125" t="str">
        <f>IF(Noty!F229="","",Noty!F229)</f>
        <v/>
      </c>
      <c r="G229" s="1501" t="str">
        <f>IF(Noty!G229="","",Noty!G229)</f>
        <v/>
      </c>
      <c r="H229" s="1301"/>
      <c r="I229" s="800">
        <f>IF(Noty!I229="","",Noty!I229)</f>
        <v>0</v>
      </c>
      <c r="J229" s="499" t="str">
        <f>Noty!J229</f>
        <v>ukryj</v>
      </c>
      <c r="L229" s="806"/>
    </row>
    <row r="230" spans="1:14" ht="15.05" customHeight="1" x14ac:dyDescent="0.25">
      <c r="A230" s="509"/>
      <c r="B230" s="520"/>
      <c r="C230" s="370"/>
      <c r="F230" s="803">
        <f>IF(Noty!F230="","",Noty!F230)</f>
        <v>0</v>
      </c>
      <c r="G230" s="1300">
        <f>IF(Noty!G230="","",Noty!G230)</f>
        <v>0</v>
      </c>
      <c r="H230" s="1300" t="str">
        <f>IF(Noty!H230="","",Noty!H230)</f>
        <v/>
      </c>
      <c r="I230" s="803">
        <f>IF(Noty!I230="","",Noty!I230)</f>
        <v>0</v>
      </c>
      <c r="J230" s="499" t="str">
        <f>Noty!J230</f>
        <v>ukryj</v>
      </c>
      <c r="L230" s="806"/>
    </row>
    <row r="231" spans="1:14" ht="15.05" customHeight="1" thickBot="1" x14ac:dyDescent="0.3">
      <c r="A231" s="509"/>
      <c r="B231" s="520"/>
      <c r="C231" s="369"/>
      <c r="D231" s="831"/>
      <c r="E231" s="831"/>
      <c r="F231" s="831"/>
      <c r="G231" s="831"/>
      <c r="H231" s="831"/>
      <c r="I231" s="831"/>
      <c r="J231" s="499" t="str">
        <f>Noty!J231</f>
        <v>ukryj</v>
      </c>
      <c r="L231" s="806"/>
    </row>
    <row r="232" spans="1:14" s="489" customFormat="1" ht="16.399999999999999" thickTop="1" thickBot="1" x14ac:dyDescent="0.35">
      <c r="A232" s="1180">
        <f>IF(K232="n/a",A218,A218+1)</f>
        <v>0</v>
      </c>
      <c r="B232" s="1182"/>
      <c r="C232" s="1280" t="s">
        <v>7803</v>
      </c>
      <c r="D232" s="1280"/>
      <c r="E232" s="1280"/>
      <c r="F232" s="1280"/>
      <c r="G232" s="1280"/>
      <c r="H232" s="1280"/>
      <c r="I232" s="1280"/>
      <c r="J232" s="499" t="str">
        <f>Noty!J232</f>
        <v>ukryj</v>
      </c>
      <c r="K232" s="585" t="str">
        <f>Noty!K232</f>
        <v>n/a</v>
      </c>
      <c r="L232" s="590" t="str">
        <f>A232&amp;"."&amp;B232</f>
        <v>0.</v>
      </c>
      <c r="N232" s="1101" t="s">
        <v>9378</v>
      </c>
    </row>
    <row r="233" spans="1:14" s="489" customFormat="1" ht="15.05" customHeight="1" thickTop="1" thickBot="1" x14ac:dyDescent="0.3">
      <c r="A233" s="508"/>
      <c r="B233" s="520"/>
      <c r="C233" s="173"/>
      <c r="D233" s="185"/>
      <c r="E233" s="185"/>
      <c r="F233" s="185"/>
      <c r="G233" s="185"/>
      <c r="H233" s="185"/>
      <c r="I233" s="185"/>
      <c r="J233" s="499" t="str">
        <f>Noty!J233</f>
        <v>ukryj</v>
      </c>
      <c r="L233" s="594"/>
    </row>
    <row r="234" spans="1:14" s="489" customFormat="1" ht="16.399999999999999" thickTop="1" thickBot="1" x14ac:dyDescent="0.35">
      <c r="A234" s="1183">
        <f>A232</f>
        <v>0</v>
      </c>
      <c r="B234" s="1184">
        <f>IF(K234="n/a",0,1)</f>
        <v>0</v>
      </c>
      <c r="C234" s="1235" t="s">
        <v>10871</v>
      </c>
      <c r="D234" s="1235"/>
      <c r="E234" s="1235"/>
      <c r="F234" s="1235"/>
      <c r="G234" s="1235"/>
      <c r="H234" s="1235"/>
      <c r="I234" s="1235"/>
      <c r="J234" s="499" t="str">
        <f>Noty!J234</f>
        <v>ukryj</v>
      </c>
      <c r="K234" s="585" t="str">
        <f>Noty!K234</f>
        <v>n/a</v>
      </c>
      <c r="L234" s="573" t="str">
        <f>A234&amp;"."&amp;B234</f>
        <v>0.0</v>
      </c>
      <c r="N234" s="1101" t="s">
        <v>9378</v>
      </c>
    </row>
    <row r="235" spans="1:14" s="489" customFormat="1" ht="15.05" customHeight="1" thickTop="1" thickBot="1" x14ac:dyDescent="0.3">
      <c r="A235" s="509"/>
      <c r="B235" s="520"/>
      <c r="C235" s="535" t="s">
        <v>10872</v>
      </c>
      <c r="D235" s="185"/>
      <c r="E235" s="185"/>
      <c r="F235" s="185"/>
      <c r="G235" s="185"/>
      <c r="H235" s="185"/>
      <c r="I235" s="185"/>
      <c r="J235" s="499" t="str">
        <f>Noty!J235</f>
        <v>ukryj</v>
      </c>
      <c r="L235" s="594"/>
    </row>
    <row r="236" spans="1:14" s="489" customFormat="1" ht="15.75" customHeight="1" thickTop="1" thickBot="1" x14ac:dyDescent="0.3">
      <c r="A236" s="509"/>
      <c r="B236" s="520"/>
      <c r="C236" s="257"/>
      <c r="D236" s="185"/>
      <c r="E236" s="185"/>
      <c r="F236" s="185"/>
      <c r="G236" s="185"/>
      <c r="H236" s="185"/>
      <c r="I236" s="185"/>
      <c r="J236" s="499" t="str">
        <f>Noty!J236</f>
        <v>ukryj</v>
      </c>
      <c r="K236" s="585" t="str">
        <f>Noty!K236</f>
        <v>n/a</v>
      </c>
      <c r="L236" s="594"/>
    </row>
    <row r="237" spans="1:14" s="489" customFormat="1" ht="38.950000000000003" customHeight="1" thickTop="1" x14ac:dyDescent="0.25">
      <c r="A237" s="171"/>
      <c r="B237" s="520"/>
      <c r="C237" s="257"/>
      <c r="D237" s="558"/>
      <c r="E237" s="1026" t="s">
        <v>7805</v>
      </c>
      <c r="F237" s="1026" t="s">
        <v>7949</v>
      </c>
      <c r="G237" s="1026" t="s">
        <v>10873</v>
      </c>
      <c r="H237" s="1026" t="s">
        <v>8093</v>
      </c>
      <c r="I237" s="801" t="s">
        <v>9287</v>
      </c>
      <c r="J237" s="499" t="str">
        <f>Noty!J237</f>
        <v>ukryj</v>
      </c>
      <c r="L237" s="594"/>
    </row>
    <row r="238" spans="1:14" s="489" customFormat="1" ht="15.05" customHeight="1" x14ac:dyDescent="0.25">
      <c r="A238" s="171"/>
      <c r="B238" s="520"/>
      <c r="C238" s="257"/>
      <c r="D238" s="558"/>
      <c r="E238" s="609"/>
      <c r="F238" s="609"/>
      <c r="G238" s="609"/>
      <c r="H238" s="609"/>
      <c r="I238" s="609"/>
      <c r="J238" s="499" t="str">
        <f>Noty!J238</f>
        <v>ukryj</v>
      </c>
      <c r="L238" s="594"/>
    </row>
    <row r="239" spans="1:14" s="489" customFormat="1" ht="15.05" customHeight="1" x14ac:dyDescent="0.25">
      <c r="A239" s="171"/>
      <c r="B239" s="520"/>
      <c r="C239" s="821" t="str">
        <f>CONCATENATE("As at ",Input!$C$6)</f>
        <v>As at 01.01.2020</v>
      </c>
      <c r="D239" s="558"/>
      <c r="E239" s="800" t="str">
        <f>IF(Noty!E239="","",Noty!E239)</f>
        <v/>
      </c>
      <c r="F239" s="800" t="str">
        <f>IF(Noty!F239="","",Noty!F239)</f>
        <v/>
      </c>
      <c r="G239" s="800" t="str">
        <f>IF(Noty!G239="","",Noty!G239)</f>
        <v/>
      </c>
      <c r="H239" s="800" t="str">
        <f>IF(Noty!H239="","",Noty!H239)</f>
        <v/>
      </c>
      <c r="I239" s="800">
        <f>IF(Noty!I239="","",Noty!I239)</f>
        <v>0</v>
      </c>
      <c r="J239" s="499" t="str">
        <f>Noty!J239</f>
        <v>ukryj</v>
      </c>
      <c r="L239" s="594"/>
    </row>
    <row r="240" spans="1:14" s="489" customFormat="1" ht="15.05" customHeight="1" x14ac:dyDescent="0.25">
      <c r="A240" s="171"/>
      <c r="B240" s="520"/>
      <c r="C240" s="821" t="s">
        <v>10801</v>
      </c>
      <c r="D240" s="558"/>
      <c r="E240" s="800">
        <f>IF(Noty!E240="","",Noty!E240)</f>
        <v>0</v>
      </c>
      <c r="F240" s="800">
        <f>IF(Noty!F240="","",Noty!F240)</f>
        <v>0</v>
      </c>
      <c r="G240" s="800">
        <f>IF(Noty!G240="","",Noty!G240)</f>
        <v>0</v>
      </c>
      <c r="H240" s="800">
        <f>IF(Noty!H240="","",Noty!H240)</f>
        <v>0</v>
      </c>
      <c r="I240" s="800">
        <f>IF(Noty!I240="","",Noty!I240)</f>
        <v>0</v>
      </c>
      <c r="J240" s="499" t="str">
        <f>Noty!J240</f>
        <v>ukryj</v>
      </c>
      <c r="L240" s="594"/>
    </row>
    <row r="241" spans="1:12" s="489" customFormat="1" ht="13.6" customHeight="1" x14ac:dyDescent="0.25">
      <c r="A241" s="171"/>
      <c r="B241" s="520"/>
      <c r="C241" s="1317" t="s">
        <v>10874</v>
      </c>
      <c r="D241" s="1317"/>
      <c r="E241" s="800" t="str">
        <f>IF(Noty!E241="","",Noty!E241)</f>
        <v/>
      </c>
      <c r="F241" s="800" t="str">
        <f>IF(Noty!F241="","",Noty!F241)</f>
        <v/>
      </c>
      <c r="G241" s="800" t="str">
        <f>IF(Noty!G241="","",Noty!G241)</f>
        <v/>
      </c>
      <c r="H241" s="800" t="str">
        <f>IF(Noty!H241="","",Noty!H241)</f>
        <v/>
      </c>
      <c r="I241" s="800">
        <f>IF(Noty!I241="","",Noty!I241)</f>
        <v>0</v>
      </c>
      <c r="J241" s="499" t="str">
        <f>Noty!J241</f>
        <v>ukryj</v>
      </c>
      <c r="L241" s="594"/>
    </row>
    <row r="242" spans="1:12" s="489" customFormat="1" ht="15.05" customHeight="1" x14ac:dyDescent="0.25">
      <c r="A242" s="171"/>
      <c r="B242" s="520"/>
      <c r="C242" s="1315" t="s">
        <v>10804</v>
      </c>
      <c r="D242" s="1315"/>
      <c r="E242" s="800" t="str">
        <f>IF(Noty!E242="","",Noty!E242)</f>
        <v/>
      </c>
      <c r="F242" s="800" t="str">
        <f>IF(Noty!F242="","",Noty!F242)</f>
        <v/>
      </c>
      <c r="G242" s="800" t="str">
        <f>IF(Noty!G242="","",Noty!G242)</f>
        <v/>
      </c>
      <c r="H242" s="800" t="str">
        <f>IF(Noty!H242="","",Noty!H242)</f>
        <v/>
      </c>
      <c r="I242" s="800">
        <f>IF(Noty!I242="","",Noty!I242)</f>
        <v>0</v>
      </c>
      <c r="J242" s="499" t="str">
        <f>Noty!J242</f>
        <v>ukryj</v>
      </c>
      <c r="L242" s="594"/>
    </row>
    <row r="243" spans="1:12" s="489" customFormat="1" ht="29.95" customHeight="1" x14ac:dyDescent="0.25">
      <c r="A243" s="171"/>
      <c r="B243" s="520"/>
      <c r="C243" s="1315" t="s">
        <v>10875</v>
      </c>
      <c r="D243" s="1315"/>
      <c r="E243" s="800" t="str">
        <f>IF(Noty!E243="","",Noty!E243)</f>
        <v/>
      </c>
      <c r="F243" s="800" t="str">
        <f>IF(Noty!F243="","",Noty!F243)</f>
        <v/>
      </c>
      <c r="G243" s="800" t="str">
        <f>IF(Noty!G243="","",Noty!G243)</f>
        <v/>
      </c>
      <c r="H243" s="800" t="str">
        <f>IF(Noty!H243="","",Noty!H243)</f>
        <v/>
      </c>
      <c r="I243" s="800">
        <f>IF(Noty!I243="","",Noty!I243)</f>
        <v>0</v>
      </c>
      <c r="J243" s="499" t="str">
        <f>Noty!J243</f>
        <v>ukryj</v>
      </c>
      <c r="L243" s="594"/>
    </row>
    <row r="244" spans="1:12" s="489" customFormat="1" ht="13.6" customHeight="1" x14ac:dyDescent="0.25">
      <c r="A244" s="171"/>
      <c r="B244" s="520"/>
      <c r="C244" s="1315" t="s">
        <v>10876</v>
      </c>
      <c r="D244" s="1315"/>
      <c r="E244" s="800" t="str">
        <f>IF(Noty!E244="","",Noty!E244)</f>
        <v/>
      </c>
      <c r="F244" s="800" t="str">
        <f>IF(Noty!F244="","",Noty!F244)</f>
        <v/>
      </c>
      <c r="G244" s="800" t="str">
        <f>IF(Noty!G244="","",Noty!G244)</f>
        <v/>
      </c>
      <c r="H244" s="800" t="str">
        <f>IF(Noty!H244="","",Noty!H244)</f>
        <v/>
      </c>
      <c r="I244" s="800">
        <f>IF(Noty!I244="","",Noty!I244)</f>
        <v>0</v>
      </c>
      <c r="J244" s="499" t="str">
        <f>Noty!J244</f>
        <v>ukryj</v>
      </c>
      <c r="L244" s="594"/>
    </row>
    <row r="245" spans="1:12" s="489" customFormat="1" ht="15.05" customHeight="1" x14ac:dyDescent="0.25">
      <c r="A245" s="171"/>
      <c r="B245" s="520"/>
      <c r="C245" s="821" t="s">
        <v>10806</v>
      </c>
      <c r="D245" s="608"/>
      <c r="E245" s="800">
        <f>IF(Noty!E245="","",Noty!E245)</f>
        <v>0</v>
      </c>
      <c r="F245" s="800">
        <f>IF(Noty!F245="","",Noty!F245)</f>
        <v>0</v>
      </c>
      <c r="G245" s="800">
        <f>IF(Noty!G245="","",Noty!G245)</f>
        <v>0</v>
      </c>
      <c r="H245" s="800">
        <f>IF(Noty!H245="","",Noty!H245)</f>
        <v>0</v>
      </c>
      <c r="I245" s="800">
        <f>IF(Noty!I245="","",Noty!I245)</f>
        <v>0</v>
      </c>
      <c r="J245" s="499" t="str">
        <f>Noty!J245</f>
        <v>ukryj</v>
      </c>
      <c r="L245" s="594"/>
    </row>
    <row r="246" spans="1:12" s="489" customFormat="1" ht="15.05" customHeight="1" x14ac:dyDescent="0.25">
      <c r="A246" s="171"/>
      <c r="B246" s="520"/>
      <c r="C246" s="1315" t="s">
        <v>10807</v>
      </c>
      <c r="D246" s="1315"/>
      <c r="E246" s="800" t="str">
        <f>IF(Noty!E246="","",Noty!E246)</f>
        <v/>
      </c>
      <c r="F246" s="800" t="str">
        <f>IF(Noty!F246="","",Noty!F246)</f>
        <v/>
      </c>
      <c r="G246" s="800" t="str">
        <f>IF(Noty!G246="","",Noty!G246)</f>
        <v/>
      </c>
      <c r="H246" s="800" t="str">
        <f>IF(Noty!H246="","",Noty!H246)</f>
        <v/>
      </c>
      <c r="I246" s="800">
        <f>IF(Noty!I246="","",Noty!I246)</f>
        <v>0</v>
      </c>
      <c r="J246" s="499" t="str">
        <f>Noty!J246</f>
        <v>ukryj</v>
      </c>
      <c r="L246" s="594"/>
    </row>
    <row r="247" spans="1:12" s="489" customFormat="1" ht="15.05" customHeight="1" x14ac:dyDescent="0.25">
      <c r="A247" s="171"/>
      <c r="B247" s="520"/>
      <c r="C247" s="1315" t="s">
        <v>10808</v>
      </c>
      <c r="D247" s="1315"/>
      <c r="E247" s="800" t="str">
        <f>IF(Noty!E247="","",Noty!E247)</f>
        <v/>
      </c>
      <c r="F247" s="800" t="str">
        <f>IF(Noty!F247="","",Noty!F247)</f>
        <v/>
      </c>
      <c r="G247" s="800" t="str">
        <f>IF(Noty!G247="","",Noty!G247)</f>
        <v/>
      </c>
      <c r="H247" s="800" t="str">
        <f>IF(Noty!H247="","",Noty!H247)</f>
        <v/>
      </c>
      <c r="I247" s="800">
        <f>IF(Noty!I247="","",Noty!I247)</f>
        <v>0</v>
      </c>
      <c r="J247" s="499" t="str">
        <f>Noty!J247</f>
        <v>ukryj</v>
      </c>
      <c r="L247" s="594"/>
    </row>
    <row r="248" spans="1:12" s="489" customFormat="1" ht="15.05" customHeight="1" x14ac:dyDescent="0.25">
      <c r="A248" s="171"/>
      <c r="B248" s="520"/>
      <c r="C248" s="1315" t="s">
        <v>10805</v>
      </c>
      <c r="D248" s="1315"/>
      <c r="E248" s="800" t="str">
        <f>IF(Noty!E248="","",Noty!E248)</f>
        <v/>
      </c>
      <c r="F248" s="800" t="str">
        <f>IF(Noty!F248="","",Noty!F248)</f>
        <v/>
      </c>
      <c r="G248" s="800" t="str">
        <f>IF(Noty!G248="","",Noty!G248)</f>
        <v/>
      </c>
      <c r="H248" s="800" t="str">
        <f>IF(Noty!H248="","",Noty!H248)</f>
        <v/>
      </c>
      <c r="I248" s="800">
        <f>IF(Noty!I248="","",Noty!I248)</f>
        <v>0</v>
      </c>
      <c r="J248" s="499" t="str">
        <f>Noty!J248</f>
        <v>ukryj</v>
      </c>
      <c r="L248" s="594"/>
    </row>
    <row r="249" spans="1:12" s="489" customFormat="1" ht="13.6" customHeight="1" x14ac:dyDescent="0.25">
      <c r="A249" s="171"/>
      <c r="B249" s="520"/>
      <c r="C249" s="1315" t="s">
        <v>10877</v>
      </c>
      <c r="D249" s="1315"/>
      <c r="E249" s="800" t="str">
        <f>IF(Noty!E249="","",Noty!E249)</f>
        <v/>
      </c>
      <c r="F249" s="800" t="str">
        <f>IF(Noty!F249="","",Noty!F249)</f>
        <v/>
      </c>
      <c r="G249" s="800" t="str">
        <f>IF(Noty!G249="","",Noty!G249)</f>
        <v/>
      </c>
      <c r="H249" s="800" t="str">
        <f>IF(Noty!H249="","",Noty!H249)</f>
        <v/>
      </c>
      <c r="I249" s="800">
        <f>IF(Noty!I249="","",Noty!I249)</f>
        <v>0</v>
      </c>
      <c r="J249" s="499" t="str">
        <f>Noty!J249</f>
        <v>ukryj</v>
      </c>
      <c r="L249" s="594"/>
    </row>
    <row r="250" spans="1:12" s="489" customFormat="1" ht="15.05" customHeight="1" x14ac:dyDescent="0.25">
      <c r="A250" s="171"/>
      <c r="B250" s="520"/>
      <c r="C250" s="1315" t="s">
        <v>10878</v>
      </c>
      <c r="D250" s="1315"/>
      <c r="E250" s="1103" t="str">
        <f>IF(Noty!E250="","",Noty!E250)</f>
        <v/>
      </c>
      <c r="F250" s="1103" t="str">
        <f>IF(Noty!F250="","",Noty!F250)</f>
        <v/>
      </c>
      <c r="G250" s="1103" t="str">
        <f>IF(Noty!G250="","",Noty!G250)</f>
        <v/>
      </c>
      <c r="H250" s="1103" t="str">
        <f>IF(Noty!H250="","",Noty!H250)</f>
        <v/>
      </c>
      <c r="I250" s="800">
        <f>IF(Noty!I250="","",Noty!I250)</f>
        <v>0</v>
      </c>
      <c r="J250" s="499" t="str">
        <f>Noty!J250</f>
        <v>ukryj</v>
      </c>
      <c r="L250" s="594"/>
    </row>
    <row r="251" spans="1:12" s="489" customFormat="1" ht="13.6" customHeight="1" x14ac:dyDescent="0.25">
      <c r="A251" s="171"/>
      <c r="B251" s="520"/>
      <c r="C251" s="1315" t="s">
        <v>10876</v>
      </c>
      <c r="D251" s="1315"/>
      <c r="E251" s="1103" t="str">
        <f>IF(Noty!E251="","",Noty!E251)</f>
        <v/>
      </c>
      <c r="F251" s="1103" t="str">
        <f>IF(Noty!F251="","",Noty!F251)</f>
        <v/>
      </c>
      <c r="G251" s="1103" t="str">
        <f>IF(Noty!G251="","",Noty!G251)</f>
        <v/>
      </c>
      <c r="H251" s="1103" t="str">
        <f>IF(Noty!H251="","",Noty!H251)</f>
        <v/>
      </c>
      <c r="I251" s="800">
        <f>IF(Noty!I251="","",Noty!I251)</f>
        <v>0</v>
      </c>
      <c r="J251" s="499" t="str">
        <f>Noty!J251</f>
        <v>ukryj</v>
      </c>
      <c r="L251" s="594"/>
    </row>
    <row r="252" spans="1:12" s="489" customFormat="1" ht="15.05" customHeight="1" x14ac:dyDescent="0.25">
      <c r="A252" s="171"/>
      <c r="B252" s="520"/>
      <c r="C252" s="821" t="str">
        <f>CONCATENATE("As at ",Input!$C$7)</f>
        <v>As at 31.12.2020</v>
      </c>
      <c r="D252" s="608"/>
      <c r="E252" s="803">
        <f>IF(Noty!E252="","",Noty!E252)</f>
        <v>0</v>
      </c>
      <c r="F252" s="803">
        <f>IF(Noty!F252="","",Noty!F252)</f>
        <v>0</v>
      </c>
      <c r="G252" s="803">
        <f>IF(Noty!G252="","",Noty!G252)</f>
        <v>0</v>
      </c>
      <c r="H252" s="803">
        <f>IF(Noty!H252="","",Noty!H252)</f>
        <v>0</v>
      </c>
      <c r="I252" s="803">
        <f>IF(Noty!I252="","",Noty!I252)</f>
        <v>0</v>
      </c>
      <c r="J252" s="499" t="str">
        <f>Noty!J252</f>
        <v>ukryj</v>
      </c>
      <c r="L252" s="594"/>
    </row>
    <row r="253" spans="1:12" s="489" customFormat="1" ht="15.75" customHeight="1" thickBot="1" x14ac:dyDescent="0.3">
      <c r="A253" s="171"/>
      <c r="B253" s="520"/>
      <c r="C253" s="493" t="s">
        <v>10879</v>
      </c>
      <c r="D253" s="191"/>
      <c r="E253" s="191"/>
      <c r="F253" s="446"/>
      <c r="G253" s="192"/>
      <c r="H253" s="446"/>
      <c r="I253" s="191"/>
      <c r="J253" s="499" t="str">
        <f>Noty!J253</f>
        <v>ukryj</v>
      </c>
      <c r="L253" s="594"/>
    </row>
    <row r="254" spans="1:12" s="489" customFormat="1" ht="15.75" customHeight="1" thickTop="1" thickBot="1" x14ac:dyDescent="0.3">
      <c r="A254" s="171"/>
      <c r="B254" s="520"/>
      <c r="C254" s="154"/>
      <c r="D254" s="191"/>
      <c r="E254" s="191"/>
      <c r="F254" s="446"/>
      <c r="G254" s="192"/>
      <c r="H254" s="446"/>
      <c r="I254" s="191"/>
      <c r="J254" s="499" t="str">
        <f>Noty!J254</f>
        <v>ukryj</v>
      </c>
      <c r="K254" s="585" t="str">
        <f>Noty!K254</f>
        <v>n/a</v>
      </c>
      <c r="L254" s="594"/>
    </row>
    <row r="255" spans="1:12" s="489" customFormat="1" ht="38.950000000000003" customHeight="1" thickTop="1" x14ac:dyDescent="0.25">
      <c r="A255" s="171"/>
      <c r="B255" s="520"/>
      <c r="C255" s="257"/>
      <c r="D255" s="608"/>
      <c r="E255" s="1026" t="s">
        <v>10880</v>
      </c>
      <c r="F255" s="1026" t="s">
        <v>7949</v>
      </c>
      <c r="G255" s="1026" t="s">
        <v>10873</v>
      </c>
      <c r="H255" s="1026" t="s">
        <v>8093</v>
      </c>
      <c r="I255" s="801" t="s">
        <v>9287</v>
      </c>
      <c r="J255" s="499" t="str">
        <f>Noty!J255</f>
        <v>ukryj</v>
      </c>
      <c r="L255" s="594"/>
    </row>
    <row r="256" spans="1:12" s="489" customFormat="1" ht="15.05" customHeight="1" x14ac:dyDescent="0.25">
      <c r="A256" s="171"/>
      <c r="B256" s="520"/>
      <c r="C256" s="244" t="s">
        <v>10800</v>
      </c>
      <c r="D256" s="608"/>
      <c r="E256" s="609"/>
      <c r="F256" s="609"/>
      <c r="G256" s="609"/>
      <c r="H256" s="609"/>
      <c r="I256" s="609"/>
      <c r="J256" s="499" t="str">
        <f>Noty!J256</f>
        <v>ukryj</v>
      </c>
      <c r="L256" s="594"/>
    </row>
    <row r="257" spans="1:12" s="489" customFormat="1" ht="15.05" customHeight="1" x14ac:dyDescent="0.25">
      <c r="A257" s="171"/>
      <c r="B257" s="520"/>
      <c r="C257" s="257"/>
      <c r="D257" s="608"/>
      <c r="E257" s="609"/>
      <c r="F257" s="609"/>
      <c r="G257" s="609"/>
      <c r="H257" s="609"/>
      <c r="I257" s="609"/>
      <c r="J257" s="499" t="str">
        <f>Noty!J257</f>
        <v>ukryj</v>
      </c>
      <c r="L257" s="594"/>
    </row>
    <row r="258" spans="1:12" s="489" customFormat="1" ht="15.05" customHeight="1" x14ac:dyDescent="0.25">
      <c r="A258" s="171"/>
      <c r="B258" s="520"/>
      <c r="C258" s="821" t="str">
        <f>CONCATENATE("As at ",Input!$C$6)</f>
        <v>As at 01.01.2020</v>
      </c>
      <c r="D258" s="608"/>
      <c r="E258" s="800" t="str">
        <f>IF(Noty!E258="","",Noty!E258)</f>
        <v/>
      </c>
      <c r="F258" s="800" t="str">
        <f>IF(Noty!F258="","",Noty!F258)</f>
        <v/>
      </c>
      <c r="G258" s="800" t="str">
        <f>IF(Noty!G258="","",Noty!G258)</f>
        <v/>
      </c>
      <c r="H258" s="800" t="str">
        <f>IF(Noty!H258="","",Noty!H258)</f>
        <v/>
      </c>
      <c r="I258" s="800">
        <f>IF(Noty!I258="","",Noty!I258)</f>
        <v>0</v>
      </c>
      <c r="J258" s="499" t="str">
        <f>Noty!J258</f>
        <v>ukryj</v>
      </c>
      <c r="L258" s="594"/>
    </row>
    <row r="259" spans="1:12" s="489" customFormat="1" ht="15.05" customHeight="1" x14ac:dyDescent="0.25">
      <c r="A259" s="171"/>
      <c r="B259" s="520"/>
      <c r="C259" s="821" t="s">
        <v>10801</v>
      </c>
      <c r="D259" s="608"/>
      <c r="E259" s="800">
        <f>IF(Noty!E259="","",Noty!E259)</f>
        <v>0</v>
      </c>
      <c r="F259" s="800">
        <f>IF(Noty!F259="","",Noty!F259)</f>
        <v>0</v>
      </c>
      <c r="G259" s="800">
        <f>IF(Noty!G259="","",Noty!G259)</f>
        <v>0</v>
      </c>
      <c r="H259" s="800">
        <f>IF(Noty!H259="","",Noty!H259)</f>
        <v>0</v>
      </c>
      <c r="I259" s="800">
        <f>IF(Noty!I259="","",Noty!I259)</f>
        <v>0</v>
      </c>
      <c r="J259" s="499" t="str">
        <f>Noty!J259</f>
        <v>ukryj</v>
      </c>
      <c r="L259" s="594"/>
    </row>
    <row r="260" spans="1:12" s="489" customFormat="1" ht="26.2" customHeight="1" x14ac:dyDescent="0.25">
      <c r="A260" s="171"/>
      <c r="B260" s="520"/>
      <c r="C260" s="813" t="s">
        <v>10874</v>
      </c>
      <c r="D260" s="608"/>
      <c r="E260" s="800" t="str">
        <f>IF(Noty!E260="","",Noty!E260)</f>
        <v/>
      </c>
      <c r="F260" s="800" t="str">
        <f>IF(Noty!F260="","",Noty!F260)</f>
        <v/>
      </c>
      <c r="G260" s="800" t="str">
        <f>IF(Noty!G260="","",Noty!G260)</f>
        <v/>
      </c>
      <c r="H260" s="800" t="str">
        <f>IF(Noty!H260="","",Noty!H260)</f>
        <v/>
      </c>
      <c r="I260" s="800">
        <f>IF(Noty!I260="","",Noty!I260)</f>
        <v>0</v>
      </c>
      <c r="J260" s="499" t="str">
        <f>Noty!J260</f>
        <v>ukryj</v>
      </c>
      <c r="L260" s="594"/>
    </row>
    <row r="261" spans="1:12" s="489" customFormat="1" ht="15.05" customHeight="1" x14ac:dyDescent="0.25">
      <c r="A261" s="171"/>
      <c r="B261" s="520"/>
      <c r="C261" s="813" t="s">
        <v>10804</v>
      </c>
      <c r="D261" s="608"/>
      <c r="E261" s="800" t="str">
        <f>IF(Noty!E261="","",Noty!E261)</f>
        <v/>
      </c>
      <c r="F261" s="800" t="str">
        <f>IF(Noty!F261="","",Noty!F261)</f>
        <v/>
      </c>
      <c r="G261" s="800" t="str">
        <f>IF(Noty!G261="","",Noty!G261)</f>
        <v/>
      </c>
      <c r="H261" s="800" t="str">
        <f>IF(Noty!H261="","",Noty!H261)</f>
        <v/>
      </c>
      <c r="I261" s="800">
        <f>IF(Noty!I261="","",Noty!I261)</f>
        <v>0</v>
      </c>
      <c r="J261" s="499" t="str">
        <f>Noty!J261</f>
        <v>ukryj</v>
      </c>
      <c r="L261" s="594"/>
    </row>
    <row r="262" spans="1:12" s="489" customFormat="1" ht="15.05" customHeight="1" x14ac:dyDescent="0.25">
      <c r="A262" s="171"/>
      <c r="B262" s="520"/>
      <c r="C262" s="821" t="s">
        <v>10806</v>
      </c>
      <c r="D262" s="608"/>
      <c r="E262" s="800">
        <f>IF(Noty!E262="","",Noty!E262)</f>
        <v>0</v>
      </c>
      <c r="F262" s="800">
        <f>IF(Noty!F262="","",Noty!F262)</f>
        <v>0</v>
      </c>
      <c r="G262" s="800">
        <f>IF(Noty!G262="","",Noty!G262)</f>
        <v>0</v>
      </c>
      <c r="H262" s="800">
        <f>IF(Noty!H262="","",Noty!H262)</f>
        <v>0</v>
      </c>
      <c r="I262" s="800">
        <f>IF(Noty!I262="","",Noty!I262)</f>
        <v>0</v>
      </c>
      <c r="J262" s="499" t="str">
        <f>Noty!J262</f>
        <v>ukryj</v>
      </c>
      <c r="L262" s="594"/>
    </row>
    <row r="263" spans="1:12" s="489" customFormat="1" ht="27.85" customHeight="1" x14ac:dyDescent="0.25">
      <c r="A263" s="171"/>
      <c r="B263" s="520"/>
      <c r="C263" s="813" t="s">
        <v>10881</v>
      </c>
      <c r="D263" s="608"/>
      <c r="E263" s="1103" t="str">
        <f>IF(Noty!E263="","",Noty!E263)</f>
        <v/>
      </c>
      <c r="F263" s="1103" t="str">
        <f>IF(Noty!F263="","",Noty!F263)</f>
        <v/>
      </c>
      <c r="G263" s="1103" t="str">
        <f>IF(Noty!G263="","",Noty!G263)</f>
        <v/>
      </c>
      <c r="H263" s="1103" t="str">
        <f>IF(Noty!H263="","",Noty!H263)</f>
        <v/>
      </c>
      <c r="I263" s="800">
        <f>IF(Noty!I263="","",Noty!I263)</f>
        <v>0</v>
      </c>
      <c r="J263" s="499" t="str">
        <f>Noty!J263</f>
        <v>ukryj</v>
      </c>
      <c r="L263" s="594"/>
    </row>
    <row r="264" spans="1:12" s="489" customFormat="1" ht="15.05" customHeight="1" x14ac:dyDescent="0.25">
      <c r="A264" s="171"/>
      <c r="B264" s="520"/>
      <c r="C264" s="813" t="s">
        <v>10808</v>
      </c>
      <c r="D264" s="608"/>
      <c r="E264" s="1103" t="str">
        <f>IF(Noty!E264="","",Noty!E264)</f>
        <v/>
      </c>
      <c r="F264" s="1103" t="str">
        <f>IF(Noty!F264="","",Noty!F264)</f>
        <v/>
      </c>
      <c r="G264" s="1103" t="str">
        <f>IF(Noty!G264="","",Noty!G264)</f>
        <v/>
      </c>
      <c r="H264" s="1103" t="str">
        <f>IF(Noty!H264="","",Noty!H264)</f>
        <v/>
      </c>
      <c r="I264" s="800">
        <f>IF(Noty!I264="","",Noty!I264)</f>
        <v>0</v>
      </c>
      <c r="J264" s="499" t="str">
        <f>Noty!J264</f>
        <v>ukryj</v>
      </c>
      <c r="L264" s="594"/>
    </row>
    <row r="265" spans="1:12" s="489" customFormat="1" ht="15.05" customHeight="1" x14ac:dyDescent="0.25">
      <c r="A265" s="171"/>
      <c r="B265" s="520"/>
      <c r="C265" s="813" t="s">
        <v>10805</v>
      </c>
      <c r="D265" s="608"/>
      <c r="E265" s="1103" t="str">
        <f>IF(Noty!E265="","",Noty!E265)</f>
        <v/>
      </c>
      <c r="F265" s="1103" t="str">
        <f>IF(Noty!F265="","",Noty!F265)</f>
        <v/>
      </c>
      <c r="G265" s="1103" t="str">
        <f>IF(Noty!G265="","",Noty!G265)</f>
        <v/>
      </c>
      <c r="H265" s="1103" t="str">
        <f>IF(Noty!H265="","",Noty!H265)</f>
        <v/>
      </c>
      <c r="I265" s="800">
        <f>IF(Noty!I265="","",Noty!I265)</f>
        <v>0</v>
      </c>
      <c r="J265" s="499" t="str">
        <f>Noty!J265</f>
        <v>ukryj</v>
      </c>
      <c r="L265" s="594"/>
    </row>
    <row r="266" spans="1:12" s="489" customFormat="1" ht="15.05" customHeight="1" x14ac:dyDescent="0.25">
      <c r="A266" s="171"/>
      <c r="B266" s="520"/>
      <c r="C266" s="821" t="str">
        <f>CONCATENATE("As at ",Input!$C$7)</f>
        <v>As at 31.12.2020</v>
      </c>
      <c r="D266" s="608"/>
      <c r="E266" s="803">
        <f>IF(Noty!E266="","",Noty!E266)</f>
        <v>0</v>
      </c>
      <c r="F266" s="803">
        <f>IF(Noty!F266="","",Noty!F266)</f>
        <v>0</v>
      </c>
      <c r="G266" s="803">
        <f>IF(Noty!G266="","",Noty!G266)</f>
        <v>0</v>
      </c>
      <c r="H266" s="803">
        <f>IF(Noty!H266="","",Noty!H266)</f>
        <v>0</v>
      </c>
      <c r="I266" s="803">
        <f>IF(Noty!I266="","",Noty!I266)</f>
        <v>0</v>
      </c>
      <c r="J266" s="499" t="str">
        <f>Noty!J266</f>
        <v>ukryj</v>
      </c>
      <c r="L266" s="594"/>
    </row>
    <row r="267" spans="1:12" s="489" customFormat="1" ht="15.75" customHeight="1" x14ac:dyDescent="0.25">
      <c r="A267" s="171"/>
      <c r="B267" s="520"/>
      <c r="C267" s="821"/>
      <c r="D267" s="191"/>
      <c r="E267" s="191"/>
      <c r="F267" s="446"/>
      <c r="G267" s="192"/>
      <c r="H267" s="446"/>
      <c r="I267" s="191"/>
      <c r="J267" s="499" t="str">
        <f>Noty!J267</f>
        <v>ukryj</v>
      </c>
      <c r="L267" s="594"/>
    </row>
    <row r="268" spans="1:12" s="489" customFormat="1" ht="25.55" x14ac:dyDescent="0.25">
      <c r="A268" s="171"/>
      <c r="B268" s="520"/>
      <c r="C268" s="821" t="s">
        <v>10811</v>
      </c>
      <c r="D268" s="183"/>
      <c r="E268" s="183"/>
      <c r="F268" s="183"/>
      <c r="G268" s="183"/>
      <c r="H268" s="183"/>
      <c r="I268" s="184"/>
      <c r="J268" s="499" t="str">
        <f>Noty!J268</f>
        <v>ukryj</v>
      </c>
      <c r="L268" s="594"/>
    </row>
    <row r="269" spans="1:12" s="489" customFormat="1" ht="15.05" customHeight="1" x14ac:dyDescent="0.25">
      <c r="A269" s="171"/>
      <c r="B269" s="520"/>
      <c r="C269" s="257"/>
      <c r="D269" s="183"/>
      <c r="E269" s="183"/>
      <c r="F269" s="183"/>
      <c r="G269" s="183"/>
      <c r="H269" s="183"/>
      <c r="I269" s="184"/>
      <c r="J269" s="499" t="str">
        <f>Noty!J269</f>
        <v>ukryj</v>
      </c>
      <c r="L269" s="594"/>
    </row>
    <row r="270" spans="1:12" s="489" customFormat="1" ht="15.05" customHeight="1" x14ac:dyDescent="0.25">
      <c r="A270" s="171"/>
      <c r="B270" s="520"/>
      <c r="C270" s="821" t="str">
        <f>CONCATENATE("As at ",Input!$C$6)</f>
        <v>As at 01.01.2020</v>
      </c>
      <c r="D270" s="608"/>
      <c r="E270" s="1103" t="str">
        <f>IF(Noty!E270="","",Noty!E270)</f>
        <v/>
      </c>
      <c r="F270" s="1103" t="str">
        <f>IF(Noty!F270="","",Noty!F270)</f>
        <v/>
      </c>
      <c r="G270" s="1103" t="str">
        <f>IF(Noty!G270="","",Noty!G270)</f>
        <v/>
      </c>
      <c r="H270" s="1103" t="str">
        <f>IF(Noty!H270="","",Noty!H270)</f>
        <v/>
      </c>
      <c r="I270" s="800">
        <f>IF(Noty!I270="","",Noty!I270)</f>
        <v>0</v>
      </c>
      <c r="J270" s="499" t="str">
        <f>Noty!J270</f>
        <v>ukryj</v>
      </c>
      <c r="L270" s="594"/>
    </row>
    <row r="271" spans="1:12" s="489" customFormat="1" ht="15.05" customHeight="1" x14ac:dyDescent="0.25">
      <c r="A271" s="171"/>
      <c r="B271" s="520"/>
      <c r="C271" s="821" t="s">
        <v>10801</v>
      </c>
      <c r="D271" s="608"/>
      <c r="E271" s="800">
        <f>IF(Noty!E271="","",Noty!E271)</f>
        <v>0</v>
      </c>
      <c r="F271" s="800">
        <f>IF(Noty!F271="","",Noty!F271)</f>
        <v>0</v>
      </c>
      <c r="G271" s="800">
        <f>IF(Noty!G271="","",Noty!G271)</f>
        <v>0</v>
      </c>
      <c r="H271" s="800">
        <f>IF(Noty!H271="","",Noty!H271)</f>
        <v>0</v>
      </c>
      <c r="I271" s="800">
        <f>IF(Noty!I271="","",Noty!I271)</f>
        <v>0</v>
      </c>
      <c r="J271" s="499" t="str">
        <f>Noty!J271</f>
        <v>ukryj</v>
      </c>
      <c r="L271" s="594"/>
    </row>
    <row r="272" spans="1:12" s="489" customFormat="1" ht="26.2" customHeight="1" x14ac:dyDescent="0.25">
      <c r="A272" s="171"/>
      <c r="B272" s="520"/>
      <c r="C272" s="182" t="s">
        <v>10812</v>
      </c>
      <c r="D272" s="608"/>
      <c r="E272" s="1103" t="str">
        <f>IF(Noty!E272="","",Noty!E272)</f>
        <v/>
      </c>
      <c r="F272" s="1103" t="str">
        <f>IF(Noty!F272="","",Noty!F272)</f>
        <v/>
      </c>
      <c r="G272" s="1103" t="str">
        <f>IF(Noty!G272="","",Noty!G272)</f>
        <v/>
      </c>
      <c r="H272" s="1103" t="str">
        <f>IF(Noty!H272="","",Noty!H272)</f>
        <v/>
      </c>
      <c r="I272" s="800">
        <f>IF(Noty!I272="","",Noty!I272)</f>
        <v>0</v>
      </c>
      <c r="J272" s="499" t="str">
        <f>Noty!J272</f>
        <v>ukryj</v>
      </c>
      <c r="L272" s="594"/>
    </row>
    <row r="273" spans="1:12" s="489" customFormat="1" ht="15.05" customHeight="1" x14ac:dyDescent="0.25">
      <c r="A273" s="171"/>
      <c r="B273" s="520"/>
      <c r="C273" s="190" t="s">
        <v>8162</v>
      </c>
      <c r="D273" s="608"/>
      <c r="E273" s="1103" t="str">
        <f>IF(Noty!E273="","",Noty!E273)</f>
        <v/>
      </c>
      <c r="F273" s="1103" t="str">
        <f>IF(Noty!F273="","",Noty!F273)</f>
        <v/>
      </c>
      <c r="G273" s="1103" t="str">
        <f>IF(Noty!G273="","",Noty!G273)</f>
        <v/>
      </c>
      <c r="H273" s="1103" t="str">
        <f>IF(Noty!H273="","",Noty!H273)</f>
        <v/>
      </c>
      <c r="I273" s="800">
        <f>IF(Noty!I273="","",Noty!I273)</f>
        <v>0</v>
      </c>
      <c r="J273" s="499" t="str">
        <f>Noty!J273</f>
        <v>ukryj</v>
      </c>
      <c r="L273" s="594"/>
    </row>
    <row r="274" spans="1:12" s="489" customFormat="1" ht="15.05" customHeight="1" x14ac:dyDescent="0.25">
      <c r="A274" s="171"/>
      <c r="B274" s="520"/>
      <c r="C274" s="821" t="s">
        <v>10806</v>
      </c>
      <c r="D274" s="608"/>
      <c r="E274" s="800">
        <f>IF(Noty!E274="","",Noty!E274)</f>
        <v>0</v>
      </c>
      <c r="F274" s="800">
        <f>IF(Noty!F274="","",Noty!F274)</f>
        <v>0</v>
      </c>
      <c r="G274" s="800">
        <f>IF(Noty!G274="","",Noty!G274)</f>
        <v>0</v>
      </c>
      <c r="H274" s="800">
        <f>IF(Noty!H274="","",Noty!H274)</f>
        <v>0</v>
      </c>
      <c r="I274" s="800">
        <f>IF(Noty!I274="","",Noty!I274)</f>
        <v>0</v>
      </c>
      <c r="J274" s="499" t="str">
        <f>Noty!J274</f>
        <v>ukryj</v>
      </c>
      <c r="L274" s="594"/>
    </row>
    <row r="275" spans="1:12" s="489" customFormat="1" ht="15.05" customHeight="1" x14ac:dyDescent="0.25">
      <c r="A275" s="171"/>
      <c r="B275" s="520"/>
      <c r="C275" s="190" t="s">
        <v>10807</v>
      </c>
      <c r="D275" s="608"/>
      <c r="E275" s="800" t="str">
        <f>IF(Noty!E275="","",Noty!E275)</f>
        <v/>
      </c>
      <c r="F275" s="800" t="str">
        <f>IF(Noty!F275="","",Noty!F275)</f>
        <v/>
      </c>
      <c r="G275" s="800" t="str">
        <f>IF(Noty!G275="","",Noty!G275)</f>
        <v/>
      </c>
      <c r="H275" s="800" t="str">
        <f>IF(Noty!H275="","",Noty!H275)</f>
        <v/>
      </c>
      <c r="I275" s="800">
        <f>IF(Noty!I275="","",Noty!I275)</f>
        <v>0</v>
      </c>
      <c r="J275" s="499" t="str">
        <f>Noty!J275</f>
        <v>ukryj</v>
      </c>
      <c r="L275" s="594"/>
    </row>
    <row r="276" spans="1:12" s="489" customFormat="1" ht="15.05" customHeight="1" x14ac:dyDescent="0.25">
      <c r="A276" s="171"/>
      <c r="B276" s="520"/>
      <c r="C276" s="190" t="s">
        <v>10808</v>
      </c>
      <c r="D276" s="608"/>
      <c r="E276" s="800" t="str">
        <f>IF(Noty!E276="","",Noty!E276)</f>
        <v/>
      </c>
      <c r="F276" s="800" t="str">
        <f>IF(Noty!F276="","",Noty!F276)</f>
        <v/>
      </c>
      <c r="G276" s="800" t="str">
        <f>IF(Noty!G276="","",Noty!G276)</f>
        <v/>
      </c>
      <c r="H276" s="800" t="str">
        <f>IF(Noty!H276="","",Noty!H276)</f>
        <v/>
      </c>
      <c r="I276" s="800">
        <f>IF(Noty!I276="","",Noty!I276)</f>
        <v>0</v>
      </c>
      <c r="J276" s="499" t="str">
        <f>Noty!J276</f>
        <v>ukryj</v>
      </c>
      <c r="L276" s="594"/>
    </row>
    <row r="277" spans="1:12" s="489" customFormat="1" ht="15.05" customHeight="1" x14ac:dyDescent="0.25">
      <c r="A277" s="171"/>
      <c r="B277" s="520"/>
      <c r="C277" s="190" t="s">
        <v>10805</v>
      </c>
      <c r="D277" s="608"/>
      <c r="E277" s="800" t="str">
        <f>IF(Noty!E277="","",Noty!E277)</f>
        <v/>
      </c>
      <c r="F277" s="800" t="str">
        <f>IF(Noty!F277="","",Noty!F277)</f>
        <v/>
      </c>
      <c r="G277" s="800" t="str">
        <f>IF(Noty!G277="","",Noty!G277)</f>
        <v/>
      </c>
      <c r="H277" s="800" t="str">
        <f>IF(Noty!H277="","",Noty!H277)</f>
        <v/>
      </c>
      <c r="I277" s="800">
        <f>IF(Noty!I277="","",Noty!I277)</f>
        <v>0</v>
      </c>
      <c r="J277" s="499" t="str">
        <f>Noty!J277</f>
        <v>ukryj</v>
      </c>
      <c r="L277" s="594"/>
    </row>
    <row r="278" spans="1:12" s="489" customFormat="1" ht="15.05" customHeight="1" x14ac:dyDescent="0.25">
      <c r="A278" s="171"/>
      <c r="B278" s="520"/>
      <c r="C278" s="373" t="s">
        <v>10833</v>
      </c>
      <c r="D278" s="608"/>
      <c r="E278" s="800" t="str">
        <f>IF(Noty!E278="","",Noty!E278)</f>
        <v/>
      </c>
      <c r="F278" s="800" t="str">
        <f>IF(Noty!F278="","",Noty!F278)</f>
        <v/>
      </c>
      <c r="G278" s="800" t="str">
        <f>IF(Noty!G278="","",Noty!G278)</f>
        <v/>
      </c>
      <c r="H278" s="800" t="str">
        <f>IF(Noty!H278="","",Noty!H278)</f>
        <v/>
      </c>
      <c r="I278" s="800">
        <f>IF(Noty!I278="","",Noty!I278)</f>
        <v>0</v>
      </c>
      <c r="J278" s="499" t="str">
        <f>Noty!J278</f>
        <v>ukryj</v>
      </c>
      <c r="L278" s="594"/>
    </row>
    <row r="279" spans="1:12" s="489" customFormat="1" ht="15.05" customHeight="1" x14ac:dyDescent="0.25">
      <c r="A279" s="171"/>
      <c r="B279" s="520"/>
      <c r="C279" s="190" t="s">
        <v>8162</v>
      </c>
      <c r="D279" s="608"/>
      <c r="E279" s="800" t="str">
        <f>IF(Noty!E279="","",Noty!E279)</f>
        <v/>
      </c>
      <c r="F279" s="800" t="str">
        <f>IF(Noty!F279="","",Noty!F279)</f>
        <v/>
      </c>
      <c r="G279" s="800" t="str">
        <f>IF(Noty!G279="","",Noty!G279)</f>
        <v/>
      </c>
      <c r="H279" s="800" t="str">
        <f>IF(Noty!H279="","",Noty!H279)</f>
        <v/>
      </c>
      <c r="I279" s="800">
        <f>IF(Noty!I279="","",Noty!I279)</f>
        <v>0</v>
      </c>
      <c r="J279" s="499" t="str">
        <f>Noty!J279</f>
        <v>ukryj</v>
      </c>
      <c r="L279" s="594"/>
    </row>
    <row r="280" spans="1:12" s="489" customFormat="1" ht="15.05" customHeight="1" x14ac:dyDescent="0.25">
      <c r="A280" s="171"/>
      <c r="B280" s="520"/>
      <c r="C280" s="821" t="str">
        <f>CONCATENATE("As at ",Input!$C$7)</f>
        <v>As at 31.12.2020</v>
      </c>
      <c r="D280" s="608"/>
      <c r="E280" s="803">
        <f>IF(Noty!E280="","",Noty!E280)</f>
        <v>0</v>
      </c>
      <c r="F280" s="803">
        <f>IF(Noty!F280="","",Noty!F280)</f>
        <v>0</v>
      </c>
      <c r="G280" s="803">
        <f>IF(Noty!G280="","",Noty!G280)</f>
        <v>0</v>
      </c>
      <c r="H280" s="803">
        <f>IF(Noty!H280="","",Noty!H280)</f>
        <v>0</v>
      </c>
      <c r="I280" s="803">
        <f>IF(Noty!I280="","",Noty!I280)</f>
        <v>0</v>
      </c>
      <c r="J280" s="499" t="str">
        <f>Noty!J280</f>
        <v>ukryj</v>
      </c>
      <c r="L280" s="594"/>
    </row>
    <row r="281" spans="1:12" s="489" customFormat="1" ht="15.05" customHeight="1" x14ac:dyDescent="0.25">
      <c r="A281" s="171"/>
      <c r="B281" s="520"/>
      <c r="C281" s="257"/>
      <c r="D281" s="184"/>
      <c r="E281" s="184"/>
      <c r="F281" s="184"/>
      <c r="G281" s="184"/>
      <c r="H281" s="184"/>
      <c r="I281" s="184"/>
      <c r="J281" s="499" t="str">
        <f>Noty!J281</f>
        <v>ukryj</v>
      </c>
      <c r="L281" s="594"/>
    </row>
    <row r="282" spans="1:12" s="489" customFormat="1" ht="15.05" customHeight="1" x14ac:dyDescent="0.25">
      <c r="A282" s="171"/>
      <c r="B282" s="520"/>
      <c r="C282" s="185" t="s">
        <v>10813</v>
      </c>
      <c r="D282" s="183"/>
      <c r="E282" s="183"/>
      <c r="F282" s="183"/>
      <c r="G282" s="183"/>
      <c r="H282" s="183"/>
      <c r="I282" s="184"/>
      <c r="J282" s="499" t="str">
        <f>Noty!J282</f>
        <v>ukryj</v>
      </c>
      <c r="L282" s="594"/>
    </row>
    <row r="283" spans="1:12" s="489" customFormat="1" ht="15.05" customHeight="1" x14ac:dyDescent="0.25">
      <c r="A283" s="171"/>
      <c r="B283" s="520"/>
      <c r="C283" s="257"/>
      <c r="D283" s="183"/>
      <c r="E283" s="183"/>
      <c r="F283" s="183"/>
      <c r="G283" s="183"/>
      <c r="H283" s="183"/>
      <c r="I283" s="184"/>
      <c r="J283" s="499" t="str">
        <f>Noty!J283</f>
        <v>ukryj</v>
      </c>
      <c r="L283" s="594"/>
    </row>
    <row r="284" spans="1:12" s="489" customFormat="1" ht="15.05" customHeight="1" x14ac:dyDescent="0.25">
      <c r="A284" s="171"/>
      <c r="B284" s="520"/>
      <c r="C284" s="821" t="str">
        <f>CONCATENATE("As at ",Input!$C$6)</f>
        <v>As at 01.01.2020</v>
      </c>
      <c r="D284" s="608"/>
      <c r="E284" s="1103" t="str">
        <f>IF(Noty!E284="","",Noty!E284)</f>
        <v/>
      </c>
      <c r="F284" s="1103" t="str">
        <f>IF(Noty!F284="","",Noty!F284)</f>
        <v/>
      </c>
      <c r="G284" s="1103" t="str">
        <f>IF(Noty!G284="","",Noty!G284)</f>
        <v/>
      </c>
      <c r="H284" s="1103" t="str">
        <f>IF(Noty!H284="","",Noty!H284)</f>
        <v/>
      </c>
      <c r="I284" s="800">
        <f>IF(Noty!I284="","",Noty!I284)</f>
        <v>0</v>
      </c>
      <c r="J284" s="499" t="str">
        <f>Noty!J284</f>
        <v>ukryj</v>
      </c>
      <c r="L284" s="594"/>
    </row>
    <row r="285" spans="1:12" s="489" customFormat="1" ht="15.05" customHeight="1" x14ac:dyDescent="0.25">
      <c r="A285" s="171"/>
      <c r="B285" s="520"/>
      <c r="C285" s="821" t="s">
        <v>10801</v>
      </c>
      <c r="D285" s="608"/>
      <c r="E285" s="1103" t="str">
        <f>IF(Noty!E285="","",Noty!E285)</f>
        <v/>
      </c>
      <c r="F285" s="1103" t="str">
        <f>IF(Noty!F285="","",Noty!F285)</f>
        <v/>
      </c>
      <c r="G285" s="1103" t="str">
        <f>IF(Noty!G285="","",Noty!G285)</f>
        <v/>
      </c>
      <c r="H285" s="1103" t="str">
        <f>IF(Noty!H285="","",Noty!H285)</f>
        <v/>
      </c>
      <c r="I285" s="800">
        <f>IF(Noty!I285="","",Noty!I285)</f>
        <v>0</v>
      </c>
      <c r="J285" s="499" t="str">
        <f>Noty!J285</f>
        <v>ukryj</v>
      </c>
      <c r="L285" s="594"/>
    </row>
    <row r="286" spans="1:12" s="489" customFormat="1" ht="15.05" customHeight="1" x14ac:dyDescent="0.25">
      <c r="A286" s="171"/>
      <c r="B286" s="520"/>
      <c r="C286" s="821" t="s">
        <v>10806</v>
      </c>
      <c r="D286" s="608"/>
      <c r="E286" s="800">
        <f>IF(Noty!E286="","",Noty!E286)</f>
        <v>0</v>
      </c>
      <c r="F286" s="800">
        <f>IF(Noty!F286="","",Noty!F286)</f>
        <v>0</v>
      </c>
      <c r="G286" s="800">
        <f>IF(Noty!G286="","",Noty!G286)</f>
        <v>0</v>
      </c>
      <c r="H286" s="800">
        <f>IF(Noty!H286="","",Noty!H286)</f>
        <v>0</v>
      </c>
      <c r="I286" s="800">
        <f>IF(Noty!I286="","",Noty!I286)</f>
        <v>0</v>
      </c>
      <c r="J286" s="499" t="str">
        <f>Noty!J286</f>
        <v>ukryj</v>
      </c>
      <c r="L286" s="594"/>
    </row>
    <row r="287" spans="1:12" s="489" customFormat="1" ht="15.05" customHeight="1" x14ac:dyDescent="0.25">
      <c r="A287" s="171"/>
      <c r="B287" s="520"/>
      <c r="C287" s="181" t="s">
        <v>10814</v>
      </c>
      <c r="D287" s="608"/>
      <c r="E287" s="800" t="str">
        <f>IF(Noty!E287="","",Noty!E287)</f>
        <v/>
      </c>
      <c r="F287" s="800" t="str">
        <f>IF(Noty!F287="","",Noty!F287)</f>
        <v/>
      </c>
      <c r="G287" s="800" t="str">
        <f>IF(Noty!G287="","",Noty!G287)</f>
        <v/>
      </c>
      <c r="H287" s="800" t="str">
        <f>IF(Noty!H287="","",Noty!H287)</f>
        <v/>
      </c>
      <c r="I287" s="800">
        <f>IF(Noty!I287="","",Noty!I287)</f>
        <v>0</v>
      </c>
      <c r="J287" s="499" t="str">
        <f>Noty!J287</f>
        <v>ukryj</v>
      </c>
      <c r="L287" s="594"/>
    </row>
    <row r="288" spans="1:12" s="489" customFormat="1" ht="15.05" customHeight="1" x14ac:dyDescent="0.25">
      <c r="A288" s="171"/>
      <c r="B288" s="520"/>
      <c r="C288" s="374" t="s">
        <v>10855</v>
      </c>
      <c r="D288" s="608"/>
      <c r="E288" s="800" t="str">
        <f>IF(Noty!E288="","",Noty!E288)</f>
        <v/>
      </c>
      <c r="F288" s="800" t="str">
        <f>IF(Noty!F288="","",Noty!F288)</f>
        <v/>
      </c>
      <c r="G288" s="800" t="str">
        <f>IF(Noty!G288="","",Noty!G288)</f>
        <v/>
      </c>
      <c r="H288" s="800" t="str">
        <f>IF(Noty!H288="","",Noty!H288)</f>
        <v/>
      </c>
      <c r="I288" s="800">
        <f>IF(Noty!I288="","",Noty!I288)</f>
        <v>0</v>
      </c>
      <c r="J288" s="499" t="str">
        <f>Noty!J288</f>
        <v>ukryj</v>
      </c>
      <c r="L288" s="594"/>
    </row>
    <row r="289" spans="1:14" s="489" customFormat="1" ht="15.05" customHeight="1" x14ac:dyDescent="0.25">
      <c r="A289" s="171"/>
      <c r="B289" s="520"/>
      <c r="C289" s="821" t="str">
        <f>CONCATENATE("As at ",Input!$C$7)</f>
        <v>As at 31.12.2020</v>
      </c>
      <c r="D289" s="608"/>
      <c r="E289" s="803">
        <f>IF(Noty!E289="","",Noty!E289)</f>
        <v>0</v>
      </c>
      <c r="F289" s="803">
        <f>IF(Noty!F289="","",Noty!F289)</f>
        <v>0</v>
      </c>
      <c r="G289" s="803">
        <f>IF(Noty!G289="","",Noty!G289)</f>
        <v>0</v>
      </c>
      <c r="H289" s="803">
        <f>IF(Noty!H289="","",Noty!H289)</f>
        <v>0</v>
      </c>
      <c r="I289" s="803">
        <f>IF(Noty!I289="","",Noty!I289)</f>
        <v>0</v>
      </c>
      <c r="J289" s="499" t="str">
        <f>Noty!J289</f>
        <v>ukryj</v>
      </c>
      <c r="L289" s="594"/>
    </row>
    <row r="290" spans="1:14" s="489" customFormat="1" ht="15.75" customHeight="1" x14ac:dyDescent="0.25">
      <c r="A290" s="171"/>
      <c r="B290" s="520"/>
      <c r="C290" s="805"/>
      <c r="D290" s="608"/>
      <c r="E290" s="184"/>
      <c r="F290" s="184"/>
      <c r="G290" s="202"/>
      <c r="H290" s="183"/>
      <c r="I290" s="183"/>
      <c r="J290" s="499" t="str">
        <f>Noty!J290</f>
        <v>ukryj</v>
      </c>
      <c r="L290" s="594"/>
    </row>
    <row r="291" spans="1:14" s="489" customFormat="1" ht="15.05" customHeight="1" x14ac:dyDescent="0.25">
      <c r="A291" s="171"/>
      <c r="B291" s="520"/>
      <c r="C291" s="244" t="s">
        <v>10816</v>
      </c>
      <c r="D291" s="558"/>
      <c r="E291" s="184"/>
      <c r="F291" s="184"/>
      <c r="G291" s="184"/>
      <c r="H291" s="184"/>
      <c r="I291" s="184"/>
      <c r="J291" s="499" t="str">
        <f>Noty!J291</f>
        <v>ukryj</v>
      </c>
      <c r="L291" s="594"/>
    </row>
    <row r="292" spans="1:14" s="489" customFormat="1" ht="15.05" customHeight="1" x14ac:dyDescent="0.25">
      <c r="A292" s="171"/>
      <c r="B292" s="520"/>
      <c r="C292" s="257"/>
      <c r="D292" s="558"/>
      <c r="E292" s="184"/>
      <c r="F292" s="184"/>
      <c r="G292" s="184"/>
      <c r="H292" s="184"/>
      <c r="I292" s="184"/>
      <c r="J292" s="499" t="str">
        <f>Noty!J292</f>
        <v>ukryj</v>
      </c>
      <c r="L292" s="594"/>
    </row>
    <row r="293" spans="1:14" s="489" customFormat="1" ht="15.05" customHeight="1" x14ac:dyDescent="0.25">
      <c r="A293" s="171"/>
      <c r="B293" s="520"/>
      <c r="C293" s="821" t="str">
        <f>CONCATENATE("As at ",Input!$C$6)</f>
        <v>As at 01.01.2020</v>
      </c>
      <c r="D293" s="558"/>
      <c r="E293" s="803">
        <f>IF(Noty!E293="","",Noty!E293)</f>
        <v>0</v>
      </c>
      <c r="F293" s="803">
        <f>IF(Noty!F293="","",Noty!F293)</f>
        <v>0</v>
      </c>
      <c r="G293" s="803">
        <f>IF(Noty!G293="","",Noty!G293)</f>
        <v>0</v>
      </c>
      <c r="H293" s="803">
        <f>IF(Noty!H293="","",Noty!H293)</f>
        <v>0</v>
      </c>
      <c r="I293" s="803">
        <f>IF(Noty!I293="","",Noty!I293)</f>
        <v>0</v>
      </c>
      <c r="J293" s="499" t="str">
        <f>Noty!J293</f>
        <v>ukryj</v>
      </c>
      <c r="L293" s="594"/>
    </row>
    <row r="294" spans="1:14" s="489" customFormat="1" ht="15.05" customHeight="1" x14ac:dyDescent="0.25">
      <c r="A294" s="171"/>
      <c r="B294" s="520"/>
      <c r="C294" s="821" t="str">
        <f>CONCATENATE("As at ",Input!$C$7)</f>
        <v>As at 31.12.2020</v>
      </c>
      <c r="D294" s="558"/>
      <c r="E294" s="803">
        <f>IF(Noty!E294="","",Noty!E294)</f>
        <v>0</v>
      </c>
      <c r="F294" s="803">
        <f>IF(Noty!F294="","",Noty!F294)</f>
        <v>0</v>
      </c>
      <c r="G294" s="803">
        <f>IF(Noty!G294="","",Noty!G294)</f>
        <v>0</v>
      </c>
      <c r="H294" s="803">
        <f>IF(Noty!H294="","",Noty!H294)</f>
        <v>0</v>
      </c>
      <c r="I294" s="803">
        <f>IF(Noty!I294="","",Noty!I294)</f>
        <v>0</v>
      </c>
      <c r="J294" s="499" t="str">
        <f>Noty!J294</f>
        <v>ukryj</v>
      </c>
      <c r="L294" s="594"/>
    </row>
    <row r="295" spans="1:14" s="489" customFormat="1" ht="15.05" customHeight="1" thickBot="1" x14ac:dyDescent="0.3">
      <c r="A295" s="171"/>
      <c r="B295" s="520"/>
      <c r="C295" s="257"/>
      <c r="D295" s="183"/>
      <c r="E295" s="183"/>
      <c r="F295" s="183"/>
      <c r="G295" s="183"/>
      <c r="H295" s="183"/>
      <c r="I295" s="183"/>
      <c r="J295" s="499" t="str">
        <f>Noty!J295</f>
        <v>ukryj</v>
      </c>
      <c r="L295" s="594"/>
    </row>
    <row r="296" spans="1:14" s="574" customFormat="1" ht="16.399999999999999" thickTop="1" thickBot="1" x14ac:dyDescent="0.35">
      <c r="A296" s="1183">
        <f>A232</f>
        <v>0</v>
      </c>
      <c r="B296" s="1184">
        <f>IF(K296="n/a",B234,B234+1)</f>
        <v>0</v>
      </c>
      <c r="C296" s="1235" t="s">
        <v>10882</v>
      </c>
      <c r="D296" s="1235"/>
      <c r="E296" s="1235"/>
      <c r="F296" s="1235"/>
      <c r="G296" s="1235"/>
      <c r="H296" s="1235"/>
      <c r="I296" s="1235"/>
      <c r="J296" s="499" t="str">
        <f>Noty!J296</f>
        <v>ukryj</v>
      </c>
      <c r="K296" s="585" t="str">
        <f>Noty!K296</f>
        <v>n/a</v>
      </c>
      <c r="L296" s="573" t="str">
        <f>A296&amp;"."&amp;B296</f>
        <v>0.0</v>
      </c>
      <c r="N296" s="1101" t="s">
        <v>9378</v>
      </c>
    </row>
    <row r="297" spans="1:14" s="574" customFormat="1" ht="15.05" customHeight="1" thickTop="1" x14ac:dyDescent="0.25">
      <c r="A297" s="512"/>
      <c r="B297" s="523"/>
      <c r="C297" s="536"/>
      <c r="D297" s="538"/>
      <c r="E297" s="202"/>
      <c r="F297" s="202"/>
      <c r="G297" s="377"/>
      <c r="H297" s="617"/>
      <c r="I297" s="377"/>
      <c r="J297" s="499" t="str">
        <f>Noty!J297</f>
        <v>ukryj</v>
      </c>
      <c r="K297" s="489"/>
      <c r="L297" s="595"/>
    </row>
    <row r="298" spans="1:14" s="574" customFormat="1" ht="15.05" customHeight="1" x14ac:dyDescent="0.25">
      <c r="A298" s="494"/>
      <c r="B298" s="523"/>
      <c r="C298" s="1124" t="str">
        <f>"As at " &amp; +Input!$P$7</f>
        <v>As at 31.12.2020</v>
      </c>
      <c r="D298" s="618"/>
      <c r="E298" s="202"/>
      <c r="F298" s="202"/>
      <c r="G298" s="377"/>
      <c r="H298" s="185"/>
      <c r="I298" s="377"/>
      <c r="J298" s="499" t="str">
        <f>Noty!J298</f>
        <v>ukryj</v>
      </c>
      <c r="K298" s="489"/>
      <c r="L298" s="595"/>
    </row>
    <row r="299" spans="1:14" s="574" customFormat="1" ht="15.75" customHeight="1" x14ac:dyDescent="0.25">
      <c r="A299" s="171"/>
      <c r="B299" s="520"/>
      <c r="C299" s="812"/>
      <c r="D299" s="538"/>
      <c r="E299" s="507" t="s">
        <v>10883</v>
      </c>
      <c r="F299" s="507" t="s">
        <v>10884</v>
      </c>
      <c r="G299" s="1316" t="s">
        <v>10885</v>
      </c>
      <c r="H299" s="1316"/>
      <c r="I299" s="1316"/>
      <c r="J299" s="499" t="str">
        <f>Noty!J299</f>
        <v>ukryj</v>
      </c>
      <c r="K299" s="489"/>
      <c r="L299" s="595"/>
    </row>
    <row r="300" spans="1:14" s="489" customFormat="1" ht="15.05" customHeight="1" x14ac:dyDescent="0.25">
      <c r="A300" s="171"/>
      <c r="B300" s="520"/>
      <c r="C300" s="257" t="s">
        <v>10886</v>
      </c>
      <c r="D300" s="538"/>
      <c r="E300" s="1103" t="str">
        <f>IF(Noty!E300="","",Noty!E300)</f>
        <v/>
      </c>
      <c r="F300" s="800" t="str">
        <f>IF(Noty!F300="","",Noty!F300)</f>
        <v/>
      </c>
      <c r="G300" s="1318"/>
      <c r="H300" s="1318"/>
      <c r="I300" s="1318"/>
      <c r="J300" s="499" t="str">
        <f>Noty!J300</f>
        <v>ukryj</v>
      </c>
      <c r="L300" s="573"/>
    </row>
    <row r="301" spans="1:14" s="489" customFormat="1" ht="25.55" customHeight="1" x14ac:dyDescent="0.25">
      <c r="A301" s="171"/>
      <c r="B301" s="520"/>
      <c r="C301" s="257" t="s">
        <v>10887</v>
      </c>
      <c r="D301" s="538"/>
      <c r="E301" s="1103" t="str">
        <f>IF(Noty!E301="","",Noty!E301)</f>
        <v/>
      </c>
      <c r="F301" s="800" t="str">
        <f>IF(Noty!F301="","",Noty!F301)</f>
        <v/>
      </c>
      <c r="G301" s="1319"/>
      <c r="H301" s="1319"/>
      <c r="I301" s="1319"/>
      <c r="J301" s="499" t="str">
        <f>Noty!J301</f>
        <v>ukryj</v>
      </c>
      <c r="L301" s="573"/>
    </row>
    <row r="302" spans="1:14" s="489" customFormat="1" ht="15.05" customHeight="1" x14ac:dyDescent="0.25">
      <c r="A302" s="171"/>
      <c r="B302" s="520"/>
      <c r="C302" s="257" t="s">
        <v>10888</v>
      </c>
      <c r="D302" s="538"/>
      <c r="E302" s="1103" t="str">
        <f>IF(Noty!E302="","",Noty!E302)</f>
        <v/>
      </c>
      <c r="F302" s="800" t="str">
        <f>IF(Noty!F302="","",Noty!F302)</f>
        <v/>
      </c>
      <c r="G302" s="1319"/>
      <c r="H302" s="1319"/>
      <c r="I302" s="1319"/>
      <c r="J302" s="499" t="str">
        <f>Noty!J302</f>
        <v>ukryj</v>
      </c>
      <c r="L302" s="573"/>
    </row>
    <row r="303" spans="1:14" s="489" customFormat="1" ht="15.05" customHeight="1" x14ac:dyDescent="0.25">
      <c r="A303" s="171"/>
      <c r="B303" s="520"/>
      <c r="C303" s="257" t="s">
        <v>10889</v>
      </c>
      <c r="D303" s="538"/>
      <c r="E303" s="1103" t="str">
        <f>IF(Noty!E303="","",Noty!E303)</f>
        <v/>
      </c>
      <c r="F303" s="800" t="str">
        <f>IF(Noty!F303="","",Noty!F303)</f>
        <v/>
      </c>
      <c r="G303" s="1319"/>
      <c r="H303" s="1319"/>
      <c r="I303" s="1319"/>
      <c r="J303" s="499" t="str">
        <f>Noty!J303</f>
        <v>ukryj</v>
      </c>
      <c r="L303" s="573"/>
    </row>
    <row r="304" spans="1:14" s="489" customFormat="1" ht="15.05" customHeight="1" x14ac:dyDescent="0.25">
      <c r="A304" s="171"/>
      <c r="B304" s="520"/>
      <c r="C304" s="257" t="s">
        <v>7777</v>
      </c>
      <c r="D304" s="538"/>
      <c r="E304" s="1103" t="str">
        <f>IF(Noty!E304="","",Noty!E304)</f>
        <v/>
      </c>
      <c r="F304" s="800" t="str">
        <f>IF(Noty!F304="","",Noty!F304)</f>
        <v/>
      </c>
      <c r="G304" s="1320"/>
      <c r="H304" s="1320"/>
      <c r="I304" s="1320"/>
      <c r="J304" s="499" t="str">
        <f>Noty!J304</f>
        <v>ukryj</v>
      </c>
      <c r="L304" s="573"/>
    </row>
    <row r="305" spans="1:14" s="489" customFormat="1" ht="15.05" customHeight="1" x14ac:dyDescent="0.25">
      <c r="A305" s="171"/>
      <c r="B305" s="520"/>
      <c r="C305" s="370"/>
      <c r="D305" s="378"/>
      <c r="E305" s="803">
        <f>IF(Noty!E305="","",Noty!E305)</f>
        <v>0</v>
      </c>
      <c r="F305" s="803">
        <f>IF(Noty!F305="","",Noty!F305)</f>
        <v>0</v>
      </c>
      <c r="G305" s="619" t="s">
        <v>8730</v>
      </c>
      <c r="H305" s="619"/>
      <c r="I305" s="619"/>
      <c r="J305" s="499" t="str">
        <f>Noty!J305</f>
        <v>ukryj</v>
      </c>
      <c r="L305" s="594"/>
    </row>
    <row r="306" spans="1:14" s="489" customFormat="1" ht="15.05" customHeight="1" x14ac:dyDescent="0.25">
      <c r="A306" s="171"/>
      <c r="B306" s="520"/>
      <c r="C306" s="370"/>
      <c r="D306" s="378"/>
      <c r="E306" s="377"/>
      <c r="F306" s="377"/>
      <c r="G306" s="377"/>
      <c r="H306" s="377"/>
      <c r="I306" s="377"/>
      <c r="J306" s="499" t="str">
        <f>Noty!J306</f>
        <v>ukryj</v>
      </c>
      <c r="L306" s="594"/>
    </row>
    <row r="307" spans="1:14" s="574" customFormat="1" ht="15.05" customHeight="1" x14ac:dyDescent="0.25">
      <c r="A307" s="171"/>
      <c r="B307" s="520"/>
      <c r="C307" s="1124" t="str">
        <f>"As at " &amp; +Input!$P$11</f>
        <v>As at 31.12.2019</v>
      </c>
      <c r="D307" s="618"/>
      <c r="E307" s="202"/>
      <c r="F307" s="202"/>
      <c r="G307" s="377"/>
      <c r="H307" s="185"/>
      <c r="I307" s="377"/>
      <c r="J307" s="499" t="str">
        <f>Noty!J307</f>
        <v>ukryj</v>
      </c>
      <c r="K307" s="489"/>
      <c r="L307" s="575"/>
    </row>
    <row r="308" spans="1:14" s="574" customFormat="1" ht="15.75" customHeight="1" x14ac:dyDescent="0.25">
      <c r="A308" s="171"/>
      <c r="B308" s="520"/>
      <c r="C308" s="812"/>
      <c r="D308" s="538"/>
      <c r="E308" s="507" t="s">
        <v>10883</v>
      </c>
      <c r="F308" s="507" t="s">
        <v>10884</v>
      </c>
      <c r="G308" s="1316" t="s">
        <v>10885</v>
      </c>
      <c r="H308" s="1316"/>
      <c r="I308" s="1316"/>
      <c r="J308" s="499" t="str">
        <f>Noty!J308</f>
        <v>ukryj</v>
      </c>
      <c r="K308" s="489"/>
      <c r="L308" s="575"/>
    </row>
    <row r="309" spans="1:14" s="489" customFormat="1" ht="15.05" customHeight="1" x14ac:dyDescent="0.25">
      <c r="A309" s="171"/>
      <c r="B309" s="520"/>
      <c r="C309" s="257" t="s">
        <v>10886</v>
      </c>
      <c r="D309" s="538"/>
      <c r="E309" s="1103" t="str">
        <f>IF(Noty!E309="","",Noty!E309)</f>
        <v/>
      </c>
      <c r="F309" s="800" t="str">
        <f>IF(Noty!F309="","",Noty!F309)</f>
        <v/>
      </c>
      <c r="G309" s="1318"/>
      <c r="H309" s="1318"/>
      <c r="I309" s="1318"/>
      <c r="J309" s="499" t="str">
        <f>Noty!J309</f>
        <v>ukryj</v>
      </c>
      <c r="L309" s="594"/>
    </row>
    <row r="310" spans="1:14" s="489" customFormat="1" ht="13.6" customHeight="1" x14ac:dyDescent="0.25">
      <c r="A310" s="171"/>
      <c r="B310" s="520"/>
      <c r="C310" s="257" t="s">
        <v>10887</v>
      </c>
      <c r="D310" s="538"/>
      <c r="E310" s="1103" t="str">
        <f>IF(Noty!E310="","",Noty!E310)</f>
        <v/>
      </c>
      <c r="F310" s="800" t="str">
        <f>IF(Noty!F310="","",Noty!F310)</f>
        <v/>
      </c>
      <c r="G310" s="1319"/>
      <c r="H310" s="1319"/>
      <c r="I310" s="1319"/>
      <c r="J310" s="499" t="str">
        <f>Noty!J310</f>
        <v>ukryj</v>
      </c>
      <c r="L310" s="594"/>
    </row>
    <row r="311" spans="1:14" s="489" customFormat="1" ht="15.05" customHeight="1" x14ac:dyDescent="0.25">
      <c r="A311" s="171"/>
      <c r="B311" s="520"/>
      <c r="C311" s="257" t="s">
        <v>10888</v>
      </c>
      <c r="D311" s="538"/>
      <c r="E311" s="1103" t="str">
        <f>IF(Noty!E311="","",Noty!E311)</f>
        <v/>
      </c>
      <c r="F311" s="800" t="str">
        <f>IF(Noty!F311="","",Noty!F311)</f>
        <v/>
      </c>
      <c r="G311" s="1319"/>
      <c r="H311" s="1319"/>
      <c r="I311" s="1319"/>
      <c r="J311" s="499" t="str">
        <f>Noty!J311</f>
        <v>ukryj</v>
      </c>
      <c r="L311" s="594"/>
    </row>
    <row r="312" spans="1:14" s="489" customFormat="1" ht="15.05" customHeight="1" x14ac:dyDescent="0.25">
      <c r="A312" s="171"/>
      <c r="B312" s="520"/>
      <c r="C312" s="257" t="s">
        <v>10889</v>
      </c>
      <c r="D312" s="538"/>
      <c r="E312" s="1103" t="str">
        <f>IF(Noty!E312="","",Noty!E312)</f>
        <v/>
      </c>
      <c r="F312" s="800" t="str">
        <f>IF(Noty!F312="","",Noty!F312)</f>
        <v/>
      </c>
      <c r="G312" s="1319"/>
      <c r="H312" s="1319"/>
      <c r="I312" s="1319"/>
      <c r="J312" s="499" t="str">
        <f>Noty!J312</f>
        <v>ukryj</v>
      </c>
      <c r="L312" s="594"/>
    </row>
    <row r="313" spans="1:14" s="489" customFormat="1" ht="15.05" customHeight="1" x14ac:dyDescent="0.25">
      <c r="A313" s="171"/>
      <c r="B313" s="520"/>
      <c r="C313" s="257" t="s">
        <v>7777</v>
      </c>
      <c r="D313" s="538"/>
      <c r="E313" s="1103" t="str">
        <f>IF(Noty!E313="","",Noty!E313)</f>
        <v/>
      </c>
      <c r="F313" s="800" t="str">
        <f>IF(Noty!F313="","",Noty!F313)</f>
        <v/>
      </c>
      <c r="G313" s="1320"/>
      <c r="H313" s="1320"/>
      <c r="I313" s="1320"/>
      <c r="J313" s="499" t="str">
        <f>Noty!J313</f>
        <v>ukryj</v>
      </c>
      <c r="L313" s="594"/>
    </row>
    <row r="314" spans="1:14" s="489" customFormat="1" ht="15.05" customHeight="1" x14ac:dyDescent="0.25">
      <c r="A314" s="171"/>
      <c r="B314" s="520"/>
      <c r="C314" s="841"/>
      <c r="D314" s="378"/>
      <c r="E314" s="803">
        <f>IF(Noty!E314="","",Noty!E314)</f>
        <v>0</v>
      </c>
      <c r="F314" s="803">
        <f>IF(Noty!F314="","",Noty!F314)</f>
        <v>0</v>
      </c>
      <c r="G314" s="619" t="s">
        <v>8730</v>
      </c>
      <c r="H314" s="619"/>
      <c r="I314" s="619"/>
      <c r="J314" s="499" t="str">
        <f>Noty!J314</f>
        <v>ukryj</v>
      </c>
      <c r="L314" s="594"/>
    </row>
    <row r="315" spans="1:14" s="489" customFormat="1" ht="15.05" customHeight="1" x14ac:dyDescent="0.25">
      <c r="A315" s="171"/>
      <c r="B315" s="520"/>
      <c r="C315" s="841"/>
      <c r="D315" s="378"/>
      <c r="E315" s="377"/>
      <c r="F315" s="377"/>
      <c r="G315" s="377"/>
      <c r="H315" s="377"/>
      <c r="I315" s="377"/>
      <c r="J315" s="499" t="str">
        <f>Noty!J315</f>
        <v>ukryj</v>
      </c>
      <c r="L315" s="594"/>
    </row>
    <row r="316" spans="1:14" s="489" customFormat="1" ht="29.95" customHeight="1" x14ac:dyDescent="0.25">
      <c r="A316" s="495"/>
      <c r="B316" s="506"/>
      <c r="C316" s="1321" t="s">
        <v>10890</v>
      </c>
      <c r="D316" s="1321"/>
      <c r="E316" s="1321"/>
      <c r="F316" s="1321"/>
      <c r="G316" s="1321"/>
      <c r="H316" s="1321"/>
      <c r="I316" s="1321"/>
      <c r="J316" s="499" t="str">
        <f>Noty!J316</f>
        <v>ukryj</v>
      </c>
      <c r="L316" s="200"/>
    </row>
    <row r="317" spans="1:14" ht="15.75" customHeight="1" thickBot="1" x14ac:dyDescent="0.3">
      <c r="B317" s="520"/>
      <c r="J317" s="499" t="str">
        <f>Noty!J317</f>
        <v>ukryj</v>
      </c>
    </row>
    <row r="318" spans="1:14" s="228" customFormat="1" ht="15.05" customHeight="1" thickTop="1" thickBot="1" x14ac:dyDescent="0.35">
      <c r="A318" s="1183">
        <f>A232</f>
        <v>0</v>
      </c>
      <c r="B318" s="1184">
        <f>IF(K318="n/a",B296,B296+1)</f>
        <v>0</v>
      </c>
      <c r="C318" s="1462" t="s">
        <v>10891</v>
      </c>
      <c r="D318" s="1462"/>
      <c r="E318" s="1462"/>
      <c r="F318" s="1462"/>
      <c r="G318" s="1462"/>
      <c r="H318" s="1462"/>
      <c r="I318" s="1462"/>
      <c r="J318" s="499" t="str">
        <f>Noty!J318</f>
        <v>ukryj</v>
      </c>
      <c r="K318" s="585" t="str">
        <f>Noty!K318</f>
        <v>n/a</v>
      </c>
      <c r="L318" s="200" t="str">
        <f>A318&amp;"."&amp;B318</f>
        <v>0.0</v>
      </c>
      <c r="N318" s="1101" t="s">
        <v>9378</v>
      </c>
    </row>
    <row r="319" spans="1:14" s="228" customFormat="1" ht="12.8" customHeight="1" thickTop="1" thickBot="1" x14ac:dyDescent="0.3">
      <c r="C319" s="379"/>
      <c r="D319" s="620"/>
      <c r="E319" s="620"/>
      <c r="F319" s="620"/>
      <c r="G319" s="620"/>
      <c r="H319" s="620"/>
      <c r="I319" s="620"/>
      <c r="J319" s="499" t="str">
        <f>Noty!J319</f>
        <v>ukryj</v>
      </c>
      <c r="K319" s="489"/>
      <c r="L319" s="379"/>
    </row>
    <row r="320" spans="1:14" s="228" customFormat="1" ht="53.2" customHeight="1" x14ac:dyDescent="0.25">
      <c r="B320" s="1334" t="s">
        <v>10892</v>
      </c>
      <c r="C320" s="1336" t="s">
        <v>10893</v>
      </c>
      <c r="D320" s="1338" t="s">
        <v>10894</v>
      </c>
      <c r="E320" s="1339"/>
      <c r="F320" s="1216" t="s">
        <v>10895</v>
      </c>
      <c r="G320" s="1217" t="s">
        <v>10896</v>
      </c>
      <c r="H320" s="1338" t="str">
        <f>CONCATENATE("Carrying value of shares ",Input!$C$7)</f>
        <v>Carrying value of shares 31.12.2020</v>
      </c>
      <c r="I320" s="1340"/>
      <c r="J320" s="499" t="str">
        <f>Noty!J320</f>
        <v>ukryj</v>
      </c>
      <c r="K320" s="489"/>
      <c r="L320" s="576"/>
    </row>
    <row r="321" spans="1:14" s="228" customFormat="1" ht="43.55" customHeight="1" thickBot="1" x14ac:dyDescent="0.3">
      <c r="B321" s="1335"/>
      <c r="C321" s="1337"/>
      <c r="D321" s="1341" t="s">
        <v>10897</v>
      </c>
      <c r="E321" s="1342"/>
      <c r="F321" s="621" t="s">
        <v>10898</v>
      </c>
      <c r="G321" s="621" t="s">
        <v>8283</v>
      </c>
      <c r="H321" s="1341" t="s">
        <v>10899</v>
      </c>
      <c r="I321" s="1343"/>
      <c r="J321" s="499" t="str">
        <f>Noty!J321</f>
        <v>ukryj</v>
      </c>
      <c r="K321" s="489"/>
      <c r="L321" s="576"/>
    </row>
    <row r="322" spans="1:14" s="228" customFormat="1" ht="13.6" customHeight="1" x14ac:dyDescent="0.25">
      <c r="B322" s="1503" t="str">
        <f>IF(Noty!B322="","",Noty!B322)</f>
        <v/>
      </c>
      <c r="C322" s="1488" t="str">
        <f>IF(Noty!C322="","",Noty!C322)</f>
        <v/>
      </c>
      <c r="D322" s="1489" t="str">
        <f>IF(Noty!D322="","",Noty!D322)</f>
        <v/>
      </c>
      <c r="E322" s="1327"/>
      <c r="F322" s="1228" t="str">
        <f>IF(Noty!F322="","",Noty!F322)</f>
        <v/>
      </c>
      <c r="G322" s="1229" t="str">
        <f>IF(Noty!G322="","",Noty!G322)</f>
        <v/>
      </c>
      <c r="H322" s="1491" t="str">
        <f>IF(Noty!H322="","",Noty!H322)</f>
        <v/>
      </c>
      <c r="I322" s="1329"/>
      <c r="J322" s="499" t="str">
        <f>Noty!J322</f>
        <v>ukryj</v>
      </c>
      <c r="K322" s="489"/>
    </row>
    <row r="323" spans="1:14" s="228" customFormat="1" ht="13.6" customHeight="1" thickBot="1" x14ac:dyDescent="0.3">
      <c r="B323" s="1323"/>
      <c r="C323" s="1325"/>
      <c r="D323" s="1492" t="str">
        <f>IF(Noty!D323="","",Noty!D323)</f>
        <v/>
      </c>
      <c r="E323" s="1331"/>
      <c r="F323" s="1143" t="str">
        <f>IF(Noty!F323="","",Noty!F323)</f>
        <v/>
      </c>
      <c r="G323" s="1144" t="str">
        <f>IF(Noty!G323="","",Noty!G323)</f>
        <v/>
      </c>
      <c r="H323" s="1493" t="str">
        <f>IF(Noty!H323="","",Noty!H323)</f>
        <v/>
      </c>
      <c r="I323" s="1333"/>
      <c r="J323" s="499" t="str">
        <f>Noty!J323</f>
        <v>ukryj</v>
      </c>
      <c r="K323" s="489"/>
    </row>
    <row r="324" spans="1:14" s="228" customFormat="1" ht="13.6" customHeight="1" x14ac:dyDescent="0.25">
      <c r="B324" s="1503" t="str">
        <f>IF(Noty!B324="","",Noty!B324)</f>
        <v/>
      </c>
      <c r="C324" s="1488" t="str">
        <f>IF(Noty!C324="","",Noty!C324)</f>
        <v/>
      </c>
      <c r="D324" s="1489" t="str">
        <f>IF(Noty!D324="","",Noty!D324)</f>
        <v/>
      </c>
      <c r="E324" s="1327"/>
      <c r="F324" s="1228" t="str">
        <f>IF(Noty!F324="","",Noty!F324)</f>
        <v/>
      </c>
      <c r="G324" s="1229" t="str">
        <f>IF(Noty!G324="","",Noty!G324)</f>
        <v/>
      </c>
      <c r="H324" s="1491" t="str">
        <f>IF(Noty!H324="","",Noty!H324)</f>
        <v/>
      </c>
      <c r="I324" s="1329"/>
      <c r="J324" s="499" t="str">
        <f>Noty!J324</f>
        <v>ukryj</v>
      </c>
      <c r="K324" s="489"/>
    </row>
    <row r="325" spans="1:14" s="228" customFormat="1" ht="13.6" customHeight="1" thickBot="1" x14ac:dyDescent="0.3">
      <c r="B325" s="1323"/>
      <c r="C325" s="1325"/>
      <c r="D325" s="1492" t="str">
        <f>IF(Noty!D325="","",Noty!D325)</f>
        <v/>
      </c>
      <c r="E325" s="1331"/>
      <c r="F325" s="1143" t="str">
        <f>IF(Noty!F325="","",Noty!F325)</f>
        <v/>
      </c>
      <c r="G325" s="1144" t="str">
        <f>IF(Noty!G325="","",Noty!G325)</f>
        <v/>
      </c>
      <c r="H325" s="1493" t="str">
        <f>IF(Noty!H325="","",Noty!H325)</f>
        <v/>
      </c>
      <c r="I325" s="1333"/>
      <c r="J325" s="499" t="str">
        <f>Noty!J325</f>
        <v>ukryj</v>
      </c>
      <c r="K325" s="489"/>
    </row>
    <row r="326" spans="1:14" s="228" customFormat="1" ht="13.6" customHeight="1" x14ac:dyDescent="0.25">
      <c r="B326" s="1503" t="str">
        <f>IF(Noty!B326="","",Noty!B326)</f>
        <v/>
      </c>
      <c r="C326" s="1488" t="str">
        <f>IF(Noty!C326="","",Noty!C326)</f>
        <v/>
      </c>
      <c r="D326" s="1489" t="str">
        <f>IF(Noty!D326="","",Noty!D326)</f>
        <v/>
      </c>
      <c r="E326" s="1327"/>
      <c r="F326" s="1228" t="str">
        <f>IF(Noty!F326="","",Noty!F326)</f>
        <v/>
      </c>
      <c r="G326" s="1229" t="str">
        <f>IF(Noty!G326="","",Noty!G326)</f>
        <v/>
      </c>
      <c r="H326" s="1491" t="str">
        <f>IF(Noty!H326="","",Noty!H326)</f>
        <v/>
      </c>
      <c r="I326" s="1329"/>
      <c r="J326" s="499" t="str">
        <f>Noty!J326</f>
        <v>ukryj</v>
      </c>
      <c r="K326" s="489"/>
    </row>
    <row r="327" spans="1:14" s="228" customFormat="1" ht="13.6" customHeight="1" thickBot="1" x14ac:dyDescent="0.3">
      <c r="B327" s="1345"/>
      <c r="C327" s="1347"/>
      <c r="D327" s="1492" t="str">
        <f>IF(Noty!D327="","",Noty!D327)</f>
        <v/>
      </c>
      <c r="E327" s="1331"/>
      <c r="F327" s="1143" t="str">
        <f>IF(Noty!F327="","",Noty!F327)</f>
        <v/>
      </c>
      <c r="G327" s="1144" t="str">
        <f>IF(Noty!G327="","",Noty!G327)</f>
        <v/>
      </c>
      <c r="H327" s="1493" t="str">
        <f>IF(Noty!H327="","",Noty!H327)</f>
        <v/>
      </c>
      <c r="I327" s="1333"/>
      <c r="J327" s="499" t="str">
        <f>Noty!J327</f>
        <v>ukryj</v>
      </c>
      <c r="K327" s="489"/>
    </row>
    <row r="328" spans="1:14" s="228" customFormat="1" ht="13.6" customHeight="1" x14ac:dyDescent="0.25">
      <c r="B328" s="1503" t="str">
        <f>IF(Noty!B328="","",Noty!B328)</f>
        <v/>
      </c>
      <c r="C328" s="1488" t="str">
        <f>IF(Noty!C328="","",Noty!C328)</f>
        <v/>
      </c>
      <c r="D328" s="1489" t="str">
        <f>IF(Noty!D328="","",Noty!D328)</f>
        <v/>
      </c>
      <c r="E328" s="1327"/>
      <c r="F328" s="1228" t="str">
        <f>IF(Noty!F328="","",Noty!F328)</f>
        <v/>
      </c>
      <c r="G328" s="1229" t="str">
        <f>IF(Noty!G328="","",Noty!G328)</f>
        <v/>
      </c>
      <c r="H328" s="1491" t="str">
        <f>IF(Noty!H328="","",Noty!H328)</f>
        <v/>
      </c>
      <c r="I328" s="1329"/>
      <c r="J328" s="499" t="str">
        <f>Noty!J328</f>
        <v>ukryj</v>
      </c>
      <c r="K328" s="489"/>
    </row>
    <row r="329" spans="1:14" s="228" customFormat="1" ht="13.6" customHeight="1" thickBot="1" x14ac:dyDescent="0.3">
      <c r="B329" s="1345"/>
      <c r="C329" s="1347"/>
      <c r="D329" s="1492" t="str">
        <f>IF(Noty!D329="","",Noty!D329)</f>
        <v/>
      </c>
      <c r="E329" s="1331"/>
      <c r="F329" s="1143" t="str">
        <f>IF(Noty!F329="","",Noty!F329)</f>
        <v/>
      </c>
      <c r="G329" s="1144" t="str">
        <f>IF(Noty!G329="","",Noty!G329)</f>
        <v/>
      </c>
      <c r="H329" s="1493" t="str">
        <f>IF(Noty!H329="","",Noty!H329)</f>
        <v/>
      </c>
      <c r="I329" s="1333"/>
      <c r="J329" s="499" t="str">
        <f>Noty!J329</f>
        <v>ukryj</v>
      </c>
      <c r="K329" s="489"/>
    </row>
    <row r="330" spans="1:14" s="228" customFormat="1" ht="13.6" customHeight="1" x14ac:dyDescent="0.25">
      <c r="B330" s="1503" t="str">
        <f>IF(Noty!B330="","",Noty!B330)</f>
        <v/>
      </c>
      <c r="C330" s="1488" t="str">
        <f>IF(Noty!C330="","",Noty!C330)</f>
        <v/>
      </c>
      <c r="D330" s="1489" t="str">
        <f>IF(Noty!D330="","",Noty!D330)</f>
        <v/>
      </c>
      <c r="E330" s="1327"/>
      <c r="F330" s="1228" t="str">
        <f>IF(Noty!F330="","",Noty!F330)</f>
        <v/>
      </c>
      <c r="G330" s="1229" t="str">
        <f>IF(Noty!G330="","",Noty!G330)</f>
        <v/>
      </c>
      <c r="H330" s="1491" t="str">
        <f>IF(Noty!H330="","",Noty!H330)</f>
        <v/>
      </c>
      <c r="I330" s="1329"/>
      <c r="J330" s="499" t="str">
        <f>Noty!J330</f>
        <v>ukryj</v>
      </c>
      <c r="K330" s="489"/>
    </row>
    <row r="331" spans="1:14" s="228" customFormat="1" ht="13.6" customHeight="1" thickBot="1" x14ac:dyDescent="0.3">
      <c r="B331" s="1345"/>
      <c r="C331" s="1347"/>
      <c r="D331" s="1492" t="str">
        <f>IF(Noty!D331="","",Noty!D331)</f>
        <v/>
      </c>
      <c r="E331" s="1331"/>
      <c r="F331" s="1143" t="str">
        <f>IF(Noty!F331="","",Noty!F331)</f>
        <v/>
      </c>
      <c r="G331" s="1144" t="str">
        <f>IF(Noty!G331="","",Noty!G331)</f>
        <v/>
      </c>
      <c r="H331" s="1493" t="str">
        <f>IF(Noty!H331="","",Noty!H331)</f>
        <v/>
      </c>
      <c r="I331" s="1333"/>
      <c r="J331" s="499" t="str">
        <f>Noty!J331</f>
        <v>ukryj</v>
      </c>
      <c r="K331" s="489"/>
    </row>
    <row r="332" spans="1:14" s="228" customFormat="1" ht="15.05" customHeight="1" x14ac:dyDescent="0.25">
      <c r="B332" s="1126" t="str">
        <f>"Total of carrying value of shares "&amp;Input!P7&amp;""</f>
        <v>Total of carrying value of shares 31.12.2020</v>
      </c>
      <c r="C332" s="381"/>
      <c r="D332" s="624"/>
      <c r="E332" s="624"/>
      <c r="F332" s="624"/>
      <c r="G332" s="625"/>
      <c r="H332" s="1491">
        <f>IF(Noty!H332="","",Noty!H332)</f>
        <v>0</v>
      </c>
      <c r="I332" s="1349"/>
      <c r="J332" s="499" t="str">
        <f>Noty!J332</f>
        <v>ukryj</v>
      </c>
      <c r="K332" s="489"/>
      <c r="L332" s="384"/>
    </row>
    <row r="333" spans="1:14" s="228" customFormat="1" ht="15.05" customHeight="1" thickBot="1" x14ac:dyDescent="0.3">
      <c r="C333" s="382"/>
      <c r="D333" s="624"/>
      <c r="E333" s="624"/>
      <c r="F333" s="624"/>
      <c r="G333" s="624"/>
      <c r="H333" s="192"/>
      <c r="I333" s="192"/>
      <c r="J333" s="499" t="str">
        <f>Noty!J333</f>
        <v>ukryj</v>
      </c>
      <c r="K333" s="489"/>
      <c r="L333" s="384"/>
    </row>
    <row r="334" spans="1:14" s="228" customFormat="1" ht="16.55" customHeight="1" thickTop="1" thickBot="1" x14ac:dyDescent="0.35">
      <c r="A334" s="1183">
        <f>A232</f>
        <v>0</v>
      </c>
      <c r="B334" s="1184">
        <f>+IF(K334="n/a",B318,B318+1)</f>
        <v>0</v>
      </c>
      <c r="C334" s="1462" t="s">
        <v>10900</v>
      </c>
      <c r="D334" s="1462"/>
      <c r="E334" s="1462"/>
      <c r="F334" s="1462"/>
      <c r="G334" s="1462"/>
      <c r="H334" s="1462"/>
      <c r="I334" s="1462"/>
      <c r="J334" s="499" t="str">
        <f>Noty!J334</f>
        <v>ukryj</v>
      </c>
      <c r="K334" s="585" t="str">
        <f>Noty!K334</f>
        <v>n/a</v>
      </c>
      <c r="L334" s="200" t="str">
        <f>A334&amp;"."&amp;B334</f>
        <v>0.0</v>
      </c>
      <c r="N334" s="1101" t="s">
        <v>9378</v>
      </c>
    </row>
    <row r="335" spans="1:14" s="228" customFormat="1" ht="13.6" customHeight="1" thickTop="1" thickBot="1" x14ac:dyDescent="0.3">
      <c r="C335" s="379"/>
      <c r="D335" s="620"/>
      <c r="E335" s="620"/>
      <c r="F335" s="620"/>
      <c r="G335" s="620"/>
      <c r="H335" s="620"/>
      <c r="I335" s="620"/>
      <c r="J335" s="499" t="str">
        <f>Noty!J335</f>
        <v>ukryj</v>
      </c>
      <c r="K335" s="489"/>
      <c r="L335" s="384"/>
    </row>
    <row r="336" spans="1:14" s="228" customFormat="1" ht="53.2" customHeight="1" x14ac:dyDescent="0.25">
      <c r="B336" s="1334" t="s">
        <v>10892</v>
      </c>
      <c r="C336" s="1336" t="s">
        <v>10893</v>
      </c>
      <c r="D336" s="1338" t="s">
        <v>10894</v>
      </c>
      <c r="E336" s="1339"/>
      <c r="F336" s="1216" t="s">
        <v>10895</v>
      </c>
      <c r="G336" s="1217" t="s">
        <v>10896</v>
      </c>
      <c r="H336" s="1338" t="str">
        <f>CONCATENATE("Carrying value of shares ",Input!$C$7)</f>
        <v>Carrying value of shares 31.12.2020</v>
      </c>
      <c r="I336" s="1340"/>
      <c r="J336" s="499" t="str">
        <f>Noty!J336</f>
        <v>ukryj</v>
      </c>
      <c r="K336" s="489"/>
    </row>
    <row r="337" spans="1:14" s="228" customFormat="1" ht="53.2" customHeight="1" thickBot="1" x14ac:dyDescent="0.3">
      <c r="B337" s="1335"/>
      <c r="C337" s="1337"/>
      <c r="D337" s="1341" t="s">
        <v>10897</v>
      </c>
      <c r="E337" s="1342"/>
      <c r="F337" s="621" t="s">
        <v>10898</v>
      </c>
      <c r="G337" s="621" t="s">
        <v>8283</v>
      </c>
      <c r="H337" s="1341" t="s">
        <v>10899</v>
      </c>
      <c r="I337" s="1343"/>
      <c r="J337" s="499" t="str">
        <f>Noty!J337</f>
        <v>ukryj</v>
      </c>
      <c r="K337" s="489"/>
      <c r="L337" s="576"/>
    </row>
    <row r="338" spans="1:14" s="228" customFormat="1" ht="13.6" customHeight="1" x14ac:dyDescent="0.25">
      <c r="B338" s="1503" t="str">
        <f>IF(Noty!B338="","",Noty!B338)</f>
        <v/>
      </c>
      <c r="C338" s="1488" t="str">
        <f>IF(Noty!C338="","",Noty!C338)</f>
        <v/>
      </c>
      <c r="D338" s="1489" t="str">
        <f>IF(Noty!D338="","",Noty!D338)</f>
        <v/>
      </c>
      <c r="E338" s="1327"/>
      <c r="F338" s="1228" t="str">
        <f>IF(Noty!F338="","",Noty!F338)</f>
        <v/>
      </c>
      <c r="G338" s="1229" t="str">
        <f>IF(Noty!G338="","",Noty!G338)</f>
        <v/>
      </c>
      <c r="H338" s="1491" t="str">
        <f>IF(Noty!H338="","",Noty!H338)</f>
        <v/>
      </c>
      <c r="I338" s="1329"/>
      <c r="J338" s="499" t="str">
        <f>Noty!J338</f>
        <v>ukryj</v>
      </c>
      <c r="K338" s="489"/>
    </row>
    <row r="339" spans="1:14" s="228" customFormat="1" ht="13.6" customHeight="1" thickBot="1" x14ac:dyDescent="0.3">
      <c r="B339" s="1323"/>
      <c r="C339" s="1325"/>
      <c r="D339" s="1492" t="str">
        <f>IF(Noty!D339="","",Noty!D339)</f>
        <v/>
      </c>
      <c r="E339" s="1331"/>
      <c r="F339" s="1143" t="str">
        <f>IF(Noty!F339="","",Noty!F339)</f>
        <v/>
      </c>
      <c r="G339" s="1144" t="str">
        <f>IF(Noty!G339="","",Noty!G339)</f>
        <v/>
      </c>
      <c r="H339" s="1493" t="str">
        <f>IF(Noty!H339="","",Noty!H339)</f>
        <v/>
      </c>
      <c r="I339" s="1333"/>
      <c r="J339" s="499" t="str">
        <f>Noty!J339</f>
        <v>ukryj</v>
      </c>
      <c r="K339" s="489"/>
    </row>
    <row r="340" spans="1:14" s="228" customFormat="1" ht="13.6" customHeight="1" x14ac:dyDescent="0.25">
      <c r="B340" s="1503" t="str">
        <f>IF(Noty!B340="","",Noty!B340)</f>
        <v/>
      </c>
      <c r="C340" s="1488" t="str">
        <f>IF(Noty!C340="","",Noty!C340)</f>
        <v/>
      </c>
      <c r="D340" s="1489" t="str">
        <f>IF(Noty!D340="","",Noty!D340)</f>
        <v/>
      </c>
      <c r="E340" s="1327"/>
      <c r="F340" s="1228" t="str">
        <f>IF(Noty!F340="","",Noty!F340)</f>
        <v/>
      </c>
      <c r="G340" s="1229" t="str">
        <f>IF(Noty!G340="","",Noty!G340)</f>
        <v/>
      </c>
      <c r="H340" s="1491" t="str">
        <f>IF(Noty!H340="","",Noty!H340)</f>
        <v/>
      </c>
      <c r="I340" s="1329"/>
      <c r="J340" s="499" t="str">
        <f>Noty!J340</f>
        <v>ukryj</v>
      </c>
      <c r="K340" s="489"/>
    </row>
    <row r="341" spans="1:14" s="228" customFormat="1" ht="13.6" customHeight="1" thickBot="1" x14ac:dyDescent="0.3">
      <c r="B341" s="1323"/>
      <c r="C341" s="1325"/>
      <c r="D341" s="1492" t="str">
        <f>IF(Noty!D341="","",Noty!D341)</f>
        <v/>
      </c>
      <c r="E341" s="1331"/>
      <c r="F341" s="1143" t="str">
        <f>IF(Noty!F341="","",Noty!F341)</f>
        <v/>
      </c>
      <c r="G341" s="1144" t="str">
        <f>IF(Noty!G341="","",Noty!G341)</f>
        <v/>
      </c>
      <c r="H341" s="1493" t="str">
        <f>IF(Noty!H341="","",Noty!H341)</f>
        <v/>
      </c>
      <c r="I341" s="1333"/>
      <c r="J341" s="499" t="str">
        <f>Noty!J341</f>
        <v>ukryj</v>
      </c>
      <c r="K341" s="489"/>
    </row>
    <row r="342" spans="1:14" s="228" customFormat="1" ht="13.6" customHeight="1" x14ac:dyDescent="0.25">
      <c r="B342" s="1502" t="str">
        <f>IF(Noty!B342="","",Noty!B342)</f>
        <v/>
      </c>
      <c r="C342" s="1502" t="str">
        <f>IF(Noty!C342="","",Noty!C342)</f>
        <v/>
      </c>
      <c r="D342" s="1496" t="str">
        <f>IF(Noty!D342="","",Noty!D342)</f>
        <v/>
      </c>
      <c r="E342" s="1353"/>
      <c r="F342" s="1145" t="str">
        <f>IF(Noty!F342="","",Noty!F342)</f>
        <v/>
      </c>
      <c r="G342" s="1146" t="str">
        <f>IF(Noty!G342="","",Noty!G342)</f>
        <v/>
      </c>
      <c r="H342" s="1494" t="str">
        <f>IF(Noty!H342="","",Noty!H342)</f>
        <v/>
      </c>
      <c r="I342" s="1355"/>
      <c r="J342" s="499" t="str">
        <f>Noty!J342</f>
        <v>ukryj</v>
      </c>
      <c r="K342" s="489"/>
    </row>
    <row r="343" spans="1:14" s="228" customFormat="1" ht="13.6" customHeight="1" thickBot="1" x14ac:dyDescent="0.3">
      <c r="B343" s="1351"/>
      <c r="C343" s="1351"/>
      <c r="D343" s="1497" t="str">
        <f>IF(Noty!D343="","",Noty!D343)</f>
        <v/>
      </c>
      <c r="E343" s="1357"/>
      <c r="F343" s="1147" t="str">
        <f>IF(Noty!F343="","",Noty!F343)</f>
        <v/>
      </c>
      <c r="G343" s="1148" t="str">
        <f>IF(Noty!G343="","",Noty!G343)</f>
        <v/>
      </c>
      <c r="H343" s="1495" t="str">
        <f>IF(Noty!H343="","",Noty!H343)</f>
        <v/>
      </c>
      <c r="I343" s="1359"/>
      <c r="J343" s="499" t="str">
        <f>Noty!J343</f>
        <v>ukryj</v>
      </c>
      <c r="K343" s="489"/>
    </row>
    <row r="344" spans="1:14" s="228" customFormat="1" ht="13.6" customHeight="1" x14ac:dyDescent="0.25">
      <c r="B344" s="1503" t="str">
        <f>IF(Noty!B344="","",Noty!B344)</f>
        <v/>
      </c>
      <c r="C344" s="1488" t="str">
        <f>IF(Noty!C344="","",Noty!C344)</f>
        <v/>
      </c>
      <c r="D344" s="1489" t="str">
        <f>IF(Noty!D344="","",Noty!D344)</f>
        <v/>
      </c>
      <c r="E344" s="1327"/>
      <c r="F344" s="1228" t="str">
        <f>IF(Noty!F344="","",Noty!F344)</f>
        <v/>
      </c>
      <c r="G344" s="1229" t="str">
        <f>IF(Noty!G344="","",Noty!G344)</f>
        <v/>
      </c>
      <c r="H344" s="1491" t="str">
        <f>IF(Noty!H344="","",Noty!H344)</f>
        <v/>
      </c>
      <c r="I344" s="1329"/>
      <c r="J344" s="499" t="str">
        <f>Noty!J344</f>
        <v>ukryj</v>
      </c>
      <c r="K344" s="489"/>
    </row>
    <row r="345" spans="1:14" s="228" customFormat="1" ht="13.6" customHeight="1" thickBot="1" x14ac:dyDescent="0.3">
      <c r="B345" s="1345"/>
      <c r="C345" s="1347"/>
      <c r="D345" s="1492" t="str">
        <f>IF(Noty!D345="","",Noty!D345)</f>
        <v/>
      </c>
      <c r="E345" s="1331"/>
      <c r="F345" s="1143" t="str">
        <f>IF(Noty!F345="","",Noty!F345)</f>
        <v/>
      </c>
      <c r="G345" s="1144" t="str">
        <f>IF(Noty!G345="","",Noty!G345)</f>
        <v/>
      </c>
      <c r="H345" s="1493" t="str">
        <f>IF(Noty!H345="","",Noty!H345)</f>
        <v/>
      </c>
      <c r="I345" s="1333"/>
      <c r="J345" s="499" t="str">
        <f>Noty!J345</f>
        <v>ukryj</v>
      </c>
      <c r="K345" s="489"/>
    </row>
    <row r="346" spans="1:14" s="228" customFormat="1" ht="13.6" customHeight="1" x14ac:dyDescent="0.25">
      <c r="B346" s="1503" t="str">
        <f>IF(Noty!B346="","",Noty!B346)</f>
        <v/>
      </c>
      <c r="C346" s="1488" t="str">
        <f>IF(Noty!C346="","",Noty!C346)</f>
        <v/>
      </c>
      <c r="D346" s="1489" t="str">
        <f>IF(Noty!D346="","",Noty!D346)</f>
        <v/>
      </c>
      <c r="E346" s="1327"/>
      <c r="F346" s="1228" t="str">
        <f>IF(Noty!F346="","",Noty!F346)</f>
        <v/>
      </c>
      <c r="G346" s="1229" t="str">
        <f>IF(Noty!G346="","",Noty!G346)</f>
        <v/>
      </c>
      <c r="H346" s="1491" t="str">
        <f>IF(Noty!H346="","",Noty!H346)</f>
        <v/>
      </c>
      <c r="I346" s="1329"/>
      <c r="J346" s="499" t="str">
        <f>Noty!J346</f>
        <v>ukryj</v>
      </c>
      <c r="K346" s="489"/>
    </row>
    <row r="347" spans="1:14" s="228" customFormat="1" ht="13.6" customHeight="1" thickBot="1" x14ac:dyDescent="0.3">
      <c r="B347" s="1345"/>
      <c r="C347" s="1347"/>
      <c r="D347" s="1492" t="str">
        <f>IF(Noty!D347="","",Noty!D347)</f>
        <v/>
      </c>
      <c r="E347" s="1331"/>
      <c r="F347" s="1143" t="str">
        <f>IF(Noty!F347="","",Noty!F347)</f>
        <v/>
      </c>
      <c r="G347" s="1144" t="str">
        <f>IF(Noty!G347="","",Noty!G347)</f>
        <v/>
      </c>
      <c r="H347" s="1493" t="str">
        <f>IF(Noty!H347="","",Noty!H347)</f>
        <v/>
      </c>
      <c r="I347" s="1333"/>
      <c r="J347" s="499" t="str">
        <f>Noty!J347</f>
        <v>ukryj</v>
      </c>
      <c r="K347" s="489"/>
    </row>
    <row r="348" spans="1:14" s="228" customFormat="1" ht="15.05" customHeight="1" x14ac:dyDescent="0.25">
      <c r="B348" s="1126" t="str">
        <f>"Total of carrying value of shares "&amp;Input!P7&amp;""</f>
        <v>Total of carrying value of shares 31.12.2020</v>
      </c>
      <c r="C348" s="381"/>
      <c r="D348" s="624"/>
      <c r="E348" s="624"/>
      <c r="F348" s="624"/>
      <c r="G348" s="625"/>
      <c r="H348" s="1491">
        <f>IF(Noty!H348="","",Noty!H348)</f>
        <v>0</v>
      </c>
      <c r="I348" s="1349"/>
      <c r="J348" s="499" t="str">
        <f>Noty!J348</f>
        <v>ukryj</v>
      </c>
      <c r="K348" s="489"/>
      <c r="L348" s="384"/>
    </row>
    <row r="349" spans="1:14" s="228" customFormat="1" ht="15.05" customHeight="1" thickBot="1" x14ac:dyDescent="0.3">
      <c r="C349" s="382"/>
      <c r="D349" s="624"/>
      <c r="E349" s="624"/>
      <c r="F349" s="624"/>
      <c r="G349" s="624"/>
      <c r="H349" s="624"/>
      <c r="I349" s="630"/>
      <c r="J349" s="499" t="str">
        <f>Noty!J349</f>
        <v>ukryj</v>
      </c>
      <c r="K349" s="489"/>
      <c r="L349" s="384"/>
    </row>
    <row r="350" spans="1:14" s="228" customFormat="1" ht="15.05" customHeight="1" thickTop="1" thickBot="1" x14ac:dyDescent="0.35">
      <c r="A350" s="1183">
        <f>A232</f>
        <v>0</v>
      </c>
      <c r="B350" s="1184">
        <f>+IF(K350="n/a",B334,B334+1)</f>
        <v>0</v>
      </c>
      <c r="C350" s="1462" t="s">
        <v>10901</v>
      </c>
      <c r="D350" s="1462"/>
      <c r="E350" s="1462"/>
      <c r="F350" s="1462"/>
      <c r="G350" s="1462"/>
      <c r="H350" s="1462"/>
      <c r="I350" s="1462"/>
      <c r="J350" s="499" t="str">
        <f>Noty!J350</f>
        <v>ukryj</v>
      </c>
      <c r="K350" s="585" t="str">
        <f>Noty!K350</f>
        <v>n/a</v>
      </c>
      <c r="L350" s="200" t="str">
        <f>A350&amp;"."&amp;B350</f>
        <v>0.0</v>
      </c>
      <c r="N350" s="1101" t="s">
        <v>9378</v>
      </c>
    </row>
    <row r="351" spans="1:14" s="228" customFormat="1" ht="11.95" customHeight="1" thickTop="1" x14ac:dyDescent="0.25">
      <c r="C351" s="379"/>
      <c r="D351" s="620"/>
      <c r="E351" s="620"/>
      <c r="F351" s="620"/>
      <c r="G351" s="620"/>
      <c r="H351" s="620"/>
      <c r="I351" s="620"/>
      <c r="J351" s="499" t="str">
        <f>Noty!J351</f>
        <v>ukryj</v>
      </c>
      <c r="K351" s="489"/>
      <c r="L351" s="577"/>
    </row>
    <row r="352" spans="1:14" s="228" customFormat="1" ht="53.2" customHeight="1" x14ac:dyDescent="0.25">
      <c r="B352" s="1360" t="s">
        <v>10892</v>
      </c>
      <c r="C352" s="1360" t="s">
        <v>10893</v>
      </c>
      <c r="D352" s="1361" t="s">
        <v>10894</v>
      </c>
      <c r="E352" s="1362"/>
      <c r="F352" s="631" t="s">
        <v>10895</v>
      </c>
      <c r="G352" s="632" t="s">
        <v>10896</v>
      </c>
      <c r="H352" s="1361" t="str">
        <f>CONCATENATE("Carrying value of shares ",Input!$C$7)</f>
        <v>Carrying value of shares 31.12.2020</v>
      </c>
      <c r="I352" s="1362"/>
      <c r="J352" s="499" t="str">
        <f>Noty!J352</f>
        <v>ukryj</v>
      </c>
      <c r="K352" s="489"/>
    </row>
    <row r="353" spans="1:14" s="228" customFormat="1" ht="53.2" customHeight="1" thickBot="1" x14ac:dyDescent="0.3">
      <c r="B353" s="1337"/>
      <c r="C353" s="1337"/>
      <c r="D353" s="1341" t="s">
        <v>10897</v>
      </c>
      <c r="E353" s="1342"/>
      <c r="F353" s="633" t="s">
        <v>10898</v>
      </c>
      <c r="G353" s="633" t="s">
        <v>8283</v>
      </c>
      <c r="H353" s="1341" t="s">
        <v>10899</v>
      </c>
      <c r="I353" s="1342"/>
      <c r="J353" s="499" t="str">
        <f>Noty!J353</f>
        <v>ukryj</v>
      </c>
      <c r="K353" s="489"/>
      <c r="L353" s="576"/>
    </row>
    <row r="354" spans="1:14" s="228" customFormat="1" ht="13.6" customHeight="1" x14ac:dyDescent="0.25">
      <c r="B354" s="1503" t="str">
        <f>IF(Noty!B354="","",Noty!B354)</f>
        <v/>
      </c>
      <c r="C354" s="1488" t="str">
        <f>IF(Noty!C354="","",Noty!C354)</f>
        <v/>
      </c>
      <c r="D354" s="1489" t="str">
        <f>IF(Noty!D354="","",Noty!D354)</f>
        <v/>
      </c>
      <c r="E354" s="1327"/>
      <c r="F354" s="1228" t="str">
        <f>IF(Noty!F354="","",Noty!F354)</f>
        <v/>
      </c>
      <c r="G354" s="1229" t="str">
        <f>IF(Noty!G354="","",Noty!G354)</f>
        <v/>
      </c>
      <c r="H354" s="1491" t="str">
        <f>IF(Noty!H354="","",Noty!H354)</f>
        <v/>
      </c>
      <c r="I354" s="1329"/>
      <c r="J354" s="499" t="str">
        <f>Noty!J354</f>
        <v>ukryj</v>
      </c>
      <c r="K354" s="489"/>
    </row>
    <row r="355" spans="1:14" s="228" customFormat="1" ht="13.6" customHeight="1" thickBot="1" x14ac:dyDescent="0.3">
      <c r="B355" s="1323"/>
      <c r="C355" s="1325"/>
      <c r="D355" s="1492" t="str">
        <f>IF(Noty!D355="","",Noty!D355)</f>
        <v/>
      </c>
      <c r="E355" s="1331"/>
      <c r="F355" s="1143" t="str">
        <f>IF(Noty!F355="","",Noty!F355)</f>
        <v/>
      </c>
      <c r="G355" s="1144" t="str">
        <f>IF(Noty!G355="","",Noty!G355)</f>
        <v/>
      </c>
      <c r="H355" s="1493" t="str">
        <f>IF(Noty!H355="","",Noty!H355)</f>
        <v/>
      </c>
      <c r="I355" s="1333"/>
      <c r="J355" s="499" t="str">
        <f>Noty!J355</f>
        <v>ukryj</v>
      </c>
      <c r="K355" s="489"/>
    </row>
    <row r="356" spans="1:14" s="228" customFormat="1" ht="13.6" customHeight="1" x14ac:dyDescent="0.25">
      <c r="B356" s="1503" t="str">
        <f>IF(Noty!B356="","",Noty!B356)</f>
        <v/>
      </c>
      <c r="C356" s="1488" t="str">
        <f>IF(Noty!C356="","",Noty!C356)</f>
        <v/>
      </c>
      <c r="D356" s="1489" t="str">
        <f>IF(Noty!D356="","",Noty!D356)</f>
        <v/>
      </c>
      <c r="E356" s="1327"/>
      <c r="F356" s="1228" t="str">
        <f>IF(Noty!F356="","",Noty!F356)</f>
        <v/>
      </c>
      <c r="G356" s="1229" t="str">
        <f>IF(Noty!G356="","",Noty!G356)</f>
        <v/>
      </c>
      <c r="H356" s="1491" t="str">
        <f>IF(Noty!H356="","",Noty!H356)</f>
        <v/>
      </c>
      <c r="I356" s="1329"/>
      <c r="J356" s="499" t="str">
        <f>Noty!J356</f>
        <v>ukryj</v>
      </c>
      <c r="K356" s="489"/>
    </row>
    <row r="357" spans="1:14" s="228" customFormat="1" ht="13.6" customHeight="1" thickBot="1" x14ac:dyDescent="0.3">
      <c r="B357" s="1323"/>
      <c r="C357" s="1325"/>
      <c r="D357" s="1492" t="str">
        <f>IF(Noty!D357="","",Noty!D357)</f>
        <v/>
      </c>
      <c r="E357" s="1331"/>
      <c r="F357" s="1143" t="str">
        <f>IF(Noty!F357="","",Noty!F357)</f>
        <v/>
      </c>
      <c r="G357" s="1144" t="str">
        <f>IF(Noty!G357="","",Noty!G357)</f>
        <v/>
      </c>
      <c r="H357" s="1493" t="str">
        <f>IF(Noty!H357="","",Noty!H357)</f>
        <v/>
      </c>
      <c r="I357" s="1333"/>
      <c r="J357" s="499" t="str">
        <f>Noty!J357</f>
        <v>ukryj</v>
      </c>
      <c r="K357" s="489"/>
    </row>
    <row r="358" spans="1:14" s="228" customFormat="1" ht="13.6" customHeight="1" x14ac:dyDescent="0.25">
      <c r="B358" s="1503" t="str">
        <f>IF(Noty!B358="","",Noty!B358)</f>
        <v/>
      </c>
      <c r="C358" s="1488" t="str">
        <f>IF(Noty!C358="","",Noty!C358)</f>
        <v/>
      </c>
      <c r="D358" s="1489" t="str">
        <f>IF(Noty!D358="","",Noty!D358)</f>
        <v/>
      </c>
      <c r="E358" s="1327"/>
      <c r="F358" s="1228" t="str">
        <f>IF(Noty!F358="","",Noty!F358)</f>
        <v/>
      </c>
      <c r="G358" s="1229" t="str">
        <f>IF(Noty!G358="","",Noty!G358)</f>
        <v/>
      </c>
      <c r="H358" s="1491" t="str">
        <f>IF(Noty!H358="","",Noty!H358)</f>
        <v/>
      </c>
      <c r="I358" s="1329"/>
      <c r="J358" s="499" t="str">
        <f>Noty!J358</f>
        <v>ukryj</v>
      </c>
      <c r="K358" s="489"/>
    </row>
    <row r="359" spans="1:14" s="228" customFormat="1" ht="13.6" customHeight="1" thickBot="1" x14ac:dyDescent="0.3">
      <c r="B359" s="1345"/>
      <c r="C359" s="1347"/>
      <c r="D359" s="1492" t="str">
        <f>IF(Noty!D359="","",Noty!D359)</f>
        <v/>
      </c>
      <c r="E359" s="1331"/>
      <c r="F359" s="1143" t="str">
        <f>IF(Noty!F359="","",Noty!F359)</f>
        <v/>
      </c>
      <c r="G359" s="1144" t="str">
        <f>IF(Noty!G359="","",Noty!G359)</f>
        <v/>
      </c>
      <c r="H359" s="1493" t="str">
        <f>IF(Noty!H359="","",Noty!H359)</f>
        <v/>
      </c>
      <c r="I359" s="1333"/>
      <c r="J359" s="499" t="str">
        <f>Noty!J359</f>
        <v>ukryj</v>
      </c>
      <c r="K359" s="489"/>
    </row>
    <row r="360" spans="1:14" s="228" customFormat="1" ht="13.6" customHeight="1" x14ac:dyDescent="0.25">
      <c r="B360" s="1503" t="str">
        <f>IF(Noty!B360="","",Noty!B360)</f>
        <v/>
      </c>
      <c r="C360" s="1488" t="str">
        <f>IF(Noty!C360="","",Noty!C360)</f>
        <v/>
      </c>
      <c r="D360" s="1489" t="str">
        <f>IF(Noty!D360="","",Noty!D360)</f>
        <v/>
      </c>
      <c r="E360" s="1327"/>
      <c r="F360" s="1228" t="str">
        <f>IF(Noty!F360="","",Noty!F360)</f>
        <v/>
      </c>
      <c r="G360" s="1229" t="str">
        <f>IF(Noty!G360="","",Noty!G360)</f>
        <v/>
      </c>
      <c r="H360" s="1491" t="str">
        <f>IF(Noty!H360="","",Noty!H360)</f>
        <v/>
      </c>
      <c r="I360" s="1329"/>
      <c r="J360" s="499" t="str">
        <f>Noty!J360</f>
        <v>ukryj</v>
      </c>
      <c r="K360" s="489"/>
    </row>
    <row r="361" spans="1:14" s="228" customFormat="1" ht="13.6" customHeight="1" thickBot="1" x14ac:dyDescent="0.3">
      <c r="B361" s="1345"/>
      <c r="C361" s="1347"/>
      <c r="D361" s="1492" t="str">
        <f>IF(Noty!D361="","",Noty!D361)</f>
        <v/>
      </c>
      <c r="E361" s="1331"/>
      <c r="F361" s="1143" t="str">
        <f>IF(Noty!F361="","",Noty!F361)</f>
        <v/>
      </c>
      <c r="G361" s="1144" t="str">
        <f>IF(Noty!G361="","",Noty!G361)</f>
        <v/>
      </c>
      <c r="H361" s="1493" t="str">
        <f>IF(Noty!H361="","",Noty!H361)</f>
        <v/>
      </c>
      <c r="I361" s="1333"/>
      <c r="J361" s="499" t="str">
        <f>Noty!J361</f>
        <v>ukryj</v>
      </c>
      <c r="K361" s="489"/>
    </row>
    <row r="362" spans="1:14" s="228" customFormat="1" ht="13.6" customHeight="1" x14ac:dyDescent="0.25">
      <c r="B362" s="1503" t="str">
        <f>IF(Noty!B362="","",Noty!B362)</f>
        <v/>
      </c>
      <c r="C362" s="1488" t="str">
        <f>IF(Noty!C362="","",Noty!C362)</f>
        <v/>
      </c>
      <c r="D362" s="1489" t="str">
        <f>IF(Noty!D362="","",Noty!D362)</f>
        <v/>
      </c>
      <c r="E362" s="1327"/>
      <c r="F362" s="1228" t="str">
        <f>IF(Noty!F362="","",Noty!F362)</f>
        <v/>
      </c>
      <c r="G362" s="1229" t="str">
        <f>IF(Noty!G362="","",Noty!G362)</f>
        <v/>
      </c>
      <c r="H362" s="1491" t="str">
        <f>IF(Noty!H362="","",Noty!H362)</f>
        <v/>
      </c>
      <c r="I362" s="1329"/>
      <c r="J362" s="499" t="str">
        <f>Noty!J362</f>
        <v>ukryj</v>
      </c>
      <c r="K362" s="489"/>
    </row>
    <row r="363" spans="1:14" s="228" customFormat="1" ht="13.6" customHeight="1" thickBot="1" x14ac:dyDescent="0.3">
      <c r="B363" s="1345"/>
      <c r="C363" s="1347"/>
      <c r="D363" s="1492" t="str">
        <f>IF(Noty!D363="","",Noty!D363)</f>
        <v/>
      </c>
      <c r="E363" s="1331"/>
      <c r="F363" s="1143" t="str">
        <f>IF(Noty!F363="","",Noty!F363)</f>
        <v/>
      </c>
      <c r="G363" s="1144" t="str">
        <f>IF(Noty!G363="","",Noty!G363)</f>
        <v/>
      </c>
      <c r="H363" s="1493" t="str">
        <f>IF(Noty!H363="","",Noty!H363)</f>
        <v/>
      </c>
      <c r="I363" s="1333"/>
      <c r="J363" s="499" t="str">
        <f>Noty!J363</f>
        <v>ukryj</v>
      </c>
      <c r="K363" s="489"/>
    </row>
    <row r="364" spans="1:14" s="228" customFormat="1" ht="15.05" customHeight="1" x14ac:dyDescent="0.25">
      <c r="B364" s="1126" t="str">
        <f>"Total of carrying value of shares "&amp;Input!P7&amp;""</f>
        <v>Total of carrying value of shares 31.12.2020</v>
      </c>
      <c r="C364" s="381"/>
      <c r="D364" s="624"/>
      <c r="E364" s="624"/>
      <c r="F364" s="624"/>
      <c r="G364" s="625"/>
      <c r="H364" s="1491">
        <f>IF(Noty!H364="","",Noty!H364)</f>
        <v>0</v>
      </c>
      <c r="I364" s="1349"/>
      <c r="J364" s="499" t="str">
        <f>Noty!J364</f>
        <v>ukryj</v>
      </c>
      <c r="K364" s="489"/>
      <c r="L364" s="384"/>
    </row>
    <row r="365" spans="1:14" s="228" customFormat="1" ht="15.05" customHeight="1" thickBot="1" x14ac:dyDescent="0.3">
      <c r="C365" s="382"/>
      <c r="D365" s="624"/>
      <c r="E365" s="624"/>
      <c r="F365" s="624"/>
      <c r="G365" s="624"/>
      <c r="H365" s="624"/>
      <c r="I365" s="630"/>
      <c r="J365" s="499" t="str">
        <f>Noty!J365</f>
        <v>ukryj</v>
      </c>
      <c r="K365" s="489"/>
      <c r="L365" s="384"/>
    </row>
    <row r="366" spans="1:14" s="228" customFormat="1" ht="16.399999999999999" thickTop="1" thickBot="1" x14ac:dyDescent="0.35">
      <c r="A366" s="1183">
        <f>A232</f>
        <v>0</v>
      </c>
      <c r="B366" s="1184">
        <f>+IF(K366="n/a",B350,B350+1)</f>
        <v>0</v>
      </c>
      <c r="C366" s="1462" t="s">
        <v>10902</v>
      </c>
      <c r="D366" s="1462"/>
      <c r="E366" s="1462"/>
      <c r="F366" s="1462"/>
      <c r="G366" s="1462"/>
      <c r="H366" s="1462"/>
      <c r="I366" s="1462"/>
      <c r="J366" s="499" t="str">
        <f>Noty!J366</f>
        <v>ukryj</v>
      </c>
      <c r="K366" s="585" t="str">
        <f>Noty!K366</f>
        <v>n/a</v>
      </c>
      <c r="L366" s="200" t="str">
        <f>A366&amp;"."&amp;B366</f>
        <v>0.0</v>
      </c>
      <c r="N366" s="1101" t="s">
        <v>9378</v>
      </c>
    </row>
    <row r="367" spans="1:14" s="228" customFormat="1" ht="14.25" customHeight="1" thickTop="1" x14ac:dyDescent="0.25">
      <c r="C367" s="379"/>
      <c r="D367" s="620"/>
      <c r="E367" s="620"/>
      <c r="F367" s="620"/>
      <c r="G367" s="620"/>
      <c r="H367" s="620"/>
      <c r="I367" s="620"/>
      <c r="J367" s="499" t="str">
        <f>Noty!J367</f>
        <v>ukryj</v>
      </c>
      <c r="K367" s="489"/>
      <c r="L367" s="577"/>
    </row>
    <row r="368" spans="1:14" s="228" customFormat="1" ht="53.2" customHeight="1" x14ac:dyDescent="0.25">
      <c r="B368" s="1360" t="s">
        <v>10892</v>
      </c>
      <c r="C368" s="1360" t="s">
        <v>10893</v>
      </c>
      <c r="D368" s="1361" t="s">
        <v>10894</v>
      </c>
      <c r="E368" s="1362"/>
      <c r="F368" s="631" t="s">
        <v>10895</v>
      </c>
      <c r="G368" s="632" t="s">
        <v>10896</v>
      </c>
      <c r="H368" s="1361" t="str">
        <f>CONCATENATE("Carrying value of shares ",Input!$C$7)</f>
        <v>Carrying value of shares 31.12.2020</v>
      </c>
      <c r="I368" s="1362"/>
      <c r="J368" s="499" t="str">
        <f>Noty!J368</f>
        <v>ukryj</v>
      </c>
      <c r="K368" s="489"/>
    </row>
    <row r="369" spans="1:14" s="228" customFormat="1" ht="53.2" customHeight="1" thickBot="1" x14ac:dyDescent="0.3">
      <c r="B369" s="1337"/>
      <c r="C369" s="1337"/>
      <c r="D369" s="1341" t="s">
        <v>10897</v>
      </c>
      <c r="E369" s="1342"/>
      <c r="F369" s="633" t="s">
        <v>10898</v>
      </c>
      <c r="G369" s="633" t="s">
        <v>8283</v>
      </c>
      <c r="H369" s="1341" t="s">
        <v>10899</v>
      </c>
      <c r="I369" s="1342"/>
      <c r="J369" s="499" t="str">
        <f>Noty!J369</f>
        <v>ukryj</v>
      </c>
      <c r="K369" s="489"/>
      <c r="L369" s="576"/>
    </row>
    <row r="370" spans="1:14" s="228" customFormat="1" ht="13.6" customHeight="1" x14ac:dyDescent="0.25">
      <c r="B370" s="1503" t="str">
        <f>IF(Noty!B370="","",Noty!B370)</f>
        <v/>
      </c>
      <c r="C370" s="1488" t="str">
        <f>IF(Noty!C370="","",Noty!C370)</f>
        <v/>
      </c>
      <c r="D370" s="1489" t="str">
        <f>IF(Noty!D370="","",Noty!D370)</f>
        <v/>
      </c>
      <c r="E370" s="1327"/>
      <c r="F370" s="1228" t="str">
        <f>IF(Noty!F370="","",Noty!F370)</f>
        <v/>
      </c>
      <c r="G370" s="1229" t="str">
        <f>IF(Noty!G370="","",Noty!G370)</f>
        <v/>
      </c>
      <c r="H370" s="1491" t="str">
        <f>IF(Noty!H370="","",Noty!H370)</f>
        <v/>
      </c>
      <c r="I370" s="1329"/>
      <c r="J370" s="499" t="str">
        <f>Noty!J370</f>
        <v>ukryj</v>
      </c>
      <c r="K370" s="489"/>
    </row>
    <row r="371" spans="1:14" s="228" customFormat="1" ht="13.6" customHeight="1" thickBot="1" x14ac:dyDescent="0.3">
      <c r="B371" s="1323"/>
      <c r="C371" s="1325"/>
      <c r="D371" s="1492" t="str">
        <f>IF(Noty!D371="","",Noty!D371)</f>
        <v/>
      </c>
      <c r="E371" s="1331"/>
      <c r="F371" s="1143" t="str">
        <f>IF(Noty!F371="","",Noty!F371)</f>
        <v/>
      </c>
      <c r="G371" s="1144" t="str">
        <f>IF(Noty!G371="","",Noty!G371)</f>
        <v/>
      </c>
      <c r="H371" s="1493" t="str">
        <f>IF(Noty!H371="","",Noty!H371)</f>
        <v/>
      </c>
      <c r="I371" s="1333"/>
      <c r="J371" s="499" t="str">
        <f>Noty!J371</f>
        <v>ukryj</v>
      </c>
      <c r="K371" s="489"/>
    </row>
    <row r="372" spans="1:14" s="228" customFormat="1" ht="13.6" customHeight="1" x14ac:dyDescent="0.25">
      <c r="B372" s="1503" t="str">
        <f>IF(Noty!B372="","",Noty!B372)</f>
        <v/>
      </c>
      <c r="C372" s="1488" t="str">
        <f>IF(Noty!C372="","",Noty!C372)</f>
        <v/>
      </c>
      <c r="D372" s="1489" t="str">
        <f>IF(Noty!D372="","",Noty!D372)</f>
        <v/>
      </c>
      <c r="E372" s="1327"/>
      <c r="F372" s="1228" t="str">
        <f>IF(Noty!F372="","",Noty!F372)</f>
        <v/>
      </c>
      <c r="G372" s="1229" t="str">
        <f>IF(Noty!G372="","",Noty!G372)</f>
        <v/>
      </c>
      <c r="H372" s="1491" t="str">
        <f>IF(Noty!H372="","",Noty!H372)</f>
        <v/>
      </c>
      <c r="I372" s="1329"/>
      <c r="J372" s="499" t="str">
        <f>Noty!J372</f>
        <v>ukryj</v>
      </c>
      <c r="K372" s="489"/>
    </row>
    <row r="373" spans="1:14" s="228" customFormat="1" ht="13.6" customHeight="1" thickBot="1" x14ac:dyDescent="0.3">
      <c r="B373" s="1323"/>
      <c r="C373" s="1325"/>
      <c r="D373" s="1492" t="str">
        <f>IF(Noty!D373="","",Noty!D373)</f>
        <v/>
      </c>
      <c r="E373" s="1331"/>
      <c r="F373" s="1143" t="str">
        <f>IF(Noty!F373="","",Noty!F373)</f>
        <v/>
      </c>
      <c r="G373" s="1144" t="str">
        <f>IF(Noty!G373="","",Noty!G373)</f>
        <v/>
      </c>
      <c r="H373" s="1493" t="str">
        <f>IF(Noty!H373="","",Noty!H373)</f>
        <v/>
      </c>
      <c r="I373" s="1333"/>
      <c r="J373" s="499" t="str">
        <f>Noty!J373</f>
        <v>ukryj</v>
      </c>
      <c r="K373" s="489"/>
    </row>
    <row r="374" spans="1:14" s="228" customFormat="1" ht="13.6" customHeight="1" x14ac:dyDescent="0.25">
      <c r="B374" s="1503" t="str">
        <f>IF(Noty!B374="","",Noty!B374)</f>
        <v/>
      </c>
      <c r="C374" s="1488" t="str">
        <f>IF(Noty!C374="","",Noty!C374)</f>
        <v/>
      </c>
      <c r="D374" s="1489" t="str">
        <f>IF(Noty!D374="","",Noty!D374)</f>
        <v/>
      </c>
      <c r="E374" s="1327"/>
      <c r="F374" s="1228" t="str">
        <f>IF(Noty!F374="","",Noty!F374)</f>
        <v/>
      </c>
      <c r="G374" s="1229" t="str">
        <f>IF(Noty!G374="","",Noty!G374)</f>
        <v/>
      </c>
      <c r="H374" s="1491" t="str">
        <f>IF(Noty!H374="","",Noty!H374)</f>
        <v/>
      </c>
      <c r="I374" s="1329"/>
      <c r="J374" s="499" t="str">
        <f>Noty!J374</f>
        <v>ukryj</v>
      </c>
      <c r="K374" s="489"/>
    </row>
    <row r="375" spans="1:14" s="228" customFormat="1" ht="13.6" customHeight="1" thickBot="1" x14ac:dyDescent="0.3">
      <c r="B375" s="1345"/>
      <c r="C375" s="1347"/>
      <c r="D375" s="1492" t="str">
        <f>IF(Noty!D375="","",Noty!D375)</f>
        <v/>
      </c>
      <c r="E375" s="1331"/>
      <c r="F375" s="1143" t="str">
        <f>IF(Noty!F375="","",Noty!F375)</f>
        <v/>
      </c>
      <c r="G375" s="1144" t="str">
        <f>IF(Noty!G375="","",Noty!G375)</f>
        <v/>
      </c>
      <c r="H375" s="1493" t="str">
        <f>IF(Noty!H375="","",Noty!H375)</f>
        <v/>
      </c>
      <c r="I375" s="1333"/>
      <c r="J375" s="499" t="str">
        <f>Noty!J375</f>
        <v>ukryj</v>
      </c>
      <c r="K375" s="489"/>
    </row>
    <row r="376" spans="1:14" s="228" customFormat="1" ht="13.6" customHeight="1" x14ac:dyDescent="0.25">
      <c r="B376" s="1503" t="str">
        <f>IF(Noty!B376="","",Noty!B376)</f>
        <v/>
      </c>
      <c r="C376" s="1488" t="str">
        <f>IF(Noty!C376="","",Noty!C376)</f>
        <v/>
      </c>
      <c r="D376" s="1489" t="str">
        <f>IF(Noty!D376="","",Noty!D376)</f>
        <v/>
      </c>
      <c r="E376" s="1327"/>
      <c r="F376" s="1228" t="str">
        <f>IF(Noty!F376="","",Noty!F376)</f>
        <v/>
      </c>
      <c r="G376" s="1229" t="str">
        <f>IF(Noty!G376="","",Noty!G376)</f>
        <v/>
      </c>
      <c r="H376" s="1491" t="str">
        <f>IF(Noty!H376="","",Noty!H376)</f>
        <v/>
      </c>
      <c r="I376" s="1329"/>
      <c r="J376" s="499" t="str">
        <f>Noty!J376</f>
        <v>ukryj</v>
      </c>
      <c r="K376" s="489"/>
    </row>
    <row r="377" spans="1:14" s="228" customFormat="1" ht="13.6" customHeight="1" thickBot="1" x14ac:dyDescent="0.3">
      <c r="B377" s="1345"/>
      <c r="C377" s="1347"/>
      <c r="D377" s="1492" t="str">
        <f>IF(Noty!D377="","",Noty!D377)</f>
        <v/>
      </c>
      <c r="E377" s="1331"/>
      <c r="F377" s="1143" t="str">
        <f>IF(Noty!F377="","",Noty!F377)</f>
        <v/>
      </c>
      <c r="G377" s="1144" t="str">
        <f>IF(Noty!G377="","",Noty!G377)</f>
        <v/>
      </c>
      <c r="H377" s="1493" t="str">
        <f>IF(Noty!H377="","",Noty!H377)</f>
        <v/>
      </c>
      <c r="I377" s="1333"/>
      <c r="J377" s="499" t="str">
        <f>Noty!J377</f>
        <v>ukryj</v>
      </c>
      <c r="K377" s="489"/>
    </row>
    <row r="378" spans="1:14" s="228" customFormat="1" ht="13.6" customHeight="1" x14ac:dyDescent="0.25">
      <c r="B378" s="1503" t="str">
        <f>IF(Noty!B378="","",Noty!B378)</f>
        <v/>
      </c>
      <c r="C378" s="1488" t="str">
        <f>IF(Noty!C378="","",Noty!C378)</f>
        <v/>
      </c>
      <c r="D378" s="1489" t="str">
        <f>IF(Noty!D378="","",Noty!D378)</f>
        <v/>
      </c>
      <c r="E378" s="1327"/>
      <c r="F378" s="1228" t="str">
        <f>IF(Noty!F378="","",Noty!F378)</f>
        <v/>
      </c>
      <c r="G378" s="1229" t="str">
        <f>IF(Noty!G378="","",Noty!G378)</f>
        <v/>
      </c>
      <c r="H378" s="1491" t="str">
        <f>IF(Noty!H378="","",Noty!H378)</f>
        <v/>
      </c>
      <c r="I378" s="1329"/>
      <c r="J378" s="499" t="str">
        <f>Noty!J378</f>
        <v>ukryj</v>
      </c>
      <c r="K378" s="489"/>
    </row>
    <row r="379" spans="1:14" s="228" customFormat="1" ht="13.6" customHeight="1" thickBot="1" x14ac:dyDescent="0.3">
      <c r="B379" s="1345"/>
      <c r="C379" s="1347"/>
      <c r="D379" s="1492" t="str">
        <f>IF(Noty!D379="","",Noty!D379)</f>
        <v/>
      </c>
      <c r="E379" s="1331"/>
      <c r="F379" s="1143" t="str">
        <f>IF(Noty!F379="","",Noty!F379)</f>
        <v/>
      </c>
      <c r="G379" s="1144" t="str">
        <f>IF(Noty!G379="","",Noty!G379)</f>
        <v/>
      </c>
      <c r="H379" s="1493" t="str">
        <f>IF(Noty!H379="","",Noty!H379)</f>
        <v/>
      </c>
      <c r="I379" s="1333"/>
      <c r="J379" s="499" t="str">
        <f>Noty!J379</f>
        <v>ukryj</v>
      </c>
      <c r="K379" s="489"/>
    </row>
    <row r="380" spans="1:14" s="228" customFormat="1" ht="15.05" customHeight="1" x14ac:dyDescent="0.25">
      <c r="B380" s="1126" t="str">
        <f>"Total of carrying value of shares "&amp;Input!P7&amp;""</f>
        <v>Total of carrying value of shares 31.12.2020</v>
      </c>
      <c r="C380" s="381"/>
      <c r="D380" s="624"/>
      <c r="E380" s="624"/>
      <c r="F380" s="624"/>
      <c r="G380" s="625"/>
      <c r="H380" s="1491">
        <f>IF(Noty!H380="","",Noty!H380)</f>
        <v>0</v>
      </c>
      <c r="I380" s="1349"/>
      <c r="J380" s="499" t="str">
        <f>Noty!J380</f>
        <v>ukryj</v>
      </c>
      <c r="K380" s="489"/>
      <c r="L380" s="384"/>
    </row>
    <row r="381" spans="1:14" s="228" customFormat="1" ht="15.05" customHeight="1" thickBot="1" x14ac:dyDescent="0.3">
      <c r="D381" s="634"/>
      <c r="E381" s="634"/>
      <c r="F381" s="634"/>
      <c r="G381" s="634"/>
      <c r="H381" s="634"/>
      <c r="I381" s="634"/>
      <c r="J381" s="499" t="str">
        <f>Noty!J381</f>
        <v>ukryj</v>
      </c>
      <c r="K381" s="489"/>
      <c r="L381" s="230"/>
    </row>
    <row r="382" spans="1:14" s="228" customFormat="1" ht="16.55" customHeight="1" thickTop="1" thickBot="1" x14ac:dyDescent="0.35">
      <c r="A382" s="1183">
        <f>A232</f>
        <v>0</v>
      </c>
      <c r="B382" s="1184">
        <f>+IF(K382="n/a",B366,B366+1)</f>
        <v>0</v>
      </c>
      <c r="C382" s="1463" t="s">
        <v>10903</v>
      </c>
      <c r="D382" s="1463"/>
      <c r="E382" s="1463"/>
      <c r="F382" s="1463"/>
      <c r="G382" s="1463"/>
      <c r="H382" s="1463"/>
      <c r="I382" s="1463"/>
      <c r="J382" s="499" t="str">
        <f>Noty!J382</f>
        <v>ukryj</v>
      </c>
      <c r="K382" s="585" t="str">
        <f>Noty!K382</f>
        <v>n/a</v>
      </c>
      <c r="L382" s="200" t="str">
        <f>A382&amp;"."&amp;B382</f>
        <v>0.0</v>
      </c>
      <c r="N382" s="1101" t="s">
        <v>9378</v>
      </c>
    </row>
    <row r="383" spans="1:14" s="228" customFormat="1" ht="14.25" customHeight="1" thickTop="1" x14ac:dyDescent="0.25">
      <c r="C383" s="385"/>
      <c r="D383" s="635"/>
      <c r="E383" s="635"/>
      <c r="F383" s="635"/>
      <c r="G383" s="635"/>
      <c r="H383" s="635"/>
      <c r="I383" s="635"/>
      <c r="J383" s="499" t="str">
        <f>Noty!J383</f>
        <v>ukryj</v>
      </c>
      <c r="K383" s="489"/>
      <c r="L383" s="578"/>
    </row>
    <row r="384" spans="1:14" s="228" customFormat="1" ht="51.05" customHeight="1" x14ac:dyDescent="0.25">
      <c r="B384" s="524" t="s">
        <v>10892</v>
      </c>
      <c r="C384" s="386" t="s">
        <v>10904</v>
      </c>
      <c r="D384" s="636" t="s">
        <v>10905</v>
      </c>
      <c r="E384" s="624" t="str">
        <f>CONCATENATE("Value of receivables ",Input!$C$7)</f>
        <v>Value of receivables 31.12.2020</v>
      </c>
      <c r="F384" s="636" t="s">
        <v>10906</v>
      </c>
      <c r="G384" s="637" t="s">
        <v>10907</v>
      </c>
      <c r="H384" s="637" t="s">
        <v>10908</v>
      </c>
      <c r="I384" s="636" t="s">
        <v>10909</v>
      </c>
      <c r="J384" s="499" t="str">
        <f>Noty!J384</f>
        <v>ukryj</v>
      </c>
      <c r="K384" s="489"/>
    </row>
    <row r="385" spans="1:14" s="228" customFormat="1" ht="15.05" customHeight="1" x14ac:dyDescent="0.25">
      <c r="B385" s="525"/>
      <c r="C385" s="525"/>
      <c r="D385" s="1141" t="str">
        <f>IF(Noty!D385="","",Noty!D385)</f>
        <v/>
      </c>
      <c r="E385" s="800">
        <f>IF(Noty!E385="","",Noty!E385)</f>
        <v>0</v>
      </c>
      <c r="F385" s="800" t="str">
        <f>IF(Noty!F385="","",Noty!F385)</f>
        <v/>
      </c>
      <c r="G385" s="800" t="str">
        <f>IF(Noty!G385="","",Noty!G385)</f>
        <v/>
      </c>
      <c r="H385" s="1141" t="str">
        <f>IF(Noty!H385="","",Noty!H385)</f>
        <v/>
      </c>
      <c r="I385" s="1141" t="str">
        <f>IF(Noty!I385="","",Noty!I385)</f>
        <v/>
      </c>
      <c r="J385" s="499" t="str">
        <f>Noty!J385</f>
        <v>ukryj</v>
      </c>
      <c r="K385" s="489"/>
    </row>
    <row r="386" spans="1:14" s="228" customFormat="1" ht="15.05" customHeight="1" x14ac:dyDescent="0.25">
      <c r="B386" s="525"/>
      <c r="C386" s="525"/>
      <c r="D386" s="1141" t="str">
        <f>IF(Noty!D386="","",Noty!D386)</f>
        <v/>
      </c>
      <c r="E386" s="800">
        <f>IF(Noty!E386="","",Noty!E386)</f>
        <v>0</v>
      </c>
      <c r="F386" s="800" t="str">
        <f>IF(Noty!F386="","",Noty!F386)</f>
        <v/>
      </c>
      <c r="G386" s="800" t="str">
        <f>IF(Noty!G386="","",Noty!G386)</f>
        <v/>
      </c>
      <c r="H386" s="1141" t="str">
        <f>IF(Noty!H386="","",Noty!H386)</f>
        <v/>
      </c>
      <c r="I386" s="1141" t="str">
        <f>IF(Noty!I386="","",Noty!I386)</f>
        <v/>
      </c>
      <c r="J386" s="499" t="str">
        <f>Noty!J386</f>
        <v>ukryj</v>
      </c>
      <c r="K386" s="489"/>
    </row>
    <row r="387" spans="1:14" s="228" customFormat="1" ht="15.05" customHeight="1" x14ac:dyDescent="0.25">
      <c r="B387" s="525"/>
      <c r="C387" s="525"/>
      <c r="D387" s="1141" t="str">
        <f>IF(Noty!D387="","",Noty!D387)</f>
        <v/>
      </c>
      <c r="E387" s="800">
        <f>IF(Noty!E387="","",Noty!E387)</f>
        <v>0</v>
      </c>
      <c r="F387" s="800" t="str">
        <f>IF(Noty!F387="","",Noty!F387)</f>
        <v/>
      </c>
      <c r="G387" s="800" t="str">
        <f>IF(Noty!G387="","",Noty!G387)</f>
        <v/>
      </c>
      <c r="H387" s="1141" t="str">
        <f>IF(Noty!H387="","",Noty!H387)</f>
        <v/>
      </c>
      <c r="I387" s="1141" t="str">
        <f>IF(Noty!I387="","",Noty!I387)</f>
        <v/>
      </c>
      <c r="J387" s="499" t="str">
        <f>Noty!J387</f>
        <v>ukryj</v>
      </c>
      <c r="K387" s="489"/>
    </row>
    <row r="388" spans="1:14" s="228" customFormat="1" ht="15.05" customHeight="1" x14ac:dyDescent="0.25">
      <c r="B388" s="524"/>
      <c r="C388" s="537"/>
      <c r="D388" s="640"/>
      <c r="E388" s="803">
        <f>IF(Noty!E388="","",Noty!E388)</f>
        <v>0</v>
      </c>
      <c r="F388" s="803">
        <f>IF(Noty!F388="","",Noty!F388)</f>
        <v>0</v>
      </c>
      <c r="G388" s="803">
        <f>IF(Noty!G388="","",Noty!G388)</f>
        <v>0</v>
      </c>
      <c r="H388" s="641"/>
      <c r="I388" s="641"/>
      <c r="J388" s="499" t="str">
        <f>Noty!J388</f>
        <v>ukryj</v>
      </c>
      <c r="K388" s="489"/>
    </row>
    <row r="389" spans="1:14" ht="15.75" customHeight="1" thickBot="1" x14ac:dyDescent="0.3">
      <c r="I389" s="608"/>
      <c r="J389" s="499" t="str">
        <f>Noty!J389</f>
        <v>ukryj</v>
      </c>
      <c r="L389" s="188"/>
    </row>
    <row r="390" spans="1:14" ht="16.399999999999999" thickTop="1" thickBot="1" x14ac:dyDescent="0.35">
      <c r="A390" s="1180">
        <f>+IF(K390="n/a",A382,A382+1)</f>
        <v>0</v>
      </c>
      <c r="B390" s="1182"/>
      <c r="C390" s="1280" t="s">
        <v>10910</v>
      </c>
      <c r="D390" s="1280"/>
      <c r="E390" s="1280"/>
      <c r="F390" s="1280"/>
      <c r="G390" s="1280"/>
      <c r="H390" s="1280"/>
      <c r="I390" s="1280"/>
      <c r="J390" s="499" t="str">
        <f>Noty!J390</f>
        <v>ukryj</v>
      </c>
      <c r="K390" s="585" t="str">
        <f>Noty!K390</f>
        <v>n/a</v>
      </c>
      <c r="L390" s="496" t="str">
        <f>A390&amp;"."&amp;B390</f>
        <v>0.</v>
      </c>
      <c r="N390" s="1101" t="s">
        <v>9378</v>
      </c>
    </row>
    <row r="391" spans="1:14" ht="15.75" customHeight="1" thickTop="1" x14ac:dyDescent="0.25">
      <c r="B391" s="520"/>
      <c r="J391" s="499" t="str">
        <f>Noty!J391</f>
        <v>ukryj</v>
      </c>
    </row>
    <row r="392" spans="1:14" ht="15.75" customHeight="1" x14ac:dyDescent="0.25">
      <c r="B392" s="520"/>
      <c r="C392" s="841"/>
      <c r="D392" s="378"/>
      <c r="G392" s="610"/>
      <c r="H392" s="999" t="str">
        <f>IF(Noty!H392="","",Noty!H392)</f>
        <v>31.12.2020</v>
      </c>
      <c r="I392" s="1000" t="str">
        <f>IF(Noty!I392="","",Noty!I392)</f>
        <v>31.12.2019</v>
      </c>
      <c r="J392" s="499" t="str">
        <f>Noty!J392</f>
        <v>ukryj</v>
      </c>
    </row>
    <row r="393" spans="1:14" ht="15.75" customHeight="1" x14ac:dyDescent="0.25">
      <c r="B393" s="520"/>
      <c r="C393" s="841"/>
      <c r="D393" s="378"/>
      <c r="H393" s="378"/>
      <c r="I393" s="378"/>
      <c r="J393" s="499" t="str">
        <f>Noty!J393</f>
        <v>ukryj</v>
      </c>
    </row>
    <row r="394" spans="1:14" ht="15.75" customHeight="1" x14ac:dyDescent="0.25">
      <c r="B394" s="520"/>
      <c r="C394" s="257" t="s">
        <v>10911</v>
      </c>
      <c r="D394" s="378"/>
      <c r="H394" s="378"/>
      <c r="I394" s="378"/>
      <c r="J394" s="499" t="str">
        <f>Noty!J394</f>
        <v>ukryj</v>
      </c>
    </row>
    <row r="395" spans="1:14" ht="15.75" customHeight="1" x14ac:dyDescent="0.25">
      <c r="B395" s="520"/>
      <c r="C395" s="1367"/>
      <c r="D395" s="1367"/>
      <c r="E395" s="1367"/>
      <c r="F395" s="1367"/>
      <c r="G395" s="1002"/>
      <c r="H395" s="800" t="str">
        <f>IF(Noty!H395="","",Noty!H395)</f>
        <v/>
      </c>
      <c r="I395" s="800" t="str">
        <f>IF(Noty!I395="","",Noty!I395)</f>
        <v/>
      </c>
      <c r="J395" s="499" t="str">
        <f>Noty!J395</f>
        <v>ukryj</v>
      </c>
    </row>
    <row r="396" spans="1:14" ht="15.75" customHeight="1" x14ac:dyDescent="0.25">
      <c r="B396" s="520"/>
      <c r="C396" s="1367"/>
      <c r="D396" s="1367"/>
      <c r="E396" s="1367"/>
      <c r="F396" s="1367"/>
      <c r="G396" s="1002"/>
      <c r="H396" s="1103" t="str">
        <f>IF(Noty!H396="","",Noty!H396)</f>
        <v/>
      </c>
      <c r="I396" s="1103" t="str">
        <f>IF(Noty!I396="","",Noty!I396)</f>
        <v/>
      </c>
      <c r="J396" s="499" t="str">
        <f>Noty!J396</f>
        <v>ukryj</v>
      </c>
    </row>
    <row r="397" spans="1:14" ht="15.75" customHeight="1" x14ac:dyDescent="0.25">
      <c r="B397" s="520"/>
      <c r="C397" s="1367"/>
      <c r="D397" s="1367"/>
      <c r="E397" s="1367"/>
      <c r="F397" s="1367"/>
      <c r="G397" s="1002"/>
      <c r="H397" s="1103" t="str">
        <f>IF(Noty!H397="","",Noty!H397)</f>
        <v/>
      </c>
      <c r="I397" s="1103" t="str">
        <f>IF(Noty!I397="","",Noty!I397)</f>
        <v/>
      </c>
      <c r="J397" s="499" t="str">
        <f>Noty!J397</f>
        <v>ukryj</v>
      </c>
    </row>
    <row r="398" spans="1:14" ht="15.75" customHeight="1" x14ac:dyDescent="0.25">
      <c r="B398" s="520"/>
      <c r="C398" s="1367"/>
      <c r="D398" s="1367"/>
      <c r="E398" s="1367"/>
      <c r="F398" s="1367"/>
      <c r="G398" s="1002"/>
      <c r="H398" s="1103" t="str">
        <f>IF(Noty!H398="","",Noty!H398)</f>
        <v/>
      </c>
      <c r="I398" s="1103" t="str">
        <f>IF(Noty!I398="","",Noty!I398)</f>
        <v/>
      </c>
      <c r="J398" s="499" t="str">
        <f>Noty!J398</f>
        <v>ukryj</v>
      </c>
    </row>
    <row r="399" spans="1:14" ht="15.75" customHeight="1" x14ac:dyDescent="0.25">
      <c r="B399" s="520"/>
      <c r="C399" s="1367"/>
      <c r="D399" s="1367"/>
      <c r="E399" s="1367"/>
      <c r="F399" s="1367"/>
      <c r="G399" s="1002"/>
      <c r="H399" s="1103" t="str">
        <f>IF(Noty!H399="","",Noty!H399)</f>
        <v/>
      </c>
      <c r="I399" s="1103" t="str">
        <f>IF(Noty!I399="","",Noty!I399)</f>
        <v/>
      </c>
      <c r="J399" s="499" t="str">
        <f>Noty!J399</f>
        <v>ukryj</v>
      </c>
    </row>
    <row r="400" spans="1:14" ht="15.75" customHeight="1" x14ac:dyDescent="0.25">
      <c r="B400" s="520"/>
      <c r="C400" s="1367"/>
      <c r="D400" s="1367"/>
      <c r="E400" s="1367"/>
      <c r="F400" s="1367"/>
      <c r="G400" s="1002"/>
      <c r="H400" s="1103" t="str">
        <f>IF(Noty!H400="","",Noty!H400)</f>
        <v/>
      </c>
      <c r="I400" s="1103" t="str">
        <f>IF(Noty!I400="","",Noty!I400)</f>
        <v/>
      </c>
      <c r="J400" s="499" t="str">
        <f>Noty!J400</f>
        <v>ukryj</v>
      </c>
    </row>
    <row r="401" spans="2:10" ht="15.75" customHeight="1" x14ac:dyDescent="0.25">
      <c r="B401" s="520"/>
      <c r="C401" s="1367"/>
      <c r="D401" s="1367"/>
      <c r="E401" s="1367"/>
      <c r="F401" s="1367"/>
      <c r="G401" s="1002"/>
      <c r="H401" s="1103" t="str">
        <f>IF(Noty!H401="","",Noty!H401)</f>
        <v/>
      </c>
      <c r="I401" s="1103" t="str">
        <f>IF(Noty!I401="","",Noty!I401)</f>
        <v/>
      </c>
      <c r="J401" s="499" t="str">
        <f>Noty!J401</f>
        <v>ukryj</v>
      </c>
    </row>
    <row r="402" spans="2:10" ht="15.75" customHeight="1" x14ac:dyDescent="0.25">
      <c r="B402" s="520"/>
      <c r="C402" s="1367"/>
      <c r="D402" s="1367"/>
      <c r="E402" s="1367"/>
      <c r="F402" s="1367"/>
      <c r="G402" s="1002"/>
      <c r="H402" s="1103" t="str">
        <f>IF(Noty!H402="","",Noty!H402)</f>
        <v/>
      </c>
      <c r="I402" s="1103" t="str">
        <f>IF(Noty!I402="","",Noty!I402)</f>
        <v/>
      </c>
      <c r="J402" s="499" t="str">
        <f>Noty!J402</f>
        <v>ukryj</v>
      </c>
    </row>
    <row r="403" spans="2:10" ht="15.75" customHeight="1" x14ac:dyDescent="0.25">
      <c r="B403" s="520"/>
      <c r="C403" s="1367"/>
      <c r="D403" s="1367"/>
      <c r="E403" s="1367"/>
      <c r="F403" s="1367"/>
      <c r="G403" s="1002"/>
      <c r="H403" s="1103" t="str">
        <f>IF(Noty!H403="","",Noty!H403)</f>
        <v/>
      </c>
      <c r="I403" s="1103" t="str">
        <f>IF(Noty!I403="","",Noty!I403)</f>
        <v/>
      </c>
      <c r="J403" s="499" t="str">
        <f>Noty!J403</f>
        <v>ukryj</v>
      </c>
    </row>
    <row r="404" spans="2:10" ht="13.6" customHeight="1" x14ac:dyDescent="0.25">
      <c r="B404" s="520"/>
      <c r="C404" s="1368" t="s">
        <v>10912</v>
      </c>
      <c r="D404" s="1368"/>
      <c r="E404" s="1368"/>
      <c r="F404" s="1368"/>
      <c r="G404" s="1003"/>
      <c r="H404" s="1103" t="str">
        <f>IF(Noty!H404="","",Noty!H404)</f>
        <v/>
      </c>
      <c r="I404" s="1103" t="str">
        <f>IF(Noty!I404="","",Noty!I404)</f>
        <v/>
      </c>
      <c r="J404" s="499" t="str">
        <f>Noty!J404</f>
        <v>ukryj</v>
      </c>
    </row>
    <row r="405" spans="2:10" ht="15.75" customHeight="1" collapsed="1" x14ac:dyDescent="0.25">
      <c r="B405" s="520"/>
      <c r="C405" s="538"/>
      <c r="D405" s="538"/>
      <c r="G405" s="610"/>
      <c r="H405" s="803">
        <f>IF(Noty!H405="","",Noty!H405)</f>
        <v>0</v>
      </c>
      <c r="I405" s="803">
        <f>IF(Noty!I405="","",Noty!I405)</f>
        <v>0</v>
      </c>
      <c r="J405" s="499" t="str">
        <f>Noty!J405</f>
        <v>ukryj</v>
      </c>
    </row>
    <row r="406" spans="2:10" ht="15.75" customHeight="1" x14ac:dyDescent="0.25">
      <c r="B406" s="520"/>
      <c r="C406" s="378"/>
      <c r="D406" s="378"/>
      <c r="H406" s="377"/>
      <c r="I406" s="377"/>
      <c r="J406" s="499" t="str">
        <f>Noty!J406</f>
        <v>ukryj</v>
      </c>
    </row>
    <row r="407" spans="2:10" ht="15.75" customHeight="1" x14ac:dyDescent="0.25">
      <c r="B407" s="520"/>
      <c r="C407" s="257" t="s">
        <v>8263</v>
      </c>
      <c r="D407" s="538"/>
      <c r="H407" s="538"/>
      <c r="I407" s="538"/>
      <c r="J407" s="499" t="str">
        <f>Noty!J407</f>
        <v>ukryj</v>
      </c>
    </row>
    <row r="408" spans="2:10" ht="15.75" customHeight="1" x14ac:dyDescent="0.25">
      <c r="B408" s="520"/>
      <c r="C408" s="1367"/>
      <c r="D408" s="1367"/>
      <c r="E408" s="1367"/>
      <c r="F408" s="1367"/>
      <c r="G408" s="1002"/>
      <c r="H408" s="800" t="str">
        <f>IF(Noty!H408="","",Noty!H408)</f>
        <v/>
      </c>
      <c r="I408" s="800" t="str">
        <f>IF(Noty!I408="","",Noty!I408)</f>
        <v/>
      </c>
      <c r="J408" s="499" t="str">
        <f>Noty!J408</f>
        <v>ukryj</v>
      </c>
    </row>
    <row r="409" spans="2:10" ht="15.75" customHeight="1" x14ac:dyDescent="0.25">
      <c r="B409" s="520"/>
      <c r="C409" s="1367"/>
      <c r="D409" s="1367"/>
      <c r="E409" s="1367"/>
      <c r="F409" s="1367"/>
      <c r="G409" s="1002"/>
      <c r="H409" s="1103" t="str">
        <f>IF(Noty!H409="","",Noty!H409)</f>
        <v/>
      </c>
      <c r="I409" s="1103" t="str">
        <f>IF(Noty!I409="","",Noty!I409)</f>
        <v/>
      </c>
      <c r="J409" s="499" t="str">
        <f>Noty!J409</f>
        <v>ukryj</v>
      </c>
    </row>
    <row r="410" spans="2:10" ht="15.75" customHeight="1" x14ac:dyDescent="0.25">
      <c r="B410" s="520"/>
      <c r="C410" s="1367"/>
      <c r="D410" s="1367"/>
      <c r="E410" s="1367"/>
      <c r="F410" s="1367"/>
      <c r="G410" s="1002"/>
      <c r="H410" s="1103" t="str">
        <f>IF(Noty!H410="","",Noty!H410)</f>
        <v/>
      </c>
      <c r="I410" s="1103" t="str">
        <f>IF(Noty!I410="","",Noty!I410)</f>
        <v/>
      </c>
      <c r="J410" s="499" t="str">
        <f>Noty!J410</f>
        <v>ukryj</v>
      </c>
    </row>
    <row r="411" spans="2:10" ht="15.75" customHeight="1" x14ac:dyDescent="0.25">
      <c r="B411" s="520"/>
      <c r="C411" s="1367"/>
      <c r="D411" s="1367"/>
      <c r="E411" s="1367"/>
      <c r="F411" s="1367"/>
      <c r="G411" s="1002"/>
      <c r="H411" s="1103" t="str">
        <f>IF(Noty!H411="","",Noty!H411)</f>
        <v/>
      </c>
      <c r="I411" s="1103" t="str">
        <f>IF(Noty!I411="","",Noty!I411)</f>
        <v/>
      </c>
      <c r="J411" s="499" t="str">
        <f>Noty!J411</f>
        <v>ukryj</v>
      </c>
    </row>
    <row r="412" spans="2:10" ht="15.75" customHeight="1" x14ac:dyDescent="0.25">
      <c r="B412" s="520"/>
      <c r="C412" s="1367"/>
      <c r="D412" s="1367"/>
      <c r="E412" s="1367"/>
      <c r="F412" s="1367"/>
      <c r="G412" s="1002"/>
      <c r="H412" s="1103" t="str">
        <f>IF(Noty!H412="","",Noty!H412)</f>
        <v/>
      </c>
      <c r="I412" s="1103" t="str">
        <f>IF(Noty!I412="","",Noty!I412)</f>
        <v/>
      </c>
      <c r="J412" s="499" t="str">
        <f>Noty!J412</f>
        <v>ukryj</v>
      </c>
    </row>
    <row r="413" spans="2:10" ht="15.75" customHeight="1" x14ac:dyDescent="0.25">
      <c r="B413" s="520"/>
      <c r="C413" s="1367"/>
      <c r="D413" s="1367"/>
      <c r="E413" s="1367"/>
      <c r="F413" s="1367"/>
      <c r="G413" s="1002"/>
      <c r="H413" s="1103" t="str">
        <f>IF(Noty!H413="","",Noty!H413)</f>
        <v/>
      </c>
      <c r="I413" s="1103" t="str">
        <f>IF(Noty!I413="","",Noty!I413)</f>
        <v/>
      </c>
      <c r="J413" s="499" t="str">
        <f>Noty!J413</f>
        <v>ukryj</v>
      </c>
    </row>
    <row r="414" spans="2:10" ht="15.75" customHeight="1" x14ac:dyDescent="0.25">
      <c r="B414" s="520"/>
      <c r="C414" s="1367"/>
      <c r="D414" s="1367"/>
      <c r="E414" s="1367"/>
      <c r="F414" s="1367"/>
      <c r="G414" s="1002"/>
      <c r="H414" s="1103" t="str">
        <f>IF(Noty!H414="","",Noty!H414)</f>
        <v/>
      </c>
      <c r="I414" s="1103" t="str">
        <f>IF(Noty!I414="","",Noty!I414)</f>
        <v/>
      </c>
      <c r="J414" s="499" t="str">
        <f>Noty!J414</f>
        <v>ukryj</v>
      </c>
    </row>
    <row r="415" spans="2:10" ht="15.75" customHeight="1" x14ac:dyDescent="0.25">
      <c r="B415" s="520"/>
      <c r="C415" s="1367"/>
      <c r="D415" s="1367"/>
      <c r="E415" s="1367"/>
      <c r="F415" s="1367"/>
      <c r="G415" s="1002"/>
      <c r="H415" s="1103" t="str">
        <f>IF(Noty!H415="","",Noty!H415)</f>
        <v/>
      </c>
      <c r="I415" s="1103" t="str">
        <f>IF(Noty!I415="","",Noty!I415)</f>
        <v/>
      </c>
      <c r="J415" s="499" t="str">
        <f>Noty!J415</f>
        <v>ukryj</v>
      </c>
    </row>
    <row r="416" spans="2:10" ht="15.75" customHeight="1" x14ac:dyDescent="0.25">
      <c r="B416" s="520"/>
      <c r="C416" s="1367"/>
      <c r="D416" s="1367"/>
      <c r="E416" s="1367"/>
      <c r="F416" s="1367"/>
      <c r="G416" s="1002"/>
      <c r="H416" s="1103" t="str">
        <f>IF(Noty!H416="","",Noty!H416)</f>
        <v/>
      </c>
      <c r="I416" s="1103" t="str">
        <f>IF(Noty!I416="","",Noty!I416)</f>
        <v/>
      </c>
      <c r="J416" s="499" t="str">
        <f>Noty!J416</f>
        <v>ukryj</v>
      </c>
    </row>
    <row r="417" spans="1:14" ht="13.6" customHeight="1" x14ac:dyDescent="0.25">
      <c r="B417" s="520"/>
      <c r="C417" s="1368" t="s">
        <v>10912</v>
      </c>
      <c r="D417" s="1368"/>
      <c r="E417" s="1368"/>
      <c r="F417" s="1368"/>
      <c r="G417" s="1003"/>
      <c r="H417" s="1103" t="str">
        <f>IF(Noty!H417="","",Noty!H417)</f>
        <v/>
      </c>
      <c r="I417" s="1103" t="str">
        <f>IF(Noty!I417="","",Noty!I417)</f>
        <v/>
      </c>
      <c r="J417" s="499" t="str">
        <f>Noty!J417</f>
        <v>ukryj</v>
      </c>
    </row>
    <row r="418" spans="1:14" ht="15.75" customHeight="1" x14ac:dyDescent="0.25">
      <c r="B418" s="520"/>
      <c r="C418" s="538"/>
      <c r="D418" s="538"/>
      <c r="G418" s="610"/>
      <c r="H418" s="803">
        <f>IF(Noty!H418="","",Noty!H418)</f>
        <v>0</v>
      </c>
      <c r="I418" s="803">
        <f>IF(Noty!I418="","",Noty!I418)</f>
        <v>0</v>
      </c>
      <c r="J418" s="499" t="str">
        <f>Noty!J418</f>
        <v>ukryj</v>
      </c>
    </row>
    <row r="419" spans="1:14" ht="15.75" customHeight="1" x14ac:dyDescent="0.25">
      <c r="B419" s="520"/>
      <c r="C419" s="824"/>
      <c r="D419" s="838"/>
      <c r="E419" s="838"/>
      <c r="H419" s="505"/>
      <c r="I419" s="505"/>
      <c r="J419" s="499" t="str">
        <f>Noty!J419</f>
        <v>ukryj</v>
      </c>
    </row>
    <row r="420" spans="1:14" ht="15.75" customHeight="1" x14ac:dyDescent="0.25">
      <c r="B420" s="520"/>
      <c r="C420" s="824" t="s">
        <v>9287</v>
      </c>
      <c r="D420" s="838"/>
      <c r="E420" s="838"/>
      <c r="G420" s="610"/>
      <c r="H420" s="642">
        <f>IF(Noty!H420="","",Noty!H420)</f>
        <v>0</v>
      </c>
      <c r="I420" s="642">
        <f>IF(Noty!I420="","",Noty!I420)</f>
        <v>0</v>
      </c>
      <c r="J420" s="499" t="str">
        <f>Noty!J420</f>
        <v>ukryj</v>
      </c>
    </row>
    <row r="421" spans="1:14" ht="15.75" customHeight="1" thickBot="1" x14ac:dyDescent="0.3">
      <c r="B421" s="520"/>
      <c r="C421" s="824"/>
      <c r="D421" s="838"/>
      <c r="E421" s="838"/>
      <c r="G421" s="377"/>
      <c r="H421" s="377"/>
      <c r="I421" s="377"/>
      <c r="J421" s="499" t="str">
        <f>Noty!J421</f>
        <v>ukryj</v>
      </c>
      <c r="L421" s="496"/>
    </row>
    <row r="422" spans="1:14" s="200" customFormat="1" ht="15.75" customHeight="1" thickTop="1" thickBot="1" x14ac:dyDescent="0.35">
      <c r="A422" s="1180">
        <f>IF(K422="n/a",A390,A390+1)</f>
        <v>0</v>
      </c>
      <c r="B422" s="1182"/>
      <c r="C422" s="1388" t="s">
        <v>10913</v>
      </c>
      <c r="D422" s="1388"/>
      <c r="E422" s="1388"/>
      <c r="F422" s="1388"/>
      <c r="G422" s="1388"/>
      <c r="H422" s="1388"/>
      <c r="I422" s="1388"/>
      <c r="J422" s="499" t="str">
        <f>Noty!J422</f>
        <v>ukryj</v>
      </c>
      <c r="K422" s="585" t="str">
        <f>Noty!K422</f>
        <v>n/a</v>
      </c>
      <c r="L422" s="496" t="str">
        <f>A422&amp;"."&amp;B422</f>
        <v>0.</v>
      </c>
      <c r="N422" s="1101" t="s">
        <v>9378</v>
      </c>
    </row>
    <row r="423" spans="1:14" s="200" customFormat="1" ht="7.55" customHeight="1" thickTop="1" thickBot="1" x14ac:dyDescent="0.3">
      <c r="A423" s="508"/>
      <c r="B423" s="520"/>
      <c r="D423" s="196"/>
      <c r="E423" s="196"/>
      <c r="F423" s="196"/>
      <c r="G423" s="196"/>
      <c r="H423" s="196"/>
      <c r="I423" s="196"/>
      <c r="J423" s="499" t="str">
        <f>Noty!J423</f>
        <v>ukryj</v>
      </c>
      <c r="K423" s="489"/>
    </row>
    <row r="424" spans="1:14" s="200" customFormat="1" ht="13.6" customHeight="1" thickTop="1" thickBot="1" x14ac:dyDescent="0.35">
      <c r="A424" s="1183">
        <f>A422</f>
        <v>0</v>
      </c>
      <c r="B424" s="1184">
        <f>+IF(K424="n/a",0,1)</f>
        <v>0</v>
      </c>
      <c r="C424" s="1389" t="s">
        <v>10914</v>
      </c>
      <c r="D424" s="1389"/>
      <c r="E424" s="1389"/>
      <c r="F424" s="1389"/>
      <c r="G424" s="1389"/>
      <c r="H424" s="1389"/>
      <c r="I424" s="1389"/>
      <c r="J424" s="499" t="str">
        <f>Noty!J424</f>
        <v>ukryj</v>
      </c>
      <c r="K424" s="585" t="str">
        <f>Noty!K424</f>
        <v>n/a</v>
      </c>
      <c r="L424" s="200" t="str">
        <f>A424&amp;"."&amp;B424</f>
        <v>0.0</v>
      </c>
      <c r="N424" s="1101" t="s">
        <v>9378</v>
      </c>
    </row>
    <row r="425" spans="1:14" s="200" customFormat="1" ht="8.1999999999999993" customHeight="1" thickTop="1" x14ac:dyDescent="0.25">
      <c r="A425" s="508"/>
      <c r="B425" s="520"/>
      <c r="D425" s="196"/>
      <c r="E425" s="196"/>
      <c r="F425" s="196"/>
      <c r="G425" s="196"/>
      <c r="H425" s="196"/>
      <c r="I425" s="196"/>
      <c r="J425" s="499" t="str">
        <f>Noty!J425</f>
        <v>ukryj</v>
      </c>
      <c r="K425" s="489"/>
    </row>
    <row r="426" spans="1:14" s="200" customFormat="1" ht="13.6" customHeight="1" x14ac:dyDescent="0.25">
      <c r="A426" s="194"/>
      <c r="B426" s="520"/>
      <c r="C426" s="1464" t="s">
        <v>10915</v>
      </c>
      <c r="D426" s="1464"/>
      <c r="E426" s="1464"/>
      <c r="F426" s="1464"/>
      <c r="G426" s="1464"/>
      <c r="H426" s="1464"/>
      <c r="I426" s="1464"/>
      <c r="J426" s="499" t="str">
        <f>Noty!J426</f>
        <v>ukryj</v>
      </c>
      <c r="K426" s="489"/>
    </row>
    <row r="427" spans="1:14" s="200" customFormat="1" ht="9" customHeight="1" x14ac:dyDescent="0.25">
      <c r="A427" s="508"/>
      <c r="B427" s="520"/>
      <c r="D427" s="196"/>
      <c r="E427" s="196"/>
      <c r="F427" s="196"/>
      <c r="G427" s="196"/>
      <c r="H427" s="196"/>
      <c r="I427" s="196"/>
      <c r="J427" s="499" t="str">
        <f>Noty!J427</f>
        <v>ukryj</v>
      </c>
      <c r="K427" s="489"/>
    </row>
    <row r="428" spans="1:14" s="200" customFormat="1" ht="13.6" customHeight="1" x14ac:dyDescent="0.25">
      <c r="A428" s="508"/>
      <c r="B428" s="1363"/>
      <c r="C428" s="1364" t="s">
        <v>10916</v>
      </c>
      <c r="D428" s="196"/>
      <c r="E428" s="1365" t="str">
        <f>CONCATENATE("Type of inventory (in gross value) as at ",Input!$P$7)</f>
        <v>Type of inventory (in gross value) as at 31.12.2020</v>
      </c>
      <c r="F428" s="1365"/>
      <c r="G428" s="1365"/>
      <c r="H428" s="1365"/>
      <c r="I428" s="1365"/>
      <c r="J428" s="499" t="str">
        <f>Noty!J428</f>
        <v>ukryj</v>
      </c>
      <c r="K428" s="489"/>
    </row>
    <row r="429" spans="1:14" s="200" customFormat="1" ht="28.5" customHeight="1" x14ac:dyDescent="0.25">
      <c r="A429" s="508"/>
      <c r="B429" s="1363"/>
      <c r="C429" s="1364"/>
      <c r="D429" s="196"/>
      <c r="E429" s="814" t="s">
        <v>10917</v>
      </c>
      <c r="F429" s="823" t="s">
        <v>8127</v>
      </c>
      <c r="G429" s="814" t="s">
        <v>8132</v>
      </c>
      <c r="H429" s="1366" t="s">
        <v>10918</v>
      </c>
      <c r="I429" s="1366"/>
      <c r="J429" s="499" t="str">
        <f>Noty!J429</f>
        <v>ukryj</v>
      </c>
      <c r="K429" s="489"/>
    </row>
    <row r="430" spans="1:14" s="200" customFormat="1" ht="13.6" customHeight="1" x14ac:dyDescent="0.25">
      <c r="A430" s="508"/>
      <c r="C430" s="388" t="s">
        <v>10857</v>
      </c>
      <c r="D430" s="196"/>
      <c r="E430" s="803" t="str">
        <f>IF(Noty!E430="","",Noty!E430)</f>
        <v/>
      </c>
      <c r="F430" s="803" t="str">
        <f>IF(Noty!F430="","",Noty!F430)</f>
        <v/>
      </c>
      <c r="G430" s="803" t="str">
        <f>IF(Noty!G430="","",Noty!G430)</f>
        <v/>
      </c>
      <c r="H430" s="1300" t="str">
        <f>IF(Noty!H430="","",Noty!H430)</f>
        <v/>
      </c>
      <c r="I430" s="1371"/>
      <c r="J430" s="499" t="str">
        <f>Noty!J430</f>
        <v>ukryj</v>
      </c>
      <c r="K430" s="489"/>
    </row>
    <row r="431" spans="1:14" s="200" customFormat="1" ht="27.85" customHeight="1" x14ac:dyDescent="0.25">
      <c r="A431" s="508"/>
      <c r="C431" s="389" t="s">
        <v>10919</v>
      </c>
      <c r="D431" s="196"/>
      <c r="E431" s="1141" t="str">
        <f>IF(Noty!E431="","",Noty!E431)</f>
        <v/>
      </c>
      <c r="F431" s="1141" t="str">
        <f>IF(Noty!F431="","",Noty!F431)</f>
        <v/>
      </c>
      <c r="G431" s="1141" t="str">
        <f>IF(Noty!G431="","",Noty!G431)</f>
        <v/>
      </c>
      <c r="H431" s="1490" t="str">
        <f>IF(Noty!H431="","",Noty!H431)</f>
        <v/>
      </c>
      <c r="I431" s="1372"/>
      <c r="J431" s="499" t="str">
        <f>Noty!J431</f>
        <v>ukryj</v>
      </c>
      <c r="K431" s="489"/>
    </row>
    <row r="432" spans="1:14" s="200" customFormat="1" ht="13.6" customHeight="1" x14ac:dyDescent="0.25">
      <c r="A432" s="508"/>
      <c r="C432" s="388" t="s">
        <v>10920</v>
      </c>
      <c r="D432" s="196"/>
      <c r="E432" s="803">
        <f>IF(Noty!E432="","",Noty!E432)</f>
        <v>0</v>
      </c>
      <c r="F432" s="803">
        <f>IF(Noty!F432="","",Noty!F432)</f>
        <v>0</v>
      </c>
      <c r="G432" s="803">
        <f>IF(Noty!G432="","",Noty!G432)</f>
        <v>0</v>
      </c>
      <c r="H432" s="1300">
        <f>IF(Noty!H432="","",Noty!H432)</f>
        <v>0</v>
      </c>
      <c r="I432" s="1300"/>
      <c r="J432" s="499" t="str">
        <f>Noty!J432</f>
        <v>ukryj</v>
      </c>
      <c r="K432" s="489"/>
    </row>
    <row r="433" spans="1:14" s="200" customFormat="1" ht="13.6" customHeight="1" x14ac:dyDescent="0.25">
      <c r="A433" s="194"/>
      <c r="B433" s="520"/>
      <c r="C433" s="390" t="s">
        <v>7756</v>
      </c>
      <c r="D433" s="196"/>
      <c r="E433" s="196"/>
      <c r="F433" s="196"/>
      <c r="G433" s="196"/>
      <c r="H433" s="196"/>
      <c r="I433" s="196"/>
      <c r="J433" s="499" t="str">
        <f>Noty!J433</f>
        <v>ukryj</v>
      </c>
      <c r="K433" s="489"/>
    </row>
    <row r="434" spans="1:14" s="200" customFormat="1" ht="13.6" customHeight="1" x14ac:dyDescent="0.25">
      <c r="A434" s="489"/>
      <c r="B434" s="520"/>
      <c r="C434" s="390"/>
      <c r="D434" s="196"/>
      <c r="E434" s="196"/>
      <c r="F434" s="196"/>
      <c r="G434" s="196"/>
      <c r="H434" s="196"/>
      <c r="I434" s="196"/>
      <c r="J434" s="499" t="str">
        <f>Noty!J434</f>
        <v>ukryj</v>
      </c>
      <c r="K434" s="489"/>
    </row>
    <row r="435" spans="1:14" s="200" customFormat="1" ht="13.6" customHeight="1" x14ac:dyDescent="0.25">
      <c r="A435" s="489"/>
      <c r="B435" s="520"/>
      <c r="C435" s="390"/>
      <c r="D435" s="196"/>
      <c r="E435" s="196"/>
      <c r="F435" s="196"/>
      <c r="G435" s="251"/>
      <c r="H435" s="999" t="str">
        <f>IF(Noty!H435="","",Noty!H435)</f>
        <v>31.12.2020</v>
      </c>
      <c r="I435" s="1000" t="str">
        <f>IF(Noty!I435="","",Noty!I435)</f>
        <v>31.12.2019</v>
      </c>
      <c r="J435" s="499" t="str">
        <f>Noty!J435</f>
        <v>ukryj</v>
      </c>
      <c r="K435" s="489"/>
    </row>
    <row r="436" spans="1:14" s="200" customFormat="1" ht="13.6" customHeight="1" x14ac:dyDescent="0.25">
      <c r="A436" s="508"/>
      <c r="B436" s="526"/>
      <c r="C436" s="1374" t="str">
        <f>"Inventory is stated in the balance sheet net of inventory reserves"</f>
        <v>Inventory is stated in the balance sheet net of inventory reserves</v>
      </c>
      <c r="D436" s="1374"/>
      <c r="E436" s="1374"/>
      <c r="F436" s="1374"/>
      <c r="G436" s="991"/>
      <c r="H436" s="1103" t="str">
        <f>IF(Noty!H436="","",Noty!H436)</f>
        <v/>
      </c>
      <c r="I436" s="1103" t="str">
        <f>IF(Noty!I436="","",Noty!I436)</f>
        <v/>
      </c>
      <c r="J436" s="499" t="str">
        <f>Noty!J436</f>
        <v>ukryj</v>
      </c>
      <c r="K436" s="489"/>
    </row>
    <row r="437" spans="1:14" s="200" customFormat="1" ht="9.85" customHeight="1" thickBot="1" x14ac:dyDescent="0.3">
      <c r="A437" s="508"/>
      <c r="B437" s="526"/>
      <c r="C437" s="391"/>
      <c r="D437" s="644"/>
      <c r="E437" s="644"/>
      <c r="F437" s="644"/>
      <c r="G437" s="644"/>
      <c r="H437" s="644"/>
      <c r="I437" s="644"/>
      <c r="J437" s="499" t="str">
        <f>Noty!J437</f>
        <v>ukryj</v>
      </c>
      <c r="K437" s="489"/>
    </row>
    <row r="438" spans="1:14" s="200" customFormat="1" ht="15.05" customHeight="1" thickTop="1" thickBot="1" x14ac:dyDescent="0.35">
      <c r="A438" s="1183">
        <f>A422</f>
        <v>0</v>
      </c>
      <c r="B438" s="1184">
        <f>+IF(K438="n/a",B424,B424+1)</f>
        <v>0</v>
      </c>
      <c r="C438" s="1369" t="s">
        <v>10921</v>
      </c>
      <c r="D438" s="1369"/>
      <c r="E438" s="1369"/>
      <c r="F438" s="1369"/>
      <c r="G438" s="1369"/>
      <c r="H438" s="1369"/>
      <c r="I438" s="1369"/>
      <c r="J438" s="499" t="str">
        <f>Noty!J438</f>
        <v>ukryj</v>
      </c>
      <c r="K438" s="585" t="str">
        <f>Noty!K438</f>
        <v>n/a</v>
      </c>
      <c r="L438" s="200" t="str">
        <f>A438&amp;"."&amp;B438</f>
        <v>0.0</v>
      </c>
      <c r="N438" s="1101" t="s">
        <v>9378</v>
      </c>
    </row>
    <row r="439" spans="1:14" s="200" customFormat="1" ht="9" customHeight="1" thickTop="1" x14ac:dyDescent="0.25">
      <c r="A439" s="508"/>
      <c r="B439" s="819"/>
      <c r="C439" s="392"/>
      <c r="D439" s="646"/>
      <c r="E439" s="646"/>
      <c r="F439" s="646"/>
      <c r="G439" s="646"/>
      <c r="H439" s="646"/>
      <c r="I439" s="196"/>
      <c r="J439" s="499" t="str">
        <f>Noty!J439</f>
        <v>ukryj</v>
      </c>
      <c r="K439" s="489"/>
    </row>
    <row r="440" spans="1:14" s="200" customFormat="1" ht="38.950000000000003" customHeight="1" x14ac:dyDescent="0.25">
      <c r="A440" s="508"/>
      <c r="B440" s="527"/>
      <c r="C440" s="817" t="s">
        <v>10836</v>
      </c>
      <c r="D440" s="816" t="s">
        <v>10922</v>
      </c>
      <c r="E440" s="816" t="s">
        <v>10923</v>
      </c>
      <c r="F440" s="816" t="s">
        <v>10924</v>
      </c>
      <c r="G440" s="1373" t="s">
        <v>10925</v>
      </c>
      <c r="H440" s="1373"/>
      <c r="I440" s="816" t="s">
        <v>10926</v>
      </c>
      <c r="J440" s="499" t="str">
        <f>Noty!J440</f>
        <v>ukryj</v>
      </c>
      <c r="K440" s="489"/>
    </row>
    <row r="441" spans="1:14" s="200" customFormat="1" ht="15.05" customHeight="1" x14ac:dyDescent="0.25">
      <c r="A441" s="508"/>
      <c r="B441" s="528"/>
      <c r="C441" s="805" t="str">
        <f>CONCATENATE("As at ",Input!$C$6)</f>
        <v>As at 01.01.2020</v>
      </c>
      <c r="D441" s="1103" t="str">
        <f>IF(Noty!D441="","",Noty!D441)</f>
        <v/>
      </c>
      <c r="E441" s="1103" t="str">
        <f>IF(Noty!E441="","",Noty!E441)</f>
        <v/>
      </c>
      <c r="F441" s="1103" t="str">
        <f>IF(Noty!F441="","",Noty!F441)</f>
        <v/>
      </c>
      <c r="G441" s="1487" t="str">
        <f>IF(Noty!G441="","",Noty!G441)</f>
        <v/>
      </c>
      <c r="H441" s="1298"/>
      <c r="I441" s="800">
        <f>IF(Noty!I441="","",Noty!I441)</f>
        <v>0</v>
      </c>
      <c r="J441" s="499" t="str">
        <f>Noty!J441</f>
        <v>ukryj</v>
      </c>
      <c r="K441" s="489"/>
    </row>
    <row r="442" spans="1:14" s="200" customFormat="1" ht="26.2" customHeight="1" x14ac:dyDescent="0.25">
      <c r="A442" s="508"/>
      <c r="B442" s="529"/>
      <c r="C442" s="809" t="s">
        <v>10927</v>
      </c>
      <c r="D442" s="1103" t="str">
        <f>IF(Noty!D442="","",Noty!D442)</f>
        <v/>
      </c>
      <c r="E442" s="1103" t="str">
        <f>IF(Noty!E442="","",Noty!E442)</f>
        <v/>
      </c>
      <c r="F442" s="1103" t="str">
        <f>IF(Noty!F442="","",Noty!F442)</f>
        <v/>
      </c>
      <c r="G442" s="1487" t="str">
        <f>IF(Noty!G442="","",Noty!G442)</f>
        <v/>
      </c>
      <c r="H442" s="1298"/>
      <c r="I442" s="800">
        <f>IF(Noty!I442="","",Noty!I442)</f>
        <v>0</v>
      </c>
      <c r="J442" s="499" t="str">
        <f>Noty!J442</f>
        <v>ukryj</v>
      </c>
      <c r="K442" s="489"/>
    </row>
    <row r="443" spans="1:14" s="200" customFormat="1" ht="15.05" customHeight="1" x14ac:dyDescent="0.25">
      <c r="A443" s="508"/>
      <c r="B443" s="529"/>
      <c r="C443" s="809" t="s">
        <v>10928</v>
      </c>
      <c r="D443" s="1141" t="str">
        <f>IF(Noty!D443="","",Noty!D443)</f>
        <v/>
      </c>
      <c r="E443" s="1141" t="str">
        <f>IF(Noty!E443="","",Noty!E443)</f>
        <v/>
      </c>
      <c r="F443" s="1141" t="str">
        <f>IF(Noty!F443="","",Noty!F443)</f>
        <v/>
      </c>
      <c r="G443" s="1499" t="str">
        <f>IF(Noty!G443="","",Noty!G443)</f>
        <v/>
      </c>
      <c r="H443" s="1309"/>
      <c r="I443" s="800">
        <f>IF(Noty!I443="","",Noty!I443)</f>
        <v>0</v>
      </c>
      <c r="J443" s="499" t="str">
        <f>Noty!J443</f>
        <v>ukryj</v>
      </c>
      <c r="K443" s="489"/>
    </row>
    <row r="444" spans="1:14" s="200" customFormat="1" ht="29.95" customHeight="1" x14ac:dyDescent="0.25">
      <c r="A444" s="508"/>
      <c r="B444" s="529"/>
      <c r="C444" s="809" t="s">
        <v>10929</v>
      </c>
      <c r="D444" s="1141" t="str">
        <f>IF(Noty!D444="","",Noty!D444)</f>
        <v/>
      </c>
      <c r="E444" s="1141" t="str">
        <f>IF(Noty!E444="","",Noty!E444)</f>
        <v/>
      </c>
      <c r="F444" s="1141" t="str">
        <f>IF(Noty!F444="","",Noty!F444)</f>
        <v/>
      </c>
      <c r="G444" s="1499" t="str">
        <f>IF(Noty!G444="","",Noty!G444)</f>
        <v/>
      </c>
      <c r="H444" s="1309"/>
      <c r="I444" s="800">
        <f>IF(Noty!I444="","",Noty!I444)</f>
        <v>0</v>
      </c>
      <c r="J444" s="499" t="str">
        <f>Noty!J444</f>
        <v>ukryj</v>
      </c>
      <c r="K444" s="489"/>
    </row>
    <row r="445" spans="1:14" s="200" customFormat="1" ht="15.05" customHeight="1" x14ac:dyDescent="0.25">
      <c r="A445" s="508"/>
      <c r="B445" s="529"/>
      <c r="C445" s="809"/>
      <c r="D445" s="647"/>
      <c r="E445" s="648"/>
      <c r="F445" s="647"/>
      <c r="G445" s="647"/>
      <c r="H445" s="647"/>
      <c r="I445" s="647"/>
      <c r="J445" s="499" t="str">
        <f>Noty!J445</f>
        <v>ukryj</v>
      </c>
      <c r="K445" s="489"/>
    </row>
    <row r="446" spans="1:14" s="200" customFormat="1" ht="15.05" customHeight="1" x14ac:dyDescent="0.25">
      <c r="A446" s="508"/>
      <c r="B446" s="528"/>
      <c r="C446" s="821" t="str">
        <f>CONCATENATE("As at ",Input!$C$7)</f>
        <v>As at 31.12.2020</v>
      </c>
      <c r="D446" s="803">
        <f>IF(Noty!D446="","",Noty!D446)</f>
        <v>0</v>
      </c>
      <c r="E446" s="803">
        <f>IF(Noty!E446="","",Noty!E446)</f>
        <v>0</v>
      </c>
      <c r="F446" s="803">
        <f>IF(Noty!F446="","",Noty!F446)</f>
        <v>0</v>
      </c>
      <c r="G446" s="1300">
        <f>IF(Noty!G446="","",Noty!G446)</f>
        <v>0</v>
      </c>
      <c r="H446" s="1300"/>
      <c r="I446" s="803">
        <f>IF(Noty!I446="","",Noty!I446)</f>
        <v>0</v>
      </c>
      <c r="J446" s="499" t="str">
        <f>Noty!J446</f>
        <v>ukryj</v>
      </c>
      <c r="K446" s="489"/>
    </row>
    <row r="447" spans="1:14" s="200" customFormat="1" ht="11.95" customHeight="1" thickBot="1" x14ac:dyDescent="0.3">
      <c r="A447" s="508"/>
      <c r="B447" s="526"/>
      <c r="C447" s="391"/>
      <c r="D447" s="644"/>
      <c r="E447" s="644"/>
      <c r="F447" s="644"/>
      <c r="G447" s="644"/>
      <c r="H447" s="644"/>
      <c r="I447" s="644"/>
      <c r="J447" s="499" t="str">
        <f>Noty!J447</f>
        <v>ukryj</v>
      </c>
      <c r="K447" s="489"/>
    </row>
    <row r="448" spans="1:14" s="200" customFormat="1" ht="29.3" customHeight="1" thickTop="1" thickBot="1" x14ac:dyDescent="0.35">
      <c r="A448" s="1183">
        <f>A422</f>
        <v>0</v>
      </c>
      <c r="B448" s="1184">
        <f>+IF(K448="n/a",B438,B438+1)</f>
        <v>0</v>
      </c>
      <c r="C448" s="1369" t="s">
        <v>10930</v>
      </c>
      <c r="D448" s="1369"/>
      <c r="E448" s="1369"/>
      <c r="F448" s="1369"/>
      <c r="G448" s="1369"/>
      <c r="H448" s="1369"/>
      <c r="I448" s="1369"/>
      <c r="J448" s="499" t="str">
        <f>Noty!J448</f>
        <v>ukryj</v>
      </c>
      <c r="K448" s="585" t="str">
        <f>Noty!K448</f>
        <v>n/a</v>
      </c>
      <c r="L448" s="200" t="str">
        <f>A448&amp;"."&amp;B448</f>
        <v>0.0</v>
      </c>
      <c r="N448" s="1101" t="s">
        <v>9378</v>
      </c>
    </row>
    <row r="449" spans="1:14" s="200" customFormat="1" ht="10.5" customHeight="1" thickTop="1" x14ac:dyDescent="0.25">
      <c r="A449" s="513"/>
      <c r="B449" s="523"/>
      <c r="C449" s="394"/>
      <c r="D449" s="196"/>
      <c r="E449" s="196"/>
      <c r="F449" s="196"/>
      <c r="G449" s="196"/>
      <c r="H449" s="196"/>
      <c r="I449" s="196"/>
      <c r="J449" s="499" t="str">
        <f>Noty!J449</f>
        <v>ukryj</v>
      </c>
      <c r="K449" s="489"/>
    </row>
    <row r="450" spans="1:14" s="200" customFormat="1" ht="15.05" customHeight="1" x14ac:dyDescent="0.25">
      <c r="A450" s="513"/>
      <c r="B450" s="523"/>
      <c r="C450" s="394"/>
      <c r="D450" s="196"/>
      <c r="E450" s="196"/>
      <c r="F450" s="196"/>
      <c r="G450" s="9"/>
      <c r="H450" s="999" t="str">
        <f>IF(Noty!H450="","",Noty!H450)</f>
        <v>31.12.2020</v>
      </c>
      <c r="I450" s="1000" t="str">
        <f>IF(Noty!I450="","",Noty!I450)</f>
        <v>31.12.2019</v>
      </c>
      <c r="J450" s="499" t="str">
        <f>Noty!J450</f>
        <v>ukryj</v>
      </c>
      <c r="K450" s="489"/>
    </row>
    <row r="451" spans="1:14" s="200" customFormat="1" ht="9" customHeight="1" x14ac:dyDescent="0.25">
      <c r="A451" s="508"/>
      <c r="B451" s="520"/>
      <c r="D451" s="196"/>
      <c r="E451" s="196"/>
      <c r="F451" s="196"/>
      <c r="J451" s="499" t="str">
        <f>Noty!J451</f>
        <v>ukryj</v>
      </c>
      <c r="K451" s="489"/>
    </row>
    <row r="452" spans="1:14" s="200" customFormat="1" ht="15.05" customHeight="1" x14ac:dyDescent="0.25">
      <c r="A452" s="508"/>
      <c r="B452" s="520"/>
      <c r="C452" s="188" t="s">
        <v>8132</v>
      </c>
      <c r="D452" s="196"/>
      <c r="E452" s="196"/>
      <c r="F452" s="196"/>
      <c r="J452" s="499" t="str">
        <f>Noty!J452</f>
        <v>ukryj</v>
      </c>
      <c r="K452" s="489"/>
    </row>
    <row r="453" spans="1:14" s="200" customFormat="1" ht="15.05" customHeight="1" x14ac:dyDescent="0.25">
      <c r="A453" s="508"/>
      <c r="B453" s="520"/>
      <c r="C453" s="539" t="s">
        <v>10931</v>
      </c>
      <c r="E453" s="196"/>
      <c r="F453" s="196"/>
      <c r="G453" s="9"/>
      <c r="H453" s="1141" t="str">
        <f>IF(Noty!H453="","",Noty!H453)</f>
        <v/>
      </c>
      <c r="I453" s="1141" t="str">
        <f>IF(Noty!I453="","",Noty!I453)</f>
        <v/>
      </c>
      <c r="J453" s="499" t="str">
        <f>Noty!J453</f>
        <v>ukryj</v>
      </c>
      <c r="K453" s="489"/>
    </row>
    <row r="454" spans="1:14" s="200" customFormat="1" ht="15.05" customHeight="1" x14ac:dyDescent="0.25">
      <c r="A454" s="508"/>
      <c r="B454" s="520"/>
      <c r="C454" s="539" t="s">
        <v>10932</v>
      </c>
      <c r="E454" s="196"/>
      <c r="F454" s="196"/>
      <c r="G454" s="9"/>
      <c r="H454" s="1141" t="str">
        <f>IF(Noty!H454="","",Noty!H454)</f>
        <v/>
      </c>
      <c r="I454" s="1141" t="str">
        <f>IF(Noty!I454="","",Noty!I454)</f>
        <v/>
      </c>
      <c r="J454" s="499" t="str">
        <f>Noty!J454</f>
        <v>ukryj</v>
      </c>
      <c r="K454" s="489"/>
    </row>
    <row r="455" spans="1:14" s="200" customFormat="1" ht="15.05" customHeight="1" x14ac:dyDescent="0.25">
      <c r="A455" s="508"/>
      <c r="B455" s="520"/>
      <c r="C455" s="188"/>
      <c r="D455" s="196"/>
      <c r="E455" s="196"/>
      <c r="F455" s="196"/>
      <c r="G455" s="9"/>
      <c r="H455" s="803">
        <f>IF(Noty!H455="","",Noty!H455)</f>
        <v>0</v>
      </c>
      <c r="I455" s="803">
        <f>IF(Noty!I455="","",Noty!I455)</f>
        <v>0</v>
      </c>
      <c r="J455" s="499" t="str">
        <f>Noty!J455</f>
        <v>ukryj</v>
      </c>
      <c r="K455" s="489"/>
    </row>
    <row r="456" spans="1:14" s="200" customFormat="1" ht="15.05" customHeight="1" x14ac:dyDescent="0.25">
      <c r="A456" s="508"/>
      <c r="B456" s="520"/>
      <c r="C456" s="188" t="s">
        <v>8127</v>
      </c>
      <c r="D456" s="196"/>
      <c r="E456" s="196"/>
      <c r="F456" s="196"/>
      <c r="H456" s="196"/>
      <c r="I456" s="196"/>
      <c r="J456" s="499" t="str">
        <f>Noty!J456</f>
        <v>ukryj</v>
      </c>
      <c r="K456" s="489"/>
    </row>
    <row r="457" spans="1:14" s="200" customFormat="1" ht="15.05" customHeight="1" x14ac:dyDescent="0.25">
      <c r="A457" s="508"/>
      <c r="B457" s="520"/>
      <c r="C457" s="539" t="s">
        <v>10931</v>
      </c>
      <c r="E457" s="196"/>
      <c r="F457" s="196"/>
      <c r="G457" s="9"/>
      <c r="H457" s="1141" t="str">
        <f>IF(Noty!H457="","",Noty!H457)</f>
        <v/>
      </c>
      <c r="I457" s="1141" t="str">
        <f>IF(Noty!I457="","",Noty!I457)</f>
        <v/>
      </c>
      <c r="J457" s="499" t="str">
        <f>Noty!J457</f>
        <v>ukryj</v>
      </c>
      <c r="K457" s="489"/>
    </row>
    <row r="458" spans="1:14" s="200" customFormat="1" ht="15.05" customHeight="1" x14ac:dyDescent="0.25">
      <c r="A458" s="508"/>
      <c r="B458" s="520"/>
      <c r="C458" s="539" t="s">
        <v>10932</v>
      </c>
      <c r="E458" s="196"/>
      <c r="F458" s="196"/>
      <c r="G458" s="9"/>
      <c r="H458" s="1141" t="str">
        <f>IF(Noty!H458="","",Noty!H458)</f>
        <v/>
      </c>
      <c r="I458" s="1141" t="str">
        <f>IF(Noty!I458="","",Noty!I458)</f>
        <v/>
      </c>
      <c r="J458" s="499" t="str">
        <f>Noty!J458</f>
        <v>ukryj</v>
      </c>
      <c r="K458" s="489"/>
    </row>
    <row r="459" spans="1:14" s="200" customFormat="1" ht="15.05" customHeight="1" x14ac:dyDescent="0.25">
      <c r="A459" s="508"/>
      <c r="B459" s="520"/>
      <c r="C459" s="188"/>
      <c r="D459" s="196"/>
      <c r="E459" s="196"/>
      <c r="F459" s="196"/>
      <c r="G459" s="9"/>
      <c r="H459" s="803">
        <f>IF(Noty!H459="","",Noty!H459)</f>
        <v>0</v>
      </c>
      <c r="I459" s="803">
        <f>IF(Noty!I459="","",Noty!I459)</f>
        <v>0</v>
      </c>
      <c r="J459" s="499" t="str">
        <f>Noty!J459</f>
        <v>ukryj</v>
      </c>
      <c r="K459" s="489"/>
    </row>
    <row r="460" spans="1:14" s="200" customFormat="1" x14ac:dyDescent="0.25">
      <c r="A460" s="508"/>
      <c r="B460" s="520"/>
      <c r="C460" s="395" t="s">
        <v>7933</v>
      </c>
      <c r="D460" s="196"/>
      <c r="E460" s="196"/>
      <c r="F460" s="196"/>
      <c r="G460" s="196"/>
      <c r="H460" s="196"/>
      <c r="I460" s="196"/>
      <c r="J460" s="499" t="str">
        <f>Noty!J460</f>
        <v>ukryj</v>
      </c>
      <c r="K460" s="489"/>
    </row>
    <row r="461" spans="1:14" s="200" customFormat="1" ht="28.5" customHeight="1" x14ac:dyDescent="0.25">
      <c r="A461" s="513"/>
      <c r="B461" s="523"/>
      <c r="C461" s="1370" t="s">
        <v>10933</v>
      </c>
      <c r="D461" s="1370"/>
      <c r="E461" s="1370"/>
      <c r="F461" s="1370"/>
      <c r="G461" s="1370"/>
      <c r="H461" s="1370"/>
      <c r="I461" s="1370"/>
      <c r="J461" s="499" t="str">
        <f>Noty!J461</f>
        <v>ukryj</v>
      </c>
      <c r="K461" s="489"/>
    </row>
    <row r="462" spans="1:14" ht="15.75" customHeight="1" thickBot="1" x14ac:dyDescent="0.3">
      <c r="A462" s="513"/>
      <c r="B462" s="523"/>
      <c r="C462" s="396"/>
      <c r="D462" s="584"/>
      <c r="E462" s="584"/>
      <c r="F462" s="584"/>
      <c r="G462" s="584"/>
      <c r="H462" s="584"/>
      <c r="I462" s="584"/>
      <c r="J462" s="499" t="str">
        <f>Noty!J462</f>
        <v>ukryj</v>
      </c>
      <c r="L462" s="188"/>
    </row>
    <row r="463" spans="1:14" s="366" customFormat="1" ht="16.55" customHeight="1" thickTop="1" thickBot="1" x14ac:dyDescent="0.35">
      <c r="A463" s="1180">
        <f>IF(K463="n/a",A448,A448+1)</f>
        <v>0</v>
      </c>
      <c r="B463" s="1186"/>
      <c r="C463" s="1465" t="s">
        <v>7832</v>
      </c>
      <c r="D463" s="1465"/>
      <c r="E463" s="1465"/>
      <c r="F463" s="1465"/>
      <c r="G463" s="1465"/>
      <c r="H463" s="1465"/>
      <c r="I463" s="1465"/>
      <c r="J463" s="499" t="str">
        <f>Noty!J463</f>
        <v>ukryj</v>
      </c>
      <c r="K463" s="585" t="str">
        <f>Noty!K463</f>
        <v>n/a</v>
      </c>
      <c r="L463" s="496" t="str">
        <f>A463&amp;"."&amp;B463</f>
        <v>0.</v>
      </c>
      <c r="N463" s="1101" t="s">
        <v>9378</v>
      </c>
    </row>
    <row r="464" spans="1:14" s="366" customFormat="1" ht="16.55" customHeight="1" thickTop="1" thickBot="1" x14ac:dyDescent="0.3">
      <c r="A464" s="514"/>
      <c r="B464" s="810"/>
      <c r="C464" s="397"/>
      <c r="D464" s="650"/>
      <c r="E464" s="651"/>
      <c r="F464" s="651"/>
      <c r="G464" s="651"/>
      <c r="H464" s="651"/>
      <c r="I464" s="651"/>
      <c r="J464" s="499" t="str">
        <f>Noty!J464</f>
        <v>ukryj</v>
      </c>
      <c r="K464" s="489"/>
    </row>
    <row r="465" spans="1:14" s="366" customFormat="1" ht="16.55" customHeight="1" thickTop="1" thickBot="1" x14ac:dyDescent="0.35">
      <c r="A465" s="1183">
        <f>A463</f>
        <v>0</v>
      </c>
      <c r="B465" s="1184">
        <f>IF(K465="n/a",0,1)</f>
        <v>0</v>
      </c>
      <c r="C465" s="1369" t="s">
        <v>10934</v>
      </c>
      <c r="D465" s="1369"/>
      <c r="E465" s="1369"/>
      <c r="F465" s="1369"/>
      <c r="G465" s="1369"/>
      <c r="H465" s="1369"/>
      <c r="I465" s="1369"/>
      <c r="J465" s="499" t="str">
        <f>Noty!J465</f>
        <v>ukryj</v>
      </c>
      <c r="K465" s="585" t="str">
        <f>Noty!K465</f>
        <v>n/a</v>
      </c>
      <c r="L465" s="496" t="str">
        <f>A465&amp;"."&amp;B465</f>
        <v>0.0</v>
      </c>
      <c r="N465" s="1101" t="s">
        <v>9378</v>
      </c>
    </row>
    <row r="466" spans="1:14" s="366" customFormat="1" ht="12.8" customHeight="1" thickTop="1" x14ac:dyDescent="0.25">
      <c r="A466" s="514"/>
      <c r="B466" s="810"/>
      <c r="C466" s="397"/>
      <c r="D466" s="645"/>
      <c r="E466" s="651"/>
      <c r="F466" s="651"/>
      <c r="G466" s="651"/>
      <c r="H466" s="651"/>
      <c r="I466" s="651"/>
      <c r="J466" s="499" t="str">
        <f>Noty!J466</f>
        <v>ukryj</v>
      </c>
      <c r="K466" s="489"/>
      <c r="L466" s="489"/>
    </row>
    <row r="467" spans="1:14" s="571" customFormat="1" ht="15.75" customHeight="1" x14ac:dyDescent="0.25">
      <c r="A467" s="514"/>
      <c r="B467" s="810"/>
      <c r="C467" s="1375" t="s">
        <v>10836</v>
      </c>
      <c r="D467" s="1375"/>
      <c r="E467" s="818"/>
      <c r="F467" s="818"/>
      <c r="G467" s="1376" t="str">
        <f>CONCATENATE("As at ",Input!$P$7)</f>
        <v>As at 31.12.2020</v>
      </c>
      <c r="H467" s="1376"/>
      <c r="I467" s="1376"/>
      <c r="J467" s="499" t="str">
        <f>Noty!J467</f>
        <v>ukryj</v>
      </c>
      <c r="K467" s="489"/>
      <c r="L467" s="489"/>
    </row>
    <row r="468" spans="1:14" s="571" customFormat="1" ht="28.5" customHeight="1" x14ac:dyDescent="0.25">
      <c r="A468" s="514"/>
      <c r="B468" s="810"/>
      <c r="C468" s="1375"/>
      <c r="D468" s="1375"/>
      <c r="E468" s="818"/>
      <c r="F468" s="818"/>
      <c r="G468" s="816" t="s">
        <v>10935</v>
      </c>
      <c r="H468" s="816" t="s">
        <v>10936</v>
      </c>
      <c r="I468" s="818" t="s">
        <v>10937</v>
      </c>
      <c r="J468" s="499" t="str">
        <f>Noty!J468</f>
        <v>ukryj</v>
      </c>
      <c r="K468" s="489"/>
      <c r="L468" s="489"/>
    </row>
    <row r="469" spans="1:14" s="401" customFormat="1" ht="26.2" customHeight="1" x14ac:dyDescent="0.25">
      <c r="A469" s="514"/>
      <c r="B469" s="810"/>
      <c r="C469" s="401" t="s">
        <v>10938</v>
      </c>
      <c r="D469" s="649"/>
      <c r="E469" s="649"/>
      <c r="F469" s="649"/>
      <c r="G469" s="800">
        <f>IF(Noty!G469="","",Noty!G469)</f>
        <v>0</v>
      </c>
      <c r="H469" s="800">
        <f>IF(Noty!H469="","",Noty!H469)</f>
        <v>0</v>
      </c>
      <c r="I469" s="800">
        <f>IF(Noty!I469="","",Noty!I469)</f>
        <v>0</v>
      </c>
      <c r="J469" s="499" t="str">
        <f>Noty!J469</f>
        <v>ukryj</v>
      </c>
      <c r="K469" s="489"/>
      <c r="L469" s="489"/>
    </row>
    <row r="470" spans="1:14" s="366" customFormat="1" ht="15.05" customHeight="1" x14ac:dyDescent="0.25">
      <c r="A470" s="514"/>
      <c r="B470" s="810"/>
      <c r="C470" s="366" t="s">
        <v>10939</v>
      </c>
      <c r="D470" s="652"/>
      <c r="E470" s="652"/>
      <c r="F470" s="652"/>
      <c r="G470" s="800">
        <f>IF(Noty!G470="","",Noty!G470)</f>
        <v>0</v>
      </c>
      <c r="H470" s="800">
        <f>IF(Noty!H470="","",Noty!H470)</f>
        <v>0</v>
      </c>
      <c r="I470" s="800">
        <f>IF(Noty!I470="","",Noty!I470)</f>
        <v>0</v>
      </c>
      <c r="J470" s="499" t="str">
        <f>Noty!J470</f>
        <v>ukryj</v>
      </c>
      <c r="K470" s="489"/>
      <c r="L470" s="489"/>
    </row>
    <row r="471" spans="1:14" s="366" customFormat="1" ht="15.05" customHeight="1" x14ac:dyDescent="0.25">
      <c r="A471" s="514"/>
      <c r="B471" s="810"/>
      <c r="C471" s="403" t="s">
        <v>8423</v>
      </c>
      <c r="D471" s="653"/>
      <c r="E471" s="654"/>
      <c r="F471" s="654"/>
      <c r="G471" s="800" t="str">
        <f>IF(Noty!G471="","",Noty!G471)</f>
        <v/>
      </c>
      <c r="H471" s="1149" t="str">
        <f>IF(Noty!H471="","",Noty!H471)</f>
        <v/>
      </c>
      <c r="I471" s="800">
        <f>IF(Noty!I471="","",Noty!I471)</f>
        <v>0</v>
      </c>
      <c r="J471" s="499" t="str">
        <f>Noty!J471</f>
        <v>ukryj</v>
      </c>
      <c r="K471" s="489"/>
      <c r="L471" s="489"/>
    </row>
    <row r="472" spans="1:14" s="366" customFormat="1" ht="15.05" customHeight="1" x14ac:dyDescent="0.25">
      <c r="A472" s="514"/>
      <c r="B472" s="810"/>
      <c r="C472" s="403" t="s">
        <v>8427</v>
      </c>
      <c r="D472" s="653"/>
      <c r="E472" s="654"/>
      <c r="F472" s="654"/>
      <c r="G472" s="800" t="str">
        <f>IF(Noty!G472="","",Noty!G472)</f>
        <v/>
      </c>
      <c r="H472" s="1150" t="str">
        <f>IF(Noty!H472="","",Noty!H472)</f>
        <v/>
      </c>
      <c r="I472" s="800">
        <f>IF(Noty!I472="","",Noty!I472)</f>
        <v>0</v>
      </c>
      <c r="J472" s="499" t="str">
        <f>Noty!J472</f>
        <v>ukryj</v>
      </c>
      <c r="K472" s="489"/>
      <c r="L472" s="489"/>
    </row>
    <row r="473" spans="1:14" s="366" customFormat="1" ht="15.05" customHeight="1" x14ac:dyDescent="0.25">
      <c r="A473" s="514"/>
      <c r="B473" s="810"/>
      <c r="C473" s="820" t="s">
        <v>8162</v>
      </c>
      <c r="D473" s="653"/>
      <c r="E473" s="654"/>
      <c r="F473" s="654"/>
      <c r="G473" s="800" t="str">
        <f>IF(Noty!G473="","",Noty!G473)</f>
        <v/>
      </c>
      <c r="H473" s="1149" t="str">
        <f>IF(Noty!H473="","",Noty!H473)</f>
        <v/>
      </c>
      <c r="I473" s="800">
        <f>IF(Noty!I473="","",Noty!I473)</f>
        <v>0</v>
      </c>
      <c r="J473" s="499" t="str">
        <f>Noty!J473</f>
        <v>ukryj</v>
      </c>
      <c r="K473" s="489"/>
      <c r="L473" s="489"/>
    </row>
    <row r="474" spans="1:14" s="366" customFormat="1" ht="40.6" customHeight="1" x14ac:dyDescent="0.25">
      <c r="A474" s="514"/>
      <c r="B474" s="810"/>
      <c r="C474" s="1377" t="s">
        <v>10940</v>
      </c>
      <c r="D474" s="1377"/>
      <c r="E474" s="1377"/>
      <c r="F474" s="1377"/>
      <c r="G474" s="800">
        <f>IF(Noty!G474="","",Noty!G474)</f>
        <v>0</v>
      </c>
      <c r="H474" s="800">
        <f>IF(Noty!H474="","",Noty!H474)</f>
        <v>0</v>
      </c>
      <c r="I474" s="800">
        <f>IF(Noty!I474="","",Noty!I474)</f>
        <v>0</v>
      </c>
      <c r="J474" s="499" t="str">
        <f>Noty!J474</f>
        <v>ukryj</v>
      </c>
      <c r="K474" s="489"/>
      <c r="L474" s="489"/>
    </row>
    <row r="475" spans="1:14" s="366" customFormat="1" ht="15.05" customHeight="1" x14ac:dyDescent="0.25">
      <c r="A475" s="514"/>
      <c r="B475" s="810"/>
      <c r="C475" s="366" t="s">
        <v>10939</v>
      </c>
      <c r="D475" s="651"/>
      <c r="E475" s="651"/>
      <c r="F475" s="651"/>
      <c r="G475" s="800">
        <f>IF(Noty!G475="","",Noty!G475)</f>
        <v>0</v>
      </c>
      <c r="H475" s="800">
        <f>IF(Noty!H475="","",Noty!H475)</f>
        <v>0</v>
      </c>
      <c r="I475" s="800">
        <f>IF(Noty!I475="","",Noty!I475)</f>
        <v>0</v>
      </c>
      <c r="J475" s="499" t="str">
        <f>Noty!J475</f>
        <v>ukryj</v>
      </c>
      <c r="K475" s="489"/>
      <c r="L475" s="489"/>
    </row>
    <row r="476" spans="1:14" s="366" customFormat="1" ht="15.05" customHeight="1" x14ac:dyDescent="0.25">
      <c r="A476" s="514"/>
      <c r="B476" s="810"/>
      <c r="C476" s="403" t="s">
        <v>8423</v>
      </c>
      <c r="D476" s="657"/>
      <c r="E476" s="654"/>
      <c r="F476" s="654"/>
      <c r="G476" s="800" t="str">
        <f>IF(Noty!G476="","",Noty!G476)</f>
        <v/>
      </c>
      <c r="H476" s="1149" t="str">
        <f>IF(Noty!H476="","",Noty!H476)</f>
        <v/>
      </c>
      <c r="I476" s="800">
        <f>IF(Noty!I476="","",Noty!I476)</f>
        <v>0</v>
      </c>
      <c r="J476" s="499" t="str">
        <f>Noty!J476</f>
        <v>ukryj</v>
      </c>
      <c r="K476" s="489"/>
      <c r="L476" s="489"/>
    </row>
    <row r="477" spans="1:14" s="366" customFormat="1" ht="15.05" customHeight="1" x14ac:dyDescent="0.25">
      <c r="A477" s="514"/>
      <c r="B477" s="810"/>
      <c r="C477" s="403" t="s">
        <v>8427</v>
      </c>
      <c r="D477" s="657"/>
      <c r="E477" s="654"/>
      <c r="F477" s="654"/>
      <c r="G477" s="800" t="str">
        <f>IF(Noty!G477="","",Noty!G477)</f>
        <v/>
      </c>
      <c r="H477" s="1149" t="str">
        <f>IF(Noty!H477="","",Noty!H477)</f>
        <v/>
      </c>
      <c r="I477" s="800">
        <f>IF(Noty!I477="","",Noty!I477)</f>
        <v>0</v>
      </c>
      <c r="J477" s="499" t="str">
        <f>Noty!J477</f>
        <v>ukryj</v>
      </c>
      <c r="K477" s="489"/>
      <c r="L477" s="489"/>
    </row>
    <row r="478" spans="1:14" s="366" customFormat="1" ht="15.05" customHeight="1" x14ac:dyDescent="0.25">
      <c r="A478" s="514"/>
      <c r="B478" s="810"/>
      <c r="C478" s="1378" t="s">
        <v>8162</v>
      </c>
      <c r="D478" s="1378"/>
      <c r="E478" s="654"/>
      <c r="F478" s="654"/>
      <c r="G478" s="800" t="str">
        <f>IF(Noty!G478="","",Noty!G478)</f>
        <v/>
      </c>
      <c r="H478" s="1149" t="str">
        <f>IF(Noty!H478="","",Noty!H478)</f>
        <v/>
      </c>
      <c r="I478" s="800">
        <f>IF(Noty!I478="","",Noty!I478)</f>
        <v>0</v>
      </c>
      <c r="J478" s="499" t="str">
        <f>Noty!J478</f>
        <v>ukryj</v>
      </c>
      <c r="K478" s="489"/>
      <c r="L478" s="489"/>
    </row>
    <row r="479" spans="1:14" s="366" customFormat="1" ht="27.85" customHeight="1" x14ac:dyDescent="0.25">
      <c r="A479" s="514"/>
      <c r="B479" s="810"/>
      <c r="C479" s="1377" t="s">
        <v>10941</v>
      </c>
      <c r="D479" s="1377"/>
      <c r="E479" s="1377"/>
      <c r="F479" s="1377"/>
      <c r="G479" s="800">
        <f>IF(Noty!G479="","",Noty!G479)</f>
        <v>0</v>
      </c>
      <c r="H479" s="800">
        <f>IF(Noty!H479="","",Noty!H479)</f>
        <v>0</v>
      </c>
      <c r="I479" s="800">
        <f>IF(Noty!I479="","",Noty!I479)</f>
        <v>0</v>
      </c>
      <c r="J479" s="499" t="str">
        <f>Noty!J479</f>
        <v>ukryj</v>
      </c>
      <c r="K479" s="489"/>
      <c r="L479" s="489"/>
    </row>
    <row r="480" spans="1:14" s="401" customFormat="1" ht="15.05" customHeight="1" x14ac:dyDescent="0.25">
      <c r="A480" s="514"/>
      <c r="B480" s="810"/>
      <c r="C480" s="366" t="s">
        <v>10939</v>
      </c>
      <c r="D480" s="651"/>
      <c r="E480" s="651"/>
      <c r="F480" s="651"/>
      <c r="G480" s="800">
        <f>IF(Noty!G480="","",Noty!G480)</f>
        <v>0</v>
      </c>
      <c r="H480" s="800">
        <f>IF(Noty!H480="","",Noty!H480)</f>
        <v>0</v>
      </c>
      <c r="I480" s="800">
        <f>IF(Noty!I480="","",Noty!I480)</f>
        <v>0</v>
      </c>
      <c r="J480" s="499" t="str">
        <f>Noty!J480</f>
        <v>ukryj</v>
      </c>
      <c r="K480" s="489"/>
      <c r="L480" s="489"/>
    </row>
    <row r="481" spans="1:12" s="401" customFormat="1" ht="15.05" customHeight="1" x14ac:dyDescent="0.25">
      <c r="A481" s="514"/>
      <c r="B481" s="810"/>
      <c r="C481" s="403" t="s">
        <v>8423</v>
      </c>
      <c r="D481" s="653"/>
      <c r="E481" s="658"/>
      <c r="F481" s="658"/>
      <c r="G481" s="800" t="str">
        <f>IF(Noty!G481="","",Noty!G481)</f>
        <v/>
      </c>
      <c r="H481" s="1149" t="str">
        <f>IF(Noty!H481="","",Noty!H481)</f>
        <v/>
      </c>
      <c r="I481" s="800">
        <f>IF(Noty!I481="","",Noty!I481)</f>
        <v>0</v>
      </c>
      <c r="J481" s="499" t="str">
        <f>Noty!J481</f>
        <v>ukryj</v>
      </c>
      <c r="K481" s="489"/>
      <c r="L481" s="489"/>
    </row>
    <row r="482" spans="1:12" s="401" customFormat="1" ht="15.05" customHeight="1" x14ac:dyDescent="0.25">
      <c r="A482" s="514"/>
      <c r="B482" s="810"/>
      <c r="C482" s="403" t="s">
        <v>8427</v>
      </c>
      <c r="D482" s="653"/>
      <c r="E482" s="658"/>
      <c r="F482" s="658"/>
      <c r="G482" s="800" t="str">
        <f>IF(Noty!G482="","",Noty!G482)</f>
        <v/>
      </c>
      <c r="H482" s="1149" t="str">
        <f>IF(Noty!H482="","",Noty!H482)</f>
        <v/>
      </c>
      <c r="I482" s="800">
        <f>IF(Noty!I482="","",Noty!I482)</f>
        <v>0</v>
      </c>
      <c r="J482" s="499" t="str">
        <f>Noty!J482</f>
        <v>ukryj</v>
      </c>
      <c r="K482" s="489"/>
      <c r="L482" s="489"/>
    </row>
    <row r="483" spans="1:12" s="366" customFormat="1" ht="39.799999999999997" customHeight="1" x14ac:dyDescent="0.25">
      <c r="A483" s="514"/>
      <c r="B483" s="810"/>
      <c r="C483" s="1378" t="s">
        <v>8191</v>
      </c>
      <c r="D483" s="1378"/>
      <c r="E483" s="1378"/>
      <c r="F483" s="1378"/>
      <c r="G483" s="1149" t="str">
        <f>IF(Noty!G483="","",Noty!G483)</f>
        <v/>
      </c>
      <c r="H483" s="1149" t="str">
        <f>IF(Noty!H483="","",Noty!H483)</f>
        <v/>
      </c>
      <c r="I483" s="800">
        <f>IF(Noty!I483="","",Noty!I483)</f>
        <v>0</v>
      </c>
      <c r="J483" s="499" t="str">
        <f>Noty!J483</f>
        <v>ukryj</v>
      </c>
      <c r="K483" s="489"/>
      <c r="L483" s="489"/>
    </row>
    <row r="484" spans="1:12" s="366" customFormat="1" ht="15.05" customHeight="1" x14ac:dyDescent="0.25">
      <c r="A484" s="514"/>
      <c r="B484" s="810"/>
      <c r="C484" s="809" t="s">
        <v>8162</v>
      </c>
      <c r="D484" s="659"/>
      <c r="E484" s="654"/>
      <c r="F484" s="654"/>
      <c r="G484" s="800" t="str">
        <f>IF(Noty!G484="","",Noty!G484)</f>
        <v/>
      </c>
      <c r="H484" s="1149" t="str">
        <f>IF(Noty!H484="","",Noty!H484)</f>
        <v/>
      </c>
      <c r="I484" s="800">
        <f>IF(Noty!I484="","",Noty!I484)</f>
        <v>0</v>
      </c>
      <c r="J484" s="499" t="str">
        <f>Noty!J484</f>
        <v>ukryj</v>
      </c>
      <c r="K484" s="489"/>
      <c r="L484" s="489"/>
    </row>
    <row r="485" spans="1:12" s="366" customFormat="1" ht="15.05" customHeight="1" x14ac:dyDescent="0.25">
      <c r="A485" s="514"/>
      <c r="B485" s="810"/>
      <c r="C485" s="839" t="s">
        <v>8199</v>
      </c>
      <c r="D485" s="653"/>
      <c r="E485" s="654"/>
      <c r="F485" s="654"/>
      <c r="G485" s="800" t="str">
        <f>IF(Noty!G485="","",Noty!G485)</f>
        <v/>
      </c>
      <c r="H485" s="1149" t="str">
        <f>IF(Noty!H485="","",Noty!H485)</f>
        <v/>
      </c>
      <c r="I485" s="800">
        <f>IF(Noty!I485="","",Noty!I485)</f>
        <v>0</v>
      </c>
      <c r="J485" s="499" t="str">
        <f>Noty!J485</f>
        <v>ukryj</v>
      </c>
      <c r="K485" s="489"/>
      <c r="L485" s="489"/>
    </row>
    <row r="486" spans="1:12" s="401" customFormat="1" ht="13.6" customHeight="1" x14ac:dyDescent="0.25">
      <c r="A486" s="514"/>
      <c r="B486" s="810"/>
      <c r="C486" s="397"/>
      <c r="D486" s="660"/>
      <c r="E486" s="661"/>
      <c r="F486" s="661"/>
      <c r="G486" s="803">
        <f>IF(Noty!G486="","",Noty!G486)</f>
        <v>0</v>
      </c>
      <c r="H486" s="803">
        <f>IF(Noty!H486="","",Noty!H486)</f>
        <v>0</v>
      </c>
      <c r="I486" s="803">
        <f>IF(Noty!I486="","",Noty!I486)</f>
        <v>0</v>
      </c>
      <c r="J486" s="499" t="str">
        <f>Noty!J486</f>
        <v>ukryj</v>
      </c>
      <c r="K486" s="489"/>
      <c r="L486" s="489"/>
    </row>
    <row r="487" spans="1:12" ht="15.75" customHeight="1" x14ac:dyDescent="0.25">
      <c r="I487" s="608"/>
      <c r="J487" s="499" t="str">
        <f>Noty!J487</f>
        <v>ukryj</v>
      </c>
    </row>
    <row r="488" spans="1:12" ht="15.75" customHeight="1" x14ac:dyDescent="0.25">
      <c r="A488" s="514"/>
      <c r="B488" s="810"/>
      <c r="C488" s="1375" t="s">
        <v>10836</v>
      </c>
      <c r="D488" s="1375"/>
      <c r="E488" s="818"/>
      <c r="F488" s="818"/>
      <c r="G488" s="1376" t="str">
        <f>CONCATENATE("As at ",Input!$P$11)</f>
        <v>As at 31.12.2019</v>
      </c>
      <c r="H488" s="1376"/>
      <c r="I488" s="1376"/>
      <c r="J488" s="499" t="str">
        <f>Noty!J488</f>
        <v>ukryj</v>
      </c>
    </row>
    <row r="489" spans="1:12" ht="25.55" customHeight="1" x14ac:dyDescent="0.25">
      <c r="A489" s="514"/>
      <c r="B489" s="810"/>
      <c r="C489" s="1375"/>
      <c r="D489" s="1375"/>
      <c r="E489" s="818"/>
      <c r="F489" s="818"/>
      <c r="G489" s="818" t="s">
        <v>10935</v>
      </c>
      <c r="H489" s="816" t="s">
        <v>10936</v>
      </c>
      <c r="I489" s="818" t="s">
        <v>10937</v>
      </c>
      <c r="J489" s="499" t="str">
        <f>Noty!J489</f>
        <v>ukryj</v>
      </c>
    </row>
    <row r="490" spans="1:12" ht="29.3" customHeight="1" x14ac:dyDescent="0.25">
      <c r="A490" s="514"/>
      <c r="B490" s="810"/>
      <c r="C490" s="401" t="s">
        <v>10938</v>
      </c>
      <c r="D490" s="649"/>
      <c r="E490" s="649"/>
      <c r="F490" s="649"/>
      <c r="G490" s="800">
        <f>IF(Noty!G490="","",Noty!G490)</f>
        <v>0</v>
      </c>
      <c r="H490" s="800">
        <f>IF(Noty!H490="","",Noty!H490)</f>
        <v>0</v>
      </c>
      <c r="I490" s="800">
        <f>IF(Noty!I490="","",Noty!I490)</f>
        <v>0</v>
      </c>
      <c r="J490" s="499" t="str">
        <f>Noty!J490</f>
        <v>ukryj</v>
      </c>
    </row>
    <row r="491" spans="1:12" ht="15.75" customHeight="1" x14ac:dyDescent="0.25">
      <c r="A491" s="514"/>
      <c r="B491" s="810"/>
      <c r="C491" s="366" t="s">
        <v>10939</v>
      </c>
      <c r="D491" s="652"/>
      <c r="E491" s="652"/>
      <c r="F491" s="652"/>
      <c r="G491" s="800">
        <f>IF(Noty!G491="","",Noty!G491)</f>
        <v>0</v>
      </c>
      <c r="H491" s="800">
        <f>IF(Noty!H491="","",Noty!H491)</f>
        <v>0</v>
      </c>
      <c r="I491" s="800">
        <f>IF(Noty!I491="","",Noty!I491)</f>
        <v>0</v>
      </c>
      <c r="J491" s="499" t="str">
        <f>Noty!J491</f>
        <v>ukryj</v>
      </c>
    </row>
    <row r="492" spans="1:12" ht="15.75" customHeight="1" x14ac:dyDescent="0.25">
      <c r="A492" s="514"/>
      <c r="B492" s="810"/>
      <c r="C492" s="403" t="s">
        <v>8423</v>
      </c>
      <c r="D492" s="653"/>
      <c r="E492" s="654"/>
      <c r="F492" s="654"/>
      <c r="G492" s="800" t="str">
        <f>IF(Noty!G492="","",Noty!G492)</f>
        <v/>
      </c>
      <c r="H492" s="1149" t="str">
        <f>IF(Noty!H492="","",Noty!H492)</f>
        <v/>
      </c>
      <c r="I492" s="800">
        <f>IF(Noty!I492="","",Noty!I492)</f>
        <v>0</v>
      </c>
      <c r="J492" s="499" t="str">
        <f>Noty!J492</f>
        <v>ukryj</v>
      </c>
    </row>
    <row r="493" spans="1:12" ht="15.75" customHeight="1" x14ac:dyDescent="0.25">
      <c r="A493" s="514"/>
      <c r="B493" s="810"/>
      <c r="C493" s="403" t="s">
        <v>8427</v>
      </c>
      <c r="D493" s="653"/>
      <c r="E493" s="654"/>
      <c r="F493" s="654"/>
      <c r="G493" s="800" t="str">
        <f>IF(Noty!G493="","",Noty!G493)</f>
        <v/>
      </c>
      <c r="H493" s="1150" t="str">
        <f>IF(Noty!H493="","",Noty!H493)</f>
        <v/>
      </c>
      <c r="I493" s="800">
        <f>IF(Noty!I493="","",Noty!I493)</f>
        <v>0</v>
      </c>
      <c r="J493" s="499" t="str">
        <f>Noty!J493</f>
        <v>ukryj</v>
      </c>
    </row>
    <row r="494" spans="1:12" ht="15.75" customHeight="1" x14ac:dyDescent="0.25">
      <c r="A494" s="514"/>
      <c r="B494" s="810"/>
      <c r="C494" s="820" t="s">
        <v>8162</v>
      </c>
      <c r="D494" s="653"/>
      <c r="E494" s="654"/>
      <c r="F494" s="654"/>
      <c r="G494" s="800" t="str">
        <f>IF(Noty!G494="","",Noty!G494)</f>
        <v/>
      </c>
      <c r="H494" s="1149" t="str">
        <f>IF(Noty!H494="","",Noty!H494)</f>
        <v/>
      </c>
      <c r="I494" s="800">
        <f>IF(Noty!I494="","",Noty!I494)</f>
        <v>0</v>
      </c>
      <c r="J494" s="499" t="str">
        <f>Noty!J494</f>
        <v>ukryj</v>
      </c>
    </row>
    <row r="495" spans="1:12" ht="15.75" customHeight="1" x14ac:dyDescent="0.25">
      <c r="A495" s="514"/>
      <c r="B495" s="810"/>
      <c r="C495" s="1377" t="s">
        <v>10940</v>
      </c>
      <c r="D495" s="1377"/>
      <c r="E495" s="1377"/>
      <c r="F495" s="1377"/>
      <c r="G495" s="800">
        <f>IF(Noty!G495="","",Noty!G495)</f>
        <v>0</v>
      </c>
      <c r="H495" s="800">
        <f>IF(Noty!H495="","",Noty!H495)</f>
        <v>0</v>
      </c>
      <c r="I495" s="800">
        <f>IF(Noty!I495="","",Noty!I495)</f>
        <v>0</v>
      </c>
      <c r="J495" s="499" t="str">
        <f>Noty!J495</f>
        <v>ukryj</v>
      </c>
    </row>
    <row r="496" spans="1:12" ht="15.75" customHeight="1" x14ac:dyDescent="0.25">
      <c r="A496" s="514"/>
      <c r="B496" s="810"/>
      <c r="C496" s="366" t="s">
        <v>10939</v>
      </c>
      <c r="D496" s="651"/>
      <c r="E496" s="651"/>
      <c r="F496" s="651"/>
      <c r="G496" s="800">
        <f>IF(Noty!G496="","",Noty!G496)</f>
        <v>0</v>
      </c>
      <c r="H496" s="800">
        <f>IF(Noty!H496="","",Noty!H496)</f>
        <v>0</v>
      </c>
      <c r="I496" s="800">
        <f>IF(Noty!I496="","",Noty!I496)</f>
        <v>0</v>
      </c>
      <c r="J496" s="499" t="str">
        <f>Noty!J496</f>
        <v>ukryj</v>
      </c>
    </row>
    <row r="497" spans="1:14" ht="15.75" customHeight="1" x14ac:dyDescent="0.25">
      <c r="A497" s="514"/>
      <c r="B497" s="810"/>
      <c r="C497" s="403" t="s">
        <v>8423</v>
      </c>
      <c r="D497" s="657"/>
      <c r="E497" s="654"/>
      <c r="F497" s="654"/>
      <c r="G497" s="800" t="str">
        <f>IF(Noty!G497="","",Noty!G497)</f>
        <v/>
      </c>
      <c r="H497" s="1149" t="str">
        <f>IF(Noty!H497="","",Noty!H497)</f>
        <v/>
      </c>
      <c r="I497" s="800">
        <f>IF(Noty!I497="","",Noty!I497)</f>
        <v>0</v>
      </c>
      <c r="J497" s="499" t="str">
        <f>Noty!J497</f>
        <v>ukryj</v>
      </c>
    </row>
    <row r="498" spans="1:14" ht="15.75" customHeight="1" x14ac:dyDescent="0.25">
      <c r="A498" s="514"/>
      <c r="B498" s="810"/>
      <c r="C498" s="403" t="s">
        <v>8427</v>
      </c>
      <c r="D498" s="657"/>
      <c r="E498" s="654"/>
      <c r="F498" s="654"/>
      <c r="G498" s="800" t="str">
        <f>IF(Noty!G498="","",Noty!G498)</f>
        <v/>
      </c>
      <c r="H498" s="1149" t="str">
        <f>IF(Noty!H498="","",Noty!H498)</f>
        <v/>
      </c>
      <c r="I498" s="800">
        <f>IF(Noty!I498="","",Noty!I498)</f>
        <v>0</v>
      </c>
      <c r="J498" s="499" t="str">
        <f>Noty!J498</f>
        <v>ukryj</v>
      </c>
    </row>
    <row r="499" spans="1:14" ht="15.75" customHeight="1" x14ac:dyDescent="0.25">
      <c r="A499" s="514"/>
      <c r="B499" s="810"/>
      <c r="C499" s="1378" t="s">
        <v>8162</v>
      </c>
      <c r="D499" s="1378"/>
      <c r="E499" s="654"/>
      <c r="F499" s="654"/>
      <c r="G499" s="800" t="str">
        <f>IF(Noty!G499="","",Noty!G499)</f>
        <v/>
      </c>
      <c r="H499" s="1149" t="str">
        <f>IF(Noty!H499="","",Noty!H499)</f>
        <v/>
      </c>
      <c r="I499" s="800">
        <f>IF(Noty!I499="","",Noty!I499)</f>
        <v>0</v>
      </c>
      <c r="J499" s="499" t="str">
        <f>Noty!J499</f>
        <v>ukryj</v>
      </c>
    </row>
    <row r="500" spans="1:14" ht="15.75" customHeight="1" x14ac:dyDescent="0.25">
      <c r="A500" s="514"/>
      <c r="B500" s="810"/>
      <c r="C500" s="1377" t="s">
        <v>10941</v>
      </c>
      <c r="D500" s="1377"/>
      <c r="E500" s="1377"/>
      <c r="F500" s="1377"/>
      <c r="G500" s="800">
        <f>IF(Noty!G500="","",Noty!G500)</f>
        <v>0</v>
      </c>
      <c r="H500" s="800">
        <f>IF(Noty!H500="","",Noty!H500)</f>
        <v>0</v>
      </c>
      <c r="I500" s="800">
        <f>IF(Noty!I500="","",Noty!I500)</f>
        <v>0</v>
      </c>
      <c r="J500" s="499" t="str">
        <f>Noty!J500</f>
        <v>ukryj</v>
      </c>
    </row>
    <row r="501" spans="1:14" ht="15.75" customHeight="1" x14ac:dyDescent="0.25">
      <c r="A501" s="514"/>
      <c r="B501" s="810"/>
      <c r="C501" s="366" t="s">
        <v>10939</v>
      </c>
      <c r="D501" s="651"/>
      <c r="E501" s="651"/>
      <c r="F501" s="651"/>
      <c r="G501" s="800">
        <f>IF(Noty!G501="","",Noty!G501)</f>
        <v>0</v>
      </c>
      <c r="H501" s="800">
        <f>IF(Noty!H501="","",Noty!H501)</f>
        <v>0</v>
      </c>
      <c r="I501" s="800">
        <f>IF(Noty!I501="","",Noty!I501)</f>
        <v>0</v>
      </c>
      <c r="J501" s="499" t="str">
        <f>Noty!J501</f>
        <v>ukryj</v>
      </c>
    </row>
    <row r="502" spans="1:14" ht="15.75" customHeight="1" x14ac:dyDescent="0.25">
      <c r="A502" s="514"/>
      <c r="B502" s="810"/>
      <c r="C502" s="403" t="s">
        <v>8423</v>
      </c>
      <c r="D502" s="653"/>
      <c r="E502" s="658"/>
      <c r="F502" s="658"/>
      <c r="G502" s="800" t="str">
        <f>IF(Noty!G502="","",Noty!G502)</f>
        <v/>
      </c>
      <c r="H502" s="1149" t="str">
        <f>IF(Noty!H502="","",Noty!H502)</f>
        <v/>
      </c>
      <c r="I502" s="800">
        <f>IF(Noty!I502="","",Noty!I502)</f>
        <v>0</v>
      </c>
      <c r="J502" s="499" t="str">
        <f>Noty!J502</f>
        <v>ukryj</v>
      </c>
    </row>
    <row r="503" spans="1:14" ht="15.75" customHeight="1" x14ac:dyDescent="0.25">
      <c r="A503" s="514"/>
      <c r="B503" s="810"/>
      <c r="C503" s="403" t="s">
        <v>8427</v>
      </c>
      <c r="D503" s="653"/>
      <c r="E503" s="658"/>
      <c r="F503" s="658"/>
      <c r="G503" s="800" t="str">
        <f>IF(Noty!G503="","",Noty!G503)</f>
        <v/>
      </c>
      <c r="H503" s="1149" t="str">
        <f>IF(Noty!H503="","",Noty!H503)</f>
        <v/>
      </c>
      <c r="I503" s="800">
        <f>IF(Noty!I503="","",Noty!I503)</f>
        <v>0</v>
      </c>
      <c r="J503" s="499" t="str">
        <f>Noty!J503</f>
        <v>ukryj</v>
      </c>
    </row>
    <row r="504" spans="1:14" ht="15.75" customHeight="1" x14ac:dyDescent="0.25">
      <c r="A504" s="514"/>
      <c r="B504" s="810"/>
      <c r="C504" s="1378" t="s">
        <v>8191</v>
      </c>
      <c r="D504" s="1378"/>
      <c r="E504" s="1378"/>
      <c r="F504" s="1378"/>
      <c r="G504" s="1149" t="str">
        <f>IF(Noty!G504="","",Noty!G504)</f>
        <v/>
      </c>
      <c r="H504" s="1149" t="str">
        <f>IF(Noty!H504="","",Noty!H504)</f>
        <v/>
      </c>
      <c r="I504" s="800">
        <f>IF(Noty!I504="","",Noty!I504)</f>
        <v>0</v>
      </c>
      <c r="J504" s="499" t="str">
        <f>Noty!J504</f>
        <v>ukryj</v>
      </c>
    </row>
    <row r="505" spans="1:14" ht="15.75" customHeight="1" x14ac:dyDescent="0.25">
      <c r="A505" s="514"/>
      <c r="B505" s="810"/>
      <c r="C505" s="809" t="s">
        <v>8162</v>
      </c>
      <c r="D505" s="659"/>
      <c r="E505" s="654"/>
      <c r="F505" s="654"/>
      <c r="G505" s="800" t="str">
        <f>IF(Noty!G505="","",Noty!G505)</f>
        <v/>
      </c>
      <c r="H505" s="1149" t="str">
        <f>IF(Noty!H505="","",Noty!H505)</f>
        <v/>
      </c>
      <c r="I505" s="800">
        <f>IF(Noty!I505="","",Noty!I505)</f>
        <v>0</v>
      </c>
      <c r="J505" s="499" t="str">
        <f>Noty!J505</f>
        <v>ukryj</v>
      </c>
    </row>
    <row r="506" spans="1:14" ht="15.75" customHeight="1" x14ac:dyDescent="0.25">
      <c r="A506" s="514"/>
      <c r="B506" s="810"/>
      <c r="C506" s="839" t="s">
        <v>8199</v>
      </c>
      <c r="D506" s="653"/>
      <c r="E506" s="654"/>
      <c r="F506" s="654"/>
      <c r="G506" s="800" t="str">
        <f>IF(Noty!G506="","",Noty!G506)</f>
        <v/>
      </c>
      <c r="H506" s="1149" t="str">
        <f>IF(Noty!H506="","",Noty!H506)</f>
        <v/>
      </c>
      <c r="I506" s="800">
        <f>IF(Noty!I506="","",Noty!I506)</f>
        <v>0</v>
      </c>
      <c r="J506" s="499" t="str">
        <f>Noty!J506</f>
        <v>ukryj</v>
      </c>
    </row>
    <row r="507" spans="1:14" ht="15.75" customHeight="1" x14ac:dyDescent="0.25">
      <c r="A507" s="514"/>
      <c r="B507" s="810"/>
      <c r="C507" s="397"/>
      <c r="D507" s="660"/>
      <c r="E507" s="661"/>
      <c r="F507" s="661"/>
      <c r="G507" s="803">
        <f>IF(Noty!G507="","",Noty!G507)</f>
        <v>0</v>
      </c>
      <c r="H507" s="803">
        <f>IF(Noty!H507="","",Noty!H507)</f>
        <v>0</v>
      </c>
      <c r="I507" s="803">
        <f>IF(Noty!I507="","",Noty!I507)</f>
        <v>0</v>
      </c>
      <c r="J507" s="499" t="str">
        <f>Noty!J507</f>
        <v>ukryj</v>
      </c>
    </row>
    <row r="508" spans="1:14" ht="15.75" customHeight="1" thickBot="1" x14ac:dyDescent="0.3">
      <c r="I508" s="608"/>
      <c r="J508" s="499" t="str">
        <f>Noty!J508</f>
        <v>ukryj</v>
      </c>
      <c r="L508" s="496"/>
    </row>
    <row r="509" spans="1:14" s="366" customFormat="1" ht="15.05" customHeight="1" thickTop="1" thickBot="1" x14ac:dyDescent="0.35">
      <c r="A509" s="1183">
        <f>A463</f>
        <v>0</v>
      </c>
      <c r="B509" s="1184">
        <f>+IF(K509="n/a",B465,B465+1)</f>
        <v>0</v>
      </c>
      <c r="C509" s="1369" t="s">
        <v>10942</v>
      </c>
      <c r="D509" s="1369"/>
      <c r="E509" s="1369"/>
      <c r="F509" s="1369"/>
      <c r="G509" s="1369"/>
      <c r="H509" s="1369"/>
      <c r="I509" s="1369"/>
      <c r="J509" s="499" t="str">
        <f>Noty!J509</f>
        <v>ukryj</v>
      </c>
      <c r="K509" s="585" t="str">
        <f>Noty!K509</f>
        <v>n/a</v>
      </c>
      <c r="L509" s="200" t="str">
        <f>A509&amp;"."&amp;B509</f>
        <v>0.0</v>
      </c>
      <c r="N509" s="1101" t="s">
        <v>9378</v>
      </c>
    </row>
    <row r="510" spans="1:14" s="366" customFormat="1" ht="15.05" customHeight="1" thickTop="1" x14ac:dyDescent="0.25">
      <c r="A510" s="514"/>
      <c r="B510" s="520"/>
      <c r="C510" s="392"/>
      <c r="D510" s="646"/>
      <c r="E510" s="646"/>
      <c r="F510" s="646"/>
      <c r="G510" s="646"/>
      <c r="H510" s="646"/>
      <c r="I510" s="646"/>
      <c r="J510" s="499" t="str">
        <f>Noty!J510</f>
        <v>ukryj</v>
      </c>
      <c r="K510" s="489"/>
    </row>
    <row r="511" spans="1:14" s="393" customFormat="1" ht="25.55" customHeight="1" x14ac:dyDescent="0.25">
      <c r="A511" s="514"/>
      <c r="B511" s="810"/>
      <c r="C511" s="1377" t="s">
        <v>10943</v>
      </c>
      <c r="D511" s="1377"/>
      <c r="E511" s="662"/>
      <c r="F511" s="662"/>
      <c r="G511" s="816" t="s">
        <v>10935</v>
      </c>
      <c r="H511" s="816" t="s">
        <v>10936</v>
      </c>
      <c r="I511" s="816" t="s">
        <v>10937</v>
      </c>
      <c r="J511" s="499" t="str">
        <f>Noty!J511</f>
        <v>ukryj</v>
      </c>
      <c r="K511" s="489"/>
      <c r="L511" s="257"/>
    </row>
    <row r="512" spans="1:14" s="393" customFormat="1" ht="15.05" customHeight="1" x14ac:dyDescent="0.25">
      <c r="A512" s="514"/>
      <c r="B512" s="810"/>
      <c r="C512" s="1377" t="s">
        <v>10944</v>
      </c>
      <c r="D512" s="1377"/>
      <c r="E512" s="1377"/>
      <c r="F512" s="662"/>
      <c r="G512" s="800">
        <f>IF(Noty!G512="","",Noty!G512)</f>
        <v>0</v>
      </c>
      <c r="H512" s="800">
        <f>IF(Noty!H512="","",Noty!H512)</f>
        <v>0</v>
      </c>
      <c r="I512" s="800">
        <f>IF(Noty!I512="","",Noty!I512)</f>
        <v>0</v>
      </c>
      <c r="J512" s="499" t="str">
        <f>Noty!J512</f>
        <v>ukryj</v>
      </c>
      <c r="K512" s="489"/>
      <c r="L512" s="244"/>
    </row>
    <row r="513" spans="1:12" s="393" customFormat="1" ht="15.05" customHeight="1" x14ac:dyDescent="0.25">
      <c r="A513" s="514"/>
      <c r="B513" s="810"/>
      <c r="C513" s="405" t="s">
        <v>10945</v>
      </c>
      <c r="D513" s="662"/>
      <c r="E513" s="662"/>
      <c r="F513" s="662"/>
      <c r="G513" s="800" t="str">
        <f>IF(Noty!G513="","",Noty!G513)</f>
        <v/>
      </c>
      <c r="H513" s="1149" t="str">
        <f>IF(Noty!H513="","",Noty!H513)</f>
        <v/>
      </c>
      <c r="I513" s="800">
        <f>IF(Noty!I513="","",Noty!I513)</f>
        <v>0</v>
      </c>
      <c r="J513" s="499" t="str">
        <f>Noty!J513</f>
        <v>ukryj</v>
      </c>
      <c r="K513" s="489"/>
      <c r="L513" s="412"/>
    </row>
    <row r="514" spans="1:12" s="393" customFormat="1" ht="15.05" customHeight="1" x14ac:dyDescent="0.25">
      <c r="A514" s="514"/>
      <c r="B514" s="810"/>
      <c r="C514" s="374" t="s">
        <v>10946</v>
      </c>
      <c r="D514" s="662"/>
      <c r="E514" s="662"/>
      <c r="F514" s="662"/>
      <c r="G514" s="800">
        <f>IF(Noty!G514="","",Noty!G514)</f>
        <v>0</v>
      </c>
      <c r="H514" s="800">
        <f>IF(Noty!H514="","",Noty!H514)</f>
        <v>0</v>
      </c>
      <c r="I514" s="800">
        <f>IF(Noty!I514="","",Noty!I514)</f>
        <v>0</v>
      </c>
      <c r="J514" s="499" t="str">
        <f>Noty!J514</f>
        <v>ukryj</v>
      </c>
      <c r="K514" s="489"/>
      <c r="L514" s="412"/>
    </row>
    <row r="515" spans="1:12" s="366" customFormat="1" ht="15.05" customHeight="1" x14ac:dyDescent="0.25">
      <c r="A515" s="514"/>
      <c r="B515" s="810"/>
      <c r="C515" s="406" t="s">
        <v>10947</v>
      </c>
      <c r="D515" s="651"/>
      <c r="E515" s="651"/>
      <c r="F515" s="651"/>
      <c r="G515" s="800" t="str">
        <f>IF(Noty!G515="","",Noty!G515)</f>
        <v/>
      </c>
      <c r="H515" s="1149" t="str">
        <f>IF(Noty!H515="","",Noty!H515)</f>
        <v/>
      </c>
      <c r="I515" s="800">
        <f>IF(Noty!I515="","",Noty!I515)</f>
        <v>0</v>
      </c>
      <c r="J515" s="499" t="str">
        <f>Noty!J515</f>
        <v>ukryj</v>
      </c>
      <c r="K515" s="489"/>
      <c r="L515" s="412"/>
    </row>
    <row r="516" spans="1:12" s="366" customFormat="1" ht="15.05" customHeight="1" x14ac:dyDescent="0.25">
      <c r="A516" s="514"/>
      <c r="B516" s="810"/>
      <c r="C516" s="406" t="s">
        <v>10948</v>
      </c>
      <c r="D516" s="651"/>
      <c r="E516" s="651"/>
      <c r="F516" s="651"/>
      <c r="G516" s="800" t="str">
        <f>IF(Noty!G516="","",Noty!G516)</f>
        <v/>
      </c>
      <c r="H516" s="1149" t="str">
        <f>IF(Noty!H516="","",Noty!H516)</f>
        <v/>
      </c>
      <c r="I516" s="800">
        <f>IF(Noty!I516="","",Noty!I516)</f>
        <v>0</v>
      </c>
      <c r="J516" s="499" t="str">
        <f>Noty!J516</f>
        <v>ukryj</v>
      </c>
      <c r="K516" s="489"/>
      <c r="L516" s="412"/>
    </row>
    <row r="517" spans="1:12" s="407" customFormat="1" ht="15.05" customHeight="1" x14ac:dyDescent="0.25">
      <c r="A517" s="514"/>
      <c r="B517" s="810"/>
      <c r="C517" s="406" t="s">
        <v>10949</v>
      </c>
      <c r="D517" s="663"/>
      <c r="E517" s="663"/>
      <c r="F517" s="663"/>
      <c r="G517" s="800" t="str">
        <f>IF(Noty!G517="","",Noty!G517)</f>
        <v/>
      </c>
      <c r="H517" s="1149" t="str">
        <f>IF(Noty!H517="","",Noty!H517)</f>
        <v/>
      </c>
      <c r="I517" s="800">
        <f>IF(Noty!I517="","",Noty!I517)</f>
        <v>0</v>
      </c>
      <c r="J517" s="499" t="str">
        <f>Noty!J517</f>
        <v>ukryj</v>
      </c>
      <c r="K517" s="489"/>
      <c r="L517" s="412"/>
    </row>
    <row r="518" spans="1:12" s="407" customFormat="1" ht="15.05" customHeight="1" x14ac:dyDescent="0.25">
      <c r="A518" s="514"/>
      <c r="B518" s="810"/>
      <c r="C518" s="406" t="s">
        <v>10950</v>
      </c>
      <c r="D518" s="663"/>
      <c r="E518" s="663"/>
      <c r="F518" s="663"/>
      <c r="G518" s="800" t="str">
        <f>IF(Noty!G518="","",Noty!G518)</f>
        <v/>
      </c>
      <c r="H518" s="1149" t="str">
        <f>IF(Noty!H518="","",Noty!H518)</f>
        <v/>
      </c>
      <c r="I518" s="800">
        <f>IF(Noty!I518="","",Noty!I518)</f>
        <v>0</v>
      </c>
      <c r="J518" s="499" t="str">
        <f>Noty!J518</f>
        <v>ukryj</v>
      </c>
      <c r="K518" s="489"/>
      <c r="L518" s="412"/>
    </row>
    <row r="519" spans="1:12" s="407" customFormat="1" ht="50.25" customHeight="1" x14ac:dyDescent="0.25">
      <c r="A519" s="514"/>
      <c r="B519" s="810"/>
      <c r="C519" s="1380" t="s">
        <v>10951</v>
      </c>
      <c r="D519" s="1380"/>
      <c r="E519" s="1380"/>
      <c r="F519" s="1380"/>
      <c r="G519" s="800">
        <f>IF(Noty!G519="","",Noty!G519)</f>
        <v>0</v>
      </c>
      <c r="H519" s="800">
        <f>IF(Noty!H519="","",Noty!H519)</f>
        <v>0</v>
      </c>
      <c r="I519" s="800">
        <f>IF(Noty!I519="","",Noty!I519)</f>
        <v>0</v>
      </c>
      <c r="J519" s="499" t="str">
        <f>Noty!J519</f>
        <v>ukryj</v>
      </c>
      <c r="K519" s="489"/>
      <c r="L519" s="412"/>
    </row>
    <row r="520" spans="1:12" s="407" customFormat="1" ht="15.05" customHeight="1" x14ac:dyDescent="0.25">
      <c r="A520" s="514"/>
      <c r="B520" s="810"/>
      <c r="C520" s="409" t="s">
        <v>10945</v>
      </c>
      <c r="D520" s="663"/>
      <c r="E520" s="663"/>
      <c r="F520" s="663"/>
      <c r="G520" s="800" t="str">
        <f>IF(Noty!G520="","",Noty!G520)</f>
        <v/>
      </c>
      <c r="H520" s="1149" t="str">
        <f>IF(Noty!H520="","",Noty!H520)</f>
        <v/>
      </c>
      <c r="I520" s="800">
        <f>IF(Noty!I520="","",Noty!I520)</f>
        <v>0</v>
      </c>
      <c r="J520" s="499" t="str">
        <f>Noty!J520</f>
        <v>ukryj</v>
      </c>
      <c r="K520" s="489"/>
      <c r="L520" s="412"/>
    </row>
    <row r="521" spans="1:12" s="407" customFormat="1" ht="15.05" customHeight="1" x14ac:dyDescent="0.25">
      <c r="A521" s="514"/>
      <c r="B521" s="810"/>
      <c r="C521" s="374" t="s">
        <v>10946</v>
      </c>
      <c r="D521" s="663"/>
      <c r="E521" s="663"/>
      <c r="F521" s="663"/>
      <c r="G521" s="800">
        <f>IF(Noty!G521="","",Noty!G521)</f>
        <v>0</v>
      </c>
      <c r="H521" s="800">
        <f>IF(Noty!H521="","",Noty!H521)</f>
        <v>0</v>
      </c>
      <c r="I521" s="800">
        <f>IF(Noty!I521="","",Noty!I521)</f>
        <v>0</v>
      </c>
      <c r="J521" s="499" t="str">
        <f>Noty!J521</f>
        <v>ukryj</v>
      </c>
      <c r="K521" s="489"/>
      <c r="L521" s="412"/>
    </row>
    <row r="522" spans="1:12" s="407" customFormat="1" ht="15.05" customHeight="1" x14ac:dyDescent="0.25">
      <c r="A522" s="514"/>
      <c r="B522" s="810"/>
      <c r="C522" s="406" t="s">
        <v>10947</v>
      </c>
      <c r="D522" s="663"/>
      <c r="E522" s="663"/>
      <c r="F522" s="663"/>
      <c r="G522" s="800" t="str">
        <f>IF(Noty!G522="","",Noty!G522)</f>
        <v/>
      </c>
      <c r="H522" s="1149" t="str">
        <f>IF(Noty!H522="","",Noty!H522)</f>
        <v/>
      </c>
      <c r="I522" s="800">
        <f>IF(Noty!I522="","",Noty!I522)</f>
        <v>0</v>
      </c>
      <c r="J522" s="499" t="str">
        <f>Noty!J522</f>
        <v>ukryj</v>
      </c>
      <c r="K522" s="489"/>
      <c r="L522" s="412"/>
    </row>
    <row r="523" spans="1:12" s="407" customFormat="1" ht="15.05" customHeight="1" x14ac:dyDescent="0.25">
      <c r="A523" s="514"/>
      <c r="B523" s="810"/>
      <c r="C523" s="406" t="s">
        <v>10948</v>
      </c>
      <c r="D523" s="663"/>
      <c r="E523" s="663"/>
      <c r="F523" s="663"/>
      <c r="G523" s="800" t="str">
        <f>IF(Noty!G523="","",Noty!G523)</f>
        <v/>
      </c>
      <c r="H523" s="1149" t="str">
        <f>IF(Noty!H523="","",Noty!H523)</f>
        <v/>
      </c>
      <c r="I523" s="800">
        <f>IF(Noty!I523="","",Noty!I523)</f>
        <v>0</v>
      </c>
      <c r="J523" s="499" t="str">
        <f>Noty!J523</f>
        <v>ukryj</v>
      </c>
      <c r="K523" s="489"/>
      <c r="L523" s="412"/>
    </row>
    <row r="524" spans="1:12" s="407" customFormat="1" ht="15.05" customHeight="1" x14ac:dyDescent="0.25">
      <c r="A524" s="514"/>
      <c r="B524" s="810"/>
      <c r="C524" s="406" t="s">
        <v>10949</v>
      </c>
      <c r="D524" s="663"/>
      <c r="E524" s="663"/>
      <c r="F524" s="663"/>
      <c r="G524" s="800" t="str">
        <f>IF(Noty!G524="","",Noty!G524)</f>
        <v/>
      </c>
      <c r="H524" s="1149" t="str">
        <f>IF(Noty!H524="","",Noty!H524)</f>
        <v/>
      </c>
      <c r="I524" s="800">
        <f>IF(Noty!I524="","",Noty!I524)</f>
        <v>0</v>
      </c>
      <c r="J524" s="499" t="str">
        <f>Noty!J524</f>
        <v>ukryj</v>
      </c>
      <c r="K524" s="489"/>
      <c r="L524" s="412"/>
    </row>
    <row r="525" spans="1:12" s="407" customFormat="1" ht="15.05" customHeight="1" x14ac:dyDescent="0.25">
      <c r="A525" s="514"/>
      <c r="B525" s="810"/>
      <c r="C525" s="406" t="s">
        <v>10950</v>
      </c>
      <c r="D525" s="663"/>
      <c r="E525" s="663"/>
      <c r="F525" s="663"/>
      <c r="G525" s="800" t="str">
        <f>IF(Noty!G525="","",Noty!G525)</f>
        <v/>
      </c>
      <c r="H525" s="1149" t="str">
        <f>IF(Noty!H525="","",Noty!H525)</f>
        <v/>
      </c>
      <c r="I525" s="800">
        <f>IF(Noty!I525="","",Noty!I525)</f>
        <v>0</v>
      </c>
      <c r="J525" s="499" t="str">
        <f>Noty!J525</f>
        <v>ukryj</v>
      </c>
      <c r="K525" s="489"/>
      <c r="L525" s="412"/>
    </row>
    <row r="526" spans="1:12" s="407" customFormat="1" ht="15.05" customHeight="1" x14ac:dyDescent="0.25">
      <c r="A526" s="514"/>
      <c r="B526" s="810"/>
      <c r="C526" s="244" t="s">
        <v>10952</v>
      </c>
      <c r="D526" s="664"/>
      <c r="E526" s="663"/>
      <c r="F526" s="663"/>
      <c r="G526" s="800">
        <f>IF(Noty!G526="","",Noty!G526)</f>
        <v>0</v>
      </c>
      <c r="H526" s="800">
        <f>IF(Noty!H526="","",Noty!H526)</f>
        <v>0</v>
      </c>
      <c r="I526" s="800">
        <f>IF(Noty!I526="","",Noty!I526)</f>
        <v>0</v>
      </c>
      <c r="J526" s="499" t="str">
        <f>Noty!J526</f>
        <v>ukryj</v>
      </c>
      <c r="K526" s="489"/>
      <c r="L526" s="244"/>
    </row>
    <row r="527" spans="1:12" s="407" customFormat="1" ht="15.05" customHeight="1" x14ac:dyDescent="0.25">
      <c r="A527" s="514"/>
      <c r="B527" s="810"/>
      <c r="C527" s="405" t="s">
        <v>10945</v>
      </c>
      <c r="D527" s="663"/>
      <c r="E527" s="663"/>
      <c r="F527" s="663"/>
      <c r="G527" s="800" t="str">
        <f>IF(Noty!G527="","",Noty!G527)</f>
        <v/>
      </c>
      <c r="H527" s="1149" t="str">
        <f>IF(Noty!H527="","",Noty!H527)</f>
        <v/>
      </c>
      <c r="I527" s="800">
        <f>IF(Noty!I527="","",Noty!I527)</f>
        <v>0</v>
      </c>
      <c r="J527" s="499" t="str">
        <f>Noty!J527</f>
        <v>ukryj</v>
      </c>
      <c r="K527" s="489"/>
      <c r="L527" s="412"/>
    </row>
    <row r="528" spans="1:12" s="366" customFormat="1" ht="15.05" customHeight="1" x14ac:dyDescent="0.25">
      <c r="A528" s="514"/>
      <c r="B528" s="810"/>
      <c r="C528" s="374" t="s">
        <v>10946</v>
      </c>
      <c r="D528" s="651"/>
      <c r="E528" s="651"/>
      <c r="F528" s="651"/>
      <c r="G528" s="800">
        <f>IF(Noty!G528="","",Noty!G528)</f>
        <v>0</v>
      </c>
      <c r="H528" s="800">
        <f>IF(Noty!H528="","",Noty!H528)</f>
        <v>0</v>
      </c>
      <c r="I528" s="800">
        <f>IF(Noty!I528="","",Noty!I528)</f>
        <v>0</v>
      </c>
      <c r="J528" s="499" t="str">
        <f>Noty!J528</f>
        <v>ukryj</v>
      </c>
      <c r="K528" s="489"/>
      <c r="L528" s="412"/>
    </row>
    <row r="529" spans="1:14" s="407" customFormat="1" ht="15.05" customHeight="1" x14ac:dyDescent="0.25">
      <c r="A529" s="514"/>
      <c r="B529" s="810"/>
      <c r="C529" s="406" t="s">
        <v>10947</v>
      </c>
      <c r="D529" s="663"/>
      <c r="E529" s="663"/>
      <c r="F529" s="663"/>
      <c r="G529" s="800" t="str">
        <f>IF(Noty!G529="","",Noty!G529)</f>
        <v/>
      </c>
      <c r="H529" s="1149" t="str">
        <f>IF(Noty!H529="","",Noty!H529)</f>
        <v/>
      </c>
      <c r="I529" s="800">
        <f>IF(Noty!I529="","",Noty!I529)</f>
        <v>0</v>
      </c>
      <c r="J529" s="499" t="str">
        <f>Noty!J529</f>
        <v>ukryj</v>
      </c>
      <c r="K529" s="489"/>
      <c r="L529" s="412"/>
    </row>
    <row r="530" spans="1:14" s="407" customFormat="1" ht="15.05" customHeight="1" x14ac:dyDescent="0.25">
      <c r="A530" s="514"/>
      <c r="B530" s="810"/>
      <c r="C530" s="406" t="s">
        <v>10948</v>
      </c>
      <c r="D530" s="663"/>
      <c r="E530" s="663"/>
      <c r="F530" s="663"/>
      <c r="G530" s="800" t="str">
        <f>IF(Noty!G530="","",Noty!G530)</f>
        <v/>
      </c>
      <c r="H530" s="1149" t="str">
        <f>IF(Noty!H530="","",Noty!H530)</f>
        <v/>
      </c>
      <c r="I530" s="800">
        <f>IF(Noty!I530="","",Noty!I530)</f>
        <v>0</v>
      </c>
      <c r="J530" s="499" t="str">
        <f>Noty!J530</f>
        <v>ukryj</v>
      </c>
      <c r="K530" s="489"/>
      <c r="L530" s="412"/>
    </row>
    <row r="531" spans="1:14" s="407" customFormat="1" ht="15.05" customHeight="1" x14ac:dyDescent="0.25">
      <c r="A531" s="514"/>
      <c r="B531" s="810"/>
      <c r="C531" s="406" t="s">
        <v>10949</v>
      </c>
      <c r="D531" s="663"/>
      <c r="E531" s="663"/>
      <c r="F531" s="663"/>
      <c r="G531" s="800" t="str">
        <f>IF(Noty!G531="","",Noty!G531)</f>
        <v/>
      </c>
      <c r="H531" s="1149" t="str">
        <f>IF(Noty!H531="","",Noty!H531)</f>
        <v/>
      </c>
      <c r="I531" s="800">
        <f>IF(Noty!I531="","",Noty!I531)</f>
        <v>0</v>
      </c>
      <c r="J531" s="499" t="str">
        <f>Noty!J531</f>
        <v>ukryj</v>
      </c>
      <c r="K531" s="489"/>
      <c r="L531" s="412"/>
    </row>
    <row r="532" spans="1:14" s="407" customFormat="1" ht="15.05" customHeight="1" x14ac:dyDescent="0.25">
      <c r="A532" s="514"/>
      <c r="B532" s="810"/>
      <c r="C532" s="406" t="s">
        <v>10950</v>
      </c>
      <c r="D532" s="663"/>
      <c r="E532" s="663"/>
      <c r="F532" s="663"/>
      <c r="G532" s="800" t="str">
        <f>IF(Noty!G532="","",Noty!G532)</f>
        <v/>
      </c>
      <c r="H532" s="1149" t="str">
        <f>IF(Noty!H532="","",Noty!H532)</f>
        <v/>
      </c>
      <c r="I532" s="800">
        <f>IF(Noty!I532="","",Noty!I532)</f>
        <v>0</v>
      </c>
      <c r="J532" s="499" t="str">
        <f>Noty!J532</f>
        <v>ukryj</v>
      </c>
      <c r="K532" s="489"/>
      <c r="L532" s="412"/>
    </row>
    <row r="533" spans="1:14" s="401" customFormat="1" ht="13.6" customHeight="1" x14ac:dyDescent="0.25">
      <c r="A533" s="514"/>
      <c r="B533" s="810"/>
      <c r="C533" s="397"/>
      <c r="D533" s="660"/>
      <c r="E533" s="661"/>
      <c r="F533" s="661"/>
      <c r="G533" s="803">
        <f>IF(Noty!G533="","",Noty!G533)</f>
        <v>0</v>
      </c>
      <c r="H533" s="803">
        <f>IF(Noty!H533="","",Noty!H533)</f>
        <v>0</v>
      </c>
      <c r="I533" s="803">
        <f>IF(Noty!I533="","",Noty!I533)</f>
        <v>0</v>
      </c>
      <c r="J533" s="499" t="str">
        <f>Noty!J533</f>
        <v>ukryj</v>
      </c>
      <c r="K533" s="489"/>
    </row>
    <row r="534" spans="1:14" s="401" customFormat="1" ht="15.05" customHeight="1" thickBot="1" x14ac:dyDescent="0.3">
      <c r="A534" s="514"/>
      <c r="B534" s="810"/>
      <c r="C534" s="397"/>
      <c r="D534" s="816"/>
      <c r="E534" s="661"/>
      <c r="F534" s="661"/>
      <c r="G534" s="665"/>
      <c r="H534" s="661"/>
      <c r="I534" s="661"/>
      <c r="J534" s="499" t="str">
        <f>Noty!J534</f>
        <v>ukryj</v>
      </c>
      <c r="K534" s="489"/>
    </row>
    <row r="535" spans="1:14" s="366" customFormat="1" ht="15.05" customHeight="1" thickTop="1" thickBot="1" x14ac:dyDescent="0.35">
      <c r="A535" s="1183">
        <f>A463</f>
        <v>0</v>
      </c>
      <c r="B535" s="1184">
        <f>+IF(K535="n/a",B509,B509+1)</f>
        <v>0</v>
      </c>
      <c r="C535" s="1369" t="s">
        <v>10953</v>
      </c>
      <c r="D535" s="1369"/>
      <c r="E535" s="1369"/>
      <c r="F535" s="1369"/>
      <c r="G535" s="1369"/>
      <c r="H535" s="1369"/>
      <c r="I535" s="1369"/>
      <c r="J535" s="499" t="str">
        <f>Noty!J535</f>
        <v>ukryj</v>
      </c>
      <c r="K535" s="585" t="str">
        <f>Noty!K535</f>
        <v>n/a</v>
      </c>
      <c r="L535" s="200" t="str">
        <f>A535&amp;"."&amp;B535</f>
        <v>0.0</v>
      </c>
      <c r="N535" s="1101" t="s">
        <v>9378</v>
      </c>
    </row>
    <row r="536" spans="1:14" s="366" customFormat="1" ht="15.05" customHeight="1" thickTop="1" x14ac:dyDescent="0.25">
      <c r="A536" s="514"/>
      <c r="B536" s="810"/>
      <c r="C536" s="397"/>
      <c r="D536" s="646"/>
      <c r="E536" s="646"/>
      <c r="F536" s="646"/>
      <c r="G536" s="646"/>
      <c r="H536" s="646"/>
      <c r="I536" s="646"/>
      <c r="J536" s="499" t="str">
        <f>Noty!J536</f>
        <v>ukryj</v>
      </c>
      <c r="K536" s="489"/>
    </row>
    <row r="537" spans="1:14" s="809" customFormat="1" ht="64.5" customHeight="1" x14ac:dyDescent="0.25">
      <c r="A537" s="514"/>
      <c r="B537" s="810"/>
      <c r="C537" s="1375" t="s">
        <v>10836</v>
      </c>
      <c r="D537" s="1375"/>
      <c r="E537" s="816" t="s">
        <v>10954</v>
      </c>
      <c r="F537" s="666" t="s">
        <v>10955</v>
      </c>
      <c r="G537" s="816" t="s">
        <v>10956</v>
      </c>
      <c r="H537" s="666" t="s">
        <v>10955</v>
      </c>
      <c r="I537" s="816" t="s">
        <v>10957</v>
      </c>
      <c r="J537" s="499" t="str">
        <f>Noty!J537</f>
        <v>ukryj</v>
      </c>
      <c r="K537" s="489"/>
    </row>
    <row r="538" spans="1:14" s="366" customFormat="1" ht="15.05" customHeight="1" x14ac:dyDescent="0.25">
      <c r="A538" s="514"/>
      <c r="B538" s="810"/>
      <c r="C538" s="1308" t="str">
        <f>CONCATENATE("As at ",Input!$C$6)</f>
        <v>As at 01.01.2020</v>
      </c>
      <c r="D538" s="1308"/>
      <c r="E538" s="1141" t="str">
        <f>IF(Noty!E538="","",Noty!E538)</f>
        <v/>
      </c>
      <c r="F538" s="1141" t="str">
        <f>IF(Noty!F538="","",Noty!F538)</f>
        <v/>
      </c>
      <c r="G538" s="1141" t="str">
        <f>IF(Noty!G538="","",Noty!G538)</f>
        <v/>
      </c>
      <c r="H538" s="1141" t="str">
        <f>IF(Noty!H538="","",Noty!H538)</f>
        <v/>
      </c>
      <c r="I538" s="800">
        <f>IF(Noty!I538="","",Noty!I538)</f>
        <v>0</v>
      </c>
      <c r="J538" s="499" t="str">
        <f>Noty!J538</f>
        <v>ukryj</v>
      </c>
      <c r="K538" s="489"/>
    </row>
    <row r="539" spans="1:14" s="366" customFormat="1" ht="15.05" customHeight="1" x14ac:dyDescent="0.25">
      <c r="A539" s="514"/>
      <c r="B539" s="810"/>
      <c r="C539" s="1377" t="s">
        <v>10801</v>
      </c>
      <c r="D539" s="1377"/>
      <c r="E539" s="800">
        <f>IF(Noty!E539="","",Noty!E539)</f>
        <v>0</v>
      </c>
      <c r="F539" s="800">
        <f>IF(Noty!F539="","",Noty!F539)</f>
        <v>0</v>
      </c>
      <c r="G539" s="800">
        <f>IF(Noty!G539="","",Noty!G539)</f>
        <v>0</v>
      </c>
      <c r="H539" s="800">
        <f>IF(Noty!H539="","",Noty!H539)</f>
        <v>0</v>
      </c>
      <c r="I539" s="800">
        <f>IF(Noty!I539="","",Noty!I539)</f>
        <v>0</v>
      </c>
      <c r="J539" s="499" t="str">
        <f>Noty!J539</f>
        <v>ukryj</v>
      </c>
      <c r="K539" s="489"/>
    </row>
    <row r="540" spans="1:14" s="366" customFormat="1" ht="42.05" customHeight="1" x14ac:dyDescent="0.25">
      <c r="A540" s="514"/>
      <c r="B540" s="810"/>
      <c r="C540" s="1379" t="s">
        <v>10958</v>
      </c>
      <c r="D540" s="1379"/>
      <c r="E540" s="800" t="str">
        <f>IF(Noty!E540="","",Noty!E540)</f>
        <v/>
      </c>
      <c r="F540" s="800" t="str">
        <f>IF(Noty!F540="","",Noty!F540)</f>
        <v/>
      </c>
      <c r="G540" s="800" t="str">
        <f>IF(Noty!G540="","",Noty!G540)</f>
        <v/>
      </c>
      <c r="H540" s="800" t="str">
        <f>IF(Noty!H540="","",Noty!H540)</f>
        <v/>
      </c>
      <c r="I540" s="800">
        <f>IF(Noty!I540="","",Noty!I540)</f>
        <v>0</v>
      </c>
      <c r="J540" s="499" t="str">
        <f>Noty!J540</f>
        <v>ukryj</v>
      </c>
      <c r="K540" s="489"/>
    </row>
    <row r="541" spans="1:14" s="366" customFormat="1" ht="33.049999999999997" customHeight="1" x14ac:dyDescent="0.25">
      <c r="A541" s="514"/>
      <c r="B541" s="810"/>
      <c r="C541" s="1379" t="s">
        <v>10959</v>
      </c>
      <c r="D541" s="1379"/>
      <c r="E541" s="1141" t="str">
        <f>IF(Noty!E541="","",Noty!E541)</f>
        <v/>
      </c>
      <c r="F541" s="1141" t="str">
        <f>IF(Noty!F541="","",Noty!F541)</f>
        <v/>
      </c>
      <c r="G541" s="1141" t="str">
        <f>IF(Noty!G541="","",Noty!G541)</f>
        <v/>
      </c>
      <c r="H541" s="1141" t="str">
        <f>IF(Noty!H541="","",Noty!H541)</f>
        <v/>
      </c>
      <c r="I541" s="800">
        <f>IF(Noty!I541="","",Noty!I541)</f>
        <v>0</v>
      </c>
      <c r="J541" s="499" t="str">
        <f>Noty!J541</f>
        <v>ukryj</v>
      </c>
      <c r="K541" s="489"/>
    </row>
    <row r="542" spans="1:14" s="366" customFormat="1" ht="28.5" customHeight="1" x14ac:dyDescent="0.25">
      <c r="A542" s="514"/>
      <c r="B542" s="810"/>
      <c r="C542" s="1379" t="s">
        <v>10960</v>
      </c>
      <c r="D542" s="1379"/>
      <c r="E542" s="1141" t="str">
        <f>IF(Noty!E542="","",Noty!E542)</f>
        <v/>
      </c>
      <c r="F542" s="1141" t="str">
        <f>IF(Noty!F542="","",Noty!F542)</f>
        <v/>
      </c>
      <c r="G542" s="1141" t="str">
        <f>IF(Noty!G542="","",Noty!G542)</f>
        <v/>
      </c>
      <c r="H542" s="1141" t="str">
        <f>IF(Noty!H542="","",Noty!H542)</f>
        <v/>
      </c>
      <c r="I542" s="800">
        <f>IF(Noty!I542="","",Noty!I542)</f>
        <v>0</v>
      </c>
      <c r="J542" s="499" t="str">
        <f>Noty!J542</f>
        <v>ukryj</v>
      </c>
      <c r="K542" s="489"/>
    </row>
    <row r="543" spans="1:14" s="366" customFormat="1" ht="15.05" customHeight="1" x14ac:dyDescent="0.25">
      <c r="A543" s="514"/>
      <c r="B543" s="810"/>
      <c r="C543" s="397"/>
      <c r="D543" s="659"/>
      <c r="E543" s="667"/>
      <c r="F543" s="668"/>
      <c r="G543" s="667"/>
      <c r="H543" s="668"/>
      <c r="I543" s="192"/>
      <c r="J543" s="499" t="str">
        <f>Noty!J543</f>
        <v>ukryj</v>
      </c>
      <c r="K543" s="489"/>
    </row>
    <row r="544" spans="1:14" s="366" customFormat="1" ht="15.05" customHeight="1" x14ac:dyDescent="0.25">
      <c r="A544" s="514"/>
      <c r="B544" s="810"/>
      <c r="C544" s="1377" t="s">
        <v>10806</v>
      </c>
      <c r="D544" s="1377"/>
      <c r="E544" s="800">
        <f>IF(Noty!E544="","",Noty!E544)</f>
        <v>0</v>
      </c>
      <c r="F544" s="800">
        <f>IF(Noty!F544="","",Noty!F544)</f>
        <v>0</v>
      </c>
      <c r="G544" s="800">
        <f>IF(Noty!G544="","",Noty!G544)</f>
        <v>0</v>
      </c>
      <c r="H544" s="800">
        <f>IF(Noty!H544="","",Noty!H544)</f>
        <v>0</v>
      </c>
      <c r="I544" s="800">
        <f>IF(Noty!I544="","",Noty!I544)</f>
        <v>0</v>
      </c>
      <c r="J544" s="499" t="str">
        <f>Noty!J544</f>
        <v>ukryj</v>
      </c>
      <c r="K544" s="489"/>
    </row>
    <row r="545" spans="1:14" s="366" customFormat="1" ht="28.5" customHeight="1" x14ac:dyDescent="0.25">
      <c r="A545" s="514"/>
      <c r="B545" s="810"/>
      <c r="C545" s="1379" t="s">
        <v>10961</v>
      </c>
      <c r="D545" s="1379"/>
      <c r="E545" s="800" t="str">
        <f>IF(Noty!E545="","",Noty!E545)</f>
        <v/>
      </c>
      <c r="F545" s="800" t="str">
        <f>IF(Noty!F545="","",Noty!F545)</f>
        <v/>
      </c>
      <c r="G545" s="800" t="str">
        <f>IF(Noty!G545="","",Noty!G545)</f>
        <v/>
      </c>
      <c r="H545" s="800" t="str">
        <f>IF(Noty!H545="","",Noty!H545)</f>
        <v/>
      </c>
      <c r="I545" s="800">
        <f>IF(Noty!I545="","",Noty!I545)</f>
        <v>0</v>
      </c>
      <c r="J545" s="499" t="str">
        <f>Noty!J545</f>
        <v>ukryj</v>
      </c>
      <c r="K545" s="489"/>
    </row>
    <row r="546" spans="1:14" s="366" customFormat="1" ht="27.85" customHeight="1" x14ac:dyDescent="0.25">
      <c r="A546" s="514"/>
      <c r="B546" s="810"/>
      <c r="C546" s="1379" t="s">
        <v>10962</v>
      </c>
      <c r="D546" s="1379"/>
      <c r="E546" s="1141" t="str">
        <f>IF(Noty!E546="","",Noty!E546)</f>
        <v/>
      </c>
      <c r="F546" s="1141" t="str">
        <f>IF(Noty!F546="","",Noty!F546)</f>
        <v/>
      </c>
      <c r="G546" s="1141" t="str">
        <f>IF(Noty!G546="","",Noty!G546)</f>
        <v/>
      </c>
      <c r="H546" s="1141" t="str">
        <f>IF(Noty!H546="","",Noty!H546)</f>
        <v/>
      </c>
      <c r="I546" s="800">
        <f>IF(Noty!I546="","",Noty!I546)</f>
        <v>0</v>
      </c>
      <c r="J546" s="499" t="str">
        <f>Noty!J546</f>
        <v>ukryj</v>
      </c>
      <c r="K546" s="489"/>
    </row>
    <row r="547" spans="1:14" s="366" customFormat="1" ht="13.6" customHeight="1" x14ac:dyDescent="0.25">
      <c r="A547" s="514"/>
      <c r="B547" s="810"/>
      <c r="C547" s="1379" t="s">
        <v>10963</v>
      </c>
      <c r="D547" s="1379"/>
      <c r="E547" s="1141" t="str">
        <f>IF(Noty!E547="","",Noty!E547)</f>
        <v/>
      </c>
      <c r="F547" s="1141" t="str">
        <f>IF(Noty!F547="","",Noty!F547)</f>
        <v/>
      </c>
      <c r="G547" s="1141" t="str">
        <f>IF(Noty!G547="","",Noty!G547)</f>
        <v/>
      </c>
      <c r="H547" s="1141" t="str">
        <f>IF(Noty!H547="","",Noty!H547)</f>
        <v/>
      </c>
      <c r="I547" s="800">
        <f>IF(Noty!I547="","",Noty!I547)</f>
        <v>0</v>
      </c>
      <c r="J547" s="499" t="str">
        <f>Noty!J547</f>
        <v>ukryj</v>
      </c>
      <c r="K547" s="489"/>
    </row>
    <row r="548" spans="1:14" s="366" customFormat="1" ht="27.85" customHeight="1" x14ac:dyDescent="0.25">
      <c r="A548" s="514"/>
      <c r="B548" s="810"/>
      <c r="C548" s="1379" t="s">
        <v>10960</v>
      </c>
      <c r="D548" s="1379"/>
      <c r="E548" s="1141" t="str">
        <f>IF(Noty!E548="","",Noty!E548)</f>
        <v/>
      </c>
      <c r="F548" s="1141" t="str">
        <f>IF(Noty!F548="","",Noty!F548)</f>
        <v/>
      </c>
      <c r="G548" s="1141" t="str">
        <f>IF(Noty!G548="","",Noty!G548)</f>
        <v/>
      </c>
      <c r="H548" s="1141" t="str">
        <f>IF(Noty!H548="","",Noty!H548)</f>
        <v/>
      </c>
      <c r="I548" s="800">
        <f>IF(Noty!I548="","",Noty!I548)</f>
        <v>0</v>
      </c>
      <c r="J548" s="499" t="str">
        <f>Noty!J548</f>
        <v>ukryj</v>
      </c>
      <c r="K548" s="489"/>
    </row>
    <row r="549" spans="1:14" s="401" customFormat="1" ht="15.05" customHeight="1" x14ac:dyDescent="0.25">
      <c r="A549" s="514"/>
      <c r="B549" s="810"/>
      <c r="C549" s="1466" t="str">
        <f>CONCATENATE("As at ",Input!$C$7)</f>
        <v>As at 31.12.2020</v>
      </c>
      <c r="D549" s="1466"/>
      <c r="E549" s="803">
        <f>IF(Noty!E549="","",Noty!E549)</f>
        <v>0</v>
      </c>
      <c r="F549" s="803">
        <f>IF(Noty!F549="","",Noty!F549)</f>
        <v>0</v>
      </c>
      <c r="G549" s="803">
        <f>IF(Noty!G549="","",Noty!G549)</f>
        <v>0</v>
      </c>
      <c r="H549" s="803">
        <f>IF(Noty!H549="","",Noty!H549)</f>
        <v>0</v>
      </c>
      <c r="I549" s="803">
        <f>IF(Noty!I549="","",Noty!I549)</f>
        <v>0</v>
      </c>
      <c r="J549" s="499" t="str">
        <f>Noty!J549</f>
        <v>ukryj</v>
      </c>
      <c r="K549" s="489"/>
    </row>
    <row r="550" spans="1:14" s="366" customFormat="1" ht="15.05" customHeight="1" thickBot="1" x14ac:dyDescent="0.3">
      <c r="A550" s="514"/>
      <c r="B550" s="810"/>
      <c r="C550" s="397"/>
      <c r="D550" s="659"/>
      <c r="E550" s="651"/>
      <c r="F550" s="651"/>
      <c r="G550" s="651"/>
      <c r="H550" s="651"/>
      <c r="I550" s="651"/>
      <c r="J550" s="499" t="str">
        <f>Noty!J550</f>
        <v>ukryj</v>
      </c>
      <c r="K550" s="489"/>
    </row>
    <row r="551" spans="1:14" s="200" customFormat="1" ht="15.75" customHeight="1" thickTop="1" thickBot="1" x14ac:dyDescent="0.35">
      <c r="A551" s="1180">
        <f>IF(K551="n/a",A535,A535+ 1)</f>
        <v>0</v>
      </c>
      <c r="B551" s="1182"/>
      <c r="C551" s="1388" t="s">
        <v>7863</v>
      </c>
      <c r="D551" s="1388"/>
      <c r="E551" s="1388"/>
      <c r="F551" s="1388"/>
      <c r="G551" s="1388"/>
      <c r="H551" s="1388"/>
      <c r="I551" s="1388"/>
      <c r="J551" s="499" t="str">
        <f>Noty!J551</f>
        <v>ukryj</v>
      </c>
      <c r="K551" s="585" t="str">
        <f>IF(Input!D116="nie","n/a","")</f>
        <v>n/a</v>
      </c>
      <c r="L551" s="496" t="str">
        <f>A551&amp;"."&amp;B551</f>
        <v>0.</v>
      </c>
      <c r="N551" s="1101" t="s">
        <v>9378</v>
      </c>
    </row>
    <row r="552" spans="1:14" s="200" customFormat="1" ht="15.75" customHeight="1" thickTop="1" thickBot="1" x14ac:dyDescent="0.3">
      <c r="A552" s="508"/>
      <c r="B552" s="520"/>
      <c r="C552" s="195"/>
      <c r="D552" s="196"/>
      <c r="E552" s="196"/>
      <c r="F552" s="196"/>
      <c r="G552" s="196"/>
      <c r="H552" s="196"/>
      <c r="I552" s="196"/>
      <c r="J552" s="499" t="str">
        <f>Noty!J552</f>
        <v>ukryj</v>
      </c>
      <c r="K552" s="489"/>
      <c r="L552" s="496"/>
      <c r="N552" s="488"/>
    </row>
    <row r="553" spans="1:14" s="200" customFormat="1" ht="16.55" customHeight="1" thickTop="1" thickBot="1" x14ac:dyDescent="0.35">
      <c r="A553" s="1183">
        <f>A551</f>
        <v>0</v>
      </c>
      <c r="B553" s="1184">
        <f>IF(K553="n/a",0,1)</f>
        <v>0</v>
      </c>
      <c r="C553" s="1369" t="s">
        <v>7867</v>
      </c>
      <c r="D553" s="1369"/>
      <c r="E553" s="1369"/>
      <c r="F553" s="1369"/>
      <c r="G553" s="1369"/>
      <c r="H553" s="1369"/>
      <c r="I553" s="1369"/>
      <c r="J553" s="499" t="str">
        <f>Noty!J553</f>
        <v>ukryj</v>
      </c>
      <c r="K553" s="585" t="str">
        <f>IF(Input!D117="nie","n/a","")</f>
        <v>n/a</v>
      </c>
      <c r="L553" s="496" t="str">
        <f>A553&amp;"."&amp;B553</f>
        <v>0.0</v>
      </c>
      <c r="N553" s="1101" t="s">
        <v>9378</v>
      </c>
    </row>
    <row r="554" spans="1:14" s="200" customFormat="1" ht="10.5" customHeight="1" thickTop="1" x14ac:dyDescent="0.25">
      <c r="A554" s="513"/>
      <c r="B554" s="523"/>
      <c r="C554" s="394"/>
      <c r="D554" s="196"/>
      <c r="E554" s="196"/>
      <c r="F554" s="196"/>
      <c r="G554" s="196"/>
      <c r="H554" s="196"/>
      <c r="I554" s="196"/>
      <c r="J554" s="499" t="str">
        <f>Noty!J554</f>
        <v>ukryj</v>
      </c>
      <c r="K554" s="489"/>
    </row>
    <row r="555" spans="1:14" s="200" customFormat="1" ht="15.05" customHeight="1" x14ac:dyDescent="0.25">
      <c r="A555" s="513"/>
      <c r="B555" s="523"/>
      <c r="C555" s="394"/>
      <c r="D555" s="196"/>
      <c r="E555" s="196"/>
      <c r="F555" s="196"/>
      <c r="G555" s="9"/>
      <c r="H555" s="999" t="str">
        <f>IF(Noty!H555="","",Noty!H555)</f>
        <v>31.12.2020</v>
      </c>
      <c r="I555" s="1000" t="str">
        <f>IF(Noty!I555="","",Noty!I555)</f>
        <v>31.12.2019</v>
      </c>
      <c r="J555" s="499" t="str">
        <f>Noty!J555</f>
        <v>ukryj</v>
      </c>
      <c r="K555" s="489"/>
    </row>
    <row r="556" spans="1:14" s="200" customFormat="1" ht="9" customHeight="1" x14ac:dyDescent="0.25">
      <c r="A556" s="508"/>
      <c r="B556" s="520"/>
      <c r="D556" s="196"/>
      <c r="E556" s="196"/>
      <c r="F556" s="196"/>
      <c r="J556" s="499" t="str">
        <f>Noty!J556</f>
        <v>ukryj</v>
      </c>
      <c r="K556" s="489"/>
    </row>
    <row r="557" spans="1:14" s="200" customFormat="1" ht="15.05" customHeight="1" x14ac:dyDescent="0.25">
      <c r="A557" s="508"/>
      <c r="B557" s="520"/>
      <c r="C557" s="970" t="s">
        <v>10964</v>
      </c>
      <c r="E557" s="196"/>
      <c r="F557" s="196"/>
      <c r="G557" s="9"/>
      <c r="H557" s="1141" t="str">
        <f>IF(Noty!H557="","",Noty!H557)</f>
        <v/>
      </c>
      <c r="I557" s="1141" t="str">
        <f>IF(Noty!I557="","",Noty!I557)</f>
        <v/>
      </c>
      <c r="J557" s="499" t="str">
        <f>Noty!J557</f>
        <v>ukryj</v>
      </c>
      <c r="K557" s="489"/>
    </row>
    <row r="558" spans="1:14" s="200" customFormat="1" ht="15.05" customHeight="1" x14ac:dyDescent="0.25">
      <c r="A558" s="508"/>
      <c r="B558" s="520"/>
      <c r="C558" s="970" t="s">
        <v>10965</v>
      </c>
      <c r="E558" s="196"/>
      <c r="F558" s="196"/>
      <c r="G558" s="9"/>
      <c r="H558" s="1141" t="str">
        <f>IF(Noty!H558="","",Noty!H558)</f>
        <v/>
      </c>
      <c r="I558" s="1141" t="str">
        <f>IF(Noty!I558="","",Noty!I558)</f>
        <v/>
      </c>
      <c r="J558" s="499" t="str">
        <f>Noty!J558</f>
        <v>ukryj</v>
      </c>
      <c r="K558" s="489"/>
    </row>
    <row r="559" spans="1:14" s="200" customFormat="1" ht="15.05" customHeight="1" x14ac:dyDescent="0.25">
      <c r="A559" s="508"/>
      <c r="B559" s="520"/>
      <c r="C559" s="1179" t="s">
        <v>10966</v>
      </c>
      <c r="D559" s="669"/>
      <c r="E559" s="669"/>
      <c r="F559" s="669"/>
      <c r="G559" s="1004"/>
      <c r="H559" s="1141" t="str">
        <f>IF(Noty!H559="","",Noty!H559)</f>
        <v/>
      </c>
      <c r="I559" s="1141" t="str">
        <f>IF(Noty!I559="","",Noty!I559)</f>
        <v/>
      </c>
      <c r="J559" s="499" t="str">
        <f>Noty!J559</f>
        <v>ukryj</v>
      </c>
      <c r="K559" s="489"/>
    </row>
    <row r="560" spans="1:14" s="200" customFormat="1" ht="15.05" customHeight="1" x14ac:dyDescent="0.25">
      <c r="A560" s="508"/>
      <c r="B560" s="520"/>
      <c r="C560" s="188"/>
      <c r="D560" s="196"/>
      <c r="E560" s="196"/>
      <c r="F560" s="196"/>
      <c r="G560" s="9"/>
      <c r="H560" s="803">
        <f>IF(Noty!H560="","",Noty!H560)</f>
        <v>0</v>
      </c>
      <c r="I560" s="803">
        <f>IF(Noty!I560="","",Noty!I560)</f>
        <v>0</v>
      </c>
      <c r="J560" s="499" t="str">
        <f>Noty!J560</f>
        <v>ukryj</v>
      </c>
      <c r="K560" s="489"/>
    </row>
    <row r="561" spans="1:14" s="200" customFormat="1" ht="15.05" customHeight="1" thickBot="1" x14ac:dyDescent="0.3">
      <c r="A561" s="513"/>
      <c r="B561" s="523"/>
      <c r="C561" s="396"/>
      <c r="D561" s="584"/>
      <c r="E561" s="584"/>
      <c r="F561" s="584"/>
      <c r="G561" s="584"/>
      <c r="H561" s="584"/>
      <c r="I561" s="584"/>
      <c r="J561" s="499" t="str">
        <f>Noty!J561</f>
        <v>ukryj</v>
      </c>
      <c r="K561" s="489"/>
    </row>
    <row r="562" spans="1:14" s="242" customFormat="1" ht="16.399999999999999" thickTop="1" thickBot="1" x14ac:dyDescent="0.35">
      <c r="A562" s="1180">
        <f>IF(K562="n/a",A551,A551+ 1)</f>
        <v>0</v>
      </c>
      <c r="B562" s="1182"/>
      <c r="C562" s="1388" t="s">
        <v>8283</v>
      </c>
      <c r="D562" s="1388"/>
      <c r="E562" s="1388"/>
      <c r="F562" s="1388"/>
      <c r="G562" s="1388"/>
      <c r="H562" s="1388"/>
      <c r="I562" s="1388"/>
      <c r="J562" s="499" t="str">
        <f>Noty!J562</f>
        <v>ukryj</v>
      </c>
      <c r="K562" s="585" t="str">
        <f>Noty!K562</f>
        <v>n/a</v>
      </c>
      <c r="L562" s="200" t="str">
        <f>A562&amp;"."&amp;B562</f>
        <v>0.</v>
      </c>
      <c r="N562" s="1101" t="s">
        <v>9378</v>
      </c>
    </row>
    <row r="563" spans="1:14" s="242" customFormat="1" ht="15.05" customHeight="1" thickTop="1" thickBot="1" x14ac:dyDescent="0.3">
      <c r="A563" s="508"/>
      <c r="B563" s="520"/>
      <c r="C563" s="204"/>
      <c r="D563" s="195"/>
      <c r="E563" s="196"/>
      <c r="F563" s="196"/>
      <c r="G563" s="196"/>
      <c r="H563" s="196"/>
      <c r="I563" s="196"/>
      <c r="J563" s="499" t="str">
        <f>Noty!J563</f>
        <v>ukryj</v>
      </c>
      <c r="K563" s="489"/>
      <c r="L563" s="200"/>
    </row>
    <row r="564" spans="1:14" s="242" customFormat="1" ht="16.399999999999999" thickTop="1" thickBot="1" x14ac:dyDescent="0.35">
      <c r="A564" s="1183">
        <f>A562</f>
        <v>0</v>
      </c>
      <c r="B564" s="1184">
        <f>IF(K564="n/a",0,1)</f>
        <v>0</v>
      </c>
      <c r="C564" s="1389" t="s">
        <v>10967</v>
      </c>
      <c r="D564" s="1389"/>
      <c r="E564" s="1389"/>
      <c r="F564" s="1389"/>
      <c r="G564" s="1389"/>
      <c r="H564" s="1389"/>
      <c r="I564" s="1389"/>
      <c r="J564" s="499" t="str">
        <f>Noty!J564</f>
        <v>ukryj</v>
      </c>
      <c r="K564" s="585" t="str">
        <f>Noty!K564</f>
        <v>n/a</v>
      </c>
      <c r="L564" s="496" t="str">
        <f>A564&amp;"."&amp;B564</f>
        <v>0.0</v>
      </c>
      <c r="N564" s="1101" t="s">
        <v>9378</v>
      </c>
    </row>
    <row r="565" spans="1:14" s="242" customFormat="1" ht="15.05" customHeight="1" thickTop="1" x14ac:dyDescent="0.25">
      <c r="A565" s="508"/>
      <c r="B565" s="520"/>
      <c r="C565" s="200"/>
      <c r="D565" s="200"/>
      <c r="E565" s="196"/>
      <c r="F565" s="196"/>
      <c r="G565" s="196"/>
      <c r="H565" s="196"/>
      <c r="I565" s="196"/>
      <c r="J565" s="499" t="str">
        <f>Noty!J565</f>
        <v>ukryj</v>
      </c>
      <c r="K565" s="489"/>
      <c r="L565" s="200"/>
    </row>
    <row r="566" spans="1:14" s="242" customFormat="1" ht="51.75" customHeight="1" x14ac:dyDescent="0.25">
      <c r="A566" s="508"/>
      <c r="B566" s="520"/>
      <c r="C566" s="185" t="s">
        <v>10968</v>
      </c>
      <c r="D566" s="185"/>
      <c r="E566" s="612"/>
      <c r="F566" s="801" t="s">
        <v>10969</v>
      </c>
      <c r="G566" s="801" t="s">
        <v>10970</v>
      </c>
      <c r="H566" s="801" t="s">
        <v>10971</v>
      </c>
      <c r="I566" s="801" t="s">
        <v>10972</v>
      </c>
      <c r="J566" s="499" t="str">
        <f>Noty!J566</f>
        <v>ukryj</v>
      </c>
      <c r="K566" s="489"/>
      <c r="L566" s="200"/>
    </row>
    <row r="567" spans="1:14" s="242" customFormat="1" ht="15.05" customHeight="1" x14ac:dyDescent="0.25">
      <c r="A567" s="508"/>
      <c r="B567" s="520"/>
      <c r="C567" s="200"/>
      <c r="D567" s="200"/>
      <c r="E567" s="612"/>
      <c r="F567" s="196"/>
      <c r="G567" s="196"/>
      <c r="H567" s="196"/>
      <c r="I567" s="196"/>
      <c r="J567" s="499" t="str">
        <f>Noty!J567</f>
        <v>ukryj</v>
      </c>
      <c r="K567" s="489"/>
      <c r="L567" s="200"/>
    </row>
    <row r="568" spans="1:14" s="242" customFormat="1" ht="15.05" customHeight="1" x14ac:dyDescent="0.25">
      <c r="A568" s="508"/>
      <c r="B568" s="520"/>
      <c r="C568" s="1511" t="str">
        <f>IF(Noty!C568="","",Noty!C568)</f>
        <v/>
      </c>
      <c r="D568" s="1367"/>
      <c r="E568" s="1367"/>
      <c r="F568" s="1151" t="str">
        <f>IF(Noty!F568="","",Noty!F568)</f>
        <v/>
      </c>
      <c r="G568" s="1151" t="str">
        <f>IF(Noty!G568="","",Noty!G568)</f>
        <v/>
      </c>
      <c r="H568" s="671">
        <f>IF(Noty!H568="","",Noty!H568)</f>
        <v>0</v>
      </c>
      <c r="I568" s="671">
        <f>IF(Noty!I568="","",Noty!I568)</f>
        <v>0</v>
      </c>
      <c r="J568" s="499" t="str">
        <f>Noty!J568</f>
        <v>ukryj</v>
      </c>
      <c r="K568" s="489"/>
      <c r="L568" s="200"/>
    </row>
    <row r="569" spans="1:14" s="242" customFormat="1" ht="15.05" customHeight="1" x14ac:dyDescent="0.25">
      <c r="A569" s="508"/>
      <c r="B569" s="520"/>
      <c r="C569" s="1511" t="str">
        <f>IF(Noty!C569="","",Noty!C569)</f>
        <v/>
      </c>
      <c r="D569" s="1367"/>
      <c r="E569" s="1367"/>
      <c r="F569" s="1151" t="str">
        <f>IF(Noty!F569="","",Noty!F569)</f>
        <v/>
      </c>
      <c r="G569" s="1151" t="str">
        <f>IF(Noty!G569="","",Noty!G569)</f>
        <v/>
      </c>
      <c r="H569" s="671">
        <f>IF(Noty!H569="","",Noty!H569)</f>
        <v>0</v>
      </c>
      <c r="I569" s="671">
        <f>IF(Noty!I569="","",Noty!I569)</f>
        <v>0</v>
      </c>
      <c r="J569" s="499" t="str">
        <f>Noty!J569</f>
        <v>ukryj</v>
      </c>
      <c r="K569" s="489"/>
      <c r="L569" s="200"/>
    </row>
    <row r="570" spans="1:14" s="242" customFormat="1" ht="15.05" customHeight="1" x14ac:dyDescent="0.25">
      <c r="A570" s="508"/>
      <c r="B570" s="520"/>
      <c r="C570" s="1511" t="str">
        <f>IF(Noty!C570="","",Noty!C570)</f>
        <v/>
      </c>
      <c r="D570" s="1367"/>
      <c r="E570" s="1367"/>
      <c r="F570" s="1151" t="str">
        <f>IF(Noty!F570="","",Noty!F570)</f>
        <v/>
      </c>
      <c r="G570" s="1151" t="str">
        <f>IF(Noty!G570="","",Noty!G570)</f>
        <v/>
      </c>
      <c r="H570" s="671">
        <f>IF(Noty!H570="","",Noty!H570)</f>
        <v>0</v>
      </c>
      <c r="I570" s="671">
        <f>IF(Noty!I570="","",Noty!I570)</f>
        <v>0</v>
      </c>
      <c r="J570" s="499" t="str">
        <f>Noty!J570</f>
        <v>ukryj</v>
      </c>
      <c r="K570" s="489"/>
      <c r="L570" s="200"/>
    </row>
    <row r="571" spans="1:14" s="242" customFormat="1" ht="15.05" customHeight="1" x14ac:dyDescent="0.25">
      <c r="A571" s="508"/>
      <c r="B571" s="520"/>
      <c r="C571" s="1511" t="str">
        <f>IF(Noty!C571="","",Noty!C571)</f>
        <v/>
      </c>
      <c r="D571" s="1367"/>
      <c r="E571" s="1367"/>
      <c r="F571" s="1151" t="str">
        <f>IF(Noty!F571="","",Noty!F571)</f>
        <v/>
      </c>
      <c r="G571" s="1151" t="str">
        <f>IF(Noty!G571="","",Noty!G571)</f>
        <v/>
      </c>
      <c r="H571" s="671">
        <f>IF(Noty!H571="","",Noty!H571)</f>
        <v>0</v>
      </c>
      <c r="I571" s="671">
        <f>IF(Noty!I571="","",Noty!I571)</f>
        <v>0</v>
      </c>
      <c r="J571" s="499" t="str">
        <f>Noty!J571</f>
        <v>ukryj</v>
      </c>
      <c r="K571" s="489"/>
      <c r="L571" s="200"/>
    </row>
    <row r="572" spans="1:14" s="242" customFormat="1" ht="15.05" customHeight="1" x14ac:dyDescent="0.25">
      <c r="A572" s="508"/>
      <c r="B572" s="520"/>
      <c r="C572" s="1511" t="str">
        <f>IF(Noty!C572="","",Noty!C572)</f>
        <v/>
      </c>
      <c r="D572" s="1367"/>
      <c r="E572" s="1367"/>
      <c r="F572" s="1151" t="str">
        <f>IF(Noty!F572="","",Noty!F572)</f>
        <v/>
      </c>
      <c r="G572" s="1151" t="str">
        <f>IF(Noty!G572="","",Noty!G572)</f>
        <v/>
      </c>
      <c r="H572" s="671">
        <f>IF(Noty!H572="","",Noty!H572)</f>
        <v>0</v>
      </c>
      <c r="I572" s="671">
        <f>IF(Noty!I572="","",Noty!I572)</f>
        <v>0</v>
      </c>
      <c r="J572" s="499" t="str">
        <f>Noty!J572</f>
        <v>ukryj</v>
      </c>
      <c r="K572" s="489"/>
      <c r="L572" s="200"/>
    </row>
    <row r="573" spans="1:14" s="242" customFormat="1" ht="15.05" customHeight="1" x14ac:dyDescent="0.25">
      <c r="A573" s="508"/>
      <c r="B573" s="520"/>
      <c r="C573" s="1511" t="str">
        <f>IF(Noty!C573="","",Noty!C573)</f>
        <v/>
      </c>
      <c r="D573" s="1367"/>
      <c r="E573" s="1367"/>
      <c r="F573" s="1151" t="str">
        <f>IF(Noty!F573="","",Noty!F573)</f>
        <v/>
      </c>
      <c r="G573" s="1151" t="str">
        <f>IF(Noty!G573="","",Noty!G573)</f>
        <v/>
      </c>
      <c r="H573" s="671">
        <f>IF(Noty!H573="","",Noty!H573)</f>
        <v>0</v>
      </c>
      <c r="I573" s="671">
        <f>IF(Noty!I573="","",Noty!I573)</f>
        <v>0</v>
      </c>
      <c r="J573" s="499" t="str">
        <f>Noty!J573</f>
        <v>ukryj</v>
      </c>
      <c r="K573" s="489"/>
      <c r="L573" s="200"/>
    </row>
    <row r="574" spans="1:14" s="242" customFormat="1" ht="15.05" customHeight="1" x14ac:dyDescent="0.25">
      <c r="A574" s="508"/>
      <c r="B574" s="520"/>
      <c r="C574" s="1511" t="str">
        <f>IF(Noty!C574="","",Noty!C574)</f>
        <v/>
      </c>
      <c r="D574" s="1367"/>
      <c r="E574" s="1367"/>
      <c r="F574" s="1151" t="str">
        <f>IF(Noty!F574="","",Noty!F574)</f>
        <v/>
      </c>
      <c r="G574" s="1151" t="str">
        <f>IF(Noty!G574="","",Noty!G574)</f>
        <v/>
      </c>
      <c r="H574" s="671">
        <f>IF(Noty!H574="","",Noty!H574)</f>
        <v>0</v>
      </c>
      <c r="I574" s="671">
        <f>IF(Noty!I574="","",Noty!I574)</f>
        <v>0</v>
      </c>
      <c r="J574" s="499" t="str">
        <f>Noty!J574</f>
        <v>ukryj</v>
      </c>
      <c r="K574" s="489"/>
      <c r="L574" s="200"/>
    </row>
    <row r="575" spans="1:14" s="242" customFormat="1" ht="15.05" customHeight="1" x14ac:dyDescent="0.25">
      <c r="A575" s="508"/>
      <c r="B575" s="520"/>
      <c r="C575" s="1511" t="str">
        <f>IF(Noty!C575="","",Noty!C575)</f>
        <v/>
      </c>
      <c r="D575" s="1367"/>
      <c r="E575" s="1367"/>
      <c r="F575" s="1151" t="str">
        <f>IF(Noty!F575="","",Noty!F575)</f>
        <v/>
      </c>
      <c r="G575" s="1151" t="str">
        <f>IF(Noty!G575="","",Noty!G575)</f>
        <v/>
      </c>
      <c r="H575" s="671">
        <f>IF(Noty!H575="","",Noty!H575)</f>
        <v>0</v>
      </c>
      <c r="I575" s="671">
        <f>IF(Noty!I575="","",Noty!I575)</f>
        <v>0</v>
      </c>
      <c r="J575" s="499" t="str">
        <f>Noty!J575</f>
        <v>ukryj</v>
      </c>
      <c r="K575" s="489"/>
      <c r="L575" s="200"/>
    </row>
    <row r="576" spans="1:14" s="242" customFormat="1" ht="15.05" customHeight="1" x14ac:dyDescent="0.25">
      <c r="A576" s="508"/>
      <c r="B576" s="520"/>
      <c r="C576" s="1511" t="str">
        <f>IF(Noty!C576="","",Noty!C576)</f>
        <v/>
      </c>
      <c r="D576" s="1367"/>
      <c r="E576" s="1367"/>
      <c r="F576" s="1151" t="str">
        <f>IF(Noty!F576="","",Noty!F576)</f>
        <v/>
      </c>
      <c r="G576" s="1151" t="str">
        <f>IF(Noty!G576="","",Noty!G576)</f>
        <v/>
      </c>
      <c r="H576" s="671">
        <f>IF(Noty!H576="","",Noty!H576)</f>
        <v>0</v>
      </c>
      <c r="I576" s="671">
        <f>IF(Noty!I576="","",Noty!I576)</f>
        <v>0</v>
      </c>
      <c r="J576" s="499" t="str">
        <f>Noty!J576</f>
        <v>ukryj</v>
      </c>
      <c r="K576" s="489"/>
      <c r="L576" s="200"/>
    </row>
    <row r="577" spans="1:14" s="242" customFormat="1" ht="15.05" customHeight="1" x14ac:dyDescent="0.25">
      <c r="A577" s="508"/>
      <c r="B577" s="520"/>
      <c r="C577" s="1511" t="str">
        <f>IF(Noty!C577="","",Noty!C577)</f>
        <v/>
      </c>
      <c r="D577" s="1367"/>
      <c r="E577" s="1367"/>
      <c r="F577" s="1151" t="str">
        <f>IF(Noty!F577="","",Noty!F577)</f>
        <v/>
      </c>
      <c r="G577" s="1151" t="str">
        <f>IF(Noty!G577="","",Noty!G577)</f>
        <v/>
      </c>
      <c r="H577" s="671">
        <f>IF(Noty!H577="","",Noty!H577)</f>
        <v>0</v>
      </c>
      <c r="I577" s="671">
        <f>IF(Noty!I577="","",Noty!I577)</f>
        <v>0</v>
      </c>
      <c r="J577" s="499" t="str">
        <f>Noty!J577</f>
        <v>ukryj</v>
      </c>
      <c r="K577" s="489"/>
      <c r="L577" s="200"/>
    </row>
    <row r="578" spans="1:14" s="242" customFormat="1" ht="15.05" customHeight="1" x14ac:dyDescent="0.25">
      <c r="A578" s="508"/>
      <c r="B578" s="520"/>
      <c r="C578" s="822"/>
      <c r="D578" s="822"/>
      <c r="E578" s="612"/>
      <c r="F578" s="619">
        <f>IF(Noty!F578="","",Noty!F578)</f>
        <v>0</v>
      </c>
      <c r="G578" s="619">
        <f>IF(Noty!G578="","",Noty!G578)</f>
        <v>0</v>
      </c>
      <c r="H578" s="672">
        <f>IF(Noty!H578="","",Noty!H578)</f>
        <v>0</v>
      </c>
      <c r="I578" s="672">
        <f>IF(Noty!I578="","",Noty!I578)</f>
        <v>0</v>
      </c>
      <c r="J578" s="499" t="str">
        <f>Noty!J578</f>
        <v>ukryj</v>
      </c>
      <c r="K578" s="489"/>
      <c r="L578" s="200"/>
    </row>
    <row r="579" spans="1:14" s="242" customFormat="1" ht="15.05" customHeight="1" x14ac:dyDescent="0.25">
      <c r="A579" s="508"/>
      <c r="B579" s="520"/>
      <c r="C579" s="200"/>
      <c r="D579" s="200"/>
      <c r="E579" s="196"/>
      <c r="F579" s="196"/>
      <c r="G579" s="196"/>
      <c r="H579" s="196"/>
      <c r="I579" s="196"/>
      <c r="J579" s="499" t="str">
        <f>Noty!J579</f>
        <v>ukryj</v>
      </c>
      <c r="K579" s="489"/>
      <c r="L579" s="200"/>
    </row>
    <row r="580" spans="1:14" s="242" customFormat="1" ht="13.6" customHeight="1" x14ac:dyDescent="0.25">
      <c r="A580" s="508"/>
      <c r="B580" s="520"/>
      <c r="C580" s="1383" t="s">
        <v>10973</v>
      </c>
      <c r="D580" s="1383"/>
      <c r="E580" s="1383"/>
      <c r="F580" s="1383"/>
      <c r="G580" s="1383"/>
      <c r="H580" s="1383"/>
      <c r="I580" s="1383"/>
      <c r="J580" s="499" t="str">
        <f>Noty!J580</f>
        <v>ukryj</v>
      </c>
      <c r="K580" s="489"/>
      <c r="L580" s="200"/>
    </row>
    <row r="581" spans="1:14" s="242" customFormat="1" ht="27.85" customHeight="1" x14ac:dyDescent="0.25">
      <c r="A581" s="508"/>
      <c r="B581" s="520"/>
      <c r="C581" s="1384" t="s">
        <v>10974</v>
      </c>
      <c r="D581" s="1384"/>
      <c r="E581" s="1384"/>
      <c r="F581" s="1384"/>
      <c r="G581" s="1384"/>
      <c r="H581" s="1384"/>
      <c r="I581" s="1384"/>
      <c r="J581" s="499" t="str">
        <f>Noty!J581</f>
        <v>ukryj</v>
      </c>
      <c r="K581" s="489"/>
      <c r="L581" s="200"/>
    </row>
    <row r="582" spans="1:14" s="242" customFormat="1" ht="15.05" customHeight="1" x14ac:dyDescent="0.25">
      <c r="A582" s="508"/>
      <c r="B582" s="520"/>
      <c r="C582" s="200"/>
      <c r="D582" s="200"/>
      <c r="E582" s="196"/>
      <c r="F582" s="196"/>
      <c r="G582" s="196"/>
      <c r="H582" s="196"/>
      <c r="I582" s="196"/>
      <c r="J582" s="499" t="str">
        <f>Noty!J582</f>
        <v>ukryj</v>
      </c>
      <c r="K582" s="489"/>
      <c r="L582" s="496"/>
    </row>
    <row r="583" spans="1:14" s="242" customFormat="1" ht="15.05" customHeight="1" x14ac:dyDescent="0.25">
      <c r="A583" s="508"/>
      <c r="B583" s="520"/>
      <c r="C583" s="1455" t="s">
        <v>10975</v>
      </c>
      <c r="D583" s="1455"/>
      <c r="E583" s="1455"/>
      <c r="F583" s="1455"/>
      <c r="G583" s="1455"/>
      <c r="H583" s="1455"/>
      <c r="I583" s="1455"/>
      <c r="J583" s="499" t="str">
        <f>Noty!J583</f>
        <v>ukryj</v>
      </c>
      <c r="K583" s="489"/>
      <c r="L583" s="496"/>
    </row>
    <row r="584" spans="1:14" s="242" customFormat="1" ht="15.05" customHeight="1" x14ac:dyDescent="0.25">
      <c r="A584" s="508"/>
      <c r="B584" s="520"/>
      <c r="C584" s="200"/>
      <c r="D584" s="200"/>
      <c r="E584" s="196"/>
      <c r="F584" s="196"/>
      <c r="G584" s="196"/>
      <c r="H584" s="1133" t="str">
        <f>IF(Noty!H584="","",Noty!H584)</f>
        <v>31.12.2020</v>
      </c>
      <c r="I584" s="1133" t="str">
        <f>IF(Noty!I584="","",Noty!I584)</f>
        <v>31.12.2019</v>
      </c>
      <c r="J584" s="499" t="str">
        <f>Noty!J584</f>
        <v>ukryj</v>
      </c>
      <c r="K584" s="489"/>
      <c r="L584" s="496"/>
    </row>
    <row r="585" spans="1:14" s="242" customFormat="1" ht="42.75" customHeight="1" x14ac:dyDescent="0.25">
      <c r="A585" s="508"/>
      <c r="B585" s="520"/>
      <c r="C585" s="1293" t="s">
        <v>10976</v>
      </c>
      <c r="D585" s="1293"/>
      <c r="E585" s="1293"/>
      <c r="F585" s="1293"/>
      <c r="G585" s="1293"/>
      <c r="H585" s="1204" t="str">
        <f>IF(Noty!H585="","",Noty!H585)</f>
        <v/>
      </c>
      <c r="I585" s="1204" t="str">
        <f>IF(Noty!I585="","",Noty!I585)</f>
        <v/>
      </c>
      <c r="J585" s="499" t="str">
        <f>Noty!J585</f>
        <v>ukryj</v>
      </c>
      <c r="K585" s="489"/>
      <c r="L585" s="496"/>
    </row>
    <row r="586" spans="1:14" s="242" customFormat="1" ht="15.05" customHeight="1" x14ac:dyDescent="0.25">
      <c r="A586" s="508"/>
      <c r="B586" s="520"/>
      <c r="C586" s="200"/>
      <c r="D586" s="200"/>
      <c r="E586" s="196"/>
      <c r="F586" s="196"/>
      <c r="G586" s="196"/>
      <c r="H586" s="196"/>
      <c r="I586" s="196"/>
      <c r="J586" s="499" t="str">
        <f>Noty!J586</f>
        <v>ukryj</v>
      </c>
      <c r="K586" s="489"/>
      <c r="L586" s="496"/>
    </row>
    <row r="587" spans="1:14" s="242" customFormat="1" ht="29.3" customHeight="1" x14ac:dyDescent="0.25">
      <c r="A587" s="508"/>
      <c r="B587" s="520"/>
      <c r="C587" s="1456" t="s">
        <v>10977</v>
      </c>
      <c r="D587" s="1456"/>
      <c r="E587" s="1456"/>
      <c r="F587" s="1456"/>
      <c r="G587" s="1456"/>
      <c r="H587" s="1456"/>
      <c r="I587" s="1456"/>
      <c r="J587" s="499" t="str">
        <f>Noty!J587</f>
        <v>ukryj</v>
      </c>
      <c r="K587" s="489"/>
      <c r="L587" s="496"/>
    </row>
    <row r="588" spans="1:14" s="242" customFormat="1" ht="15.05" customHeight="1" thickBot="1" x14ac:dyDescent="0.3">
      <c r="A588" s="508"/>
      <c r="B588" s="520"/>
      <c r="C588" s="200"/>
      <c r="D588" s="200"/>
      <c r="E588" s="196"/>
      <c r="F588" s="196"/>
      <c r="G588" s="196"/>
      <c r="H588" s="196"/>
      <c r="I588" s="196"/>
      <c r="J588" s="499" t="str">
        <f>Noty!J588</f>
        <v>ukryj</v>
      </c>
      <c r="K588" s="489"/>
      <c r="L588" s="496"/>
    </row>
    <row r="589" spans="1:14" s="242" customFormat="1" ht="16.399999999999999" thickTop="1" thickBot="1" x14ac:dyDescent="0.35">
      <c r="A589" s="1183">
        <f>A562</f>
        <v>0</v>
      </c>
      <c r="B589" s="1184">
        <f>+IF(K589="n/a",B564,B564+1)</f>
        <v>0</v>
      </c>
      <c r="C589" s="1389" t="s">
        <v>10978</v>
      </c>
      <c r="D589" s="1389"/>
      <c r="E589" s="1389"/>
      <c r="F589" s="1389"/>
      <c r="G589" s="1389"/>
      <c r="H589" s="1389"/>
      <c r="I589" s="1389"/>
      <c r="J589" s="499" t="str">
        <f>Noty!J589</f>
        <v>ukryj</v>
      </c>
      <c r="K589" s="585" t="str">
        <f>Noty!K589</f>
        <v>n/a</v>
      </c>
      <c r="L589" s="200" t="str">
        <f>A589&amp;"."&amp;B589</f>
        <v>0.0</v>
      </c>
      <c r="N589" s="1101" t="s">
        <v>9378</v>
      </c>
    </row>
    <row r="590" spans="1:14" s="242" customFormat="1" ht="15.05" customHeight="1" thickTop="1" x14ac:dyDescent="0.25">
      <c r="A590" s="508"/>
      <c r="B590" s="520"/>
      <c r="C590" s="200"/>
      <c r="D590" s="200"/>
      <c r="E590" s="196"/>
      <c r="F590" s="196"/>
      <c r="G590" s="196"/>
      <c r="H590" s="196"/>
      <c r="I590" s="196"/>
      <c r="J590" s="499" t="str">
        <f>Noty!J590</f>
        <v>ukryj</v>
      </c>
      <c r="K590" s="489"/>
      <c r="L590" s="200"/>
    </row>
    <row r="591" spans="1:14" s="242" customFormat="1" ht="13.6" customHeight="1" x14ac:dyDescent="0.25">
      <c r="A591" s="508"/>
      <c r="B591" s="520"/>
      <c r="C591" s="1385" t="str">
        <f>"The Board of Directors proposes to "&amp;IF(OR(H596=0,H596=""),"distribute the profit","cover the loss")&amp;" for the financial year as follows:"</f>
        <v>The Board of Directors proposes to distribute the profit for the financial year as follows:</v>
      </c>
      <c r="D591" s="1385"/>
      <c r="E591" s="1385"/>
      <c r="F591" s="1385"/>
      <c r="G591" s="1385"/>
      <c r="H591" s="1385"/>
      <c r="I591" s="1385"/>
      <c r="J591" s="499" t="str">
        <f>Noty!J591</f>
        <v>ukryj</v>
      </c>
      <c r="K591" s="489"/>
      <c r="L591" s="200"/>
    </row>
    <row r="592" spans="1:14" s="242" customFormat="1" ht="15.05" customHeight="1" x14ac:dyDescent="0.25">
      <c r="A592" s="508"/>
      <c r="B592" s="520"/>
      <c r="C592" s="541" t="s">
        <v>10979</v>
      </c>
      <c r="D592" s="612"/>
      <c r="E592" s="673"/>
      <c r="F592" s="673"/>
      <c r="G592" s="200"/>
      <c r="H592" s="1141" t="str">
        <f>IF(Noty!H592="","",Noty!H592)</f>
        <v/>
      </c>
      <c r="I592" s="673"/>
      <c r="J592" s="499" t="str">
        <f>Noty!J592</f>
        <v>ukryj</v>
      </c>
      <c r="K592" s="489"/>
      <c r="L592" s="200"/>
    </row>
    <row r="593" spans="1:14" s="242" customFormat="1" ht="15.05" customHeight="1" x14ac:dyDescent="0.25">
      <c r="A593" s="508"/>
      <c r="B593" s="520"/>
      <c r="C593" s="541" t="s">
        <v>10980</v>
      </c>
      <c r="D593" s="612"/>
      <c r="E593" s="673"/>
      <c r="F593" s="673"/>
      <c r="G593" s="200"/>
      <c r="H593" s="1141" t="str">
        <f>IF(Noty!H593="","",Noty!H593)</f>
        <v/>
      </c>
      <c r="I593" s="673"/>
      <c r="J593" s="499" t="str">
        <f>Noty!J593</f>
        <v>ukryj</v>
      </c>
      <c r="K593" s="489"/>
      <c r="L593" s="200"/>
    </row>
    <row r="594" spans="1:14" s="242" customFormat="1" ht="15.05" customHeight="1" x14ac:dyDescent="0.25">
      <c r="A594" s="508"/>
      <c r="B594" s="520"/>
      <c r="C594" s="541" t="s">
        <v>10981</v>
      </c>
      <c r="D594" s="612"/>
      <c r="E594" s="673"/>
      <c r="F594" s="673"/>
      <c r="G594" s="200"/>
      <c r="H594" s="1141" t="str">
        <f>IF(Noty!H594="","",Noty!H594)</f>
        <v/>
      </c>
      <c r="I594" s="673"/>
      <c r="J594" s="499" t="str">
        <f>Noty!J594</f>
        <v>ukryj</v>
      </c>
      <c r="K594" s="489"/>
      <c r="L594" s="200"/>
    </row>
    <row r="595" spans="1:14" s="242" customFormat="1" ht="15.05" customHeight="1" x14ac:dyDescent="0.25">
      <c r="A595" s="508"/>
      <c r="B595" s="520"/>
      <c r="C595" s="541" t="s">
        <v>10982</v>
      </c>
      <c r="D595" s="612"/>
      <c r="E595" s="673"/>
      <c r="F595" s="673"/>
      <c r="G595" s="200"/>
      <c r="H595" s="1141" t="str">
        <f>IF(Noty!H595="","",Noty!H595)</f>
        <v/>
      </c>
      <c r="I595" s="673"/>
      <c r="J595" s="499" t="str">
        <f>Noty!J595</f>
        <v>ukryj</v>
      </c>
      <c r="K595" s="489"/>
      <c r="L595" s="200"/>
    </row>
    <row r="596" spans="1:14" s="242" customFormat="1" ht="15.05" customHeight="1" x14ac:dyDescent="0.25">
      <c r="A596" s="508"/>
      <c r="B596" s="520"/>
      <c r="C596" s="542" t="s">
        <v>10983</v>
      </c>
      <c r="D596" s="612"/>
      <c r="E596" s="673"/>
      <c r="F596" s="673"/>
      <c r="G596" s="200"/>
      <c r="H596" s="1141" t="str">
        <f>IF(Noty!H596="","",Noty!H596)</f>
        <v/>
      </c>
      <c r="I596" s="673"/>
      <c r="J596" s="499" t="str">
        <f>Noty!J596</f>
        <v>ukryj</v>
      </c>
      <c r="K596" s="489"/>
      <c r="L596" s="200"/>
    </row>
    <row r="597" spans="1:14" s="242" customFormat="1" ht="15.05" customHeight="1" x14ac:dyDescent="0.25">
      <c r="A597" s="508"/>
      <c r="B597" s="520"/>
      <c r="C597" s="1386"/>
      <c r="D597" s="1386"/>
      <c r="E597" s="1386"/>
      <c r="F597" s="673"/>
      <c r="G597" s="200"/>
      <c r="H597" s="803">
        <f>IF(Noty!H597="","",Noty!H597)</f>
        <v>0</v>
      </c>
      <c r="I597" s="673"/>
      <c r="J597" s="499" t="str">
        <f>Noty!J597</f>
        <v>ukryj</v>
      </c>
      <c r="K597" s="489"/>
      <c r="L597" s="200"/>
    </row>
    <row r="598" spans="1:14" s="242" customFormat="1" ht="15.05" customHeight="1" thickBot="1" x14ac:dyDescent="0.3">
      <c r="A598" s="508"/>
      <c r="B598" s="520"/>
      <c r="C598" s="200"/>
      <c r="D598" s="200"/>
      <c r="E598" s="196"/>
      <c r="F598" s="196"/>
      <c r="G598" s="196"/>
      <c r="H598" s="196"/>
      <c r="I598" s="196"/>
      <c r="J598" s="499" t="str">
        <f>Noty!J598</f>
        <v>ukryj</v>
      </c>
      <c r="K598" s="489"/>
      <c r="L598" s="200"/>
    </row>
    <row r="599" spans="1:14" s="592" customFormat="1" ht="15.05" customHeight="1" thickTop="1" thickBot="1" x14ac:dyDescent="0.35">
      <c r="A599" s="1183">
        <f>A589</f>
        <v>0</v>
      </c>
      <c r="B599" s="1184">
        <f>IF(K599="n/a",B589,B589+1)</f>
        <v>0</v>
      </c>
      <c r="C599" s="1235" t="s">
        <v>10984</v>
      </c>
      <c r="D599" s="1235"/>
      <c r="E599" s="1235"/>
      <c r="F599" s="1235"/>
      <c r="G599" s="1235"/>
      <c r="H599" s="1235"/>
      <c r="I599" s="1235"/>
      <c r="J599" s="499" t="str">
        <f>Noty!J599</f>
        <v>ukryj</v>
      </c>
      <c r="K599" s="585" t="str">
        <f>IF(Input!D121="nie","n/a","")</f>
        <v>n/a</v>
      </c>
      <c r="L599" s="573" t="str">
        <f>A599&amp;"."&amp;B599</f>
        <v>0.0</v>
      </c>
      <c r="N599" s="1101" t="s">
        <v>9378</v>
      </c>
    </row>
    <row r="600" spans="1:14" s="592" customFormat="1" ht="15.05" customHeight="1" thickTop="1" x14ac:dyDescent="0.25">
      <c r="A600" s="508"/>
      <c r="B600" s="520"/>
      <c r="C600" s="411" t="s">
        <v>10985</v>
      </c>
      <c r="D600" s="609"/>
      <c r="E600" s="609"/>
      <c r="F600" s="609"/>
      <c r="G600" s="609"/>
      <c r="H600" s="609"/>
      <c r="I600" s="609"/>
      <c r="J600" s="499" t="str">
        <f>Noty!J600</f>
        <v>ukryj</v>
      </c>
      <c r="K600" s="489"/>
      <c r="L600" s="573"/>
      <c r="N600" s="488"/>
    </row>
    <row r="601" spans="1:14" s="592" customFormat="1" ht="15.05" customHeight="1" x14ac:dyDescent="0.25">
      <c r="A601" s="508"/>
      <c r="B601" s="520"/>
      <c r="C601" s="356"/>
      <c r="D601" s="609"/>
      <c r="E601" s="609"/>
      <c r="F601" s="609"/>
      <c r="G601" s="609"/>
      <c r="H601" s="609"/>
      <c r="I601" s="609"/>
      <c r="J601" s="499" t="str">
        <f>Noty!J601</f>
        <v>ukryj</v>
      </c>
      <c r="K601" s="489"/>
      <c r="L601" s="573"/>
      <c r="N601" s="488"/>
    </row>
    <row r="602" spans="1:14" s="592" customFormat="1" ht="26.2" customHeight="1" x14ac:dyDescent="0.25">
      <c r="A602" s="509"/>
      <c r="B602" s="520"/>
      <c r="C602" s="1311"/>
      <c r="D602" s="1311"/>
      <c r="E602" s="1311"/>
      <c r="F602" s="801" t="s">
        <v>10986</v>
      </c>
      <c r="G602" s="801" t="s">
        <v>10987</v>
      </c>
      <c r="H602" s="801" t="s">
        <v>10988</v>
      </c>
      <c r="I602" s="801" t="s">
        <v>9287</v>
      </c>
      <c r="J602" s="499" t="str">
        <f>Noty!J602</f>
        <v>ukryj</v>
      </c>
      <c r="K602" s="489"/>
      <c r="L602" s="593"/>
    </row>
    <row r="603" spans="1:14" ht="15.05" customHeight="1" x14ac:dyDescent="0.25">
      <c r="A603" s="509"/>
      <c r="B603" s="520"/>
      <c r="F603" s="609"/>
      <c r="G603" s="609"/>
      <c r="H603" s="609"/>
      <c r="I603" s="609"/>
      <c r="J603" s="499" t="str">
        <f>Noty!J603</f>
        <v>ukryj</v>
      </c>
      <c r="L603" s="806"/>
    </row>
    <row r="604" spans="1:14" ht="15.05" customHeight="1" x14ac:dyDescent="0.25">
      <c r="A604" s="509"/>
      <c r="B604" s="520"/>
      <c r="C604" s="1314" t="str">
        <f>CONCATENATE("As at ",Input!$C$6)</f>
        <v>As at 01.01.2020</v>
      </c>
      <c r="D604" s="1314"/>
      <c r="F604" s="676" t="str">
        <f>IF(Noty!F604="","",Noty!F604)</f>
        <v/>
      </c>
      <c r="G604" s="1152" t="str">
        <f>IF(Noty!G604="","",Noty!G604)</f>
        <v/>
      </c>
      <c r="H604" s="1152" t="str">
        <f>IF(Noty!H604="","",Noty!H604)</f>
        <v/>
      </c>
      <c r="I604" s="676">
        <f>IF(Noty!I604="","",Noty!I604)</f>
        <v>0</v>
      </c>
      <c r="J604" s="499" t="str">
        <f>Noty!J604</f>
        <v>ukryj</v>
      </c>
      <c r="L604" s="806"/>
    </row>
    <row r="605" spans="1:14" x14ac:dyDescent="0.25">
      <c r="A605" s="509"/>
      <c r="B605" s="520"/>
      <c r="C605" s="1303" t="s">
        <v>10989</v>
      </c>
      <c r="D605" s="1303"/>
      <c r="E605" s="1303"/>
      <c r="F605" s="676" t="str">
        <f>IF(Noty!F605="","",Noty!F605)</f>
        <v/>
      </c>
      <c r="G605" s="1152" t="str">
        <f>IF(Noty!G605="","",Noty!G605)</f>
        <v/>
      </c>
      <c r="H605" s="1152" t="str">
        <f>IF(Noty!H605="","",Noty!H605)</f>
        <v/>
      </c>
      <c r="I605" s="676">
        <f>IF(Noty!I605="","",Noty!I605)</f>
        <v>0</v>
      </c>
      <c r="J605" s="499" t="str">
        <f>Noty!J605</f>
        <v>ukryj</v>
      </c>
      <c r="L605" s="806"/>
    </row>
    <row r="606" spans="1:14" ht="15.05" customHeight="1" x14ac:dyDescent="0.25">
      <c r="A606" s="509"/>
      <c r="B606" s="520"/>
      <c r="C606" s="1314" t="s">
        <v>10990</v>
      </c>
      <c r="D606" s="1314"/>
      <c r="F606" s="676" t="str">
        <f>IF(Noty!F606="","",Noty!F606)</f>
        <v/>
      </c>
      <c r="G606" s="1153" t="str">
        <f>IF(Noty!G606="","",Noty!G606)</f>
        <v/>
      </c>
      <c r="H606" s="1153" t="str">
        <f>IF(Noty!H606="","",Noty!H606)</f>
        <v/>
      </c>
      <c r="I606" s="676">
        <f>IF(Noty!I606="","",Noty!I606)</f>
        <v>0</v>
      </c>
      <c r="J606" s="499" t="str">
        <f>Noty!J606</f>
        <v>ukryj</v>
      </c>
      <c r="L606" s="806"/>
    </row>
    <row r="607" spans="1:14" ht="15.05" customHeight="1" x14ac:dyDescent="0.25">
      <c r="A607" s="509"/>
      <c r="B607" s="520"/>
      <c r="C607" s="812" t="str">
        <f>CONCATENATE("As at ",Input!$C$7)</f>
        <v>As at 31.12.2020</v>
      </c>
      <c r="F607" s="836">
        <f>IF(Noty!F607="","",Noty!F607)</f>
        <v>0</v>
      </c>
      <c r="G607" s="836">
        <f>IF(Noty!G607="","",Noty!G607)</f>
        <v>0</v>
      </c>
      <c r="H607" s="836">
        <f>IF(Noty!H607="","",Noty!H607)</f>
        <v>0</v>
      </c>
      <c r="I607" s="836">
        <f>IF(Noty!I607="","",Noty!I607)</f>
        <v>0</v>
      </c>
      <c r="J607" s="499" t="str">
        <f>Noty!J607</f>
        <v>ukryj</v>
      </c>
      <c r="L607" s="806"/>
    </row>
    <row r="608" spans="1:14" ht="15.05" customHeight="1" thickBot="1" x14ac:dyDescent="0.3">
      <c r="A608" s="509"/>
      <c r="B608" s="520"/>
      <c r="C608" s="370"/>
      <c r="F608" s="377"/>
      <c r="G608" s="613"/>
      <c r="H608" s="613"/>
      <c r="I608" s="613"/>
      <c r="J608" s="499" t="str">
        <f>Noty!J608</f>
        <v>ukryj</v>
      </c>
      <c r="L608" s="806"/>
    </row>
    <row r="609" spans="1:14" s="242" customFormat="1" ht="16.399999999999999" thickTop="1" thickBot="1" x14ac:dyDescent="0.35">
      <c r="A609" s="1180">
        <f>IF(K609="n/a",A589,A589+1)</f>
        <v>0</v>
      </c>
      <c r="B609" s="1182"/>
      <c r="C609" s="1387" t="s">
        <v>8268</v>
      </c>
      <c r="D609" s="1387"/>
      <c r="E609" s="1387"/>
      <c r="F609" s="1387"/>
      <c r="G609" s="1387"/>
      <c r="H609" s="1387"/>
      <c r="I609" s="1387"/>
      <c r="J609" s="499" t="str">
        <f>Noty!J609</f>
        <v>ukryj</v>
      </c>
      <c r="K609" s="585" t="str">
        <f>Noty!K609</f>
        <v>n/a</v>
      </c>
      <c r="L609" s="496" t="str">
        <f>A609&amp;"."&amp;B609</f>
        <v>0.</v>
      </c>
      <c r="N609" s="1101" t="s">
        <v>9378</v>
      </c>
    </row>
    <row r="610" spans="1:14" s="242" customFormat="1" ht="15.05" customHeight="1" thickTop="1" x14ac:dyDescent="0.25">
      <c r="A610" s="508"/>
      <c r="B610" s="520"/>
      <c r="C610" s="200"/>
      <c r="D610" s="200"/>
      <c r="E610" s="200"/>
      <c r="F610" s="200"/>
      <c r="G610" s="200"/>
      <c r="H610" s="200"/>
      <c r="I610" s="200"/>
      <c r="J610" s="499" t="str">
        <f>Noty!J610</f>
        <v>ukryj</v>
      </c>
      <c r="K610" s="489"/>
      <c r="L610" s="200"/>
    </row>
    <row r="611" spans="1:14" s="242" customFormat="1" ht="14.25" customHeight="1" x14ac:dyDescent="0.25">
      <c r="A611" s="508"/>
      <c r="B611" s="520"/>
      <c r="C611" s="1381" t="s">
        <v>10991</v>
      </c>
      <c r="D611" s="1381"/>
      <c r="E611" s="1381"/>
      <c r="F611" s="1381"/>
      <c r="G611" s="1381"/>
      <c r="H611" s="1381"/>
      <c r="I611" s="1381"/>
      <c r="J611" s="499" t="str">
        <f>Noty!J611</f>
        <v>ukryj</v>
      </c>
      <c r="K611" s="489"/>
      <c r="L611" s="200"/>
    </row>
    <row r="612" spans="1:14" s="242" customFormat="1" ht="15.05" customHeight="1" thickBot="1" x14ac:dyDescent="0.3">
      <c r="A612" s="508"/>
      <c r="B612" s="520"/>
      <c r="C612" s="200"/>
      <c r="D612" s="200"/>
      <c r="E612" s="196"/>
      <c r="F612" s="196"/>
      <c r="G612" s="196"/>
      <c r="H612" s="196"/>
      <c r="I612" s="196"/>
      <c r="J612" s="499" t="str">
        <f>Noty!J612</f>
        <v>ukryj</v>
      </c>
      <c r="K612" s="489"/>
      <c r="L612" s="496"/>
    </row>
    <row r="613" spans="1:14" s="242" customFormat="1" ht="16.399999999999999" thickTop="1" thickBot="1" x14ac:dyDescent="0.35">
      <c r="A613" s="1180">
        <f>IF(K613="n/a",A609,A609+1)</f>
        <v>0</v>
      </c>
      <c r="B613" s="1182"/>
      <c r="C613" s="1387" t="s">
        <v>8272</v>
      </c>
      <c r="D613" s="1387"/>
      <c r="E613" s="1387"/>
      <c r="F613" s="1387"/>
      <c r="G613" s="1387"/>
      <c r="H613" s="1387"/>
      <c r="I613" s="1387"/>
      <c r="J613" s="499" t="str">
        <f>Noty!J613</f>
        <v>ukryj</v>
      </c>
      <c r="K613" s="585" t="str">
        <f>Noty!K613</f>
        <v>n/a</v>
      </c>
      <c r="L613" s="496" t="str">
        <f>A613&amp;"."&amp;B613</f>
        <v>0.</v>
      </c>
      <c r="N613" s="1101" t="s">
        <v>9378</v>
      </c>
    </row>
    <row r="614" spans="1:14" s="242" customFormat="1" ht="15.05" customHeight="1" thickTop="1" x14ac:dyDescent="0.25">
      <c r="A614" s="508"/>
      <c r="B614" s="520"/>
      <c r="C614" s="195"/>
      <c r="D614" s="497"/>
      <c r="E614" s="196"/>
      <c r="F614" s="196"/>
      <c r="G614" s="196"/>
      <c r="H614" s="413"/>
      <c r="I614" s="413"/>
      <c r="J614" s="499" t="str">
        <f>Noty!J614</f>
        <v>ukryj</v>
      </c>
      <c r="K614" s="489"/>
      <c r="L614" s="200"/>
    </row>
    <row r="615" spans="1:14" s="242" customFormat="1" ht="13.6" customHeight="1" x14ac:dyDescent="0.25">
      <c r="A615" s="508"/>
      <c r="B615" s="520"/>
      <c r="C615" s="1381" t="s">
        <v>10992</v>
      </c>
      <c r="D615" s="1381"/>
      <c r="E615" s="1381"/>
      <c r="F615" s="1381"/>
      <c r="G615" s="1381"/>
      <c r="H615" s="1381"/>
      <c r="I615" s="1381"/>
      <c r="J615" s="499" t="str">
        <f>Noty!J615</f>
        <v>ukryj</v>
      </c>
      <c r="K615" s="489"/>
      <c r="L615" s="200"/>
    </row>
    <row r="616" spans="1:14" s="242" customFormat="1" ht="15.05" customHeight="1" thickBot="1" x14ac:dyDescent="0.3">
      <c r="A616" s="508"/>
      <c r="B616" s="520"/>
      <c r="C616" s="200"/>
      <c r="D616" s="200"/>
      <c r="E616" s="196"/>
      <c r="F616" s="196"/>
      <c r="G616" s="196"/>
      <c r="H616" s="196"/>
      <c r="I616" s="196"/>
      <c r="J616" s="499" t="str">
        <f>Noty!J616</f>
        <v>ukryj</v>
      </c>
      <c r="K616" s="489"/>
      <c r="L616" s="496"/>
    </row>
    <row r="617" spans="1:14" s="242" customFormat="1" ht="16.399999999999999" thickTop="1" thickBot="1" x14ac:dyDescent="0.35">
      <c r="A617" s="1180">
        <f>IF(K617="n/a",A613,A613+1)</f>
        <v>0</v>
      </c>
      <c r="B617" s="1182"/>
      <c r="C617" s="1388" t="s">
        <v>10993</v>
      </c>
      <c r="D617" s="1388"/>
      <c r="E617" s="1388"/>
      <c r="F617" s="1388"/>
      <c r="G617" s="1388"/>
      <c r="H617" s="1388"/>
      <c r="I617" s="1388"/>
      <c r="J617" s="499" t="str">
        <f>Noty!J617</f>
        <v>ukryj</v>
      </c>
      <c r="K617" s="585" t="str">
        <f>Noty!K617</f>
        <v>n/a</v>
      </c>
      <c r="L617" s="200" t="str">
        <f>A617&amp;"."&amp;B617</f>
        <v>0.</v>
      </c>
      <c r="N617" s="1101" t="s">
        <v>9378</v>
      </c>
    </row>
    <row r="618" spans="1:14" s="242" customFormat="1" ht="15.05" customHeight="1" thickTop="1" thickBot="1" x14ac:dyDescent="0.3">
      <c r="A618" s="508"/>
      <c r="B618" s="520"/>
      <c r="C618" s="412"/>
      <c r="D618" s="412"/>
      <c r="E618" s="196"/>
      <c r="F618" s="196"/>
      <c r="G618" s="196"/>
      <c r="H618" s="413"/>
      <c r="I618" s="413"/>
      <c r="J618" s="499" t="str">
        <f>Noty!J618</f>
        <v>ukryj</v>
      </c>
      <c r="K618" s="489"/>
      <c r="L618" s="200"/>
    </row>
    <row r="619" spans="1:14" s="242" customFormat="1" ht="16.399999999999999" thickTop="1" thickBot="1" x14ac:dyDescent="0.35">
      <c r="A619" s="1183">
        <f>A617</f>
        <v>0</v>
      </c>
      <c r="B619" s="1184">
        <f>IF(K619="n/a",0,1)</f>
        <v>0</v>
      </c>
      <c r="C619" s="1389" t="s">
        <v>10994</v>
      </c>
      <c r="D619" s="1389"/>
      <c r="E619" s="1389"/>
      <c r="F619" s="1389"/>
      <c r="G619" s="1389"/>
      <c r="H619" s="1389"/>
      <c r="I619" s="1389"/>
      <c r="J619" s="499" t="str">
        <f>Noty!J619</f>
        <v>ukryj</v>
      </c>
      <c r="K619" s="585" t="str">
        <f>Noty!K619</f>
        <v>n/a</v>
      </c>
      <c r="L619" s="496" t="str">
        <f>A619&amp;"."&amp;B619</f>
        <v>0.0</v>
      </c>
      <c r="N619" s="1101" t="s">
        <v>9378</v>
      </c>
    </row>
    <row r="620" spans="1:14" s="242" customFormat="1" ht="15.05" customHeight="1" thickTop="1" x14ac:dyDescent="0.25">
      <c r="A620" s="508"/>
      <c r="B620" s="520"/>
      <c r="C620" s="195"/>
      <c r="D620" s="195"/>
      <c r="E620" s="196"/>
      <c r="F620" s="196"/>
      <c r="G620" s="196"/>
      <c r="H620" s="196"/>
      <c r="I620" s="196"/>
      <c r="J620" s="499" t="str">
        <f>Noty!J620</f>
        <v>ukryj</v>
      </c>
      <c r="K620" s="489"/>
      <c r="L620" s="200"/>
    </row>
    <row r="621" spans="1:14" s="242" customFormat="1" ht="15.05" customHeight="1" x14ac:dyDescent="0.25">
      <c r="A621" s="508"/>
      <c r="B621" s="520"/>
      <c r="C621" s="200"/>
      <c r="D621" s="200"/>
      <c r="E621" s="196"/>
      <c r="F621" s="612"/>
      <c r="G621" s="414" t="s">
        <v>10995</v>
      </c>
      <c r="H621" s="414" t="s">
        <v>10996</v>
      </c>
      <c r="I621" s="414" t="s">
        <v>9287</v>
      </c>
      <c r="J621" s="499" t="str">
        <f>Noty!J621</f>
        <v>ukryj</v>
      </c>
      <c r="K621" s="489"/>
      <c r="L621" s="200"/>
    </row>
    <row r="622" spans="1:14" s="242" customFormat="1" ht="15.05" customHeight="1" x14ac:dyDescent="0.25">
      <c r="A622" s="508"/>
      <c r="B622" s="520"/>
      <c r="C622" s="195"/>
      <c r="D622" s="195"/>
      <c r="E622" s="196"/>
      <c r="F622" s="612"/>
      <c r="G622" s="196"/>
      <c r="H622" s="196"/>
      <c r="I622" s="192"/>
      <c r="J622" s="499" t="str">
        <f>Noty!J622</f>
        <v>ukryj</v>
      </c>
      <c r="K622" s="489"/>
      <c r="L622" s="200"/>
    </row>
    <row r="623" spans="1:14" s="242" customFormat="1" ht="15.05" customHeight="1" x14ac:dyDescent="0.25">
      <c r="A623" s="508"/>
      <c r="B623" s="520"/>
      <c r="C623" s="204" t="str">
        <f>CONCATENATE("As at ",Input!$C$6)</f>
        <v>As at 01.01.2020</v>
      </c>
      <c r="D623" s="224"/>
      <c r="E623" s="196"/>
      <c r="F623" s="612"/>
      <c r="G623" s="800" t="str">
        <f>IF(Noty!G623="","",Noty!G623)</f>
        <v/>
      </c>
      <c r="H623" s="800" t="str">
        <f>IF(Noty!H623="","",Noty!H623)</f>
        <v/>
      </c>
      <c r="I623" s="800">
        <f>IF(Noty!I623="","",Noty!I623)</f>
        <v>0</v>
      </c>
      <c r="J623" s="499" t="str">
        <f>Noty!J623</f>
        <v>ukryj</v>
      </c>
      <c r="K623" s="489"/>
      <c r="L623" s="200"/>
    </row>
    <row r="624" spans="1:14" s="242" customFormat="1" ht="15.05" customHeight="1" x14ac:dyDescent="0.25">
      <c r="A624" s="508"/>
      <c r="B624" s="520"/>
      <c r="C624" s="200" t="s">
        <v>10997</v>
      </c>
      <c r="D624" s="224"/>
      <c r="E624" s="196"/>
      <c r="F624" s="612"/>
      <c r="G624" s="800" t="str">
        <f>IF(Noty!G624="","",Noty!G624)</f>
        <v/>
      </c>
      <c r="H624" s="800" t="str">
        <f>IF(Noty!H624="","",Noty!H624)</f>
        <v/>
      </c>
      <c r="I624" s="800">
        <f>IF(Noty!I624="","",Noty!I624)</f>
        <v>0</v>
      </c>
      <c r="J624" s="499" t="str">
        <f>Noty!J624</f>
        <v>ukryj</v>
      </c>
      <c r="K624" s="489"/>
      <c r="L624" s="200"/>
    </row>
    <row r="625" spans="1:14" s="242" customFormat="1" ht="15.05" customHeight="1" x14ac:dyDescent="0.25">
      <c r="A625" s="508"/>
      <c r="B625" s="520"/>
      <c r="C625" s="200" t="s">
        <v>10998</v>
      </c>
      <c r="D625" s="224"/>
      <c r="E625" s="196"/>
      <c r="F625" s="612"/>
      <c r="G625" s="800" t="str">
        <f>IF(Noty!G625="","",Noty!G625)</f>
        <v/>
      </c>
      <c r="H625" s="800" t="str">
        <f>IF(Noty!H625="","",Noty!H625)</f>
        <v/>
      </c>
      <c r="I625" s="800">
        <f>IF(Noty!I625="","",Noty!I625)</f>
        <v>0</v>
      </c>
      <c r="J625" s="499" t="str">
        <f>Noty!J625</f>
        <v>ukryj</v>
      </c>
      <c r="K625" s="489"/>
      <c r="L625" s="200"/>
    </row>
    <row r="626" spans="1:14" s="242" customFormat="1" ht="15.05" customHeight="1" x14ac:dyDescent="0.25">
      <c r="A626" s="508"/>
      <c r="B626" s="520"/>
      <c r="C626" s="200" t="s">
        <v>10999</v>
      </c>
      <c r="D626" s="224"/>
      <c r="E626" s="196"/>
      <c r="F626" s="612"/>
      <c r="G626" s="800" t="str">
        <f>IF(Noty!G626="","",Noty!G626)</f>
        <v/>
      </c>
      <c r="H626" s="800" t="str">
        <f>IF(Noty!H626="","",Noty!H626)</f>
        <v/>
      </c>
      <c r="I626" s="800">
        <f>IF(Noty!I626="","",Noty!I626)</f>
        <v>0</v>
      </c>
      <c r="J626" s="499" t="str">
        <f>Noty!J626</f>
        <v>ukryj</v>
      </c>
      <c r="K626" s="489"/>
      <c r="L626" s="200"/>
    </row>
    <row r="627" spans="1:14" s="242" customFormat="1" ht="15.05" customHeight="1" x14ac:dyDescent="0.25">
      <c r="A627" s="508"/>
      <c r="B627" s="520"/>
      <c r="C627" s="204" t="str">
        <f>CONCATENATE("As at ",Input!$C$7)</f>
        <v>As at 31.12.2020</v>
      </c>
      <c r="D627" s="224"/>
      <c r="E627" s="196"/>
      <c r="F627" s="581"/>
      <c r="G627" s="803">
        <f>IF(Noty!G627="","",Noty!G627)</f>
        <v>0</v>
      </c>
      <c r="H627" s="803">
        <f>IF(Noty!H627="","",Noty!H627)</f>
        <v>0</v>
      </c>
      <c r="I627" s="803">
        <f>IF(Noty!I627="","",Noty!I627)</f>
        <v>0</v>
      </c>
      <c r="J627" s="499" t="str">
        <f>Noty!J627</f>
        <v>ukryj</v>
      </c>
      <c r="K627" s="489"/>
      <c r="L627" s="200"/>
    </row>
    <row r="628" spans="1:14" s="242" customFormat="1" ht="15.05" customHeight="1" thickBot="1" x14ac:dyDescent="0.3">
      <c r="A628" s="508"/>
      <c r="B628" s="520"/>
      <c r="C628" s="224"/>
      <c r="D628" s="224"/>
      <c r="E628" s="196"/>
      <c r="F628" s="192"/>
      <c r="G628" s="192"/>
      <c r="H628" s="446"/>
      <c r="I628" s="192"/>
      <c r="J628" s="499" t="str">
        <f>Noty!J628</f>
        <v>ukryj</v>
      </c>
      <c r="K628" s="489"/>
      <c r="L628" s="496"/>
    </row>
    <row r="629" spans="1:14" s="242" customFormat="1" ht="16.399999999999999" thickTop="1" thickBot="1" x14ac:dyDescent="0.35">
      <c r="A629" s="1183">
        <f>A617</f>
        <v>0</v>
      </c>
      <c r="B629" s="1184">
        <f>+IF(K629="n/a",B619,B619+1)</f>
        <v>0</v>
      </c>
      <c r="C629" s="1389" t="s">
        <v>11000</v>
      </c>
      <c r="D629" s="1389"/>
      <c r="E629" s="1389"/>
      <c r="F629" s="1389"/>
      <c r="G629" s="1389"/>
      <c r="H629" s="1389"/>
      <c r="I629" s="1389"/>
      <c r="J629" s="499" t="str">
        <f>Noty!J629</f>
        <v>ukryj</v>
      </c>
      <c r="K629" s="585" t="str">
        <f>Noty!K629</f>
        <v>n/a</v>
      </c>
      <c r="L629" s="496" t="str">
        <f>A629&amp;"."&amp;B629</f>
        <v>0.0</v>
      </c>
      <c r="N629" s="1101" t="s">
        <v>9378</v>
      </c>
    </row>
    <row r="630" spans="1:14" s="242" customFormat="1" ht="15.05" customHeight="1" thickTop="1" x14ac:dyDescent="0.25">
      <c r="A630" s="508"/>
      <c r="B630" s="520"/>
      <c r="C630" s="195"/>
      <c r="D630" s="195"/>
      <c r="E630" s="196"/>
      <c r="F630" s="196"/>
      <c r="G630" s="196"/>
      <c r="H630" s="196"/>
      <c r="I630" s="196"/>
      <c r="J630" s="499" t="str">
        <f>Noty!J630</f>
        <v>ukryj</v>
      </c>
      <c r="K630" s="489"/>
      <c r="L630" s="200"/>
    </row>
    <row r="631" spans="1:14" s="242" customFormat="1" ht="27" customHeight="1" x14ac:dyDescent="0.25">
      <c r="A631" s="508"/>
      <c r="B631" s="520"/>
      <c r="C631" s="200"/>
      <c r="D631" s="200"/>
      <c r="E631" s="196"/>
      <c r="F631" s="678" t="s">
        <v>11001</v>
      </c>
      <c r="G631" s="678" t="s">
        <v>11002</v>
      </c>
      <c r="H631" s="678" t="s">
        <v>11003</v>
      </c>
      <c r="I631" s="414" t="s">
        <v>9287</v>
      </c>
      <c r="J631" s="499" t="str">
        <f>Noty!J631</f>
        <v>ukryj</v>
      </c>
      <c r="K631" s="489"/>
      <c r="L631" s="200"/>
    </row>
    <row r="632" spans="1:14" s="242" customFormat="1" ht="15.05" customHeight="1" x14ac:dyDescent="0.25">
      <c r="A632" s="508"/>
      <c r="B632" s="520"/>
      <c r="C632" s="195"/>
      <c r="D632" s="195"/>
      <c r="E632" s="196"/>
      <c r="F632" s="200"/>
      <c r="G632" s="200"/>
      <c r="H632" s="200"/>
      <c r="I632" s="446"/>
      <c r="J632" s="499" t="str">
        <f>Noty!J632</f>
        <v>ukryj</v>
      </c>
      <c r="K632" s="489"/>
      <c r="L632" s="200"/>
    </row>
    <row r="633" spans="1:14" s="242" customFormat="1" ht="15.05" customHeight="1" x14ac:dyDescent="0.25">
      <c r="A633" s="508"/>
      <c r="B633" s="520"/>
      <c r="C633" s="204" t="str">
        <f>CONCATENATE("As at ",Input!$C$6)</f>
        <v>As at 01.01.2020</v>
      </c>
      <c r="D633" s="224"/>
      <c r="E633" s="196"/>
      <c r="F633" s="800" t="str">
        <f>IF(Noty!F633="","",Noty!F633)</f>
        <v/>
      </c>
      <c r="G633" s="1141" t="str">
        <f>IF(Noty!G633="","",Noty!G633)</f>
        <v/>
      </c>
      <c r="H633" s="1141" t="str">
        <f>IF(Noty!H633="","",Noty!H633)</f>
        <v/>
      </c>
      <c r="I633" s="800">
        <f>IF(Noty!I633="","",Noty!I633)</f>
        <v>0</v>
      </c>
      <c r="J633" s="499" t="str">
        <f>Noty!J633</f>
        <v>ukryj</v>
      </c>
      <c r="K633" s="489"/>
      <c r="L633" s="200"/>
    </row>
    <row r="634" spans="1:14" s="242" customFormat="1" ht="15.05" customHeight="1" x14ac:dyDescent="0.25">
      <c r="A634" s="508"/>
      <c r="B634" s="520"/>
      <c r="C634" s="200" t="s">
        <v>10997</v>
      </c>
      <c r="D634" s="224"/>
      <c r="E634" s="196"/>
      <c r="F634" s="800" t="str">
        <f>IF(Noty!F634="","",Noty!F634)</f>
        <v/>
      </c>
      <c r="G634" s="1141" t="str">
        <f>IF(Noty!G634="","",Noty!G634)</f>
        <v/>
      </c>
      <c r="H634" s="1141" t="str">
        <f>IF(Noty!H634="","",Noty!H634)</f>
        <v/>
      </c>
      <c r="I634" s="800">
        <f>IF(Noty!I634="","",Noty!I634)</f>
        <v>0</v>
      </c>
      <c r="J634" s="499" t="str">
        <f>Noty!J634</f>
        <v>ukryj</v>
      </c>
      <c r="K634" s="489"/>
      <c r="L634" s="200"/>
    </row>
    <row r="635" spans="1:14" s="242" customFormat="1" ht="15.05" customHeight="1" x14ac:dyDescent="0.25">
      <c r="A635" s="508"/>
      <c r="B635" s="520"/>
      <c r="C635" s="200" t="s">
        <v>10998</v>
      </c>
      <c r="D635" s="224"/>
      <c r="E635" s="196"/>
      <c r="F635" s="800" t="str">
        <f>IF(Noty!F635="","",Noty!F635)</f>
        <v/>
      </c>
      <c r="G635" s="1141" t="str">
        <f>IF(Noty!G635="","",Noty!G635)</f>
        <v/>
      </c>
      <c r="H635" s="1141" t="str">
        <f>IF(Noty!H635="","",Noty!H635)</f>
        <v/>
      </c>
      <c r="I635" s="800">
        <f>IF(Noty!I635="","",Noty!I635)</f>
        <v>0</v>
      </c>
      <c r="J635" s="499" t="str">
        <f>Noty!J635</f>
        <v>ukryj</v>
      </c>
      <c r="K635" s="489"/>
      <c r="L635" s="200"/>
    </row>
    <row r="636" spans="1:14" s="242" customFormat="1" ht="15.05" customHeight="1" x14ac:dyDescent="0.25">
      <c r="A636" s="508"/>
      <c r="B636" s="520"/>
      <c r="C636" s="200" t="s">
        <v>10999</v>
      </c>
      <c r="D636" s="224"/>
      <c r="E636" s="196"/>
      <c r="F636" s="800" t="str">
        <f>IF(Noty!F636="","",Noty!F636)</f>
        <v/>
      </c>
      <c r="G636" s="1141" t="str">
        <f>IF(Noty!G636="","",Noty!G636)</f>
        <v/>
      </c>
      <c r="H636" s="1141" t="str">
        <f>IF(Noty!H636="","",Noty!H636)</f>
        <v/>
      </c>
      <c r="I636" s="800">
        <f>IF(Noty!I636="","",Noty!I636)</f>
        <v>0</v>
      </c>
      <c r="J636" s="499" t="str">
        <f>Noty!J636</f>
        <v>ukryj</v>
      </c>
      <c r="K636" s="489"/>
      <c r="L636" s="200"/>
    </row>
    <row r="637" spans="1:14" s="242" customFormat="1" ht="15.05" customHeight="1" x14ac:dyDescent="0.25">
      <c r="A637" s="508"/>
      <c r="B637" s="520"/>
      <c r="C637" s="204" t="str">
        <f>CONCATENATE("As at ",Input!$C$7)</f>
        <v>As at 31.12.2020</v>
      </c>
      <c r="D637" s="224"/>
      <c r="E637" s="196"/>
      <c r="F637" s="803">
        <f>IF(Noty!F637="","",Noty!F637)</f>
        <v>0</v>
      </c>
      <c r="G637" s="803">
        <f>IF(Noty!G637="","",Noty!G637)</f>
        <v>0</v>
      </c>
      <c r="H637" s="803">
        <f>IF(Noty!H637="","",Noty!H637)</f>
        <v>0</v>
      </c>
      <c r="I637" s="803">
        <f>IF(Noty!I637="","",Noty!I637)</f>
        <v>0</v>
      </c>
      <c r="J637" s="499" t="str">
        <f>Noty!J637</f>
        <v>ukryj</v>
      </c>
      <c r="K637" s="489"/>
      <c r="L637" s="200"/>
    </row>
    <row r="638" spans="1:14" s="242" customFormat="1" ht="15.05" customHeight="1" thickBot="1" x14ac:dyDescent="0.3">
      <c r="A638" s="508"/>
      <c r="B638" s="520"/>
      <c r="C638" s="195"/>
      <c r="D638" s="195"/>
      <c r="E638" s="196"/>
      <c r="F638" s="196"/>
      <c r="G638" s="196"/>
      <c r="H638" s="196"/>
      <c r="I638" s="192"/>
      <c r="J638" s="499" t="str">
        <f>Noty!J638</f>
        <v>ukryj</v>
      </c>
      <c r="K638" s="489"/>
      <c r="L638" s="496"/>
    </row>
    <row r="639" spans="1:14" s="242" customFormat="1" ht="16.399999999999999" thickTop="1" thickBot="1" x14ac:dyDescent="0.35">
      <c r="A639" s="1183">
        <f>A617</f>
        <v>0</v>
      </c>
      <c r="B639" s="1184">
        <f>+IF(K639="n/a",B629,B629+1)</f>
        <v>0</v>
      </c>
      <c r="C639" s="1389" t="s">
        <v>11004</v>
      </c>
      <c r="D639" s="1389"/>
      <c r="E639" s="1389"/>
      <c r="F639" s="1389"/>
      <c r="G639" s="1389"/>
      <c r="H639" s="1389"/>
      <c r="I639" s="1389"/>
      <c r="J639" s="499" t="str">
        <f>Noty!J639</f>
        <v>ukryj</v>
      </c>
      <c r="K639" s="585" t="str">
        <f>Noty!K639</f>
        <v>n/a</v>
      </c>
      <c r="L639" s="496" t="str">
        <f>A639&amp;"."&amp;B639</f>
        <v>0.0</v>
      </c>
      <c r="N639" s="1101" t="s">
        <v>9378</v>
      </c>
    </row>
    <row r="640" spans="1:14" s="242" customFormat="1" ht="15.05" customHeight="1" thickTop="1" x14ac:dyDescent="0.25">
      <c r="A640" s="508"/>
      <c r="B640" s="520"/>
      <c r="C640" s="195"/>
      <c r="D640" s="195"/>
      <c r="E640" s="196"/>
      <c r="F640" s="196"/>
      <c r="G640" s="196"/>
      <c r="H640" s="196"/>
      <c r="I640" s="192"/>
      <c r="J640" s="499" t="str">
        <f>Noty!J640</f>
        <v>ukryj</v>
      </c>
      <c r="K640" s="489"/>
      <c r="L640" s="200"/>
    </row>
    <row r="641" spans="1:14" s="242" customFormat="1" ht="27" customHeight="1" x14ac:dyDescent="0.25">
      <c r="A641" s="508"/>
      <c r="B641" s="520"/>
      <c r="C641" s="200"/>
      <c r="D641" s="200"/>
      <c r="E641" s="196"/>
      <c r="F641" s="678" t="s">
        <v>11001</v>
      </c>
      <c r="G641" s="678" t="s">
        <v>11002</v>
      </c>
      <c r="H641" s="678" t="s">
        <v>11003</v>
      </c>
      <c r="I641" s="965" t="s">
        <v>9287</v>
      </c>
      <c r="J641" s="499" t="str">
        <f>Noty!J641</f>
        <v>ukryj</v>
      </c>
      <c r="K641" s="489"/>
      <c r="L641" s="200"/>
    </row>
    <row r="642" spans="1:14" s="242" customFormat="1" ht="15.05" customHeight="1" x14ac:dyDescent="0.25">
      <c r="A642" s="508"/>
      <c r="B642" s="520"/>
      <c r="C642" s="195"/>
      <c r="D642" s="195"/>
      <c r="E642" s="196"/>
      <c r="F642" s="200"/>
      <c r="G642" s="200"/>
      <c r="H642" s="200"/>
      <c r="I642" s="446"/>
      <c r="J642" s="499" t="str">
        <f>Noty!J642</f>
        <v>ukryj</v>
      </c>
      <c r="K642" s="489"/>
      <c r="L642" s="200"/>
    </row>
    <row r="643" spans="1:14" s="242" customFormat="1" ht="15.05" customHeight="1" x14ac:dyDescent="0.25">
      <c r="A643" s="508"/>
      <c r="B643" s="520"/>
      <c r="C643" s="204" t="str">
        <f>CONCATENATE("As at ",Input!$C$6)</f>
        <v>As at 01.01.2020</v>
      </c>
      <c r="D643" s="224"/>
      <c r="E643" s="196"/>
      <c r="F643" s="800" t="str">
        <f>IF(Noty!F643="","",Noty!F643)</f>
        <v/>
      </c>
      <c r="G643" s="1141" t="str">
        <f>IF(Noty!G643="","",Noty!G643)</f>
        <v/>
      </c>
      <c r="H643" s="1141" t="str">
        <f>IF(Noty!H643="","",Noty!H643)</f>
        <v/>
      </c>
      <c r="I643" s="800">
        <f>IF(Noty!I643="","",Noty!I643)</f>
        <v>0</v>
      </c>
      <c r="J643" s="499" t="str">
        <f>Noty!J643</f>
        <v>ukryj</v>
      </c>
      <c r="K643" s="489"/>
      <c r="L643" s="200"/>
    </row>
    <row r="644" spans="1:14" s="242" customFormat="1" ht="15.05" customHeight="1" x14ac:dyDescent="0.25">
      <c r="A644" s="508"/>
      <c r="B644" s="520"/>
      <c r="C644" s="200" t="s">
        <v>10997</v>
      </c>
      <c r="D644" s="224"/>
      <c r="E644" s="196"/>
      <c r="F644" s="800" t="str">
        <f>IF(Noty!F644="","",Noty!F644)</f>
        <v/>
      </c>
      <c r="G644" s="1141" t="str">
        <f>IF(Noty!G644="","",Noty!G644)</f>
        <v/>
      </c>
      <c r="H644" s="1141" t="str">
        <f>IF(Noty!H644="","",Noty!H644)</f>
        <v/>
      </c>
      <c r="I644" s="800">
        <f>IF(Noty!I644="","",Noty!I644)</f>
        <v>0</v>
      </c>
      <c r="J644" s="499" t="str">
        <f>Noty!J644</f>
        <v>ukryj</v>
      </c>
      <c r="K644" s="489"/>
      <c r="L644" s="200"/>
    </row>
    <row r="645" spans="1:14" s="242" customFormat="1" ht="15.05" customHeight="1" x14ac:dyDescent="0.25">
      <c r="A645" s="508"/>
      <c r="B645" s="520"/>
      <c r="C645" s="200" t="s">
        <v>10998</v>
      </c>
      <c r="D645" s="224"/>
      <c r="E645" s="196"/>
      <c r="F645" s="800" t="str">
        <f>IF(Noty!F645="","",Noty!F645)</f>
        <v/>
      </c>
      <c r="G645" s="1141" t="str">
        <f>IF(Noty!G645="","",Noty!G645)</f>
        <v/>
      </c>
      <c r="H645" s="1141" t="str">
        <f>IF(Noty!H645="","",Noty!H645)</f>
        <v/>
      </c>
      <c r="I645" s="800">
        <f>IF(Noty!I645="","",Noty!I645)</f>
        <v>0</v>
      </c>
      <c r="J645" s="499" t="str">
        <f>Noty!J645</f>
        <v>ukryj</v>
      </c>
      <c r="K645" s="489"/>
      <c r="L645" s="200"/>
    </row>
    <row r="646" spans="1:14" s="242" customFormat="1" ht="15.05" customHeight="1" x14ac:dyDescent="0.25">
      <c r="A646" s="508"/>
      <c r="B646" s="520"/>
      <c r="C646" s="200" t="s">
        <v>10999</v>
      </c>
      <c r="D646" s="224"/>
      <c r="E646" s="196"/>
      <c r="F646" s="800" t="str">
        <f>IF(Noty!F646="","",Noty!F646)</f>
        <v/>
      </c>
      <c r="G646" s="1141" t="str">
        <f>IF(Noty!G646="","",Noty!G646)</f>
        <v/>
      </c>
      <c r="H646" s="1141" t="str">
        <f>IF(Noty!H646="","",Noty!H646)</f>
        <v/>
      </c>
      <c r="I646" s="800">
        <f>IF(Noty!I646="","",Noty!I646)</f>
        <v>0</v>
      </c>
      <c r="J646" s="499" t="str">
        <f>Noty!J646</f>
        <v>ukryj</v>
      </c>
      <c r="K646" s="489"/>
      <c r="L646" s="200"/>
    </row>
    <row r="647" spans="1:14" s="242" customFormat="1" ht="15.05" customHeight="1" x14ac:dyDescent="0.25">
      <c r="A647" s="508"/>
      <c r="B647" s="520"/>
      <c r="C647" s="204" t="str">
        <f>CONCATENATE("As at ",Input!$C$7)</f>
        <v>As at 31.12.2020</v>
      </c>
      <c r="D647" s="224"/>
      <c r="E647" s="196"/>
      <c r="F647" s="803">
        <f>IF(Noty!F647="","",Noty!F647)</f>
        <v>0</v>
      </c>
      <c r="G647" s="803">
        <f>IF(Noty!G647="","",Noty!G647)</f>
        <v>0</v>
      </c>
      <c r="H647" s="803">
        <f>IF(Noty!H647="","",Noty!H647)</f>
        <v>0</v>
      </c>
      <c r="I647" s="803">
        <f>IF(Noty!I647="","",Noty!I647)</f>
        <v>0</v>
      </c>
      <c r="J647" s="499" t="str">
        <f>Noty!J647</f>
        <v>ukryj</v>
      </c>
      <c r="K647" s="489"/>
      <c r="L647" s="200"/>
    </row>
    <row r="648" spans="1:14" s="242" customFormat="1" ht="15.05" customHeight="1" x14ac:dyDescent="0.25">
      <c r="A648" s="508"/>
      <c r="B648" s="520"/>
      <c r="C648" s="195"/>
      <c r="D648" s="195"/>
      <c r="E648" s="196"/>
      <c r="F648" s="196"/>
      <c r="G648" s="196"/>
      <c r="H648" s="196"/>
      <c r="I648" s="196"/>
      <c r="J648" s="499" t="str">
        <f>Noty!J648</f>
        <v>ukryj</v>
      </c>
      <c r="K648" s="489"/>
      <c r="L648" s="200"/>
    </row>
    <row r="649" spans="1:14" s="242" customFormat="1" ht="15.05" customHeight="1" x14ac:dyDescent="0.25">
      <c r="A649" s="508"/>
      <c r="B649" s="520"/>
      <c r="C649" s="1382" t="s">
        <v>11005</v>
      </c>
      <c r="D649" s="1382"/>
      <c r="E649" s="1382"/>
      <c r="F649" s="1382"/>
      <c r="G649" s="1382"/>
      <c r="H649" s="1382"/>
      <c r="I649" s="1382"/>
      <c r="J649" s="499" t="str">
        <f>Noty!J649</f>
        <v>ukryj</v>
      </c>
      <c r="K649" s="489"/>
      <c r="L649" s="200"/>
    </row>
    <row r="650" spans="1:14" s="242" customFormat="1" ht="15.05" customHeight="1" x14ac:dyDescent="0.25">
      <c r="A650" s="508"/>
      <c r="B650" s="520"/>
      <c r="C650" s="1382" t="s">
        <v>11006</v>
      </c>
      <c r="D650" s="1382"/>
      <c r="E650" s="1382"/>
      <c r="F650" s="1382"/>
      <c r="G650" s="1382"/>
      <c r="H650" s="1382"/>
      <c r="I650" s="1382"/>
      <c r="J650" s="499" t="str">
        <f>Noty!J650</f>
        <v>ukryj</v>
      </c>
      <c r="K650" s="489"/>
      <c r="L650" s="200"/>
    </row>
    <row r="651" spans="1:14" s="242" customFormat="1" ht="15.05" customHeight="1" x14ac:dyDescent="0.25">
      <c r="A651" s="508"/>
      <c r="B651" s="520"/>
      <c r="C651" s="1382" t="s">
        <v>11007</v>
      </c>
      <c r="D651" s="1382"/>
      <c r="E651" s="1382"/>
      <c r="F651" s="1382"/>
      <c r="G651" s="1382"/>
      <c r="H651" s="1382"/>
      <c r="I651" s="1382"/>
      <c r="J651" s="499" t="str">
        <f>Noty!J651</f>
        <v>ukryj</v>
      </c>
      <c r="K651" s="489"/>
      <c r="L651" s="200"/>
    </row>
    <row r="652" spans="1:14" s="242" customFormat="1" ht="15.05" customHeight="1" x14ac:dyDescent="0.25">
      <c r="A652" s="508"/>
      <c r="B652" s="520"/>
      <c r="C652" s="1390" t="s">
        <v>11008</v>
      </c>
      <c r="D652" s="1390"/>
      <c r="E652" s="1390"/>
      <c r="F652" s="1390"/>
      <c r="G652" s="1390"/>
      <c r="H652" s="1390"/>
      <c r="I652" s="1390"/>
      <c r="J652" s="499" t="str">
        <f>Noty!J652</f>
        <v>ukryj</v>
      </c>
      <c r="K652" s="489"/>
      <c r="L652" s="200"/>
    </row>
    <row r="653" spans="1:14" s="242" customFormat="1" ht="15.05" customHeight="1" x14ac:dyDescent="0.25">
      <c r="A653" s="508"/>
      <c r="B653" s="520"/>
      <c r="C653" s="1382" t="s">
        <v>11009</v>
      </c>
      <c r="D653" s="1382"/>
      <c r="E653" s="1382"/>
      <c r="F653" s="1382"/>
      <c r="G653" s="1382"/>
      <c r="H653" s="1382"/>
      <c r="I653" s="1382"/>
      <c r="J653" s="499" t="str">
        <f>Noty!J653</f>
        <v>ukryj</v>
      </c>
      <c r="K653" s="489"/>
      <c r="L653" s="200"/>
    </row>
    <row r="654" spans="1:14" s="242" customFormat="1" ht="15.05" customHeight="1" thickBot="1" x14ac:dyDescent="0.3">
      <c r="A654" s="508"/>
      <c r="B654" s="520"/>
      <c r="C654" s="195"/>
      <c r="D654" s="195"/>
      <c r="E654" s="196"/>
      <c r="F654" s="196"/>
      <c r="G654" s="196"/>
      <c r="H654" s="196"/>
      <c r="I654" s="196"/>
      <c r="J654" s="499" t="str">
        <f>Noty!J654</f>
        <v>ukryj</v>
      </c>
      <c r="K654" s="489"/>
      <c r="L654" s="496"/>
    </row>
    <row r="655" spans="1:14" s="242" customFormat="1" ht="16.399999999999999" thickTop="1" thickBot="1" x14ac:dyDescent="0.35">
      <c r="A655" s="1180">
        <f>IF(K655="n/a",A639,A639+1)</f>
        <v>0</v>
      </c>
      <c r="B655" s="1182"/>
      <c r="C655" s="1388" t="s">
        <v>8373</v>
      </c>
      <c r="D655" s="1388"/>
      <c r="E655" s="1388"/>
      <c r="F655" s="1388"/>
      <c r="G655" s="1388"/>
      <c r="H655" s="1388"/>
      <c r="I655" s="1388"/>
      <c r="J655" s="499" t="str">
        <f>Noty!J655</f>
        <v>ukryj</v>
      </c>
      <c r="K655" s="585" t="str">
        <f>Noty!K655</f>
        <v>n/a</v>
      </c>
      <c r="L655" s="496" t="str">
        <f>A655&amp;"."&amp;B655</f>
        <v>0.</v>
      </c>
      <c r="N655" s="1101" t="s">
        <v>9378</v>
      </c>
    </row>
    <row r="656" spans="1:14" s="242" customFormat="1" ht="15.05" customHeight="1" thickTop="1" x14ac:dyDescent="0.25">
      <c r="A656" s="508"/>
      <c r="B656" s="520"/>
      <c r="C656" s="195"/>
      <c r="D656" s="195"/>
      <c r="E656" s="196"/>
      <c r="F656" s="196"/>
      <c r="G656" s="196"/>
      <c r="H656" s="196"/>
      <c r="I656" s="196"/>
      <c r="J656" s="499" t="str">
        <f>Noty!J656</f>
        <v>ukryj</v>
      </c>
      <c r="K656" s="489"/>
      <c r="L656" s="200"/>
    </row>
    <row r="657" spans="1:14" s="242" customFormat="1" ht="28.5" customHeight="1" x14ac:dyDescent="0.25">
      <c r="A657" s="508"/>
      <c r="B657" s="520"/>
      <c r="C657" s="426"/>
      <c r="D657" s="1297" t="s">
        <v>11010</v>
      </c>
      <c r="E657" s="1297"/>
      <c r="F657" s="1297" t="s">
        <v>11011</v>
      </c>
      <c r="G657" s="1297"/>
      <c r="H657" s="1297" t="s">
        <v>11012</v>
      </c>
      <c r="I657" s="1297"/>
      <c r="J657" s="499" t="str">
        <f>Noty!J657</f>
        <v>ukryj</v>
      </c>
      <c r="K657" s="489"/>
      <c r="L657" s="200"/>
    </row>
    <row r="658" spans="1:14" s="242" customFormat="1" ht="15.05" customHeight="1" x14ac:dyDescent="0.25">
      <c r="A658" s="508"/>
      <c r="B658" s="520"/>
      <c r="C658" s="534" t="s">
        <v>11013</v>
      </c>
      <c r="D658" s="192"/>
      <c r="E658" s="192"/>
      <c r="F658" s="192"/>
      <c r="G658" s="192"/>
      <c r="H658" s="192"/>
      <c r="I658" s="192"/>
      <c r="J658" s="499" t="str">
        <f>Noty!J658</f>
        <v>ukryj</v>
      </c>
      <c r="K658" s="489"/>
      <c r="L658" s="200"/>
    </row>
    <row r="659" spans="1:14" s="242" customFormat="1" ht="15.05" customHeight="1" x14ac:dyDescent="0.25">
      <c r="A659" s="508"/>
      <c r="B659" s="520"/>
      <c r="C659" s="806" t="s">
        <v>11014</v>
      </c>
      <c r="D659" s="1296">
        <f>IF(Noty!D659="","",Noty!D659)</f>
        <v>0</v>
      </c>
      <c r="E659" s="1296"/>
      <c r="F659" s="1296">
        <f>IF(Noty!F659="","",Noty!F659)</f>
        <v>0</v>
      </c>
      <c r="G659" s="1296"/>
      <c r="H659" s="1296">
        <f>IF(Noty!H659="","",Noty!H659)</f>
        <v>0</v>
      </c>
      <c r="I659" s="1296"/>
      <c r="J659" s="499" t="str">
        <f>Noty!J659</f>
        <v>ukryj</v>
      </c>
      <c r="K659" s="489"/>
      <c r="L659" s="200"/>
    </row>
    <row r="660" spans="1:14" s="242" customFormat="1" ht="15.05" customHeight="1" x14ac:dyDescent="0.25">
      <c r="A660" s="508"/>
      <c r="B660" s="520"/>
      <c r="C660" s="806" t="s">
        <v>11015</v>
      </c>
      <c r="D660" s="1296">
        <f>IF(Noty!D660="","",Noty!D660)</f>
        <v>0</v>
      </c>
      <c r="E660" s="1296"/>
      <c r="F660" s="1296">
        <f>IF(Noty!F660="","",Noty!F660)</f>
        <v>0</v>
      </c>
      <c r="G660" s="1296"/>
      <c r="H660" s="1296">
        <f>IF(Noty!H660="","",Noty!H660)</f>
        <v>0</v>
      </c>
      <c r="I660" s="1296"/>
      <c r="J660" s="499" t="str">
        <f>Noty!J660</f>
        <v>ukryj</v>
      </c>
      <c r="K660" s="489"/>
      <c r="L660" s="200"/>
    </row>
    <row r="661" spans="1:14" s="242" customFormat="1" ht="15.05" customHeight="1" x14ac:dyDescent="0.25">
      <c r="A661" s="508"/>
      <c r="B661" s="520"/>
      <c r="C661" s="806" t="s">
        <v>11016</v>
      </c>
      <c r="D661" s="1391">
        <f>IF(Noty!D661="","",Noty!D661)</f>
        <v>0</v>
      </c>
      <c r="E661" s="1391"/>
      <c r="F661" s="1391">
        <f>IF(Noty!F661="","",Noty!F661)</f>
        <v>0</v>
      </c>
      <c r="G661" s="1391"/>
      <c r="H661" s="1391">
        <f>IF(Noty!H661="","",Noty!H661)</f>
        <v>0</v>
      </c>
      <c r="I661" s="1391"/>
      <c r="J661" s="499" t="str">
        <f>Noty!J661</f>
        <v>ukryj</v>
      </c>
      <c r="K661" s="489"/>
      <c r="L661" s="200"/>
    </row>
    <row r="662" spans="1:14" s="242" customFormat="1" ht="15.05" customHeight="1" x14ac:dyDescent="0.25">
      <c r="A662" s="508"/>
      <c r="B662" s="520"/>
      <c r="C662" s="204"/>
      <c r="D662" s="1300">
        <f>IF(Noty!D662="","",Noty!D662)</f>
        <v>0</v>
      </c>
      <c r="E662" s="1300"/>
      <c r="F662" s="1300">
        <f>IF(Noty!F662="","",Noty!F662)</f>
        <v>0</v>
      </c>
      <c r="G662" s="1300"/>
      <c r="H662" s="1300">
        <f>IF(Noty!H662="","",Noty!H662)</f>
        <v>0</v>
      </c>
      <c r="I662" s="1300"/>
      <c r="J662" s="499" t="str">
        <f>Noty!J662</f>
        <v>ukryj</v>
      </c>
      <c r="K662" s="489"/>
      <c r="L662" s="200"/>
    </row>
    <row r="663" spans="1:14" s="242" customFormat="1" ht="15.05" customHeight="1" x14ac:dyDescent="0.25">
      <c r="A663" s="508"/>
      <c r="B663" s="520"/>
      <c r="C663" s="218" t="s">
        <v>11017</v>
      </c>
      <c r="D663" s="679"/>
      <c r="E663" s="679"/>
      <c r="F663" s="679"/>
      <c r="G663" s="679"/>
      <c r="H663" s="679"/>
      <c r="I663" s="679"/>
      <c r="J663" s="499" t="str">
        <f>Noty!J663</f>
        <v>ukryj</v>
      </c>
      <c r="K663" s="489"/>
      <c r="L663" s="200"/>
    </row>
    <row r="664" spans="1:14" s="242" customFormat="1" ht="15.05" customHeight="1" x14ac:dyDescent="0.25">
      <c r="A664" s="508"/>
      <c r="B664" s="520"/>
      <c r="C664" s="822" t="s">
        <v>11018</v>
      </c>
      <c r="D664" s="1296">
        <f>IF(Noty!D664="","",Noty!D664)</f>
        <v>0</v>
      </c>
      <c r="E664" s="1296"/>
      <c r="F664" s="1296">
        <f>IF(Noty!F664="","",Noty!F664)</f>
        <v>0</v>
      </c>
      <c r="G664" s="1296"/>
      <c r="H664" s="1296">
        <f>IF(Noty!H664="","",Noty!H664)</f>
        <v>0</v>
      </c>
      <c r="I664" s="1296"/>
      <c r="J664" s="499" t="str">
        <f>Noty!J664</f>
        <v>ukryj</v>
      </c>
      <c r="K664" s="489"/>
      <c r="L664" s="200"/>
    </row>
    <row r="665" spans="1:14" s="242" customFormat="1" ht="15.05" customHeight="1" x14ac:dyDescent="0.25">
      <c r="A665" s="508"/>
      <c r="B665" s="520"/>
      <c r="C665" s="822"/>
      <c r="D665" s="549"/>
      <c r="E665" s="549"/>
      <c r="F665" s="549"/>
      <c r="G665" s="549"/>
      <c r="H665" s="549"/>
      <c r="I665" s="549"/>
      <c r="J665" s="499" t="str">
        <f>Noty!J665</f>
        <v>ukryj</v>
      </c>
      <c r="K665" s="489"/>
      <c r="L665" s="200"/>
    </row>
    <row r="666" spans="1:14" s="242" customFormat="1" ht="15.05" customHeight="1" x14ac:dyDescent="0.25">
      <c r="A666" s="508"/>
      <c r="B666" s="520"/>
      <c r="C666" s="822" t="s">
        <v>9287</v>
      </c>
      <c r="D666" s="1300">
        <f>IF(Noty!D666="","",Noty!D666)</f>
        <v>0</v>
      </c>
      <c r="E666" s="1300"/>
      <c r="F666" s="1300">
        <f>IF(Noty!F666="","",Noty!F666)</f>
        <v>0</v>
      </c>
      <c r="G666" s="1300"/>
      <c r="H666" s="1300">
        <f>IF(Noty!H666="","",Noty!H666)</f>
        <v>0</v>
      </c>
      <c r="I666" s="1300"/>
      <c r="J666" s="499" t="str">
        <f>Noty!J666</f>
        <v>ukryj</v>
      </c>
      <c r="K666" s="489"/>
      <c r="L666" s="200"/>
    </row>
    <row r="667" spans="1:14" s="242" customFormat="1" ht="15.05" customHeight="1" thickBot="1" x14ac:dyDescent="0.3">
      <c r="A667" s="508"/>
      <c r="B667" s="520"/>
      <c r="C667" s="195"/>
      <c r="D667" s="195"/>
      <c r="E667" s="196"/>
      <c r="F667" s="196"/>
      <c r="G667" s="196"/>
      <c r="H667" s="196"/>
      <c r="I667" s="196"/>
      <c r="J667" s="499" t="str">
        <f>Noty!J667</f>
        <v>ukryj</v>
      </c>
      <c r="K667" s="489"/>
      <c r="L667" s="200"/>
    </row>
    <row r="668" spans="1:14" s="242" customFormat="1" ht="16.399999999999999" thickTop="1" thickBot="1" x14ac:dyDescent="0.35">
      <c r="A668" s="1183">
        <f>A655</f>
        <v>0</v>
      </c>
      <c r="B668" s="1184">
        <f>IF(K668="n/a",0,1)</f>
        <v>0</v>
      </c>
      <c r="C668" s="1389" t="s">
        <v>11019</v>
      </c>
      <c r="D668" s="1389"/>
      <c r="E668" s="1389"/>
      <c r="F668" s="1389"/>
      <c r="G668" s="1389"/>
      <c r="H668" s="1389"/>
      <c r="I668" s="1389"/>
      <c r="J668" s="499" t="str">
        <f>Noty!J668</f>
        <v>ukryj</v>
      </c>
      <c r="K668" s="585" t="str">
        <f>Noty!K668</f>
        <v>n/a</v>
      </c>
      <c r="L668" s="496" t="str">
        <f>A668&amp;"."&amp;B668</f>
        <v>0.0</v>
      </c>
      <c r="N668" s="1101" t="s">
        <v>9378</v>
      </c>
    </row>
    <row r="669" spans="1:14" s="242" customFormat="1" ht="15.05" customHeight="1" thickTop="1" x14ac:dyDescent="0.25">
      <c r="A669" s="509"/>
      <c r="B669" s="520"/>
      <c r="C669" s="416"/>
      <c r="D669" s="416"/>
      <c r="E669" s="196"/>
      <c r="F669" s="196"/>
      <c r="G669" s="196"/>
      <c r="H669" s="196"/>
      <c r="I669" s="196"/>
      <c r="J669" s="499" t="str">
        <f>Noty!J669</f>
        <v>ukryj</v>
      </c>
      <c r="K669" s="489"/>
      <c r="L669" s="200"/>
    </row>
    <row r="670" spans="1:14" s="242" customFormat="1" ht="90" customHeight="1" x14ac:dyDescent="0.25">
      <c r="A670" s="509"/>
      <c r="B670" s="520"/>
      <c r="C670" s="378"/>
      <c r="D670" s="378"/>
      <c r="E670" s="801" t="s">
        <v>9196</v>
      </c>
      <c r="F670" s="801" t="s">
        <v>11020</v>
      </c>
      <c r="G670" s="801" t="s">
        <v>11021</v>
      </c>
      <c r="H670" s="801" t="s">
        <v>11022</v>
      </c>
      <c r="I670" s="801" t="s">
        <v>7777</v>
      </c>
      <c r="J670" s="499" t="str">
        <f>Noty!J670</f>
        <v>ukryj</v>
      </c>
      <c r="K670" s="489"/>
      <c r="L670" s="200"/>
    </row>
    <row r="671" spans="1:14" s="242" customFormat="1" ht="15.05" customHeight="1" x14ac:dyDescent="0.25">
      <c r="A671" s="509"/>
      <c r="B671" s="520"/>
      <c r="C671" s="417" t="s">
        <v>11013</v>
      </c>
      <c r="D671" s="416"/>
      <c r="E671" s="196"/>
      <c r="F671" s="200"/>
      <c r="G671" s="200"/>
      <c r="H671" s="200"/>
      <c r="I671" s="200"/>
      <c r="J671" s="499" t="str">
        <f>Noty!J671</f>
        <v>ukryj</v>
      </c>
      <c r="K671" s="489"/>
      <c r="L671" s="200"/>
    </row>
    <row r="672" spans="1:14" s="242" customFormat="1" ht="15.05" customHeight="1" x14ac:dyDescent="0.25">
      <c r="A672" s="509"/>
      <c r="B672" s="520"/>
      <c r="C672" s="841" t="s">
        <v>11014</v>
      </c>
      <c r="D672" s="841"/>
      <c r="E672" s="800" t="str">
        <f>IF(Noty!E672="","",Noty!E672)</f>
        <v/>
      </c>
      <c r="F672" s="800" t="str">
        <f>IF(Noty!F672="","",Noty!F672)</f>
        <v/>
      </c>
      <c r="G672" s="800" t="str">
        <f>IF(Noty!G672="","",Noty!G672)</f>
        <v/>
      </c>
      <c r="H672" s="800" t="str">
        <f>IF(Noty!H672="","",Noty!H672)</f>
        <v/>
      </c>
      <c r="I672" s="800" t="str">
        <f>IF(Noty!I672="","",Noty!I672)</f>
        <v/>
      </c>
      <c r="J672" s="499" t="str">
        <f>Noty!J672</f>
        <v>ukryj</v>
      </c>
      <c r="K672" s="489"/>
      <c r="L672" s="200"/>
    </row>
    <row r="673" spans="1:14" s="242" customFormat="1" ht="15.05" customHeight="1" x14ac:dyDescent="0.25">
      <c r="A673" s="509"/>
      <c r="B673" s="520"/>
      <c r="C673" s="841" t="s">
        <v>11015</v>
      </c>
      <c r="D673" s="841"/>
      <c r="E673" s="800" t="str">
        <f>IF(Noty!E673="","",Noty!E673)</f>
        <v/>
      </c>
      <c r="F673" s="800" t="str">
        <f>IF(Noty!F673="","",Noty!F673)</f>
        <v/>
      </c>
      <c r="G673" s="800" t="str">
        <f>IF(Noty!G673="","",Noty!G673)</f>
        <v/>
      </c>
      <c r="H673" s="800" t="str">
        <f>IF(Noty!H673="","",Noty!H673)</f>
        <v/>
      </c>
      <c r="I673" s="800" t="str">
        <f>IF(Noty!I673="","",Noty!I673)</f>
        <v/>
      </c>
      <c r="J673" s="499" t="str">
        <f>Noty!J673</f>
        <v>ukryj</v>
      </c>
      <c r="K673" s="489"/>
      <c r="L673" s="200"/>
    </row>
    <row r="674" spans="1:14" s="242" customFormat="1" ht="15.05" customHeight="1" x14ac:dyDescent="0.25">
      <c r="A674" s="509"/>
      <c r="B674" s="520"/>
      <c r="C674" s="841" t="s">
        <v>11016</v>
      </c>
      <c r="D674" s="841"/>
      <c r="E674" s="800" t="str">
        <f>IF(Noty!E674="","",Noty!E674)</f>
        <v/>
      </c>
      <c r="F674" s="800" t="str">
        <f>IF(Noty!F674="","",Noty!F674)</f>
        <v/>
      </c>
      <c r="G674" s="800" t="str">
        <f>IF(Noty!G674="","",Noty!G674)</f>
        <v/>
      </c>
      <c r="H674" s="800" t="str">
        <f>IF(Noty!H674="","",Noty!H674)</f>
        <v/>
      </c>
      <c r="I674" s="800" t="str">
        <f>IF(Noty!I674="","",Noty!I674)</f>
        <v/>
      </c>
      <c r="J674" s="499" t="str">
        <f>Noty!J674</f>
        <v>ukryj</v>
      </c>
      <c r="K674" s="489"/>
      <c r="L674" s="200"/>
    </row>
    <row r="675" spans="1:14" s="242" customFormat="1" ht="15.05" customHeight="1" x14ac:dyDescent="0.25">
      <c r="A675" s="509"/>
      <c r="B675" s="520"/>
      <c r="C675" s="841"/>
      <c r="D675" s="841"/>
      <c r="E675" s="803">
        <f>IF(Noty!E675="","",Noty!E675)</f>
        <v>0</v>
      </c>
      <c r="F675" s="803">
        <f>IF(Noty!F675="","",Noty!F675)</f>
        <v>0</v>
      </c>
      <c r="G675" s="803">
        <f>IF(Noty!G675="","",Noty!G675)</f>
        <v>0</v>
      </c>
      <c r="H675" s="803">
        <f>IF(Noty!H675="","",Noty!H675)</f>
        <v>0</v>
      </c>
      <c r="I675" s="803">
        <f>IF(Noty!I675="","",Noty!I675)</f>
        <v>0</v>
      </c>
      <c r="J675" s="499" t="str">
        <f>Noty!J675</f>
        <v>ukryj</v>
      </c>
      <c r="K675" s="489"/>
      <c r="L675" s="200"/>
    </row>
    <row r="676" spans="1:14" s="242" customFormat="1" ht="15.05" customHeight="1" x14ac:dyDescent="0.25">
      <c r="A676" s="509"/>
      <c r="B676" s="520"/>
      <c r="C676" s="415" t="s">
        <v>11017</v>
      </c>
      <c r="D676" s="659"/>
      <c r="E676" s="679"/>
      <c r="F676" s="679"/>
      <c r="G676" s="679"/>
      <c r="H676" s="679"/>
      <c r="I676" s="679"/>
      <c r="J676" s="499" t="str">
        <f>Noty!J676</f>
        <v>ukryj</v>
      </c>
      <c r="K676" s="489"/>
      <c r="L676" s="200"/>
    </row>
    <row r="677" spans="1:14" s="242" customFormat="1" ht="15.05" customHeight="1" x14ac:dyDescent="0.25">
      <c r="A677" s="509"/>
      <c r="B677" s="520"/>
      <c r="C677" s="841" t="s">
        <v>11018</v>
      </c>
      <c r="D677" s="841"/>
      <c r="E677" s="800" t="str">
        <f>IF(Noty!E677="","",Noty!E677)</f>
        <v/>
      </c>
      <c r="F677" s="800" t="str">
        <f>IF(Noty!F677="","",Noty!F677)</f>
        <v/>
      </c>
      <c r="G677" s="800" t="str">
        <f>IF(Noty!G677="","",Noty!G677)</f>
        <v/>
      </c>
      <c r="H677" s="800" t="str">
        <f>IF(Noty!H677="","",Noty!H677)</f>
        <v/>
      </c>
      <c r="I677" s="800" t="str">
        <f>IF(Noty!I677="","",Noty!I677)</f>
        <v/>
      </c>
      <c r="J677" s="499" t="str">
        <f>Noty!J677</f>
        <v>ukryj</v>
      </c>
      <c r="K677" s="489"/>
      <c r="L677" s="200"/>
    </row>
    <row r="678" spans="1:14" s="242" customFormat="1" ht="15.05" customHeight="1" x14ac:dyDescent="0.25">
      <c r="A678" s="509"/>
      <c r="B678" s="520"/>
      <c r="C678" s="841"/>
      <c r="D678" s="841"/>
      <c r="E678" s="549"/>
      <c r="F678" s="549"/>
      <c r="G678" s="549"/>
      <c r="H678" s="549"/>
      <c r="I678" s="549"/>
      <c r="J678" s="499" t="str">
        <f>Noty!J678</f>
        <v>ukryj</v>
      </c>
      <c r="K678" s="489"/>
      <c r="L678" s="200"/>
    </row>
    <row r="679" spans="1:14" s="242" customFormat="1" ht="15.05" customHeight="1" x14ac:dyDescent="0.25">
      <c r="A679" s="509"/>
      <c r="B679" s="520"/>
      <c r="C679" s="241" t="s">
        <v>9287</v>
      </c>
      <c r="D679" s="841"/>
      <c r="E679" s="803">
        <f>IF(Noty!E679="","",Noty!E679)</f>
        <v>0</v>
      </c>
      <c r="F679" s="803">
        <f>IF(Noty!F679="","",Noty!F679)</f>
        <v>0</v>
      </c>
      <c r="G679" s="803">
        <f>IF(Noty!G679="","",Noty!G679)</f>
        <v>0</v>
      </c>
      <c r="H679" s="803">
        <f>IF(Noty!H679="","",Noty!H679)</f>
        <v>0</v>
      </c>
      <c r="I679" s="803">
        <f>IF(Noty!I679="","",Noty!I679)</f>
        <v>0</v>
      </c>
      <c r="J679" s="499" t="str">
        <f>Noty!J679</f>
        <v>ukryj</v>
      </c>
      <c r="K679" s="489"/>
      <c r="L679" s="200"/>
    </row>
    <row r="680" spans="1:14" s="242" customFormat="1" ht="15.05" customHeight="1" thickBot="1" x14ac:dyDescent="0.3">
      <c r="A680" s="509"/>
      <c r="B680" s="520"/>
      <c r="C680" s="416"/>
      <c r="D680" s="416"/>
      <c r="E680" s="196"/>
      <c r="F680" s="196"/>
      <c r="G680" s="196"/>
      <c r="H680" s="196"/>
      <c r="I680" s="196"/>
      <c r="J680" s="499" t="str">
        <f>Noty!J680</f>
        <v>ukryj</v>
      </c>
      <c r="K680" s="489"/>
      <c r="L680" s="496"/>
    </row>
    <row r="681" spans="1:14" s="242" customFormat="1" ht="16.55" customHeight="1" thickTop="1" thickBot="1" x14ac:dyDescent="0.35">
      <c r="A681" s="1183">
        <f>A655</f>
        <v>0</v>
      </c>
      <c r="B681" s="1184">
        <f>+IF(K681="n/a",B668,B668+1)</f>
        <v>0</v>
      </c>
      <c r="C681" s="1282" t="s">
        <v>11023</v>
      </c>
      <c r="D681" s="1282"/>
      <c r="E681" s="1282"/>
      <c r="F681" s="1282"/>
      <c r="G681" s="1282"/>
      <c r="H681" s="1282"/>
      <c r="I681" s="1282"/>
      <c r="J681" s="499" t="str">
        <f>Noty!J681</f>
        <v>ukryj</v>
      </c>
      <c r="K681" s="585" t="str">
        <f>Noty!K681</f>
        <v>n/a</v>
      </c>
      <c r="L681" s="496" t="str">
        <f>A681&amp;"."&amp;B681</f>
        <v>0.0</v>
      </c>
      <c r="N681" s="1101" t="s">
        <v>9378</v>
      </c>
    </row>
    <row r="682" spans="1:14" s="242" customFormat="1" ht="15.05" customHeight="1" thickTop="1" x14ac:dyDescent="0.25">
      <c r="A682" s="515"/>
      <c r="B682" s="530"/>
      <c r="C682" s="418"/>
      <c r="D682" s="416"/>
      <c r="E682" s="196"/>
      <c r="F682" s="196"/>
      <c r="G682" s="196"/>
      <c r="H682" s="196"/>
      <c r="I682" s="196"/>
      <c r="J682" s="499" t="str">
        <f>Noty!J682</f>
        <v>ukryj</v>
      </c>
      <c r="K682" s="489"/>
      <c r="L682" s="200"/>
    </row>
    <row r="683" spans="1:14" s="242" customFormat="1" ht="90" customHeight="1" x14ac:dyDescent="0.25">
      <c r="A683" s="515"/>
      <c r="B683" s="530"/>
      <c r="C683" s="419"/>
      <c r="D683" s="378"/>
      <c r="E683" s="801" t="s">
        <v>9196</v>
      </c>
      <c r="F683" s="801" t="s">
        <v>11020</v>
      </c>
      <c r="G683" s="801" t="s">
        <v>11021</v>
      </c>
      <c r="H683" s="801" t="s">
        <v>11022</v>
      </c>
      <c r="I683" s="801" t="s">
        <v>7777</v>
      </c>
      <c r="J683" s="499" t="str">
        <f>Noty!J683</f>
        <v>ukryj</v>
      </c>
      <c r="K683" s="489"/>
      <c r="L683" s="200"/>
    </row>
    <row r="684" spans="1:14" s="242" customFormat="1" ht="15.05" customHeight="1" x14ac:dyDescent="0.25">
      <c r="A684" s="515"/>
      <c r="B684" s="530"/>
      <c r="C684" s="417" t="s">
        <v>11013</v>
      </c>
      <c r="D684" s="416"/>
      <c r="E684" s="196"/>
      <c r="F684" s="200"/>
      <c r="G684" s="200"/>
      <c r="H684" s="200"/>
      <c r="I684" s="200"/>
      <c r="J684" s="499" t="str">
        <f>Noty!J684</f>
        <v>ukryj</v>
      </c>
      <c r="K684" s="489"/>
      <c r="L684" s="200"/>
    </row>
    <row r="685" spans="1:14" s="242" customFormat="1" ht="15.05" customHeight="1" x14ac:dyDescent="0.25">
      <c r="A685" s="515"/>
      <c r="B685" s="530"/>
      <c r="C685" s="370" t="s">
        <v>11014</v>
      </c>
      <c r="D685" s="841"/>
      <c r="E685" s="800" t="str">
        <f>IF(Noty!E685="","",Noty!E685)</f>
        <v/>
      </c>
      <c r="F685" s="800" t="str">
        <f>IF(Noty!F685="","",Noty!F685)</f>
        <v/>
      </c>
      <c r="G685" s="800" t="str">
        <f>IF(Noty!G685="","",Noty!G685)</f>
        <v/>
      </c>
      <c r="H685" s="800" t="str">
        <f>IF(Noty!H685="","",Noty!H685)</f>
        <v/>
      </c>
      <c r="I685" s="800" t="str">
        <f>IF(Noty!I685="","",Noty!I685)</f>
        <v/>
      </c>
      <c r="J685" s="499" t="str">
        <f>Noty!J685</f>
        <v>ukryj</v>
      </c>
      <c r="K685" s="489"/>
      <c r="L685" s="200"/>
    </row>
    <row r="686" spans="1:14" s="242" customFormat="1" ht="15.05" customHeight="1" x14ac:dyDescent="0.25">
      <c r="A686" s="515"/>
      <c r="B686" s="530"/>
      <c r="C686" s="370" t="s">
        <v>11015</v>
      </c>
      <c r="D686" s="841"/>
      <c r="E686" s="800" t="str">
        <f>IF(Noty!E686="","",Noty!E686)</f>
        <v/>
      </c>
      <c r="F686" s="800" t="str">
        <f>IF(Noty!F686="","",Noty!F686)</f>
        <v/>
      </c>
      <c r="G686" s="800" t="str">
        <f>IF(Noty!G686="","",Noty!G686)</f>
        <v/>
      </c>
      <c r="H686" s="800" t="str">
        <f>IF(Noty!H686="","",Noty!H686)</f>
        <v/>
      </c>
      <c r="I686" s="800" t="str">
        <f>IF(Noty!I686="","",Noty!I686)</f>
        <v/>
      </c>
      <c r="J686" s="499" t="str">
        <f>Noty!J686</f>
        <v>ukryj</v>
      </c>
      <c r="K686" s="489"/>
      <c r="L686" s="200"/>
    </row>
    <row r="687" spans="1:14" s="242" customFormat="1" ht="15.05" customHeight="1" x14ac:dyDescent="0.25">
      <c r="A687" s="515"/>
      <c r="B687" s="530"/>
      <c r="C687" s="370" t="s">
        <v>11016</v>
      </c>
      <c r="D687" s="841"/>
      <c r="E687" s="800" t="str">
        <f>IF(Noty!E687="","",Noty!E687)</f>
        <v/>
      </c>
      <c r="F687" s="800" t="str">
        <f>IF(Noty!F687="","",Noty!F687)</f>
        <v/>
      </c>
      <c r="G687" s="800" t="str">
        <f>IF(Noty!G687="","",Noty!G687)</f>
        <v/>
      </c>
      <c r="H687" s="800" t="str">
        <f>IF(Noty!H687="","",Noty!H687)</f>
        <v/>
      </c>
      <c r="I687" s="800" t="str">
        <f>IF(Noty!I687="","",Noty!I687)</f>
        <v/>
      </c>
      <c r="J687" s="499" t="str">
        <f>Noty!J687</f>
        <v>ukryj</v>
      </c>
      <c r="K687" s="489"/>
      <c r="L687" s="200"/>
    </row>
    <row r="688" spans="1:14" s="242" customFormat="1" ht="15.05" customHeight="1" x14ac:dyDescent="0.25">
      <c r="A688" s="515"/>
      <c r="B688" s="530"/>
      <c r="C688" s="370"/>
      <c r="D688" s="841"/>
      <c r="E688" s="803">
        <f>IF(Noty!E688="","",Noty!E688)</f>
        <v>0</v>
      </c>
      <c r="F688" s="803">
        <f>IF(Noty!F688="","",Noty!F688)</f>
        <v>0</v>
      </c>
      <c r="G688" s="803">
        <f>IF(Noty!G688="","",Noty!G688)</f>
        <v>0</v>
      </c>
      <c r="H688" s="803">
        <f>IF(Noty!H688="","",Noty!H688)</f>
        <v>0</v>
      </c>
      <c r="I688" s="803">
        <f>IF(Noty!I688="","",Noty!I688)</f>
        <v>0</v>
      </c>
      <c r="J688" s="499" t="str">
        <f>Noty!J688</f>
        <v>ukryj</v>
      </c>
      <c r="K688" s="489"/>
      <c r="L688" s="200"/>
    </row>
    <row r="689" spans="1:14" s="242" customFormat="1" ht="15.05" customHeight="1" x14ac:dyDescent="0.25">
      <c r="A689" s="515"/>
      <c r="B689" s="530"/>
      <c r="C689" s="415" t="s">
        <v>11017</v>
      </c>
      <c r="D689" s="659"/>
      <c r="E689" s="679"/>
      <c r="F689" s="679"/>
      <c r="G689" s="679"/>
      <c r="H689" s="679"/>
      <c r="I689" s="679"/>
      <c r="J689" s="499" t="str">
        <f>Noty!J689</f>
        <v>ukryj</v>
      </c>
      <c r="K689" s="489"/>
      <c r="L689" s="200"/>
    </row>
    <row r="690" spans="1:14" s="242" customFormat="1" ht="15.05" customHeight="1" x14ac:dyDescent="0.25">
      <c r="A690" s="515"/>
      <c r="B690" s="530"/>
      <c r="C690" s="841" t="s">
        <v>11018</v>
      </c>
      <c r="D690" s="841"/>
      <c r="E690" s="800" t="str">
        <f>IF(Noty!E690="","",Noty!E690)</f>
        <v/>
      </c>
      <c r="F690" s="800" t="str">
        <f>IF(Noty!F690="","",Noty!F690)</f>
        <v/>
      </c>
      <c r="G690" s="800" t="str">
        <f>IF(Noty!G690="","",Noty!G690)</f>
        <v/>
      </c>
      <c r="H690" s="800" t="str">
        <f>IF(Noty!H690="","",Noty!H690)</f>
        <v/>
      </c>
      <c r="I690" s="800" t="str">
        <f>IF(Noty!I690="","",Noty!I690)</f>
        <v/>
      </c>
      <c r="J690" s="499" t="str">
        <f>Noty!J690</f>
        <v>ukryj</v>
      </c>
      <c r="K690" s="489"/>
      <c r="L690" s="200"/>
    </row>
    <row r="691" spans="1:14" s="242" customFormat="1" ht="15.05" customHeight="1" x14ac:dyDescent="0.25">
      <c r="A691" s="515"/>
      <c r="B691" s="530"/>
      <c r="C691" s="841"/>
      <c r="D691" s="841"/>
      <c r="E691" s="549"/>
      <c r="F691" s="549"/>
      <c r="G691" s="549"/>
      <c r="H691" s="549"/>
      <c r="I691" s="549"/>
      <c r="J691" s="499" t="str">
        <f>Noty!J691</f>
        <v>ukryj</v>
      </c>
      <c r="K691" s="489"/>
      <c r="L691" s="200"/>
    </row>
    <row r="692" spans="1:14" s="242" customFormat="1" ht="15.05" customHeight="1" x14ac:dyDescent="0.25">
      <c r="A692" s="515"/>
      <c r="B692" s="530"/>
      <c r="C692" s="241" t="s">
        <v>9287</v>
      </c>
      <c r="D692" s="841"/>
      <c r="E692" s="803">
        <f>IF(Noty!E692="","",Noty!E692)</f>
        <v>0</v>
      </c>
      <c r="F692" s="803">
        <f>IF(Noty!F692="","",Noty!F692)</f>
        <v>0</v>
      </c>
      <c r="G692" s="803">
        <f>IF(Noty!G692="","",Noty!G692)</f>
        <v>0</v>
      </c>
      <c r="H692" s="803">
        <f>IF(Noty!H692="","",Noty!H692)</f>
        <v>0</v>
      </c>
      <c r="I692" s="803">
        <f>IF(Noty!I692="","",Noty!I692)</f>
        <v>0</v>
      </c>
      <c r="J692" s="499" t="str">
        <f>Noty!J692</f>
        <v>ukryj</v>
      </c>
      <c r="K692" s="489"/>
      <c r="L692" s="200"/>
    </row>
    <row r="693" spans="1:14" s="242" customFormat="1" ht="15.05" customHeight="1" thickBot="1" x14ac:dyDescent="0.3">
      <c r="A693" s="509"/>
      <c r="B693" s="520"/>
      <c r="C693" s="416"/>
      <c r="D693" s="416"/>
      <c r="E693" s="196"/>
      <c r="F693" s="196"/>
      <c r="G693" s="196"/>
      <c r="H693" s="196"/>
      <c r="I693" s="196"/>
      <c r="J693" s="499" t="str">
        <f>Noty!J693</f>
        <v>ukryj</v>
      </c>
      <c r="K693" s="489"/>
      <c r="L693" s="496"/>
    </row>
    <row r="694" spans="1:14" s="242" customFormat="1" ht="16.399999999999999" thickTop="1" thickBot="1" x14ac:dyDescent="0.35">
      <c r="A694" s="1183">
        <f>A655</f>
        <v>0</v>
      </c>
      <c r="B694" s="1184">
        <f>+IF(K694="n/a",B681,B681+1)</f>
        <v>0</v>
      </c>
      <c r="C694" s="1389" t="s">
        <v>11024</v>
      </c>
      <c r="D694" s="1389"/>
      <c r="E694" s="1389"/>
      <c r="F694" s="1389"/>
      <c r="G694" s="1389"/>
      <c r="H694" s="1389"/>
      <c r="I694" s="1389"/>
      <c r="J694" s="499" t="str">
        <f>Noty!J694</f>
        <v>ukryj</v>
      </c>
      <c r="K694" s="585" t="str">
        <f>Noty!K694</f>
        <v>n/a</v>
      </c>
      <c r="L694" s="496" t="str">
        <f>A694&amp;"."&amp;B694</f>
        <v>0.0</v>
      </c>
      <c r="N694" s="1101" t="s">
        <v>9378</v>
      </c>
    </row>
    <row r="695" spans="1:14" s="242" customFormat="1" ht="15.05" customHeight="1" thickTop="1" x14ac:dyDescent="0.25">
      <c r="A695" s="509"/>
      <c r="B695" s="520"/>
      <c r="C695" s="416"/>
      <c r="D695" s="416"/>
      <c r="E695" s="196"/>
      <c r="F695" s="196"/>
      <c r="G695" s="196"/>
      <c r="H695" s="196"/>
      <c r="I695" s="196"/>
      <c r="J695" s="499" t="str">
        <f>Noty!J695</f>
        <v>ukryj</v>
      </c>
      <c r="K695" s="489"/>
      <c r="L695" s="200"/>
    </row>
    <row r="696" spans="1:14" s="242" customFormat="1" ht="90" customHeight="1" x14ac:dyDescent="0.25">
      <c r="A696" s="509"/>
      <c r="B696" s="520"/>
      <c r="C696" s="378"/>
      <c r="D696" s="378"/>
      <c r="E696" s="801" t="s">
        <v>9196</v>
      </c>
      <c r="F696" s="801" t="s">
        <v>11020</v>
      </c>
      <c r="G696" s="801" t="s">
        <v>11021</v>
      </c>
      <c r="H696" s="801" t="s">
        <v>11022</v>
      </c>
      <c r="I696" s="801" t="s">
        <v>7777</v>
      </c>
      <c r="J696" s="499" t="str">
        <f>Noty!J696</f>
        <v>ukryj</v>
      </c>
      <c r="K696" s="489"/>
      <c r="L696" s="200"/>
    </row>
    <row r="697" spans="1:14" s="242" customFormat="1" ht="15.05" customHeight="1" x14ac:dyDescent="0.25">
      <c r="A697" s="509"/>
      <c r="B697" s="520"/>
      <c r="C697" s="417" t="s">
        <v>11013</v>
      </c>
      <c r="D697" s="416"/>
      <c r="E697" s="196"/>
      <c r="F697" s="200"/>
      <c r="G697" s="200"/>
      <c r="H697" s="200"/>
      <c r="I697" s="200"/>
      <c r="J697" s="499" t="str">
        <f>Noty!J697</f>
        <v>ukryj</v>
      </c>
      <c r="K697" s="489"/>
      <c r="L697" s="200"/>
    </row>
    <row r="698" spans="1:14" s="242" customFormat="1" ht="15.05" customHeight="1" x14ac:dyDescent="0.25">
      <c r="A698" s="509"/>
      <c r="B698" s="520"/>
      <c r="C698" s="841" t="s">
        <v>11014</v>
      </c>
      <c r="D698" s="841"/>
      <c r="E698" s="800" t="str">
        <f>IF(Noty!E698="","",Noty!E698)</f>
        <v/>
      </c>
      <c r="F698" s="800" t="str">
        <f>IF(Noty!F698="","",Noty!F698)</f>
        <v/>
      </c>
      <c r="G698" s="800" t="str">
        <f>IF(Noty!G698="","",Noty!G698)</f>
        <v/>
      </c>
      <c r="H698" s="800" t="str">
        <f>IF(Noty!H698="","",Noty!H698)</f>
        <v/>
      </c>
      <c r="I698" s="800" t="str">
        <f>IF(Noty!I698="","",Noty!I698)</f>
        <v/>
      </c>
      <c r="J698" s="499" t="str">
        <f>Noty!J698</f>
        <v>ukryj</v>
      </c>
      <c r="K698" s="489"/>
      <c r="L698" s="200"/>
    </row>
    <row r="699" spans="1:14" s="242" customFormat="1" ht="15.05" customHeight="1" x14ac:dyDescent="0.25">
      <c r="A699" s="509"/>
      <c r="B699" s="520"/>
      <c r="C699" s="841" t="s">
        <v>11015</v>
      </c>
      <c r="D699" s="841"/>
      <c r="E699" s="800" t="str">
        <f>IF(Noty!E699="","",Noty!E699)</f>
        <v/>
      </c>
      <c r="F699" s="800" t="str">
        <f>IF(Noty!F699="","",Noty!F699)</f>
        <v/>
      </c>
      <c r="G699" s="800" t="str">
        <f>IF(Noty!G699="","",Noty!G699)</f>
        <v/>
      </c>
      <c r="H699" s="800" t="str">
        <f>IF(Noty!H699="","",Noty!H699)</f>
        <v/>
      </c>
      <c r="I699" s="800" t="str">
        <f>IF(Noty!I699="","",Noty!I699)</f>
        <v/>
      </c>
      <c r="J699" s="499" t="str">
        <f>Noty!J699</f>
        <v>ukryj</v>
      </c>
      <c r="K699" s="489"/>
      <c r="L699" s="200"/>
    </row>
    <row r="700" spans="1:14" s="242" customFormat="1" ht="15.05" customHeight="1" x14ac:dyDescent="0.25">
      <c r="A700" s="509"/>
      <c r="B700" s="520"/>
      <c r="C700" s="841" t="s">
        <v>11016</v>
      </c>
      <c r="D700" s="841"/>
      <c r="E700" s="800" t="str">
        <f>IF(Noty!E700="","",Noty!E700)</f>
        <v/>
      </c>
      <c r="F700" s="800" t="str">
        <f>IF(Noty!F700="","",Noty!F700)</f>
        <v/>
      </c>
      <c r="G700" s="800" t="str">
        <f>IF(Noty!G700="","",Noty!G700)</f>
        <v/>
      </c>
      <c r="H700" s="800" t="str">
        <f>IF(Noty!H700="","",Noty!H700)</f>
        <v/>
      </c>
      <c r="I700" s="800" t="str">
        <f>IF(Noty!I700="","",Noty!I700)</f>
        <v/>
      </c>
      <c r="J700" s="499" t="str">
        <f>Noty!J700</f>
        <v>ukryj</v>
      </c>
      <c r="K700" s="489"/>
      <c r="L700" s="200"/>
    </row>
    <row r="701" spans="1:14" s="242" customFormat="1" ht="15.05" customHeight="1" x14ac:dyDescent="0.25">
      <c r="A701" s="509"/>
      <c r="B701" s="520"/>
      <c r="C701" s="841"/>
      <c r="D701" s="841"/>
      <c r="E701" s="803">
        <f>IF(Noty!E701="","",Noty!E701)</f>
        <v>0</v>
      </c>
      <c r="F701" s="803">
        <f>IF(Noty!F701="","",Noty!F701)</f>
        <v>0</v>
      </c>
      <c r="G701" s="803">
        <f>IF(Noty!G701="","",Noty!G701)</f>
        <v>0</v>
      </c>
      <c r="H701" s="803">
        <f>IF(Noty!H701="","",Noty!H701)</f>
        <v>0</v>
      </c>
      <c r="I701" s="803">
        <f>IF(Noty!I701="","",Noty!I701)</f>
        <v>0</v>
      </c>
      <c r="J701" s="499" t="str">
        <f>Noty!J701</f>
        <v>ukryj</v>
      </c>
      <c r="K701" s="489"/>
      <c r="L701" s="200"/>
    </row>
    <row r="702" spans="1:14" s="242" customFormat="1" ht="15.05" customHeight="1" x14ac:dyDescent="0.25">
      <c r="A702" s="509"/>
      <c r="B702" s="520"/>
      <c r="C702" s="415" t="s">
        <v>11017</v>
      </c>
      <c r="D702" s="659"/>
      <c r="E702" s="679"/>
      <c r="F702" s="679"/>
      <c r="G702" s="679"/>
      <c r="H702" s="679"/>
      <c r="I702" s="679"/>
      <c r="J702" s="499" t="str">
        <f>Noty!J702</f>
        <v>ukryj</v>
      </c>
      <c r="K702" s="489"/>
      <c r="L702" s="200"/>
    </row>
    <row r="703" spans="1:14" s="242" customFormat="1" ht="15.05" customHeight="1" x14ac:dyDescent="0.25">
      <c r="A703" s="509"/>
      <c r="B703" s="520"/>
      <c r="C703" s="841" t="s">
        <v>11018</v>
      </c>
      <c r="D703" s="841"/>
      <c r="E703" s="800" t="str">
        <f>IF(Noty!E703="","",Noty!E703)</f>
        <v/>
      </c>
      <c r="F703" s="800" t="str">
        <f>IF(Noty!F703="","",Noty!F703)</f>
        <v/>
      </c>
      <c r="G703" s="800" t="str">
        <f>IF(Noty!G703="","",Noty!G703)</f>
        <v/>
      </c>
      <c r="H703" s="800" t="str">
        <f>IF(Noty!H703="","",Noty!H703)</f>
        <v/>
      </c>
      <c r="I703" s="800" t="str">
        <f>IF(Noty!I703="","",Noty!I703)</f>
        <v/>
      </c>
      <c r="J703" s="499" t="str">
        <f>Noty!J703</f>
        <v>ukryj</v>
      </c>
      <c r="K703" s="489"/>
      <c r="L703" s="200"/>
    </row>
    <row r="704" spans="1:14" s="242" customFormat="1" ht="15.05" customHeight="1" x14ac:dyDescent="0.25">
      <c r="A704" s="509"/>
      <c r="B704" s="520"/>
      <c r="C704" s="841"/>
      <c r="D704" s="841"/>
      <c r="E704" s="549"/>
      <c r="F704" s="549"/>
      <c r="G704" s="549"/>
      <c r="H704" s="549"/>
      <c r="I704" s="549"/>
      <c r="J704" s="499" t="str">
        <f>Noty!J704</f>
        <v>ukryj</v>
      </c>
      <c r="K704" s="489"/>
      <c r="L704" s="200"/>
    </row>
    <row r="705" spans="1:14" s="242" customFormat="1" ht="15.05" customHeight="1" x14ac:dyDescent="0.25">
      <c r="A705" s="509"/>
      <c r="B705" s="520"/>
      <c r="C705" s="241" t="s">
        <v>9287</v>
      </c>
      <c r="D705" s="841"/>
      <c r="E705" s="803">
        <f>IF(Noty!E705="","",Noty!E705)</f>
        <v>0</v>
      </c>
      <c r="F705" s="803">
        <f>IF(Noty!F705="","",Noty!F705)</f>
        <v>0</v>
      </c>
      <c r="G705" s="803">
        <f>IF(Noty!G705="","",Noty!G705)</f>
        <v>0</v>
      </c>
      <c r="H705" s="803">
        <f>IF(Noty!H705="","",Noty!H705)</f>
        <v>0</v>
      </c>
      <c r="I705" s="803">
        <f>IF(Noty!I705="","",Noty!I705)</f>
        <v>0</v>
      </c>
      <c r="J705" s="499" t="str">
        <f>Noty!J705</f>
        <v>ukryj</v>
      </c>
      <c r="K705" s="489"/>
      <c r="L705" s="200"/>
    </row>
    <row r="706" spans="1:14" s="242" customFormat="1" ht="15.05" customHeight="1" thickBot="1" x14ac:dyDescent="0.3">
      <c r="A706" s="509"/>
      <c r="B706" s="520"/>
      <c r="C706" s="416"/>
      <c r="D706" s="416"/>
      <c r="E706" s="196"/>
      <c r="F706" s="196"/>
      <c r="G706" s="196"/>
      <c r="H706" s="196"/>
      <c r="I706" s="196"/>
      <c r="J706" s="499" t="str">
        <f>Noty!J706</f>
        <v>ukryj</v>
      </c>
      <c r="K706" s="489"/>
      <c r="L706" s="496"/>
    </row>
    <row r="707" spans="1:14" s="242" customFormat="1" ht="16.399999999999999" thickTop="1" thickBot="1" x14ac:dyDescent="0.35">
      <c r="A707" s="1180">
        <f>IF(K707="n/a",A694,A694+1)</f>
        <v>0</v>
      </c>
      <c r="B707" s="1182"/>
      <c r="C707" s="1388" t="s">
        <v>11025</v>
      </c>
      <c r="D707" s="1388"/>
      <c r="E707" s="1388"/>
      <c r="F707" s="1388"/>
      <c r="G707" s="1388"/>
      <c r="H707" s="1388"/>
      <c r="I707" s="1388"/>
      <c r="J707" s="499" t="str">
        <f>Noty!J707</f>
        <v>ukryj</v>
      </c>
      <c r="K707" s="585" t="str">
        <f>Noty!K707</f>
        <v>n/a</v>
      </c>
      <c r="L707" s="200" t="str">
        <f>A707&amp;"."&amp;B707</f>
        <v>0.</v>
      </c>
      <c r="N707" s="1101" t="s">
        <v>9378</v>
      </c>
    </row>
    <row r="708" spans="1:14" s="242" customFormat="1" ht="15.05" customHeight="1" thickTop="1" x14ac:dyDescent="0.25">
      <c r="A708" s="509"/>
      <c r="B708" s="520"/>
      <c r="C708" s="416"/>
      <c r="D708" s="416"/>
      <c r="E708" s="196"/>
      <c r="F708" s="196"/>
      <c r="G708" s="196"/>
      <c r="H708" s="196"/>
      <c r="I708" s="196"/>
      <c r="J708" s="499" t="str">
        <f>Noty!J708</f>
        <v>ukryj</v>
      </c>
      <c r="K708" s="489"/>
      <c r="L708" s="200"/>
    </row>
    <row r="709" spans="1:14" s="242" customFormat="1" ht="51.05" customHeight="1" x14ac:dyDescent="0.25">
      <c r="A709" s="509"/>
      <c r="B709" s="520"/>
      <c r="C709" s="1400" t="s">
        <v>11026</v>
      </c>
      <c r="D709" s="1400"/>
      <c r="E709" s="636" t="s">
        <v>11027</v>
      </c>
      <c r="F709" s="636" t="s">
        <v>10905</v>
      </c>
      <c r="G709" s="636" t="str">
        <f>CONCATENATE("Value of short-term liability as of ",Input!$C$7)</f>
        <v>Value of short-term liability as of 31.12.2020</v>
      </c>
      <c r="H709" s="636" t="str">
        <f>CONCATENATE("Value of long-term liability as of ",Input!$C$7)</f>
        <v>Value of long-term liability as of 31.12.2020</v>
      </c>
      <c r="I709" s="637" t="s">
        <v>11028</v>
      </c>
      <c r="J709" s="499" t="str">
        <f>Noty!J709</f>
        <v>ukryj</v>
      </c>
      <c r="K709" s="489"/>
      <c r="L709" s="200"/>
    </row>
    <row r="710" spans="1:14" s="242" customFormat="1" ht="15.05" customHeight="1" x14ac:dyDescent="0.25">
      <c r="A710" s="509"/>
      <c r="B710" s="520"/>
      <c r="C710" s="1408"/>
      <c r="D710" s="1408"/>
      <c r="E710" s="1141" t="str">
        <f>IF(Noty!E710="","",Noty!E710)</f>
        <v/>
      </c>
      <c r="F710" s="1141" t="str">
        <f>IF(Noty!F710="","",Noty!F710)</f>
        <v/>
      </c>
      <c r="G710" s="800" t="str">
        <f>IF(Noty!G710="","",Noty!G710)</f>
        <v/>
      </c>
      <c r="H710" s="800" t="str">
        <f>IF(Noty!H710="","",Noty!H710)</f>
        <v/>
      </c>
      <c r="I710" s="1141" t="str">
        <f>IF(Noty!I710="","",Noty!I710)</f>
        <v/>
      </c>
      <c r="J710" s="499" t="str">
        <f>Noty!J710</f>
        <v>ukryj</v>
      </c>
      <c r="K710" s="489"/>
      <c r="L710" s="200"/>
    </row>
    <row r="711" spans="1:14" s="242" customFormat="1" ht="15.05" customHeight="1" x14ac:dyDescent="0.25">
      <c r="A711" s="509"/>
      <c r="B711" s="520"/>
      <c r="C711" s="1408"/>
      <c r="D711" s="1408"/>
      <c r="E711" s="1141" t="str">
        <f>IF(Noty!E711="","",Noty!E711)</f>
        <v/>
      </c>
      <c r="F711" s="1141" t="str">
        <f>IF(Noty!F711="","",Noty!F711)</f>
        <v/>
      </c>
      <c r="G711" s="1141" t="str">
        <f>IF(Noty!G711="","",Noty!G711)</f>
        <v/>
      </c>
      <c r="H711" s="1141" t="str">
        <f>IF(Noty!H711="","",Noty!H711)</f>
        <v/>
      </c>
      <c r="I711" s="1141" t="str">
        <f>IF(Noty!I711="","",Noty!I711)</f>
        <v/>
      </c>
      <c r="J711" s="499" t="str">
        <f>Noty!J711</f>
        <v>ukryj</v>
      </c>
      <c r="K711" s="489"/>
      <c r="L711" s="200"/>
    </row>
    <row r="712" spans="1:14" s="242" customFormat="1" ht="15.05" customHeight="1" x14ac:dyDescent="0.25">
      <c r="A712" s="509"/>
      <c r="B712" s="520"/>
      <c r="C712" s="1408"/>
      <c r="D712" s="1408"/>
      <c r="E712" s="1141" t="str">
        <f>IF(Noty!E712="","",Noty!E712)</f>
        <v/>
      </c>
      <c r="F712" s="1141" t="str">
        <f>IF(Noty!F712="","",Noty!F712)</f>
        <v/>
      </c>
      <c r="G712" s="1141" t="str">
        <f>IF(Noty!G712="","",Noty!G712)</f>
        <v/>
      </c>
      <c r="H712" s="1141" t="str">
        <f>IF(Noty!H712="","",Noty!H712)</f>
        <v/>
      </c>
      <c r="I712" s="1141" t="str">
        <f>IF(Noty!I712="","",Noty!I712)</f>
        <v/>
      </c>
      <c r="J712" s="499" t="str">
        <f>Noty!J712</f>
        <v>ukryj</v>
      </c>
      <c r="K712" s="489"/>
      <c r="L712" s="200"/>
    </row>
    <row r="713" spans="1:14" s="242" customFormat="1" ht="15.05" customHeight="1" x14ac:dyDescent="0.25">
      <c r="A713" s="509"/>
      <c r="B713" s="520"/>
      <c r="C713" s="1408"/>
      <c r="D713" s="1408"/>
      <c r="E713" s="1141" t="str">
        <f>IF(Noty!E713="","",Noty!E713)</f>
        <v/>
      </c>
      <c r="F713" s="1141" t="str">
        <f>IF(Noty!F713="","",Noty!F713)</f>
        <v/>
      </c>
      <c r="G713" s="1141" t="str">
        <f>IF(Noty!G713="","",Noty!G713)</f>
        <v/>
      </c>
      <c r="H713" s="1141" t="str">
        <f>IF(Noty!H713="","",Noty!H713)</f>
        <v/>
      </c>
      <c r="I713" s="1141" t="str">
        <f>IF(Noty!I713="","",Noty!I713)</f>
        <v/>
      </c>
      <c r="J713" s="499" t="str">
        <f>Noty!J713</f>
        <v>ukryj</v>
      </c>
      <c r="K713" s="489"/>
      <c r="L713" s="200"/>
    </row>
    <row r="714" spans="1:14" s="242" customFormat="1" ht="15.05" customHeight="1" x14ac:dyDescent="0.25">
      <c r="A714" s="509"/>
      <c r="B714" s="520"/>
      <c r="C714" s="202"/>
      <c r="D714" s="636"/>
      <c r="E714" s="803"/>
      <c r="F714" s="803"/>
      <c r="G714" s="803">
        <f>IF(Noty!G714="","",Noty!G714)</f>
        <v>0</v>
      </c>
      <c r="H714" s="803">
        <f>IF(Noty!H714="","",Noty!H714)</f>
        <v>0</v>
      </c>
      <c r="I714" s="803" t="s">
        <v>8730</v>
      </c>
      <c r="J714" s="499" t="str">
        <f>Noty!J714</f>
        <v>ukryj</v>
      </c>
      <c r="K714" s="489"/>
      <c r="L714" s="200"/>
    </row>
    <row r="715" spans="1:14" s="242" customFormat="1" ht="15.05" customHeight="1" thickBot="1" x14ac:dyDescent="0.3">
      <c r="A715" s="509"/>
      <c r="B715" s="520"/>
      <c r="C715" s="202"/>
      <c r="D715" s="202"/>
      <c r="E715" s="196"/>
      <c r="F715" s="196"/>
      <c r="G715" s="196"/>
      <c r="H715" s="191"/>
      <c r="I715" s="192"/>
      <c r="J715" s="499" t="str">
        <f>Noty!J715</f>
        <v>ukryj</v>
      </c>
      <c r="K715" s="489"/>
      <c r="L715" s="200"/>
    </row>
    <row r="716" spans="1:14" s="242" customFormat="1" ht="16.399999999999999" thickTop="1" thickBot="1" x14ac:dyDescent="0.35">
      <c r="A716" s="1180">
        <f>IF(K716="n/a",A707,A707+1)</f>
        <v>1</v>
      </c>
      <c r="B716" s="1182"/>
      <c r="C716" s="1388" t="s">
        <v>11029</v>
      </c>
      <c r="D716" s="1388"/>
      <c r="E716" s="1388"/>
      <c r="F716" s="1388"/>
      <c r="G716" s="1388"/>
      <c r="H716" s="1388"/>
      <c r="I716" s="1388"/>
      <c r="J716" s="499" t="str">
        <f>Noty!J716</f>
        <v>odkryj</v>
      </c>
      <c r="K716" s="585" t="str">
        <f>Noty!K716</f>
        <v/>
      </c>
      <c r="L716" s="200" t="str">
        <f>A716&amp;"."&amp;B716</f>
        <v>1.</v>
      </c>
      <c r="N716" s="1101" t="s">
        <v>9378</v>
      </c>
    </row>
    <row r="717" spans="1:14" s="242" customFormat="1" ht="15.05" customHeight="1" thickTop="1" thickBot="1" x14ac:dyDescent="0.3">
      <c r="A717" s="509"/>
      <c r="B717" s="520"/>
      <c r="C717" s="416"/>
      <c r="D717" s="416"/>
      <c r="E717" s="196"/>
      <c r="F717" s="196"/>
      <c r="G717" s="196"/>
      <c r="H717" s="196"/>
      <c r="I717" s="196"/>
      <c r="J717" s="499" t="str">
        <f>Noty!J717</f>
        <v>odkryj</v>
      </c>
      <c r="K717" s="489"/>
      <c r="L717" s="200"/>
    </row>
    <row r="718" spans="1:14" s="242" customFormat="1" ht="15.05" customHeight="1" thickTop="1" thickBot="1" x14ac:dyDescent="0.3">
      <c r="A718" s="509"/>
      <c r="B718" s="520"/>
      <c r="C718" s="202"/>
      <c r="D718" s="202"/>
      <c r="E718" s="196"/>
      <c r="F718" s="196"/>
      <c r="G718" s="251"/>
      <c r="H718" s="999" t="str">
        <f>IF(Noty!H718="","",Noty!H718)</f>
        <v>31.12.2020</v>
      </c>
      <c r="I718" s="1000" t="str">
        <f>IF(Noty!I718="","",Noty!I718)</f>
        <v>31.12.2019</v>
      </c>
      <c r="J718" s="499" t="str">
        <f>Noty!J718</f>
        <v>ukryj</v>
      </c>
      <c r="K718" s="1109" t="str">
        <f>Noty!K718</f>
        <v>n/a</v>
      </c>
      <c r="L718" s="200"/>
    </row>
    <row r="719" spans="1:14" s="242" customFormat="1" ht="15.05" customHeight="1" thickTop="1" x14ac:dyDescent="0.25">
      <c r="A719" s="509"/>
      <c r="B719" s="520"/>
      <c r="C719" s="202"/>
      <c r="D719" s="202"/>
      <c r="E719" s="196"/>
      <c r="F719" s="196"/>
      <c r="G719" s="196"/>
      <c r="H719" s="544"/>
      <c r="I719" s="544"/>
      <c r="J719" s="499" t="str">
        <f>Noty!J719</f>
        <v>ukryj</v>
      </c>
      <c r="K719" s="489"/>
      <c r="L719" s="200"/>
    </row>
    <row r="720" spans="1:14" s="242" customFormat="1" ht="15.05" customHeight="1" x14ac:dyDescent="0.25">
      <c r="A720" s="509"/>
      <c r="B720" s="520"/>
      <c r="C720" s="202" t="s">
        <v>7973</v>
      </c>
      <c r="D720" s="202"/>
      <c r="E720" s="196"/>
      <c r="F720" s="196"/>
      <c r="G720" s="251"/>
      <c r="H720" s="1103" t="str">
        <f>IF(Noty!H720="","",Noty!H720)</f>
        <v/>
      </c>
      <c r="I720" s="1103" t="str">
        <f>IF(Noty!I720="","",Noty!I720)</f>
        <v/>
      </c>
      <c r="J720" s="499" t="str">
        <f>Noty!J720</f>
        <v>ukryj</v>
      </c>
      <c r="K720" s="489"/>
      <c r="L720" s="200"/>
    </row>
    <row r="721" spans="1:14" s="242" customFormat="1" ht="15.05" customHeight="1" x14ac:dyDescent="0.25">
      <c r="A721" s="509"/>
      <c r="B721" s="520"/>
      <c r="C721" s="420" t="s">
        <v>11030</v>
      </c>
      <c r="D721" s="612"/>
      <c r="E721" s="196"/>
      <c r="F721" s="196"/>
      <c r="G721" s="251"/>
      <c r="H721" s="1103" t="str">
        <f>IF(Noty!H721="","",Noty!H721)</f>
        <v/>
      </c>
      <c r="I721" s="1103" t="str">
        <f>IF(Noty!I721="","",Noty!I721)</f>
        <v/>
      </c>
      <c r="J721" s="499" t="str">
        <f>Noty!J721</f>
        <v>ukryj</v>
      </c>
      <c r="K721" s="489"/>
      <c r="L721" s="200"/>
    </row>
    <row r="722" spans="1:14" s="242" customFormat="1" ht="15.05" customHeight="1" x14ac:dyDescent="0.25">
      <c r="A722" s="509"/>
      <c r="B722" s="520"/>
      <c r="C722" s="420" t="s">
        <v>11031</v>
      </c>
      <c r="D722" s="612"/>
      <c r="E722" s="196"/>
      <c r="F722" s="196"/>
      <c r="G722" s="251"/>
      <c r="H722" s="1103" t="str">
        <f>IF(Noty!H722="","",Noty!H722)</f>
        <v/>
      </c>
      <c r="I722" s="1103" t="str">
        <f>IF(Noty!I722="","",Noty!I722)</f>
        <v/>
      </c>
      <c r="J722" s="499" t="str">
        <f>Noty!J722</f>
        <v>ukryj</v>
      </c>
      <c r="K722" s="489"/>
      <c r="L722" s="200"/>
    </row>
    <row r="723" spans="1:14" s="242" customFormat="1" ht="15.05" customHeight="1" x14ac:dyDescent="0.25">
      <c r="A723" s="509"/>
      <c r="B723" s="520"/>
      <c r="C723" s="202" t="s">
        <v>7822</v>
      </c>
      <c r="D723" s="202"/>
      <c r="E723" s="196"/>
      <c r="F723" s="196"/>
      <c r="G723" s="251"/>
      <c r="H723" s="1103" t="str">
        <f>IF(Noty!H723="","",Noty!H723)</f>
        <v/>
      </c>
      <c r="I723" s="1103" t="str">
        <f>IF(Noty!I723="","",Noty!I723)</f>
        <v/>
      </c>
      <c r="J723" s="499" t="str">
        <f>Noty!J723</f>
        <v>ukryj</v>
      </c>
      <c r="K723" s="489"/>
      <c r="L723" s="200"/>
    </row>
    <row r="724" spans="1:14" s="242" customFormat="1" ht="15.05" customHeight="1" x14ac:dyDescent="0.25">
      <c r="A724" s="509"/>
      <c r="B724" s="520"/>
      <c r="C724" s="420" t="s">
        <v>11031</v>
      </c>
      <c r="D724" s="612"/>
      <c r="E724" s="196"/>
      <c r="F724" s="196"/>
      <c r="G724" s="251"/>
      <c r="H724" s="1103" t="str">
        <f>IF(Noty!H724="","",Noty!H724)</f>
        <v/>
      </c>
      <c r="I724" s="1103" t="str">
        <f>IF(Noty!I724="","",Noty!I724)</f>
        <v/>
      </c>
      <c r="J724" s="499" t="str">
        <f>Noty!J724</f>
        <v>ukryj</v>
      </c>
      <c r="K724" s="489"/>
      <c r="L724" s="200"/>
    </row>
    <row r="725" spans="1:14" s="242" customFormat="1" ht="15.05" customHeight="1" x14ac:dyDescent="0.25">
      <c r="A725" s="509"/>
      <c r="B725" s="520"/>
      <c r="C725" s="202" t="s">
        <v>11032</v>
      </c>
      <c r="D725" s="202"/>
      <c r="E725" s="196"/>
      <c r="F725" s="196"/>
      <c r="G725" s="251"/>
      <c r="H725" s="1103" t="str">
        <f>IF(Noty!H725="","",Noty!H725)</f>
        <v/>
      </c>
      <c r="I725" s="1103" t="str">
        <f>IF(Noty!I725="","",Noty!I725)</f>
        <v/>
      </c>
      <c r="J725" s="499" t="str">
        <f>Noty!J725</f>
        <v>ukryj</v>
      </c>
      <c r="K725" s="489"/>
      <c r="L725" s="200"/>
    </row>
    <row r="726" spans="1:14" s="242" customFormat="1" ht="15.05" customHeight="1" x14ac:dyDescent="0.25">
      <c r="A726" s="509"/>
      <c r="B726" s="520"/>
      <c r="C726" s="420" t="s">
        <v>11033</v>
      </c>
      <c r="D726" s="612"/>
      <c r="E726" s="196"/>
      <c r="F726" s="196"/>
      <c r="G726" s="251"/>
      <c r="H726" s="1103" t="str">
        <f>IF(Noty!H726="","",Noty!H726)</f>
        <v/>
      </c>
      <c r="I726" s="1103" t="str">
        <f>IF(Noty!I726="","",Noty!I726)</f>
        <v/>
      </c>
      <c r="J726" s="499" t="str">
        <f>Noty!J726</f>
        <v>ukryj</v>
      </c>
      <c r="K726" s="489"/>
      <c r="L726" s="200"/>
    </row>
    <row r="727" spans="1:14" s="242" customFormat="1" ht="15.05" customHeight="1" x14ac:dyDescent="0.25">
      <c r="A727" s="509"/>
      <c r="B727" s="520"/>
      <c r="C727" s="202"/>
      <c r="D727" s="202"/>
      <c r="E727" s="196"/>
      <c r="F727" s="196"/>
      <c r="G727" s="251"/>
      <c r="H727" s="803">
        <f>IF(Noty!H727="","",Noty!H727)</f>
        <v>0</v>
      </c>
      <c r="I727" s="803">
        <f>IF(Noty!I727="","",Noty!I727)</f>
        <v>0</v>
      </c>
      <c r="J727" s="499" t="str">
        <f>Noty!J727</f>
        <v>ukryj</v>
      </c>
      <c r="K727" s="489"/>
      <c r="L727" s="200"/>
    </row>
    <row r="728" spans="1:14" s="242" customFormat="1" ht="15.05" customHeight="1" x14ac:dyDescent="0.25">
      <c r="A728" s="509"/>
      <c r="B728" s="520"/>
      <c r="C728" s="973" t="s">
        <v>11034</v>
      </c>
      <c r="D728" s="610"/>
      <c r="E728" s="251"/>
      <c r="F728" s="251"/>
      <c r="G728" s="251"/>
      <c r="H728" s="974"/>
      <c r="I728" s="975"/>
      <c r="J728" s="499" t="str">
        <f>Noty!J728</f>
        <v>ukryj</v>
      </c>
      <c r="K728" s="489"/>
      <c r="L728" s="200"/>
    </row>
    <row r="729" spans="1:14" s="242" customFormat="1" ht="15.05" customHeight="1" x14ac:dyDescent="0.25">
      <c r="A729" s="509"/>
      <c r="B729" s="520"/>
      <c r="C729" s="202"/>
      <c r="D729" s="202"/>
      <c r="E729" s="196"/>
      <c r="F729" s="196"/>
      <c r="G729" s="196"/>
      <c r="H729" s="205"/>
      <c r="I729" s="205"/>
      <c r="J729" s="499" t="str">
        <f>Noty!J729</f>
        <v>ukryj</v>
      </c>
      <c r="K729" s="489"/>
      <c r="L729" s="200"/>
    </row>
    <row r="730" spans="1:14" s="242" customFormat="1" ht="15.05" customHeight="1" x14ac:dyDescent="0.25">
      <c r="A730" s="509"/>
      <c r="B730" s="520"/>
      <c r="C730" s="240" t="s">
        <v>7933</v>
      </c>
      <c r="D730" s="202"/>
      <c r="E730" s="196"/>
      <c r="F730" s="196"/>
      <c r="G730" s="196"/>
      <c r="H730" s="205"/>
      <c r="I730" s="205"/>
      <c r="J730" s="499" t="str">
        <f>Noty!J730</f>
        <v>ukryj</v>
      </c>
      <c r="K730" s="489"/>
      <c r="L730" s="200"/>
    </row>
    <row r="731" spans="1:14" s="242" customFormat="1" ht="15.05" customHeight="1" thickBot="1" x14ac:dyDescent="0.3">
      <c r="A731" s="509"/>
      <c r="B731" s="520"/>
      <c r="C731" s="202"/>
      <c r="D731" s="202"/>
      <c r="E731" s="196"/>
      <c r="F731" s="196"/>
      <c r="G731" s="196"/>
      <c r="H731" s="205"/>
      <c r="I731" s="205"/>
      <c r="J731" s="499" t="str">
        <f>Noty!J731</f>
        <v>ukryj</v>
      </c>
      <c r="K731" s="489"/>
      <c r="L731" s="200"/>
    </row>
    <row r="732" spans="1:14" s="242" customFormat="1" ht="15.05" customHeight="1" thickTop="1" thickBot="1" x14ac:dyDescent="0.3">
      <c r="A732" s="509"/>
      <c r="B732" s="520"/>
      <c r="C732" s="202" t="s">
        <v>11035</v>
      </c>
      <c r="D732" s="202"/>
      <c r="E732" s="196"/>
      <c r="F732" s="196"/>
      <c r="G732" s="196"/>
      <c r="H732" s="205"/>
      <c r="I732" s="205"/>
      <c r="J732" s="499" t="str">
        <f>Noty!J732</f>
        <v>odkryj</v>
      </c>
      <c r="K732" s="1109" t="str">
        <f>Noty!K732</f>
        <v/>
      </c>
      <c r="L732" s="200"/>
    </row>
    <row r="733" spans="1:14" s="242" customFormat="1" ht="15.05" customHeight="1" thickTop="1" thickBot="1" x14ac:dyDescent="0.3">
      <c r="A733" s="509"/>
      <c r="B733" s="520"/>
      <c r="C733" s="202"/>
      <c r="D733" s="202"/>
      <c r="E733" s="196"/>
      <c r="F733" s="196"/>
      <c r="G733" s="196"/>
      <c r="H733" s="205"/>
      <c r="I733" s="205"/>
      <c r="J733" s="499" t="str">
        <f>Noty!J733</f>
        <v>odkryj</v>
      </c>
      <c r="K733" s="489"/>
      <c r="L733" s="200"/>
    </row>
    <row r="734" spans="1:14" s="242" customFormat="1" ht="16.399999999999999" thickTop="1" thickBot="1" x14ac:dyDescent="0.35">
      <c r="A734" s="1180">
        <f>IF(K734="n/a",A716,A716+1)</f>
        <v>1</v>
      </c>
      <c r="B734" s="1182"/>
      <c r="C734" s="1467" t="s">
        <v>11036</v>
      </c>
      <c r="D734" s="1467"/>
      <c r="E734" s="1467"/>
      <c r="F734" s="1467"/>
      <c r="G734" s="1467"/>
      <c r="H734" s="1467"/>
      <c r="I734" s="1467"/>
      <c r="J734" s="499" t="str">
        <f>Noty!J734</f>
        <v>ukryj</v>
      </c>
      <c r="K734" s="585" t="str">
        <f>Noty!K734</f>
        <v>n/a</v>
      </c>
      <c r="L734" s="200" t="str">
        <f>A734&amp;"."&amp;B734</f>
        <v>1.</v>
      </c>
      <c r="N734" s="1101" t="s">
        <v>9378</v>
      </c>
    </row>
    <row r="735" spans="1:14" s="242" customFormat="1" ht="15.05" customHeight="1" thickTop="1" x14ac:dyDescent="0.25">
      <c r="A735" s="509"/>
      <c r="B735" s="520"/>
      <c r="C735" s="421" t="s">
        <v>11037</v>
      </c>
      <c r="D735" s="416"/>
      <c r="E735" s="196"/>
      <c r="F735" s="196"/>
      <c r="G735" s="196"/>
      <c r="H735" s="196"/>
      <c r="I735" s="196"/>
      <c r="J735" s="499" t="str">
        <f>Noty!J735</f>
        <v>ukryj</v>
      </c>
      <c r="K735" s="489"/>
      <c r="L735" s="200"/>
    </row>
    <row r="736" spans="1:14" s="242" customFormat="1" ht="27.85" customHeight="1" x14ac:dyDescent="0.25">
      <c r="A736" s="509"/>
      <c r="B736" s="520"/>
      <c r="C736" s="545" t="s">
        <v>11038</v>
      </c>
      <c r="D736" s="1005"/>
      <c r="E736" s="9"/>
      <c r="F736" s="1469" t="s">
        <v>11039</v>
      </c>
      <c r="G736" s="1469"/>
      <c r="H736" s="1469" t="s">
        <v>11040</v>
      </c>
      <c r="I736" s="1469"/>
      <c r="J736" s="499" t="str">
        <f>Noty!J736</f>
        <v>ukryj</v>
      </c>
      <c r="K736" s="489"/>
      <c r="L736" s="200"/>
    </row>
    <row r="737" spans="1:14" s="242" customFormat="1" ht="15.05" customHeight="1" x14ac:dyDescent="0.25">
      <c r="A737" s="509"/>
      <c r="B737" s="520"/>
      <c r="C737" s="572"/>
      <c r="D737" s="1005"/>
      <c r="E737" s="9"/>
      <c r="F737" s="1000" t="str">
        <f>IF(Noty!F737="","",Noty!F737)</f>
        <v>31.12.2020</v>
      </c>
      <c r="G737" s="1000" t="str">
        <f>IF(Noty!G737="","",Noty!G737)</f>
        <v>31.12.2019</v>
      </c>
      <c r="H737" s="1000" t="str">
        <f>IF(Noty!H737="","",Noty!H737)</f>
        <v>31.12.2020</v>
      </c>
      <c r="I737" s="1000" t="str">
        <f>IF(Noty!I737="","",Noty!I737)</f>
        <v>31.12.2019</v>
      </c>
      <c r="J737" s="499" t="str">
        <f>Noty!J737</f>
        <v>ukryj</v>
      </c>
      <c r="K737" s="489"/>
      <c r="L737" s="200"/>
    </row>
    <row r="738" spans="1:14" s="242" customFormat="1" ht="15.05" customHeight="1" x14ac:dyDescent="0.25">
      <c r="A738" s="509"/>
      <c r="B738" s="520"/>
      <c r="C738" s="423" t="s">
        <v>11018</v>
      </c>
      <c r="D738" s="1005"/>
      <c r="E738" s="9"/>
      <c r="F738" s="800" t="str">
        <f>IF(Noty!F738="","",Noty!F738)</f>
        <v/>
      </c>
      <c r="G738" s="800" t="str">
        <f>IF(Noty!G738="","",Noty!G738)</f>
        <v/>
      </c>
      <c r="H738" s="800" t="str">
        <f>IF(Noty!H738="","",Noty!H738)</f>
        <v/>
      </c>
      <c r="I738" s="800" t="str">
        <f>IF(Noty!I738="","",Noty!I738)</f>
        <v/>
      </c>
      <c r="J738" s="499" t="str">
        <f>Noty!J738</f>
        <v>ukryj</v>
      </c>
      <c r="K738" s="489"/>
      <c r="L738" s="200"/>
    </row>
    <row r="739" spans="1:14" s="242" customFormat="1" ht="15.05" customHeight="1" x14ac:dyDescent="0.25">
      <c r="A739" s="509"/>
      <c r="B739" s="520"/>
      <c r="C739" s="423" t="s">
        <v>11041</v>
      </c>
      <c r="D739" s="1005"/>
      <c r="E739" s="9"/>
      <c r="F739" s="800" t="str">
        <f>IF(Noty!F739="","",Noty!F739)</f>
        <v/>
      </c>
      <c r="G739" s="800" t="str">
        <f>IF(Noty!G739="","",Noty!G739)</f>
        <v/>
      </c>
      <c r="H739" s="800" t="str">
        <f>IF(Noty!H739="","",Noty!H739)</f>
        <v/>
      </c>
      <c r="I739" s="800" t="str">
        <f>IF(Noty!I739="","",Noty!I739)</f>
        <v/>
      </c>
      <c r="J739" s="499" t="str">
        <f>Noty!J739</f>
        <v>ukryj</v>
      </c>
      <c r="K739" s="489"/>
      <c r="L739" s="200"/>
    </row>
    <row r="740" spans="1:14" s="242" customFormat="1" ht="15.05" customHeight="1" x14ac:dyDescent="0.25">
      <c r="A740" s="509"/>
      <c r="B740" s="520"/>
      <c r="C740" s="423" t="s">
        <v>11042</v>
      </c>
      <c r="D740" s="1005"/>
      <c r="E740" s="9"/>
      <c r="F740" s="800" t="str">
        <f>IF(Noty!F740="","",Noty!F740)</f>
        <v/>
      </c>
      <c r="G740" s="800" t="str">
        <f>IF(Noty!G740="","",Noty!G740)</f>
        <v/>
      </c>
      <c r="H740" s="800" t="str">
        <f>IF(Noty!H740="","",Noty!H740)</f>
        <v/>
      </c>
      <c r="I740" s="800" t="str">
        <f>IF(Noty!I740="","",Noty!I740)</f>
        <v/>
      </c>
      <c r="J740" s="499" t="str">
        <f>Noty!J740</f>
        <v>ukryj</v>
      </c>
      <c r="K740" s="489"/>
      <c r="L740" s="200"/>
    </row>
    <row r="741" spans="1:14" s="242" customFormat="1" ht="15.05" customHeight="1" x14ac:dyDescent="0.25">
      <c r="A741" s="509"/>
      <c r="B741" s="520"/>
      <c r="C741" s="423" t="s">
        <v>11043</v>
      </c>
      <c r="D741" s="1005"/>
      <c r="E741" s="9"/>
      <c r="F741" s="800" t="str">
        <f>IF(Noty!F741="","",Noty!F741)</f>
        <v/>
      </c>
      <c r="G741" s="800" t="str">
        <f>IF(Noty!G741="","",Noty!G741)</f>
        <v/>
      </c>
      <c r="H741" s="800" t="str">
        <f>IF(Noty!H741="","",Noty!H741)</f>
        <v/>
      </c>
      <c r="I741" s="800" t="str">
        <f>IF(Noty!I741="","",Noty!I741)</f>
        <v/>
      </c>
      <c r="J741" s="499" t="str">
        <f>Noty!J741</f>
        <v>ukryj</v>
      </c>
      <c r="K741" s="489"/>
      <c r="L741" s="200"/>
    </row>
    <row r="742" spans="1:14" s="242" customFormat="1" ht="15.05" customHeight="1" x14ac:dyDescent="0.25">
      <c r="A742" s="509"/>
      <c r="B742" s="520"/>
      <c r="C742" s="388" t="s">
        <v>9287</v>
      </c>
      <c r="D742" s="1005"/>
      <c r="E742" s="9"/>
      <c r="F742" s="803">
        <f>IF(Noty!F742="","",Noty!F742)</f>
        <v>0</v>
      </c>
      <c r="G742" s="803">
        <f>IF(Noty!G742="","",Noty!G742)</f>
        <v>0</v>
      </c>
      <c r="H742" s="803">
        <f>IF(Noty!H742="","",Noty!H742)</f>
        <v>0</v>
      </c>
      <c r="I742" s="803">
        <f>IF(Noty!I742="","",Noty!I742)</f>
        <v>0</v>
      </c>
      <c r="J742" s="499" t="str">
        <f>Noty!J742</f>
        <v>ukryj</v>
      </c>
      <c r="K742" s="489"/>
      <c r="L742" s="200"/>
    </row>
    <row r="743" spans="1:14" s="242" customFormat="1" x14ac:dyDescent="0.25">
      <c r="A743" s="509"/>
      <c r="B743" s="520"/>
      <c r="C743" s="1470" t="s">
        <v>11044</v>
      </c>
      <c r="D743" s="1470"/>
      <c r="E743" s="1470"/>
      <c r="F743" s="680"/>
      <c r="G743" s="680"/>
      <c r="H743" s="681" t="s">
        <v>11045</v>
      </c>
      <c r="I743" s="681" t="s">
        <v>11045</v>
      </c>
      <c r="J743" s="499" t="str">
        <f>Noty!J743</f>
        <v>ukryj</v>
      </c>
      <c r="K743" s="489"/>
      <c r="L743" s="200"/>
    </row>
    <row r="744" spans="1:14" s="242" customFormat="1" ht="29.3" customHeight="1" x14ac:dyDescent="0.25">
      <c r="A744" s="509"/>
      <c r="B744" s="520"/>
      <c r="C744" s="992" t="s">
        <v>11046</v>
      </c>
      <c r="D744" s="1006"/>
      <c r="E744" s="1006"/>
      <c r="F744" s="803">
        <f>IF(Noty!F744="","",Noty!F744)</f>
        <v>0</v>
      </c>
      <c r="G744" s="803">
        <f>IF(Noty!G744="","",Noty!G744)</f>
        <v>0</v>
      </c>
      <c r="H744" s="803">
        <f>IF(Noty!H744="","",Noty!H744)</f>
        <v>0</v>
      </c>
      <c r="I744" s="803">
        <f>IF(Noty!I744="","",Noty!I744)</f>
        <v>0</v>
      </c>
      <c r="J744" s="499" t="str">
        <f>Noty!J744</f>
        <v>ukryj</v>
      </c>
      <c r="K744" s="489"/>
      <c r="L744" s="200"/>
    </row>
    <row r="745" spans="1:14" s="242" customFormat="1" ht="15.05" customHeight="1" x14ac:dyDescent="0.25">
      <c r="A745" s="509"/>
      <c r="B745" s="520"/>
      <c r="C745" s="423" t="s">
        <v>11047</v>
      </c>
      <c r="D745" s="1005"/>
      <c r="E745" s="9"/>
      <c r="F745" s="1007"/>
      <c r="G745" s="1007"/>
      <c r="H745" s="1103" t="str">
        <f>IF(Noty!H745="","",Noty!H745)</f>
        <v/>
      </c>
      <c r="I745" s="1103" t="str">
        <f>IF(Noty!I745="","",Noty!I745)</f>
        <v/>
      </c>
      <c r="J745" s="499" t="str">
        <f>Noty!J745</f>
        <v>ukryj</v>
      </c>
      <c r="K745" s="489"/>
      <c r="L745" s="200"/>
    </row>
    <row r="746" spans="1:14" s="242" customFormat="1" ht="15.05" customHeight="1" x14ac:dyDescent="0.25">
      <c r="A746" s="509"/>
      <c r="B746" s="520"/>
      <c r="C746" s="422" t="s">
        <v>11048</v>
      </c>
      <c r="D746" s="1005"/>
      <c r="E746" s="9"/>
      <c r="F746" s="1007"/>
      <c r="G746" s="1007"/>
      <c r="H746" s="803">
        <f>IF(Noty!H746="","",Noty!H746)</f>
        <v>0</v>
      </c>
      <c r="I746" s="803">
        <f>IF(Noty!I746="","",Noty!I746)</f>
        <v>0</v>
      </c>
      <c r="J746" s="499" t="str">
        <f>Noty!J746</f>
        <v>ukryj</v>
      </c>
      <c r="K746" s="489"/>
      <c r="L746" s="200"/>
    </row>
    <row r="747" spans="1:14" s="242" customFormat="1" ht="15.05" customHeight="1" thickBot="1" x14ac:dyDescent="0.3">
      <c r="A747" s="509"/>
      <c r="B747" s="520"/>
      <c r="C747" s="416"/>
      <c r="D747" s="416"/>
      <c r="E747" s="196"/>
      <c r="F747" s="196"/>
      <c r="G747" s="196"/>
      <c r="H747" s="196"/>
      <c r="I747" s="196"/>
      <c r="J747" s="499" t="str">
        <f>Noty!J747</f>
        <v>ukryj</v>
      </c>
      <c r="K747" s="489"/>
      <c r="L747" s="200"/>
    </row>
    <row r="748" spans="1:14" s="242" customFormat="1" ht="16.399999999999999" thickTop="1" thickBot="1" x14ac:dyDescent="0.35">
      <c r="A748" s="1180">
        <f>IF(K748="n/a",A734,A734+ 1)</f>
        <v>1</v>
      </c>
      <c r="B748" s="1182"/>
      <c r="C748" s="1387" t="s">
        <v>11049</v>
      </c>
      <c r="D748" s="1387"/>
      <c r="E748" s="1387"/>
      <c r="F748" s="1387"/>
      <c r="G748" s="1387"/>
      <c r="H748" s="1387"/>
      <c r="I748" s="1387"/>
      <c r="J748" s="499" t="str">
        <f>Noty!J748</f>
        <v>ukryj</v>
      </c>
      <c r="K748" s="585" t="str">
        <f>IF(Input!D135="nie","n/a","")</f>
        <v>n/a</v>
      </c>
      <c r="L748" s="188" t="str">
        <f>A748&amp;"."&amp;B748</f>
        <v>1.</v>
      </c>
      <c r="N748" s="1101" t="s">
        <v>9378</v>
      </c>
    </row>
    <row r="749" spans="1:14" s="242" customFormat="1" ht="13.75" thickTop="1" x14ac:dyDescent="0.25">
      <c r="A749" s="508"/>
      <c r="B749" s="520"/>
      <c r="C749" s="424"/>
      <c r="D749" s="195"/>
      <c r="E749" s="682"/>
      <c r="F749" s="682"/>
      <c r="G749" s="682"/>
      <c r="H749" s="683"/>
      <c r="I749" s="683"/>
      <c r="J749" s="499" t="str">
        <f>Noty!J749</f>
        <v>ukryj</v>
      </c>
      <c r="K749" s="489"/>
      <c r="L749" s="188"/>
      <c r="N749" s="488"/>
    </row>
    <row r="750" spans="1:14" s="242" customFormat="1" x14ac:dyDescent="0.25">
      <c r="A750" s="508"/>
      <c r="B750" s="520"/>
      <c r="C750" s="423" t="s">
        <v>11050</v>
      </c>
      <c r="D750" s="195"/>
      <c r="E750" s="682"/>
      <c r="F750" s="682"/>
      <c r="G750" s="682"/>
      <c r="H750" s="612"/>
      <c r="I750" s="612"/>
      <c r="J750" s="499" t="str">
        <f>Noty!J750</f>
        <v>ukryj</v>
      </c>
      <c r="K750" s="489"/>
      <c r="L750" s="188"/>
      <c r="N750" s="488"/>
    </row>
    <row r="751" spans="1:14" s="242" customFormat="1" x14ac:dyDescent="0.25">
      <c r="A751" s="508"/>
      <c r="B751" s="520"/>
      <c r="C751" s="423"/>
      <c r="D751" s="195"/>
      <c r="E751" s="682"/>
      <c r="F751" s="682"/>
      <c r="G751" s="682"/>
      <c r="H751" s="612"/>
      <c r="I751" s="612"/>
      <c r="J751" s="499" t="str">
        <f>Noty!J751</f>
        <v>ukryj</v>
      </c>
      <c r="K751" s="489"/>
      <c r="L751" s="188"/>
      <c r="N751" s="488"/>
    </row>
    <row r="752" spans="1:14" s="242" customFormat="1" x14ac:dyDescent="0.25">
      <c r="A752" s="508"/>
      <c r="B752" s="520"/>
      <c r="C752" s="423"/>
      <c r="D752" s="195"/>
      <c r="E752" s="682"/>
      <c r="F752" s="682"/>
      <c r="G752" s="685"/>
      <c r="H752" s="999" t="str">
        <f>IF(Noty!H752="","",Noty!H752)</f>
        <v>31.12.2020</v>
      </c>
      <c r="I752" s="999" t="str">
        <f>IF(Noty!I752="","",Noty!I752)</f>
        <v>31.12.2019</v>
      </c>
      <c r="J752" s="499" t="str">
        <f>Noty!J752</f>
        <v>ukryj</v>
      </c>
      <c r="K752" s="489"/>
      <c r="L752" s="188"/>
      <c r="N752" s="488"/>
    </row>
    <row r="753" spans="1:14" s="242" customFormat="1" x14ac:dyDescent="0.25">
      <c r="A753" s="508"/>
      <c r="B753" s="520"/>
      <c r="C753" s="423"/>
      <c r="D753" s="195"/>
      <c r="E753" s="682"/>
      <c r="F753" s="682"/>
      <c r="G753" s="682"/>
      <c r="H753" s="683"/>
      <c r="I753" s="683"/>
      <c r="J753" s="499" t="str">
        <f>Noty!J753</f>
        <v>ukryj</v>
      </c>
      <c r="K753" s="489"/>
      <c r="L753" s="188"/>
      <c r="N753" s="488"/>
    </row>
    <row r="754" spans="1:14" s="242" customFormat="1" x14ac:dyDescent="0.25">
      <c r="A754" s="508"/>
      <c r="B754" s="520"/>
      <c r="C754" s="976" t="s">
        <v>11051</v>
      </c>
      <c r="D754" s="684"/>
      <c r="E754" s="685"/>
      <c r="F754" s="685"/>
      <c r="G754" s="685"/>
      <c r="H754" s="686"/>
      <c r="I754" s="686"/>
      <c r="J754" s="499" t="str">
        <f>Noty!J754</f>
        <v>ukryj</v>
      </c>
      <c r="K754" s="489"/>
      <c r="L754" s="188"/>
      <c r="N754" s="488"/>
    </row>
    <row r="755" spans="1:14" s="242" customFormat="1" x14ac:dyDescent="0.25">
      <c r="A755" s="508"/>
      <c r="B755" s="520"/>
      <c r="C755" s="976" t="s">
        <v>11052</v>
      </c>
      <c r="D755" s="684"/>
      <c r="E755" s="685"/>
      <c r="F755" s="685"/>
      <c r="G755" s="685"/>
      <c r="H755" s="800" t="str">
        <f>IF(Noty!H755="","",Noty!H755)</f>
        <v/>
      </c>
      <c r="I755" s="800" t="str">
        <f>IF(Noty!I755="","",Noty!I755)</f>
        <v/>
      </c>
      <c r="J755" s="499" t="str">
        <f>Noty!J755</f>
        <v>ukryj</v>
      </c>
      <c r="K755" s="489"/>
      <c r="L755" s="188"/>
      <c r="N755" s="488"/>
    </row>
    <row r="756" spans="1:14" s="242" customFormat="1" x14ac:dyDescent="0.25">
      <c r="A756" s="508"/>
      <c r="B756" s="520"/>
      <c r="C756" s="976" t="s">
        <v>11053</v>
      </c>
      <c r="D756" s="684"/>
      <c r="E756" s="685"/>
      <c r="F756" s="685"/>
      <c r="G756" s="685"/>
      <c r="H756" s="800" t="str">
        <f>IF(Noty!H756="","",Noty!H756)</f>
        <v/>
      </c>
      <c r="I756" s="800" t="str">
        <f>IF(Noty!I756="","",Noty!I756)</f>
        <v/>
      </c>
      <c r="J756" s="499" t="str">
        <f>Noty!J756</f>
        <v>ukryj</v>
      </c>
      <c r="K756" s="489"/>
      <c r="L756" s="188"/>
      <c r="N756" s="488"/>
    </row>
    <row r="757" spans="1:14" s="242" customFormat="1" x14ac:dyDescent="0.25">
      <c r="A757" s="508"/>
      <c r="B757" s="520"/>
      <c r="C757" s="423"/>
      <c r="D757" s="195"/>
      <c r="E757" s="682"/>
      <c r="F757" s="682"/>
      <c r="G757" s="685"/>
      <c r="H757" s="803">
        <f>IF(Noty!H757="","",Noty!H757)</f>
        <v>0</v>
      </c>
      <c r="I757" s="803">
        <f>IF(Noty!I757="","",Noty!I757)</f>
        <v>0</v>
      </c>
      <c r="J757" s="499" t="str">
        <f>Noty!J757</f>
        <v>ukryj</v>
      </c>
      <c r="K757" s="489"/>
      <c r="L757" s="188"/>
      <c r="N757" s="488"/>
    </row>
    <row r="758" spans="1:14" s="242" customFormat="1" x14ac:dyDescent="0.25">
      <c r="A758" s="508"/>
      <c r="B758" s="520"/>
      <c r="C758" s="423"/>
      <c r="D758" s="195"/>
      <c r="E758" s="682"/>
      <c r="F758" s="682"/>
      <c r="G758" s="682"/>
      <c r="H758" s="191"/>
      <c r="I758" s="191"/>
      <c r="J758" s="499" t="str">
        <f>Noty!J758</f>
        <v>ukryj</v>
      </c>
      <c r="K758" s="489"/>
      <c r="L758" s="188"/>
      <c r="N758" s="488"/>
    </row>
    <row r="759" spans="1:14" s="242" customFormat="1" x14ac:dyDescent="0.25">
      <c r="A759" s="508"/>
      <c r="B759" s="520"/>
      <c r="C759" s="423" t="s">
        <v>11054</v>
      </c>
      <c r="D759" s="195"/>
      <c r="E759" s="682"/>
      <c r="F759" s="682"/>
      <c r="G759" s="682"/>
      <c r="H759" s="683"/>
      <c r="I759" s="683"/>
      <c r="J759" s="499" t="str">
        <f>Noty!J759</f>
        <v>ukryj</v>
      </c>
      <c r="K759" s="489"/>
      <c r="L759" s="188"/>
      <c r="N759" s="488"/>
    </row>
    <row r="760" spans="1:14" s="242" customFormat="1" x14ac:dyDescent="0.25">
      <c r="A760" s="508"/>
      <c r="B760" s="520"/>
      <c r="C760" s="423"/>
      <c r="D760" s="195"/>
      <c r="E760" s="682"/>
      <c r="F760" s="682"/>
      <c r="G760" s="682"/>
      <c r="H760" s="683"/>
      <c r="I760" s="683"/>
      <c r="J760" s="499" t="str">
        <f>Noty!J760</f>
        <v>ukryj</v>
      </c>
      <c r="K760" s="489"/>
      <c r="L760" s="188"/>
      <c r="N760" s="488"/>
    </row>
    <row r="761" spans="1:14" s="242" customFormat="1" x14ac:dyDescent="0.25">
      <c r="A761" s="508"/>
      <c r="B761" s="520"/>
      <c r="C761" s="423"/>
      <c r="D761" s="195"/>
      <c r="E761" s="682"/>
      <c r="F761" s="682"/>
      <c r="G761" s="685"/>
      <c r="H761" s="999" t="str">
        <f>IF(Noty!H761="","",Noty!H761)</f>
        <v>31.12.2020</v>
      </c>
      <c r="I761" s="999" t="str">
        <f>IF(Noty!I761="","",Noty!I761)</f>
        <v>31.12.2019</v>
      </c>
      <c r="J761" s="499" t="str">
        <f>Noty!J761</f>
        <v>ukryj</v>
      </c>
      <c r="K761" s="489"/>
      <c r="L761" s="188"/>
      <c r="N761" s="488"/>
    </row>
    <row r="762" spans="1:14" s="242" customFormat="1" x14ac:dyDescent="0.25">
      <c r="A762" s="508"/>
      <c r="B762" s="520"/>
      <c r="C762" s="423"/>
      <c r="D762" s="195"/>
      <c r="E762" s="682"/>
      <c r="F762" s="682"/>
      <c r="G762" s="682"/>
      <c r="H762" s="966"/>
      <c r="I762" s="966"/>
      <c r="J762" s="499" t="str">
        <f>Noty!J762</f>
        <v>ukryj</v>
      </c>
      <c r="K762" s="489"/>
      <c r="L762" s="188"/>
      <c r="N762" s="488"/>
    </row>
    <row r="763" spans="1:14" s="242" customFormat="1" x14ac:dyDescent="0.25">
      <c r="A763" s="508"/>
      <c r="B763" s="520"/>
      <c r="C763" s="977" t="s">
        <v>11055</v>
      </c>
      <c r="D763" s="684"/>
      <c r="E763" s="685"/>
      <c r="F763" s="685"/>
      <c r="G763" s="685"/>
      <c r="H763" s="687"/>
      <c r="I763" s="687"/>
      <c r="J763" s="499" t="str">
        <f>Noty!J763</f>
        <v>ukryj</v>
      </c>
      <c r="K763" s="489"/>
      <c r="L763" s="188"/>
      <c r="N763" s="488"/>
    </row>
    <row r="764" spans="1:14" s="242" customFormat="1" x14ac:dyDescent="0.25">
      <c r="A764" s="508"/>
      <c r="B764" s="520"/>
      <c r="C764" s="977" t="s">
        <v>11052</v>
      </c>
      <c r="D764" s="684"/>
      <c r="E764" s="685"/>
      <c r="F764" s="685"/>
      <c r="G764" s="685"/>
      <c r="H764" s="800" t="str">
        <f>IF(Noty!H764="","",Noty!H764)</f>
        <v/>
      </c>
      <c r="I764" s="800" t="str">
        <f>IF(Noty!I764="","",Noty!I764)</f>
        <v/>
      </c>
      <c r="J764" s="499" t="str">
        <f>Noty!J764</f>
        <v>ukryj</v>
      </c>
      <c r="K764" s="489"/>
      <c r="L764" s="188"/>
      <c r="N764" s="488"/>
    </row>
    <row r="765" spans="1:14" s="242" customFormat="1" x14ac:dyDescent="0.25">
      <c r="A765" s="508"/>
      <c r="B765" s="520"/>
      <c r="C765" s="977" t="s">
        <v>11053</v>
      </c>
      <c r="D765" s="684"/>
      <c r="E765" s="685"/>
      <c r="F765" s="685"/>
      <c r="G765" s="685"/>
      <c r="H765" s="800" t="str">
        <f>IF(Noty!H765="","",Noty!H765)</f>
        <v/>
      </c>
      <c r="I765" s="800" t="str">
        <f>IF(Noty!I765="","",Noty!I765)</f>
        <v/>
      </c>
      <c r="J765" s="499" t="str">
        <f>Noty!J765</f>
        <v>ukryj</v>
      </c>
      <c r="K765" s="489"/>
      <c r="L765" s="188"/>
      <c r="N765" s="488"/>
    </row>
    <row r="766" spans="1:14" s="242" customFormat="1" x14ac:dyDescent="0.25">
      <c r="A766" s="508"/>
      <c r="B766" s="520"/>
      <c r="C766" s="424"/>
      <c r="D766" s="195"/>
      <c r="E766" s="682"/>
      <c r="F766" s="682"/>
      <c r="G766" s="685"/>
      <c r="H766" s="803">
        <f>IF(Noty!H766="","",Noty!H766)</f>
        <v>0</v>
      </c>
      <c r="I766" s="803">
        <f>IF(Noty!I766="","",Noty!I766)</f>
        <v>0</v>
      </c>
      <c r="J766" s="499" t="str">
        <f>Noty!J766</f>
        <v>ukryj</v>
      </c>
      <c r="K766" s="489"/>
      <c r="L766" s="188"/>
      <c r="N766" s="488"/>
    </row>
    <row r="767" spans="1:14" s="242" customFormat="1" ht="15.05" customHeight="1" thickBot="1" x14ac:dyDescent="0.3">
      <c r="A767" s="508"/>
      <c r="B767" s="520"/>
      <c r="C767" s="424"/>
      <c r="D767" s="195"/>
      <c r="E767" s="196"/>
      <c r="F767" s="196"/>
      <c r="G767" s="196"/>
      <c r="H767" s="196"/>
      <c r="I767" s="196"/>
      <c r="J767" s="499" t="str">
        <f>Noty!J767</f>
        <v>ukryj</v>
      </c>
      <c r="K767" s="489"/>
    </row>
    <row r="768" spans="1:14" s="242" customFormat="1" ht="16.399999999999999" thickTop="1" thickBot="1" x14ac:dyDescent="0.35">
      <c r="A768" s="1180">
        <f>IF(K768="n/a",A748,A748+ 1)</f>
        <v>1</v>
      </c>
      <c r="B768" s="1182"/>
      <c r="C768" s="1388" t="s">
        <v>8493</v>
      </c>
      <c r="D768" s="1388"/>
      <c r="E768" s="1388"/>
      <c r="F768" s="1388"/>
      <c r="G768" s="1388"/>
      <c r="H768" s="1388"/>
      <c r="I768" s="1388"/>
      <c r="J768" s="499" t="str">
        <f>Noty!J768</f>
        <v>ukryj</v>
      </c>
      <c r="K768" s="585" t="str">
        <f>Noty!K768</f>
        <v>n/a</v>
      </c>
      <c r="L768" s="496" t="str">
        <f>A768&amp;"."&amp;B768</f>
        <v>1.</v>
      </c>
      <c r="N768" s="1101" t="s">
        <v>9378</v>
      </c>
    </row>
    <row r="769" spans="1:14" s="242" customFormat="1" ht="15.05" customHeight="1" thickTop="1" thickBot="1" x14ac:dyDescent="0.3">
      <c r="A769" s="508"/>
      <c r="B769" s="520"/>
      <c r="C769" s="195"/>
      <c r="D769" s="195"/>
      <c r="E769" s="196"/>
      <c r="F769" s="196"/>
      <c r="G769" s="196"/>
      <c r="H769" s="196"/>
      <c r="I769" s="196"/>
      <c r="J769" s="499" t="str">
        <f>Noty!J769</f>
        <v>ukryj</v>
      </c>
      <c r="K769" s="489"/>
      <c r="L769" s="200"/>
    </row>
    <row r="770" spans="1:14" s="242" customFormat="1" ht="15.05" customHeight="1" thickTop="1" thickBot="1" x14ac:dyDescent="0.35">
      <c r="A770" s="1183">
        <f>A768</f>
        <v>1</v>
      </c>
      <c r="B770" s="1184">
        <f>IF(K770="n/a",0,1)</f>
        <v>0</v>
      </c>
      <c r="C770" s="1389" t="s">
        <v>11056</v>
      </c>
      <c r="D770" s="1389"/>
      <c r="E770" s="1389"/>
      <c r="F770" s="1389"/>
      <c r="G770" s="1389"/>
      <c r="H770" s="1389"/>
      <c r="I770" s="1389"/>
      <c r="J770" s="499" t="str">
        <f>Noty!J770</f>
        <v>ukryj</v>
      </c>
      <c r="K770" s="585" t="str">
        <f>Noty!K770</f>
        <v>n/a</v>
      </c>
      <c r="L770" s="496" t="str">
        <f>A770&amp;"."&amp;B770</f>
        <v>1.0</v>
      </c>
      <c r="N770" s="1101" t="s">
        <v>9378</v>
      </c>
    </row>
    <row r="771" spans="1:14" s="242" customFormat="1" ht="15.05" customHeight="1" thickTop="1" x14ac:dyDescent="0.25">
      <c r="A771" s="508"/>
      <c r="B771" s="520"/>
      <c r="C771" s="1386"/>
      <c r="D771" s="1386"/>
      <c r="E771" s="1386"/>
      <c r="F771" s="200"/>
      <c r="G771" s="9"/>
      <c r="H771" s="999" t="str">
        <f>IF(Noty!H771="","",Noty!H771)</f>
        <v>31.12.2020</v>
      </c>
      <c r="I771" s="1000" t="str">
        <f>IF(Noty!I771="","",Noty!I771)</f>
        <v>31.12.2019</v>
      </c>
      <c r="J771" s="499" t="str">
        <f>Noty!J771</f>
        <v>ukryj</v>
      </c>
      <c r="K771" s="489"/>
      <c r="L771" s="200"/>
    </row>
    <row r="772" spans="1:14" s="242" customFormat="1" ht="15.05" customHeight="1" x14ac:dyDescent="0.25">
      <c r="A772" s="508"/>
      <c r="B772" s="520"/>
      <c r="C772" s="1386"/>
      <c r="D772" s="1386"/>
      <c r="E772" s="1386"/>
      <c r="F772" s="200"/>
      <c r="G772" s="200"/>
      <c r="H772" s="200"/>
      <c r="I772" s="200"/>
      <c r="J772" s="499" t="str">
        <f>Noty!J772</f>
        <v>ukryj</v>
      </c>
      <c r="K772" s="489"/>
      <c r="L772" s="200"/>
    </row>
    <row r="773" spans="1:14" s="242" customFormat="1" ht="15.05" customHeight="1" x14ac:dyDescent="0.25">
      <c r="A773" s="508"/>
      <c r="B773" s="520"/>
      <c r="C773" s="1392"/>
      <c r="D773" s="1392"/>
      <c r="E773" s="1392"/>
      <c r="F773" s="1392"/>
      <c r="G773" s="1008"/>
      <c r="H773" s="800" t="str">
        <f>IF(Noty!H773="","",Noty!H773)</f>
        <v/>
      </c>
      <c r="I773" s="800" t="str">
        <f>IF(Noty!I773="","",Noty!I773)</f>
        <v/>
      </c>
      <c r="J773" s="499" t="str">
        <f>Noty!J773</f>
        <v>ukryj</v>
      </c>
      <c r="K773" s="489"/>
      <c r="L773" s="200"/>
    </row>
    <row r="774" spans="1:14" s="242" customFormat="1" ht="15.05" customHeight="1" x14ac:dyDescent="0.25">
      <c r="A774" s="508"/>
      <c r="B774" s="520"/>
      <c r="C774" s="1392"/>
      <c r="D774" s="1392"/>
      <c r="E774" s="1392"/>
      <c r="F774" s="1392"/>
      <c r="G774" s="1008"/>
      <c r="H774" s="1103" t="str">
        <f>IF(Noty!H774="","",Noty!H774)</f>
        <v/>
      </c>
      <c r="I774" s="1103" t="str">
        <f>IF(Noty!I774="","",Noty!I774)</f>
        <v/>
      </c>
      <c r="J774" s="499" t="str">
        <f>Noty!J774</f>
        <v>ukryj</v>
      </c>
      <c r="K774" s="489"/>
      <c r="L774" s="200"/>
    </row>
    <row r="775" spans="1:14" s="242" customFormat="1" ht="15.05" customHeight="1" x14ac:dyDescent="0.25">
      <c r="A775" s="508"/>
      <c r="B775" s="520"/>
      <c r="C775" s="1392"/>
      <c r="D775" s="1392"/>
      <c r="E775" s="1392"/>
      <c r="F775" s="1392"/>
      <c r="G775" s="1008"/>
      <c r="H775" s="1103" t="str">
        <f>IF(Noty!H775="","",Noty!H775)</f>
        <v/>
      </c>
      <c r="I775" s="1103" t="str">
        <f>IF(Noty!I775="","",Noty!I775)</f>
        <v/>
      </c>
      <c r="J775" s="499" t="str">
        <f>Noty!J775</f>
        <v>ukryj</v>
      </c>
      <c r="K775" s="489"/>
      <c r="L775" s="200"/>
    </row>
    <row r="776" spans="1:14" s="242" customFormat="1" ht="15.05" customHeight="1" x14ac:dyDescent="0.25">
      <c r="A776" s="508"/>
      <c r="B776" s="520"/>
      <c r="C776" s="1392"/>
      <c r="D776" s="1392"/>
      <c r="E776" s="1392"/>
      <c r="F776" s="1392"/>
      <c r="G776" s="1008"/>
      <c r="H776" s="1103" t="str">
        <f>IF(Noty!H776="","",Noty!H776)</f>
        <v/>
      </c>
      <c r="I776" s="1103" t="str">
        <f>IF(Noty!I776="","",Noty!I776)</f>
        <v/>
      </c>
      <c r="J776" s="499" t="str">
        <f>Noty!J776</f>
        <v>ukryj</v>
      </c>
      <c r="K776" s="489"/>
      <c r="L776" s="200"/>
    </row>
    <row r="777" spans="1:14" s="242" customFormat="1" ht="15.05" customHeight="1" x14ac:dyDescent="0.25">
      <c r="A777" s="508"/>
      <c r="B777" s="520"/>
      <c r="C777" s="1392"/>
      <c r="D777" s="1392"/>
      <c r="E777" s="1392"/>
      <c r="F777" s="1392"/>
      <c r="G777" s="1008"/>
      <c r="H777" s="1103" t="str">
        <f>IF(Noty!H777="","",Noty!H777)</f>
        <v/>
      </c>
      <c r="I777" s="1103" t="str">
        <f>IF(Noty!I777="","",Noty!I777)</f>
        <v/>
      </c>
      <c r="J777" s="499" t="str">
        <f>Noty!J777</f>
        <v>ukryj</v>
      </c>
      <c r="K777" s="489"/>
      <c r="L777" s="200"/>
    </row>
    <row r="778" spans="1:14" s="242" customFormat="1" ht="15.05" customHeight="1" x14ac:dyDescent="0.25">
      <c r="A778" s="508"/>
      <c r="B778" s="520"/>
      <c r="C778" s="425"/>
      <c r="D778" s="688"/>
      <c r="E778" s="688"/>
      <c r="F778" s="688"/>
      <c r="G778" s="251"/>
      <c r="H778" s="803">
        <f>IF(Noty!H778="","",Noty!H778)</f>
        <v>0</v>
      </c>
      <c r="I778" s="803">
        <f>IF(Noty!I778="","",Noty!I778)</f>
        <v>0</v>
      </c>
      <c r="J778" s="499" t="str">
        <f>Noty!J778</f>
        <v>ukryj</v>
      </c>
      <c r="K778" s="489"/>
      <c r="L778" s="200"/>
    </row>
    <row r="779" spans="1:14" s="242" customFormat="1" ht="15.05" customHeight="1" thickBot="1" x14ac:dyDescent="0.3">
      <c r="A779" s="508"/>
      <c r="B779" s="520"/>
      <c r="C779" s="425"/>
      <c r="D779" s="688"/>
      <c r="E779" s="688"/>
      <c r="F779" s="688"/>
      <c r="G779" s="196"/>
      <c r="H779" s="191"/>
      <c r="I779" s="191"/>
      <c r="J779" s="499" t="str">
        <f>Noty!J779</f>
        <v>ukryj</v>
      </c>
      <c r="K779" s="489"/>
      <c r="L779" s="496"/>
    </row>
    <row r="780" spans="1:14" s="242" customFormat="1" ht="15.05" customHeight="1" thickTop="1" thickBot="1" x14ac:dyDescent="0.35">
      <c r="A780" s="1183">
        <f>A768</f>
        <v>1</v>
      </c>
      <c r="B780" s="1184">
        <f>+IF(K780="n/a",B770,B770+1)</f>
        <v>0</v>
      </c>
      <c r="C780" s="1468" t="s">
        <v>11057</v>
      </c>
      <c r="D780" s="1468"/>
      <c r="E780" s="1468"/>
      <c r="F780" s="1468"/>
      <c r="G780" s="1468"/>
      <c r="H780" s="1468"/>
      <c r="I780" s="1468"/>
      <c r="J780" s="499" t="str">
        <f>Noty!J780</f>
        <v>ukryj</v>
      </c>
      <c r="K780" s="585" t="str">
        <f>Noty!K780</f>
        <v>n/a</v>
      </c>
      <c r="L780" s="496" t="str">
        <f>A780&amp;"."&amp;B780</f>
        <v>1.0</v>
      </c>
      <c r="N780" s="1101" t="s">
        <v>9378</v>
      </c>
    </row>
    <row r="781" spans="1:14" s="242" customFormat="1" ht="15.05" customHeight="1" thickTop="1" x14ac:dyDescent="0.25">
      <c r="A781" s="508"/>
      <c r="B781" s="520"/>
      <c r="C781" s="1386"/>
      <c r="D781" s="1386"/>
      <c r="E781" s="1386"/>
      <c r="F781" s="200"/>
      <c r="G781" s="9"/>
      <c r="H781" s="999" t="str">
        <f>IF(Noty!H781="","",Noty!H781)</f>
        <v>31.12.2020</v>
      </c>
      <c r="I781" s="1000" t="str">
        <f>IF(Noty!I781="","",Noty!I781)</f>
        <v>31.12.2019</v>
      </c>
      <c r="J781" s="499" t="str">
        <f>Noty!J781</f>
        <v>ukryj</v>
      </c>
      <c r="K781" s="489"/>
      <c r="L781" s="200"/>
    </row>
    <row r="782" spans="1:14" s="242" customFormat="1" ht="15.05" customHeight="1" x14ac:dyDescent="0.25">
      <c r="A782" s="508"/>
      <c r="B782" s="520"/>
      <c r="C782" s="1386"/>
      <c r="D782" s="1386"/>
      <c r="E782" s="1386"/>
      <c r="F782" s="200"/>
      <c r="G782" s="200"/>
      <c r="H782" s="200"/>
      <c r="I782" s="200"/>
      <c r="J782" s="499" t="str">
        <f>Noty!J782</f>
        <v>ukryj</v>
      </c>
      <c r="K782" s="489"/>
      <c r="L782" s="200"/>
    </row>
    <row r="783" spans="1:14" s="242" customFormat="1" ht="15.05" customHeight="1" x14ac:dyDescent="0.25">
      <c r="A783" s="508"/>
      <c r="B783" s="520"/>
      <c r="C783" s="1392"/>
      <c r="D783" s="1392"/>
      <c r="E783" s="1392"/>
      <c r="F783" s="1392"/>
      <c r="G783" s="1008"/>
      <c r="H783" s="800" t="str">
        <f>IF(Noty!H783="","",Noty!H783)</f>
        <v/>
      </c>
      <c r="I783" s="800" t="str">
        <f>IF(Noty!I783="","",Noty!I783)</f>
        <v/>
      </c>
      <c r="J783" s="499" t="str">
        <f>Noty!J783</f>
        <v>ukryj</v>
      </c>
      <c r="K783" s="489"/>
      <c r="L783" s="200"/>
    </row>
    <row r="784" spans="1:14" s="242" customFormat="1" ht="15.05" customHeight="1" x14ac:dyDescent="0.25">
      <c r="A784" s="508"/>
      <c r="B784" s="520"/>
      <c r="C784" s="1392"/>
      <c r="D784" s="1392"/>
      <c r="E784" s="1392"/>
      <c r="F784" s="1392"/>
      <c r="G784" s="1008"/>
      <c r="H784" s="1103" t="str">
        <f>IF(Noty!H784="","",Noty!H784)</f>
        <v/>
      </c>
      <c r="I784" s="1103" t="str">
        <f>IF(Noty!I784="","",Noty!I784)</f>
        <v/>
      </c>
      <c r="J784" s="499" t="str">
        <f>Noty!J784</f>
        <v>ukryj</v>
      </c>
      <c r="K784" s="489"/>
      <c r="L784" s="200"/>
    </row>
    <row r="785" spans="1:14" s="242" customFormat="1" ht="15.05" customHeight="1" x14ac:dyDescent="0.25">
      <c r="A785" s="508"/>
      <c r="B785" s="520"/>
      <c r="C785" s="1392"/>
      <c r="D785" s="1392"/>
      <c r="E785" s="1392"/>
      <c r="F785" s="1392"/>
      <c r="G785" s="1008"/>
      <c r="H785" s="1103" t="str">
        <f>IF(Noty!H785="","",Noty!H785)</f>
        <v/>
      </c>
      <c r="I785" s="1103" t="str">
        <f>IF(Noty!I785="","",Noty!I785)</f>
        <v/>
      </c>
      <c r="J785" s="499" t="str">
        <f>Noty!J785</f>
        <v>ukryj</v>
      </c>
      <c r="K785" s="489"/>
      <c r="L785" s="200"/>
    </row>
    <row r="786" spans="1:14" s="242" customFormat="1" ht="15.05" customHeight="1" x14ac:dyDescent="0.25">
      <c r="A786" s="508"/>
      <c r="B786" s="520"/>
      <c r="C786" s="1392"/>
      <c r="D786" s="1392"/>
      <c r="E786" s="1392"/>
      <c r="F786" s="1392"/>
      <c r="G786" s="1008"/>
      <c r="H786" s="1103" t="str">
        <f>IF(Noty!H786="","",Noty!H786)</f>
        <v/>
      </c>
      <c r="I786" s="1103" t="str">
        <f>IF(Noty!I786="","",Noty!I786)</f>
        <v/>
      </c>
      <c r="J786" s="499" t="str">
        <f>Noty!J786</f>
        <v>ukryj</v>
      </c>
      <c r="K786" s="489"/>
      <c r="L786" s="200"/>
    </row>
    <row r="787" spans="1:14" s="242" customFormat="1" ht="15.05" customHeight="1" x14ac:dyDescent="0.25">
      <c r="A787" s="508"/>
      <c r="B787" s="520"/>
      <c r="C787" s="1392"/>
      <c r="D787" s="1392"/>
      <c r="E787" s="1392"/>
      <c r="F787" s="1392"/>
      <c r="G787" s="1008"/>
      <c r="H787" s="1103" t="str">
        <f>IF(Noty!H787="","",Noty!H787)</f>
        <v/>
      </c>
      <c r="I787" s="1103" t="str">
        <f>IF(Noty!I787="","",Noty!I787)</f>
        <v/>
      </c>
      <c r="J787" s="499" t="str">
        <f>Noty!J787</f>
        <v>ukryj</v>
      </c>
      <c r="K787" s="489"/>
      <c r="L787" s="200"/>
    </row>
    <row r="788" spans="1:14" s="242" customFormat="1" ht="15.05" customHeight="1" x14ac:dyDescent="0.25">
      <c r="A788" s="508"/>
      <c r="B788" s="520"/>
      <c r="C788" s="538"/>
      <c r="D788" s="538"/>
      <c r="E788" s="200"/>
      <c r="F788" s="200"/>
      <c r="G788" s="9"/>
      <c r="H788" s="803">
        <f>IF(Noty!H788="","",Noty!H788)</f>
        <v>0</v>
      </c>
      <c r="I788" s="803">
        <f>IF(Noty!I788="","",Noty!I788)</f>
        <v>0</v>
      </c>
      <c r="J788" s="499" t="str">
        <f>Noty!J788</f>
        <v>ukryj</v>
      </c>
      <c r="K788" s="489"/>
      <c r="L788" s="200"/>
    </row>
    <row r="789" spans="1:14" s="242" customFormat="1" ht="15.05" customHeight="1" x14ac:dyDescent="0.25">
      <c r="A789" s="489"/>
      <c r="B789" s="520"/>
      <c r="C789" s="378"/>
      <c r="D789" s="378"/>
      <c r="E789" s="196"/>
      <c r="F789" s="196"/>
      <c r="G789" s="196"/>
      <c r="H789" s="581"/>
      <c r="I789" s="581"/>
      <c r="J789" s="499" t="str">
        <f>Noty!J789</f>
        <v>ukryj</v>
      </c>
      <c r="K789" s="489"/>
      <c r="L789" s="200"/>
    </row>
    <row r="790" spans="1:14" s="242" customFormat="1" ht="15.05" customHeight="1" x14ac:dyDescent="0.25">
      <c r="A790" s="508"/>
      <c r="B790" s="520"/>
      <c r="C790" s="1382" t="s">
        <v>11058</v>
      </c>
      <c r="D790" s="1382"/>
      <c r="E790" s="1382"/>
      <c r="F790" s="1382"/>
      <c r="G790" s="1382"/>
      <c r="H790" s="1382"/>
      <c r="I790" s="1382"/>
      <c r="J790" s="499" t="str">
        <f>Noty!J790</f>
        <v>ukryj</v>
      </c>
      <c r="K790" s="489"/>
      <c r="L790" s="200"/>
    </row>
    <row r="791" spans="1:14" s="242" customFormat="1" ht="15.05" customHeight="1" thickBot="1" x14ac:dyDescent="0.3">
      <c r="A791" s="508"/>
      <c r="B791" s="520"/>
      <c r="C791" s="195"/>
      <c r="D791" s="195"/>
      <c r="E791" s="196"/>
      <c r="F791" s="196"/>
      <c r="G791" s="196"/>
      <c r="H791" s="196"/>
      <c r="I791" s="196"/>
      <c r="J791" s="499" t="str">
        <f>Noty!J791</f>
        <v>ukryj</v>
      </c>
      <c r="K791" s="489"/>
      <c r="L791" s="496"/>
    </row>
    <row r="792" spans="1:14" s="242" customFormat="1" ht="16.399999999999999" thickTop="1" thickBot="1" x14ac:dyDescent="0.35">
      <c r="A792" s="1180">
        <f>IF(K792="n/a",A780,A780+1)</f>
        <v>1</v>
      </c>
      <c r="B792" s="1182"/>
      <c r="C792" s="1387" t="s">
        <v>11059</v>
      </c>
      <c r="D792" s="1387"/>
      <c r="E792" s="1387"/>
      <c r="F792" s="1387"/>
      <c r="G792" s="1387"/>
      <c r="H792" s="1387"/>
      <c r="I792" s="1387"/>
      <c r="J792" s="499" t="str">
        <f>Noty!J792</f>
        <v>ukryj</v>
      </c>
      <c r="K792" s="585" t="str">
        <f>Noty!K792</f>
        <v>n/a</v>
      </c>
      <c r="L792" s="188" t="str">
        <f>A792&amp;"."&amp;B792</f>
        <v>1.</v>
      </c>
      <c r="N792" s="1101" t="s">
        <v>9378</v>
      </c>
    </row>
    <row r="793" spans="1:14" s="242" customFormat="1" ht="15.05" customHeight="1" thickTop="1" thickBot="1" x14ac:dyDescent="0.3">
      <c r="A793" s="508"/>
      <c r="B793" s="520"/>
      <c r="C793" s="424"/>
      <c r="D793" s="195"/>
      <c r="E793" s="196"/>
      <c r="F793" s="196"/>
      <c r="G793" s="196"/>
      <c r="H793" s="196"/>
      <c r="I793" s="196"/>
      <c r="J793" s="499" t="str">
        <f>Noty!J793</f>
        <v>ukryj</v>
      </c>
      <c r="K793" s="489"/>
    </row>
    <row r="794" spans="1:14" s="242" customFormat="1" ht="16.399999999999999" thickTop="1" thickBot="1" x14ac:dyDescent="0.35">
      <c r="A794" s="1183">
        <f>A792</f>
        <v>1</v>
      </c>
      <c r="B794" s="1184">
        <f>IF(K794="n/a",0,1)</f>
        <v>0</v>
      </c>
      <c r="C794" s="1282" t="s">
        <v>11060</v>
      </c>
      <c r="D794" s="1282"/>
      <c r="E794" s="1282"/>
      <c r="F794" s="1282"/>
      <c r="G794" s="1282"/>
      <c r="H794" s="1282"/>
      <c r="I794" s="1282"/>
      <c r="J794" s="499" t="str">
        <f>Noty!J794</f>
        <v>ukryj</v>
      </c>
      <c r="K794" s="585" t="str">
        <f>Noty!K794</f>
        <v>n/a</v>
      </c>
      <c r="L794" s="188" t="str">
        <f>A794&amp;"."&amp;B794</f>
        <v>1.0</v>
      </c>
      <c r="N794" s="1101" t="s">
        <v>9378</v>
      </c>
    </row>
    <row r="795" spans="1:14" s="242" customFormat="1" ht="15.05" customHeight="1" thickTop="1" x14ac:dyDescent="0.25">
      <c r="A795" s="513"/>
      <c r="B795" s="523"/>
      <c r="C795" s="426"/>
      <c r="D795" s="195"/>
      <c r="E795" s="196"/>
      <c r="F795" s="196"/>
      <c r="G795" s="196"/>
      <c r="H795" s="196"/>
      <c r="I795" s="196"/>
      <c r="J795" s="499" t="str">
        <f>Noty!J795</f>
        <v>ukryj</v>
      </c>
      <c r="K795" s="489"/>
    </row>
    <row r="796" spans="1:14" s="242" customFormat="1" ht="15.05" customHeight="1" x14ac:dyDescent="0.25">
      <c r="A796" s="513"/>
      <c r="B796" s="523"/>
      <c r="C796" s="1382" t="s">
        <v>11061</v>
      </c>
      <c r="D796" s="1382"/>
      <c r="E796" s="1382"/>
      <c r="F796" s="1382"/>
      <c r="G796" s="1382"/>
      <c r="H796" s="1382"/>
      <c r="I796" s="1382"/>
      <c r="J796" s="499" t="str">
        <f>Noty!J796</f>
        <v>ukryj</v>
      </c>
      <c r="K796" s="489"/>
    </row>
    <row r="797" spans="1:14" s="242" customFormat="1" ht="15.05" customHeight="1" thickBot="1" x14ac:dyDescent="0.3">
      <c r="A797" s="513"/>
      <c r="B797" s="523"/>
      <c r="C797" s="426"/>
      <c r="D797" s="195"/>
      <c r="E797" s="196"/>
      <c r="F797" s="196"/>
      <c r="G797" s="196"/>
      <c r="H797" s="196"/>
      <c r="I797" s="196"/>
      <c r="J797" s="499" t="str">
        <f>Noty!J797</f>
        <v>ukryj</v>
      </c>
      <c r="K797" s="489"/>
      <c r="L797" s="579"/>
    </row>
    <row r="798" spans="1:14" s="242" customFormat="1" ht="34.549999999999997" customHeight="1" thickTop="1" thickBot="1" x14ac:dyDescent="0.35">
      <c r="A798" s="1183">
        <f>A792</f>
        <v>1</v>
      </c>
      <c r="B798" s="1184">
        <f>+IF(K798="n/a",B794,B794+1)</f>
        <v>0</v>
      </c>
      <c r="C798" s="1282" t="s">
        <v>11062</v>
      </c>
      <c r="D798" s="1282"/>
      <c r="E798" s="1282"/>
      <c r="F798" s="1282"/>
      <c r="G798" s="1282"/>
      <c r="H798" s="1282"/>
      <c r="I798" s="1282"/>
      <c r="J798" s="499" t="str">
        <f>Noty!J798</f>
        <v>ukryj</v>
      </c>
      <c r="K798" s="585" t="str">
        <f>Noty!K798</f>
        <v>n/a</v>
      </c>
      <c r="L798" s="188" t="str">
        <f>A798&amp;"."&amp;B798</f>
        <v>1.0</v>
      </c>
      <c r="N798" s="1101" t="s">
        <v>9378</v>
      </c>
    </row>
    <row r="799" spans="1:14" s="242" customFormat="1" ht="15.05" customHeight="1" thickTop="1" x14ac:dyDescent="0.25">
      <c r="A799" s="508"/>
      <c r="B799" s="520"/>
      <c r="C799" s="424"/>
      <c r="D799" s="195"/>
      <c r="E799" s="196"/>
      <c r="F799" s="196"/>
      <c r="G799" s="196"/>
      <c r="H799" s="196"/>
      <c r="I799" s="196"/>
      <c r="J799" s="499" t="str">
        <f>Noty!J799</f>
        <v>ukryj</v>
      </c>
      <c r="K799" s="489"/>
    </row>
    <row r="800" spans="1:14" s="242" customFormat="1" ht="15.05" customHeight="1" x14ac:dyDescent="0.25">
      <c r="A800" s="508"/>
      <c r="B800" s="520"/>
      <c r="C800" s="543" t="s">
        <v>11063</v>
      </c>
      <c r="D800" s="195"/>
      <c r="E800" s="689" t="s">
        <v>11064</v>
      </c>
      <c r="F800" s="1395" t="s">
        <v>11065</v>
      </c>
      <c r="G800" s="1395"/>
      <c r="H800" s="1395"/>
      <c r="I800" s="1395"/>
      <c r="J800" s="499" t="str">
        <f>Noty!J800</f>
        <v>ukryj</v>
      </c>
      <c r="K800" s="489"/>
    </row>
    <row r="801" spans="1:14" s="242" customFormat="1" ht="28.5" customHeight="1" x14ac:dyDescent="0.25">
      <c r="A801" s="508"/>
      <c r="B801" s="520"/>
      <c r="C801" s="424"/>
      <c r="D801" s="195"/>
      <c r="E801" s="825"/>
      <c r="F801" s="1396" t="s">
        <v>11066</v>
      </c>
      <c r="G801" s="1396"/>
      <c r="H801" s="1396" t="s">
        <v>10987</v>
      </c>
      <c r="I801" s="1396"/>
      <c r="J801" s="499" t="str">
        <f>Noty!J801</f>
        <v>ukryj</v>
      </c>
      <c r="K801" s="489"/>
    </row>
    <row r="802" spans="1:14" s="242" customFormat="1" ht="15.05" customHeight="1" x14ac:dyDescent="0.25">
      <c r="A802" s="508"/>
      <c r="B802" s="520"/>
      <c r="C802" s="1393"/>
      <c r="D802" s="1393"/>
      <c r="E802" s="1103" t="str">
        <f>IF(Noty!E802="","",Noty!E802)</f>
        <v/>
      </c>
      <c r="F802" s="1512" t="str">
        <f>IF(Noty!F802="","",Noty!F802)</f>
        <v/>
      </c>
      <c r="G802" s="1394"/>
      <c r="H802" s="1512" t="str">
        <f>IF(Noty!H802="","",Noty!H802)</f>
        <v/>
      </c>
      <c r="I802" s="1394"/>
      <c r="J802" s="499" t="str">
        <f>Noty!J802</f>
        <v>ukryj</v>
      </c>
      <c r="K802" s="489"/>
    </row>
    <row r="803" spans="1:14" s="242" customFormat="1" ht="15.05" customHeight="1" x14ac:dyDescent="0.25">
      <c r="A803" s="508"/>
      <c r="B803" s="520"/>
      <c r="C803" s="1393"/>
      <c r="D803" s="1393"/>
      <c r="E803" s="1103" t="str">
        <f>IF(Noty!E803="","",Noty!E803)</f>
        <v/>
      </c>
      <c r="F803" s="1487" t="str">
        <f>IF(Noty!F803="","",Noty!F803)</f>
        <v/>
      </c>
      <c r="G803" s="1298"/>
      <c r="H803" s="1487" t="str">
        <f>IF(Noty!H803="","",Noty!H803)</f>
        <v/>
      </c>
      <c r="I803" s="1298"/>
      <c r="J803" s="499" t="str">
        <f>Noty!J803</f>
        <v>ukryj</v>
      </c>
      <c r="K803" s="489"/>
    </row>
    <row r="804" spans="1:14" s="242" customFormat="1" ht="15.05" customHeight="1" x14ac:dyDescent="0.25">
      <c r="A804" s="508"/>
      <c r="B804" s="520"/>
      <c r="C804" s="1393"/>
      <c r="D804" s="1393"/>
      <c r="E804" s="1103" t="str">
        <f>IF(Noty!E804="","",Noty!E804)</f>
        <v/>
      </c>
      <c r="F804" s="1487" t="str">
        <f>IF(Noty!F804="","",Noty!F804)</f>
        <v/>
      </c>
      <c r="G804" s="1298"/>
      <c r="H804" s="1487" t="str">
        <f>IF(Noty!H804="","",Noty!H804)</f>
        <v/>
      </c>
      <c r="I804" s="1298"/>
      <c r="J804" s="499" t="str">
        <f>Noty!J804</f>
        <v>ukryj</v>
      </c>
      <c r="K804" s="489"/>
    </row>
    <row r="805" spans="1:14" s="242" customFormat="1" ht="15.05" customHeight="1" x14ac:dyDescent="0.25">
      <c r="A805" s="508"/>
      <c r="B805" s="520"/>
      <c r="C805" s="1393"/>
      <c r="D805" s="1393"/>
      <c r="E805" s="1103" t="str">
        <f>IF(Noty!E805="","",Noty!E805)</f>
        <v/>
      </c>
      <c r="F805" s="1487" t="str">
        <f>IF(Noty!F805="","",Noty!F805)</f>
        <v/>
      </c>
      <c r="G805" s="1298"/>
      <c r="H805" s="1487" t="str">
        <f>IF(Noty!H805="","",Noty!H805)</f>
        <v/>
      </c>
      <c r="I805" s="1298"/>
      <c r="J805" s="499" t="str">
        <f>Noty!J805</f>
        <v>ukryj</v>
      </c>
      <c r="K805" s="489"/>
    </row>
    <row r="806" spans="1:14" s="242" customFormat="1" ht="15.05" customHeight="1" x14ac:dyDescent="0.25">
      <c r="A806" s="508"/>
      <c r="B806" s="520"/>
      <c r="C806" s="1393"/>
      <c r="D806" s="1393"/>
      <c r="E806" s="1103" t="str">
        <f>IF(Noty!E806="","",Noty!E806)</f>
        <v/>
      </c>
      <c r="F806" s="1501" t="str">
        <f>IF(Noty!F806="","",Noty!F806)</f>
        <v/>
      </c>
      <c r="G806" s="1301"/>
      <c r="H806" s="1501" t="str">
        <f>IF(Noty!H806="","",Noty!H806)</f>
        <v/>
      </c>
      <c r="I806" s="1301"/>
      <c r="J806" s="499" t="str">
        <f>Noty!J806</f>
        <v>ukryj</v>
      </c>
      <c r="K806" s="489"/>
    </row>
    <row r="807" spans="1:14" s="242" customFormat="1" ht="15.05" customHeight="1" x14ac:dyDescent="0.25">
      <c r="A807" s="508"/>
      <c r="B807" s="520"/>
      <c r="C807" s="195"/>
      <c r="D807" s="195"/>
      <c r="E807" s="803">
        <f>IF(Noty!E807="","",Noty!E807)</f>
        <v>0</v>
      </c>
      <c r="F807" s="1300">
        <f>IF(Noty!F807="","",Noty!F807)</f>
        <v>0</v>
      </c>
      <c r="G807" s="1300"/>
      <c r="H807" s="1300">
        <f>IF(Noty!H807="","",Noty!H807)</f>
        <v>0</v>
      </c>
      <c r="I807" s="1300"/>
      <c r="J807" s="499" t="str">
        <f>Noty!J807</f>
        <v>ukryj</v>
      </c>
      <c r="K807" s="489"/>
    </row>
    <row r="808" spans="1:14" s="242" customFormat="1" ht="15.05" customHeight="1" thickBot="1" x14ac:dyDescent="0.3">
      <c r="A808" s="508"/>
      <c r="B808" s="520"/>
      <c r="C808" s="424"/>
      <c r="D808" s="195"/>
      <c r="E808" s="196"/>
      <c r="F808" s="196"/>
      <c r="G808" s="196"/>
      <c r="H808" s="196"/>
      <c r="I808" s="196"/>
      <c r="J808" s="499" t="str">
        <f>Noty!J808</f>
        <v>ukryj</v>
      </c>
      <c r="K808" s="489"/>
      <c r="L808" s="579"/>
    </row>
    <row r="809" spans="1:14" s="242" customFormat="1" ht="15.05" customHeight="1" thickTop="1" thickBot="1" x14ac:dyDescent="0.35">
      <c r="A809" s="1183">
        <f>A792</f>
        <v>1</v>
      </c>
      <c r="B809" s="1184">
        <f>+IF(K809="n/a",B798,B798+1)</f>
        <v>0</v>
      </c>
      <c r="C809" s="1282" t="s">
        <v>11067</v>
      </c>
      <c r="D809" s="1282"/>
      <c r="E809" s="1282"/>
      <c r="F809" s="1282"/>
      <c r="G809" s="1282"/>
      <c r="H809" s="1282"/>
      <c r="I809" s="1282"/>
      <c r="J809" s="499" t="str">
        <f>Noty!J809</f>
        <v>ukryj</v>
      </c>
      <c r="K809" s="585" t="str">
        <f>Noty!K809</f>
        <v>n/a</v>
      </c>
      <c r="L809" s="188" t="str">
        <f>A809&amp;"."&amp;B809</f>
        <v>1.0</v>
      </c>
      <c r="N809" s="1101" t="s">
        <v>9378</v>
      </c>
    </row>
    <row r="810" spans="1:14" s="242" customFormat="1" ht="15.05" customHeight="1" thickTop="1" x14ac:dyDescent="0.25">
      <c r="A810" s="513"/>
      <c r="B810" s="523"/>
      <c r="C810" s="426"/>
      <c r="D810" s="195"/>
      <c r="E810" s="196"/>
      <c r="F810" s="196"/>
      <c r="G810" s="196"/>
      <c r="H810" s="196"/>
      <c r="I810" s="196"/>
      <c r="J810" s="499" t="str">
        <f>Noty!J810</f>
        <v>ukryj</v>
      </c>
      <c r="K810" s="489"/>
    </row>
    <row r="811" spans="1:14" s="242" customFormat="1" ht="25.55" customHeight="1" x14ac:dyDescent="0.25">
      <c r="A811" s="513"/>
      <c r="B811" s="523"/>
      <c r="C811" s="426"/>
      <c r="D811" s="195"/>
      <c r="E811" s="196"/>
      <c r="F811" s="196"/>
      <c r="G811" s="251"/>
      <c r="H811" s="1009" t="str">
        <f>IF(Noty!H811="","",Noty!H811)</f>
        <v>01.01.2020 -31.12.2020</v>
      </c>
      <c r="I811" s="999" t="str">
        <f>IF(Noty!I811="","",Noty!I811)</f>
        <v>01.01.2019 -31.12.2019</v>
      </c>
      <c r="J811" s="499" t="str">
        <f>Noty!J811</f>
        <v>ukryj</v>
      </c>
      <c r="K811" s="489"/>
    </row>
    <row r="812" spans="1:14" s="242" customFormat="1" x14ac:dyDescent="0.25">
      <c r="A812" s="508"/>
      <c r="B812" s="520"/>
      <c r="C812" s="1308" t="s">
        <v>11068</v>
      </c>
      <c r="D812" s="1308"/>
      <c r="E812" s="1308"/>
      <c r="F812" s="1308"/>
      <c r="G812" s="995"/>
      <c r="H812" s="800">
        <f>IF(Noty!H812="","",Noty!H812)</f>
        <v>0</v>
      </c>
      <c r="I812" s="800" t="str">
        <f>IF(Noty!I812="","",Noty!I812)</f>
        <v/>
      </c>
      <c r="J812" s="499" t="str">
        <f>Noty!J812</f>
        <v>ukryj</v>
      </c>
      <c r="K812" s="489"/>
    </row>
    <row r="813" spans="1:14" s="242" customFormat="1" ht="15.05" customHeight="1" x14ac:dyDescent="0.25">
      <c r="A813" s="508"/>
      <c r="B813" s="520"/>
      <c r="C813" s="257" t="s">
        <v>11069</v>
      </c>
      <c r="D813" s="202"/>
      <c r="E813" s="612"/>
      <c r="F813" s="822"/>
      <c r="G813" s="200"/>
      <c r="H813" s="544"/>
      <c r="I813" s="544"/>
      <c r="J813" s="499" t="str">
        <f>Noty!J813</f>
        <v>ukryj</v>
      </c>
      <c r="K813" s="489"/>
    </row>
    <row r="814" spans="1:14" s="242" customFormat="1" ht="15.75" customHeight="1" x14ac:dyDescent="0.25">
      <c r="A814" s="508"/>
      <c r="B814" s="520"/>
      <c r="C814" s="806" t="s">
        <v>11070</v>
      </c>
      <c r="D814" s="651"/>
      <c r="E814" s="612"/>
      <c r="F814" s="822"/>
      <c r="G814" s="9"/>
      <c r="H814" s="800">
        <f>IF(Noty!H814="","",Noty!H814)</f>
        <v>0</v>
      </c>
      <c r="I814" s="800">
        <f>IF(Noty!I814="","",Noty!I814)</f>
        <v>0</v>
      </c>
      <c r="J814" s="499" t="str">
        <f>Noty!J814</f>
        <v>ukryj</v>
      </c>
      <c r="K814" s="489"/>
    </row>
    <row r="815" spans="1:14" s="242" customFormat="1" ht="15.05" customHeight="1" x14ac:dyDescent="0.25">
      <c r="A815" s="508"/>
      <c r="B815" s="520"/>
      <c r="C815" s="546"/>
      <c r="D815" s="581"/>
      <c r="E815" s="612"/>
      <c r="F815" s="651"/>
      <c r="G815" s="9"/>
      <c r="H815" s="800" t="str">
        <f>IF(Noty!H815="","",Noty!H815)</f>
        <v/>
      </c>
      <c r="I815" s="800" t="str">
        <f>IF(Noty!I815="","",Noty!I815)</f>
        <v/>
      </c>
      <c r="J815" s="499" t="str">
        <f>Noty!J815</f>
        <v>ukryj</v>
      </c>
      <c r="K815" s="489"/>
    </row>
    <row r="816" spans="1:14" s="242" customFormat="1" ht="15.75" customHeight="1" x14ac:dyDescent="0.25">
      <c r="A816" s="508"/>
      <c r="B816" s="520"/>
      <c r="C816" s="806" t="s">
        <v>11071</v>
      </c>
      <c r="D816" s="651"/>
      <c r="E816" s="612"/>
      <c r="F816" s="822"/>
      <c r="G816" s="9"/>
      <c r="H816" s="800">
        <f>IF(Noty!H816="","",Noty!H816)</f>
        <v>0</v>
      </c>
      <c r="I816" s="800">
        <f>IF(Noty!I816="","",Noty!I816)</f>
        <v>0</v>
      </c>
      <c r="J816" s="499" t="str">
        <f>Noty!J816</f>
        <v>ukryj</v>
      </c>
      <c r="K816" s="489"/>
    </row>
    <row r="817" spans="1:14" s="242" customFormat="1" ht="15.05" customHeight="1" x14ac:dyDescent="0.25">
      <c r="A817" s="508"/>
      <c r="B817" s="520"/>
      <c r="C817" s="546"/>
      <c r="D817" s="581"/>
      <c r="E817" s="612"/>
      <c r="F817" s="651"/>
      <c r="G817" s="9"/>
      <c r="H817" s="800" t="str">
        <f>IF(Noty!H817="","",Noty!H817)</f>
        <v/>
      </c>
      <c r="I817" s="800" t="str">
        <f>IF(Noty!I817="","",Noty!I817)</f>
        <v/>
      </c>
      <c r="J817" s="499" t="str">
        <f>Noty!J817</f>
        <v>ukryj</v>
      </c>
      <c r="K817" s="489"/>
    </row>
    <row r="818" spans="1:14" s="242" customFormat="1" x14ac:dyDescent="0.25">
      <c r="A818" s="508"/>
      <c r="B818" s="520"/>
      <c r="C818" s="1308" t="s">
        <v>11072</v>
      </c>
      <c r="D818" s="1308"/>
      <c r="E818" s="1308"/>
      <c r="F818" s="1308"/>
      <c r="G818" s="995"/>
      <c r="H818" s="803">
        <f>IF(Noty!H818="","",Noty!H818)</f>
        <v>0</v>
      </c>
      <c r="I818" s="803">
        <f>IF(Noty!I818="","",Noty!I818)</f>
        <v>0</v>
      </c>
      <c r="J818" s="499" t="str">
        <f>Noty!J818</f>
        <v>ukryj</v>
      </c>
      <c r="K818" s="489"/>
    </row>
    <row r="819" spans="1:14" s="242" customFormat="1" ht="15.05" customHeight="1" thickBot="1" x14ac:dyDescent="0.3">
      <c r="A819" s="508"/>
      <c r="B819" s="520"/>
      <c r="C819" s="195"/>
      <c r="D819" s="195"/>
      <c r="E819" s="196"/>
      <c r="F819" s="196"/>
      <c r="G819" s="196"/>
      <c r="H819" s="196"/>
      <c r="I819" s="196"/>
      <c r="J819" s="499" t="str">
        <f>Noty!J819</f>
        <v>ukryj</v>
      </c>
      <c r="K819" s="489"/>
      <c r="L819" s="579"/>
    </row>
    <row r="820" spans="1:14" s="228" customFormat="1" ht="15.75" customHeight="1" thickTop="1" thickBot="1" x14ac:dyDescent="0.35">
      <c r="A820" s="1180">
        <f>IF(K820="n/a",A809,A809+1)</f>
        <v>1</v>
      </c>
      <c r="B820" s="1187"/>
      <c r="C820" s="1471" t="s">
        <v>7882</v>
      </c>
      <c r="D820" s="1471"/>
      <c r="E820" s="1471"/>
      <c r="F820" s="1471"/>
      <c r="G820" s="1471"/>
      <c r="H820" s="1471"/>
      <c r="I820" s="1471"/>
      <c r="J820" s="499" t="str">
        <f>Noty!J820</f>
        <v>ukryj</v>
      </c>
      <c r="K820" s="585" t="str">
        <f>Noty!K820</f>
        <v>n/a</v>
      </c>
      <c r="L820" s="196" t="str">
        <f>A820&amp;"."&amp;B820</f>
        <v>1.</v>
      </c>
      <c r="N820" s="1101" t="s">
        <v>9378</v>
      </c>
    </row>
    <row r="821" spans="1:14" s="228" customFormat="1" ht="15.05" customHeight="1" thickTop="1" thickBot="1" x14ac:dyDescent="0.3">
      <c r="B821" s="428"/>
      <c r="C821" s="429"/>
      <c r="D821" s="634"/>
      <c r="E821" s="690"/>
      <c r="F821" s="690"/>
      <c r="G821" s="690"/>
      <c r="H821" s="690"/>
      <c r="I821" s="690"/>
      <c r="J821" s="499" t="str">
        <f>Noty!J821</f>
        <v>ukryj</v>
      </c>
      <c r="K821" s="489"/>
    </row>
    <row r="822" spans="1:14" s="228" customFormat="1" ht="14.25" customHeight="1" thickTop="1" thickBot="1" x14ac:dyDescent="0.35">
      <c r="A822" s="1183">
        <f>A820</f>
        <v>1</v>
      </c>
      <c r="B822" s="1184">
        <f>IF(K822="n/a",0,1)</f>
        <v>0</v>
      </c>
      <c r="C822" s="1462" t="s">
        <v>11073</v>
      </c>
      <c r="D822" s="1462"/>
      <c r="E822" s="1462"/>
      <c r="F822" s="1462"/>
      <c r="G822" s="1462"/>
      <c r="H822" s="1462"/>
      <c r="I822" s="1462"/>
      <c r="J822" s="499" t="str">
        <f>Noty!J822</f>
        <v>ukryj</v>
      </c>
      <c r="K822" s="585" t="str">
        <f>Noty!K822</f>
        <v>n/a</v>
      </c>
      <c r="L822" s="196" t="str">
        <f>A822&amp;"."&amp;B822</f>
        <v>1.0</v>
      </c>
      <c r="N822" s="1101" t="s">
        <v>9378</v>
      </c>
    </row>
    <row r="823" spans="1:14" s="228" customFormat="1" ht="14.25" customHeight="1" thickTop="1" x14ac:dyDescent="0.25">
      <c r="B823" s="428"/>
      <c r="C823" s="428"/>
      <c r="D823" s="691"/>
      <c r="E823" s="691"/>
      <c r="F823" s="691"/>
      <c r="G823" s="690"/>
      <c r="H823" s="690"/>
      <c r="I823" s="690"/>
      <c r="J823" s="499" t="str">
        <f>Noty!J823</f>
        <v>ukryj</v>
      </c>
      <c r="K823" s="489"/>
    </row>
    <row r="824" spans="1:14" s="226" customFormat="1" ht="25.55" customHeight="1" x14ac:dyDescent="0.25">
      <c r="A824" s="228"/>
      <c r="B824" s="428"/>
      <c r="C824" s="547" t="s">
        <v>11074</v>
      </c>
      <c r="D824" s="692"/>
      <c r="E824" s="692"/>
      <c r="F824" s="692"/>
      <c r="G824" s="1010"/>
      <c r="H824" s="999" t="str">
        <f>IF(Noty!H824="","",Noty!H824)</f>
        <v>31.12.2020</v>
      </c>
      <c r="I824" s="1000" t="str">
        <f>IF(Noty!I824="","",Noty!I824)</f>
        <v>31.12.2019</v>
      </c>
      <c r="J824" s="499" t="str">
        <f>Noty!J824</f>
        <v>ukryj</v>
      </c>
      <c r="K824" s="489"/>
    </row>
    <row r="825" spans="1:14" s="228" customFormat="1" ht="15.05" customHeight="1" x14ac:dyDescent="0.25">
      <c r="B825" s="428"/>
      <c r="C825" s="431" t="s">
        <v>11075</v>
      </c>
      <c r="D825" s="634"/>
      <c r="E825" s="634"/>
      <c r="F825" s="634"/>
      <c r="G825" s="762"/>
      <c r="H825" s="800">
        <f>IF(Noty!H825="","",Noty!H825)</f>
        <v>0</v>
      </c>
      <c r="I825" s="800">
        <f>IF(Noty!I825="","",Noty!I825)</f>
        <v>0</v>
      </c>
      <c r="J825" s="499" t="str">
        <f>Noty!J825</f>
        <v>ukryj</v>
      </c>
      <c r="K825" s="489"/>
    </row>
    <row r="826" spans="1:14" s="228" customFormat="1" ht="15.05" customHeight="1" x14ac:dyDescent="0.25">
      <c r="B826" s="428"/>
      <c r="C826" s="432"/>
      <c r="D826" s="762"/>
      <c r="E826" s="762"/>
      <c r="F826" s="762"/>
      <c r="G826" s="762"/>
      <c r="H826" s="800" t="str">
        <f>IF(Noty!H826="","",Noty!H826)</f>
        <v/>
      </c>
      <c r="I826" s="800" t="str">
        <f>IF(Noty!I826="","",Noty!I826)</f>
        <v/>
      </c>
      <c r="J826" s="499" t="str">
        <f>Noty!J826</f>
        <v>ukryj</v>
      </c>
      <c r="K826" s="489"/>
    </row>
    <row r="827" spans="1:14" s="228" customFormat="1" ht="15.05" customHeight="1" x14ac:dyDescent="0.25">
      <c r="B827" s="428"/>
      <c r="C827" s="433"/>
      <c r="D827" s="762"/>
      <c r="E827" s="762"/>
      <c r="F827" s="762"/>
      <c r="G827" s="762"/>
      <c r="H827" s="1103" t="str">
        <f>IF(Noty!H827="","",Noty!H827)</f>
        <v/>
      </c>
      <c r="I827" s="1103" t="str">
        <f>IF(Noty!I827="","",Noty!I827)</f>
        <v/>
      </c>
      <c r="J827" s="499" t="str">
        <f>Noty!J827</f>
        <v>ukryj</v>
      </c>
      <c r="K827" s="489"/>
    </row>
    <row r="828" spans="1:14" s="228" customFormat="1" ht="15.05" customHeight="1" x14ac:dyDescent="0.25">
      <c r="B828" s="428"/>
      <c r="C828" s="433"/>
      <c r="D828" s="762"/>
      <c r="E828" s="762"/>
      <c r="F828" s="762"/>
      <c r="G828" s="762"/>
      <c r="H828" s="1103" t="str">
        <f>IF(Noty!H828="","",Noty!H828)</f>
        <v/>
      </c>
      <c r="I828" s="1103" t="str">
        <f>IF(Noty!I828="","",Noty!I828)</f>
        <v/>
      </c>
      <c r="J828" s="499" t="str">
        <f>Noty!J828</f>
        <v>ukryj</v>
      </c>
      <c r="K828" s="489"/>
    </row>
    <row r="829" spans="1:14" s="228" customFormat="1" ht="15.05" customHeight="1" x14ac:dyDescent="0.25">
      <c r="B829" s="428"/>
      <c r="C829" s="431" t="s">
        <v>11076</v>
      </c>
      <c r="D829" s="634"/>
      <c r="E829" s="634"/>
      <c r="F829" s="634"/>
      <c r="G829" s="762"/>
      <c r="H829" s="800">
        <f>IF(Noty!H829="","",Noty!H829)</f>
        <v>0</v>
      </c>
      <c r="I829" s="800">
        <f>IF(Noty!I829="","",Noty!I829)</f>
        <v>0</v>
      </c>
      <c r="J829" s="499" t="str">
        <f>Noty!J829</f>
        <v>ukryj</v>
      </c>
      <c r="K829" s="489"/>
    </row>
    <row r="830" spans="1:14" s="228" customFormat="1" ht="15.05" customHeight="1" x14ac:dyDescent="0.25">
      <c r="B830" s="428"/>
      <c r="C830" s="433"/>
      <c r="D830" s="762"/>
      <c r="E830" s="762"/>
      <c r="F830" s="762"/>
      <c r="G830" s="762"/>
      <c r="H830" s="800" t="str">
        <f>IF(Noty!H830="","",Noty!H830)</f>
        <v/>
      </c>
      <c r="I830" s="800" t="str">
        <f>IF(Noty!I830="","",Noty!I830)</f>
        <v/>
      </c>
      <c r="J830" s="499" t="str">
        <f>Noty!J830</f>
        <v>ukryj</v>
      </c>
      <c r="K830" s="489"/>
    </row>
    <row r="831" spans="1:14" s="228" customFormat="1" ht="15.05" customHeight="1" x14ac:dyDescent="0.25">
      <c r="B831" s="428"/>
      <c r="C831" s="433"/>
      <c r="D831" s="762"/>
      <c r="E831" s="762"/>
      <c r="F831" s="762"/>
      <c r="G831" s="762"/>
      <c r="H831" s="1103" t="str">
        <f>IF(Noty!H831="","",Noty!H831)</f>
        <v/>
      </c>
      <c r="I831" s="1103" t="str">
        <f>IF(Noty!I831="","",Noty!I831)</f>
        <v/>
      </c>
      <c r="J831" s="499" t="str">
        <f>Noty!J831</f>
        <v>ukryj</v>
      </c>
      <c r="K831" s="489"/>
    </row>
    <row r="832" spans="1:14" s="228" customFormat="1" ht="15.05" customHeight="1" x14ac:dyDescent="0.25">
      <c r="B832" s="428"/>
      <c r="C832" s="433"/>
      <c r="D832" s="762"/>
      <c r="E832" s="762"/>
      <c r="F832" s="762"/>
      <c r="G832" s="762"/>
      <c r="H832" s="1103" t="str">
        <f>IF(Noty!H832="","",Noty!H832)</f>
        <v/>
      </c>
      <c r="I832" s="1103" t="str">
        <f>IF(Noty!I832="","",Noty!I832)</f>
        <v/>
      </c>
      <c r="J832" s="499" t="str">
        <f>Noty!J832</f>
        <v>ukryj</v>
      </c>
      <c r="K832" s="489"/>
    </row>
    <row r="833" spans="1:14" s="228" customFormat="1" ht="15.05" customHeight="1" x14ac:dyDescent="0.25">
      <c r="B833" s="428"/>
      <c r="C833" s="431" t="s">
        <v>11077</v>
      </c>
      <c r="D833" s="634"/>
      <c r="E833" s="634"/>
      <c r="F833" s="634"/>
      <c r="G833" s="762"/>
      <c r="H833" s="800">
        <f>IF(Noty!H833="","",Noty!H833)</f>
        <v>0</v>
      </c>
      <c r="I833" s="800">
        <f>IF(Noty!I833="","",Noty!I833)</f>
        <v>0</v>
      </c>
      <c r="J833" s="499" t="str">
        <f>Noty!J833</f>
        <v>ukryj</v>
      </c>
      <c r="K833" s="489"/>
    </row>
    <row r="834" spans="1:14" s="228" customFormat="1" ht="15.05" customHeight="1" x14ac:dyDescent="0.25">
      <c r="B834" s="428"/>
      <c r="C834" s="433"/>
      <c r="D834" s="762"/>
      <c r="E834" s="762"/>
      <c r="F834" s="762"/>
      <c r="G834" s="762"/>
      <c r="H834" s="800" t="str">
        <f>IF(Noty!H834="","",Noty!H834)</f>
        <v/>
      </c>
      <c r="I834" s="800" t="str">
        <f>IF(Noty!I834="","",Noty!I834)</f>
        <v/>
      </c>
      <c r="J834" s="499" t="str">
        <f>Noty!J834</f>
        <v>ukryj</v>
      </c>
      <c r="K834" s="489"/>
    </row>
    <row r="835" spans="1:14" s="228" customFormat="1" ht="15.05" customHeight="1" x14ac:dyDescent="0.25">
      <c r="B835" s="428"/>
      <c r="C835" s="433"/>
      <c r="D835" s="762"/>
      <c r="E835" s="762"/>
      <c r="F835" s="762"/>
      <c r="G835" s="762"/>
      <c r="H835" s="1103" t="str">
        <f>IF(Noty!H835="","",Noty!H835)</f>
        <v/>
      </c>
      <c r="I835" s="1103" t="str">
        <f>IF(Noty!I835="","",Noty!I835)</f>
        <v/>
      </c>
      <c r="J835" s="499" t="str">
        <f>Noty!J835</f>
        <v>ukryj</v>
      </c>
      <c r="K835" s="489"/>
    </row>
    <row r="836" spans="1:14" s="228" customFormat="1" ht="15.05" customHeight="1" x14ac:dyDescent="0.25">
      <c r="B836" s="428"/>
      <c r="C836" s="433"/>
      <c r="D836" s="762"/>
      <c r="E836" s="762"/>
      <c r="F836" s="762"/>
      <c r="G836" s="762"/>
      <c r="H836" s="1103" t="str">
        <f>IF(Noty!H836="","",Noty!H836)</f>
        <v/>
      </c>
      <c r="I836" s="1103" t="str">
        <f>IF(Noty!I836="","",Noty!I836)</f>
        <v/>
      </c>
      <c r="J836" s="499" t="str">
        <f>Noty!J836</f>
        <v>ukryj</v>
      </c>
      <c r="K836" s="489"/>
    </row>
    <row r="837" spans="1:14" s="228" customFormat="1" ht="15.05" customHeight="1" x14ac:dyDescent="0.25">
      <c r="B837" s="428"/>
      <c r="C837" s="431" t="s">
        <v>11078</v>
      </c>
      <c r="D837" s="634"/>
      <c r="E837" s="634"/>
      <c r="F837" s="634"/>
      <c r="G837" s="762"/>
      <c r="H837" s="800">
        <f>IF(Noty!H837="","",Noty!H837)</f>
        <v>0</v>
      </c>
      <c r="I837" s="800">
        <f>IF(Noty!I837="","",Noty!I837)</f>
        <v>0</v>
      </c>
      <c r="J837" s="499" t="str">
        <f>Noty!J837</f>
        <v>ukryj</v>
      </c>
      <c r="K837" s="489"/>
    </row>
    <row r="838" spans="1:14" s="228" customFormat="1" ht="15.05" customHeight="1" x14ac:dyDescent="0.25">
      <c r="B838" s="428"/>
      <c r="C838" s="433"/>
      <c r="D838" s="762"/>
      <c r="E838" s="762"/>
      <c r="F838" s="762"/>
      <c r="G838" s="762"/>
      <c r="H838" s="800" t="str">
        <f>IF(Noty!H838="","",Noty!H838)</f>
        <v/>
      </c>
      <c r="I838" s="800" t="str">
        <f>IF(Noty!I838="","",Noty!I838)</f>
        <v/>
      </c>
      <c r="J838" s="499" t="str">
        <f>Noty!J838</f>
        <v>ukryj</v>
      </c>
      <c r="K838" s="489"/>
    </row>
    <row r="839" spans="1:14" s="228" customFormat="1" ht="15.05" customHeight="1" x14ac:dyDescent="0.25">
      <c r="B839" s="428"/>
      <c r="C839" s="433"/>
      <c r="D839" s="762"/>
      <c r="E839" s="762"/>
      <c r="F839" s="762"/>
      <c r="G839" s="762"/>
      <c r="H839" s="1103" t="str">
        <f>IF(Noty!H839="","",Noty!H839)</f>
        <v/>
      </c>
      <c r="I839" s="1103" t="str">
        <f>IF(Noty!I839="","",Noty!I839)</f>
        <v/>
      </c>
      <c r="J839" s="499" t="str">
        <f>Noty!J839</f>
        <v>ukryj</v>
      </c>
      <c r="K839" s="489"/>
    </row>
    <row r="840" spans="1:14" s="228" customFormat="1" ht="15.05" customHeight="1" x14ac:dyDescent="0.25">
      <c r="B840" s="428"/>
      <c r="C840" s="433"/>
      <c r="D840" s="762"/>
      <c r="E840" s="762"/>
      <c r="F840" s="762"/>
      <c r="G840" s="762"/>
      <c r="H840" s="1103" t="str">
        <f>IF(Noty!H840="","",Noty!H840)</f>
        <v/>
      </c>
      <c r="I840" s="1103" t="str">
        <f>IF(Noty!I840="","",Noty!I840)</f>
        <v/>
      </c>
      <c r="J840" s="499" t="str">
        <f>Noty!J840</f>
        <v>ukryj</v>
      </c>
      <c r="K840" s="489"/>
    </row>
    <row r="841" spans="1:14" s="228" customFormat="1" ht="15.05" customHeight="1" x14ac:dyDescent="0.25">
      <c r="B841" s="428"/>
      <c r="C841" s="431" t="s">
        <v>11079</v>
      </c>
      <c r="D841" s="634"/>
      <c r="E841" s="634"/>
      <c r="F841" s="634"/>
      <c r="G841" s="762"/>
      <c r="H841" s="800">
        <f>IF(Noty!H841="","",Noty!H841)</f>
        <v>0</v>
      </c>
      <c r="I841" s="800">
        <f>IF(Noty!I841="","",Noty!I841)</f>
        <v>0</v>
      </c>
      <c r="J841" s="499" t="str">
        <f>Noty!J841</f>
        <v>ukryj</v>
      </c>
      <c r="K841" s="489"/>
    </row>
    <row r="842" spans="1:14" s="228" customFormat="1" ht="15.05" customHeight="1" x14ac:dyDescent="0.25">
      <c r="B842" s="428"/>
      <c r="C842" s="433"/>
      <c r="D842" s="762"/>
      <c r="E842" s="762"/>
      <c r="F842" s="762"/>
      <c r="G842" s="762"/>
      <c r="H842" s="800" t="str">
        <f>IF(Noty!H842="","",Noty!H842)</f>
        <v/>
      </c>
      <c r="I842" s="800" t="str">
        <f>IF(Noty!I842="","",Noty!I842)</f>
        <v/>
      </c>
      <c r="J842" s="499" t="str">
        <f>Noty!J842</f>
        <v>ukryj</v>
      </c>
      <c r="K842" s="489"/>
    </row>
    <row r="843" spans="1:14" s="228" customFormat="1" ht="15.05" customHeight="1" x14ac:dyDescent="0.25">
      <c r="B843" s="428"/>
      <c r="C843" s="433"/>
      <c r="D843" s="762"/>
      <c r="E843" s="762"/>
      <c r="F843" s="762"/>
      <c r="G843" s="762"/>
      <c r="H843" s="1103" t="str">
        <f>IF(Noty!H843="","",Noty!H843)</f>
        <v/>
      </c>
      <c r="I843" s="1103" t="str">
        <f>IF(Noty!I843="","",Noty!I843)</f>
        <v/>
      </c>
      <c r="J843" s="499" t="str">
        <f>Noty!J843</f>
        <v>ukryj</v>
      </c>
      <c r="K843" s="489"/>
    </row>
    <row r="844" spans="1:14" s="228" customFormat="1" ht="15.05" customHeight="1" x14ac:dyDescent="0.25">
      <c r="B844" s="428"/>
      <c r="C844" s="433"/>
      <c r="D844" s="762"/>
      <c r="E844" s="762"/>
      <c r="F844" s="762"/>
      <c r="G844" s="762"/>
      <c r="H844" s="1103" t="str">
        <f>IF(Noty!H844="","",Noty!H844)</f>
        <v/>
      </c>
      <c r="I844" s="1103" t="str">
        <f>IF(Noty!I844="","",Noty!I844)</f>
        <v/>
      </c>
      <c r="J844" s="499" t="str">
        <f>Noty!J844</f>
        <v>ukryj</v>
      </c>
      <c r="K844" s="489"/>
    </row>
    <row r="845" spans="1:14" s="228" customFormat="1" ht="15.05" customHeight="1" x14ac:dyDescent="0.25">
      <c r="B845" s="428"/>
      <c r="C845" s="428"/>
      <c r="D845" s="693"/>
      <c r="E845" s="634"/>
      <c r="F845" s="634"/>
      <c r="G845" s="762"/>
      <c r="H845" s="803">
        <f>IF(Noty!H845="","",Noty!H845)</f>
        <v>0</v>
      </c>
      <c r="I845" s="803">
        <f>IF(Noty!I845="","",Noty!I845)</f>
        <v>0</v>
      </c>
      <c r="J845" s="499" t="str">
        <f>Noty!J845</f>
        <v>ukryj</v>
      </c>
      <c r="K845" s="489"/>
    </row>
    <row r="846" spans="1:14" s="228" customFormat="1" ht="15.05" customHeight="1" thickBot="1" x14ac:dyDescent="0.3">
      <c r="B846" s="428"/>
      <c r="C846" s="428"/>
      <c r="D846" s="690"/>
      <c r="E846" s="690"/>
      <c r="F846" s="690"/>
      <c r="G846" s="690"/>
      <c r="H846" s="690"/>
      <c r="I846" s="690"/>
      <c r="J846" s="499" t="str">
        <f>Noty!J846</f>
        <v>ukryj</v>
      </c>
      <c r="K846" s="489"/>
      <c r="L846" s="230"/>
    </row>
    <row r="847" spans="1:14" s="228" customFormat="1" ht="16.399999999999999" thickTop="1" thickBot="1" x14ac:dyDescent="0.35">
      <c r="A847" s="1183">
        <f>A820</f>
        <v>1</v>
      </c>
      <c r="B847" s="1184">
        <f>+IF(K847="n/a",B822,B822+1)</f>
        <v>0</v>
      </c>
      <c r="C847" s="1462" t="s">
        <v>11080</v>
      </c>
      <c r="D847" s="1462"/>
      <c r="E847" s="1462"/>
      <c r="F847" s="1462"/>
      <c r="G847" s="1462"/>
      <c r="H847" s="1462"/>
      <c r="I847" s="1462"/>
      <c r="J847" s="499" t="str">
        <f>Noty!J847</f>
        <v>ukryj</v>
      </c>
      <c r="K847" s="585" t="str">
        <f>Noty!K847</f>
        <v>n/a</v>
      </c>
      <c r="L847" s="196" t="str">
        <f>A847&amp;"."&amp;B847</f>
        <v>1.0</v>
      </c>
      <c r="N847" s="1101" t="s">
        <v>9378</v>
      </c>
    </row>
    <row r="848" spans="1:14" s="228" customFormat="1" ht="15.05" customHeight="1" thickTop="1" x14ac:dyDescent="0.25">
      <c r="B848" s="428"/>
      <c r="C848" s="428"/>
      <c r="D848" s="691"/>
      <c r="E848" s="691"/>
      <c r="F848" s="691"/>
      <c r="G848" s="690"/>
      <c r="H848" s="690"/>
      <c r="I848" s="690"/>
      <c r="J848" s="499" t="str">
        <f>Noty!J848</f>
        <v>ukryj</v>
      </c>
      <c r="K848" s="489"/>
    </row>
    <row r="849" spans="1:11" s="226" customFormat="1" ht="89.2" customHeight="1" x14ac:dyDescent="0.25">
      <c r="A849" s="228"/>
      <c r="B849" s="1401"/>
      <c r="C849" s="1401" t="s">
        <v>11074</v>
      </c>
      <c r="D849" s="694" t="s">
        <v>11081</v>
      </c>
      <c r="E849" s="694" t="s">
        <v>11082</v>
      </c>
      <c r="F849" s="694" t="s">
        <v>11083</v>
      </c>
      <c r="G849" s="694" t="s">
        <v>11084</v>
      </c>
      <c r="H849" s="694" t="s">
        <v>11085</v>
      </c>
      <c r="I849" s="694" t="s">
        <v>11086</v>
      </c>
      <c r="J849" s="499" t="str">
        <f>Noty!J849</f>
        <v>ukryj</v>
      </c>
      <c r="K849" s="489"/>
    </row>
    <row r="850" spans="1:11" s="228" customFormat="1" ht="12.8" customHeight="1" x14ac:dyDescent="0.25">
      <c r="B850" s="1399"/>
      <c r="C850" s="1399" t="s">
        <v>11075</v>
      </c>
      <c r="D850" s="695"/>
      <c r="E850" s="676">
        <f>IF(Noty!E850="","",Noty!E850)</f>
        <v>0</v>
      </c>
      <c r="F850" s="676">
        <f>IF(Noty!F850="","",Noty!F850)</f>
        <v>0</v>
      </c>
      <c r="G850" s="676">
        <f>IF(Noty!G850="","",Noty!G850)</f>
        <v>0</v>
      </c>
      <c r="H850" s="676">
        <f>IF(Noty!H850="","",Noty!H850)</f>
        <v>0</v>
      </c>
      <c r="I850" s="676">
        <f>IF(Noty!I850="","",Noty!I850)</f>
        <v>0</v>
      </c>
      <c r="J850" s="499" t="str">
        <f>Noty!J850</f>
        <v>ukryj</v>
      </c>
      <c r="K850" s="489"/>
    </row>
    <row r="851" spans="1:11" s="228" customFormat="1" ht="15.05" customHeight="1" x14ac:dyDescent="0.25">
      <c r="B851" s="435"/>
      <c r="C851" s="436"/>
      <c r="D851" s="1152" t="str">
        <f>IF(Noty!D851="","",Noty!D851)</f>
        <v/>
      </c>
      <c r="E851" s="1152" t="str">
        <f>IF(Noty!E851="","",Noty!E851)</f>
        <v/>
      </c>
      <c r="F851" s="1152" t="str">
        <f>IF(Noty!F851="","",Noty!F851)</f>
        <v/>
      </c>
      <c r="G851" s="1152" t="str">
        <f>IF(Noty!G851="","",Noty!G851)</f>
        <v/>
      </c>
      <c r="H851" s="1152" t="str">
        <f>IF(Noty!H851="","",Noty!H851)</f>
        <v/>
      </c>
      <c r="I851" s="1152" t="str">
        <f>IF(Noty!I851="","",Noty!I851)</f>
        <v/>
      </c>
      <c r="J851" s="499" t="str">
        <f>Noty!J851</f>
        <v>ukryj</v>
      </c>
      <c r="K851" s="489"/>
    </row>
    <row r="852" spans="1:11" s="228" customFormat="1" ht="15.05" customHeight="1" x14ac:dyDescent="0.25">
      <c r="B852" s="435"/>
      <c r="C852" s="436"/>
      <c r="D852" s="1152" t="str">
        <f>IF(Noty!D852="","",Noty!D852)</f>
        <v/>
      </c>
      <c r="E852" s="1152" t="str">
        <f>IF(Noty!E852="","",Noty!E852)</f>
        <v/>
      </c>
      <c r="F852" s="1152" t="str">
        <f>IF(Noty!F852="","",Noty!F852)</f>
        <v/>
      </c>
      <c r="G852" s="1152" t="str">
        <f>IF(Noty!G852="","",Noty!G852)</f>
        <v/>
      </c>
      <c r="H852" s="1152" t="str">
        <f>IF(Noty!H852="","",Noty!H852)</f>
        <v/>
      </c>
      <c r="I852" s="1152" t="str">
        <f>IF(Noty!I852="","",Noty!I852)</f>
        <v/>
      </c>
      <c r="J852" s="499" t="str">
        <f>Noty!J852</f>
        <v>ukryj</v>
      </c>
      <c r="K852" s="489"/>
    </row>
    <row r="853" spans="1:11" s="228" customFormat="1" ht="15.05" customHeight="1" x14ac:dyDescent="0.25">
      <c r="B853" s="435"/>
      <c r="C853" s="436"/>
      <c r="D853" s="1152" t="str">
        <f>IF(Noty!D853="","",Noty!D853)</f>
        <v/>
      </c>
      <c r="E853" s="1152" t="str">
        <f>IF(Noty!E853="","",Noty!E853)</f>
        <v/>
      </c>
      <c r="F853" s="1152" t="str">
        <f>IF(Noty!F853="","",Noty!F853)</f>
        <v/>
      </c>
      <c r="G853" s="1152" t="str">
        <f>IF(Noty!G853="","",Noty!G853)</f>
        <v/>
      </c>
      <c r="H853" s="1152" t="str">
        <f>IF(Noty!H853="","",Noty!H853)</f>
        <v/>
      </c>
      <c r="I853" s="1152" t="str">
        <f>IF(Noty!I853="","",Noty!I853)</f>
        <v/>
      </c>
      <c r="J853" s="499" t="str">
        <f>Noty!J853</f>
        <v>ukryj</v>
      </c>
      <c r="K853" s="489"/>
    </row>
    <row r="854" spans="1:11" s="228" customFormat="1" ht="12.8" customHeight="1" x14ac:dyDescent="0.25">
      <c r="B854" s="1399"/>
      <c r="C854" s="1399" t="s">
        <v>11076</v>
      </c>
      <c r="D854" s="695"/>
      <c r="E854" s="676">
        <f>IF(Noty!E854="","",Noty!E854)</f>
        <v>0</v>
      </c>
      <c r="F854" s="676">
        <f>IF(Noty!F854="","",Noty!F854)</f>
        <v>0</v>
      </c>
      <c r="G854" s="676">
        <f>IF(Noty!G854="","",Noty!G854)</f>
        <v>0</v>
      </c>
      <c r="H854" s="676">
        <f>IF(Noty!H854="","",Noty!H854)</f>
        <v>0</v>
      </c>
      <c r="I854" s="676">
        <f>IF(Noty!I854="","",Noty!I854)</f>
        <v>0</v>
      </c>
      <c r="J854" s="499" t="str">
        <f>Noty!J854</f>
        <v>ukryj</v>
      </c>
      <c r="K854" s="489"/>
    </row>
    <row r="855" spans="1:11" s="228" customFormat="1" ht="15.05" customHeight="1" x14ac:dyDescent="0.25">
      <c r="B855" s="435"/>
      <c r="C855" s="436"/>
      <c r="D855" s="1152" t="str">
        <f>IF(Noty!D855="","",Noty!D855)</f>
        <v/>
      </c>
      <c r="E855" s="1152" t="str">
        <f>IF(Noty!E855="","",Noty!E855)</f>
        <v/>
      </c>
      <c r="F855" s="1152" t="str">
        <f>IF(Noty!F855="","",Noty!F855)</f>
        <v/>
      </c>
      <c r="G855" s="1152" t="str">
        <f>IF(Noty!G855="","",Noty!G855)</f>
        <v/>
      </c>
      <c r="H855" s="1152" t="str">
        <f>IF(Noty!H855="","",Noty!H855)</f>
        <v/>
      </c>
      <c r="I855" s="1152" t="str">
        <f>IF(Noty!I855="","",Noty!I855)</f>
        <v/>
      </c>
      <c r="J855" s="499" t="str">
        <f>Noty!J855</f>
        <v>ukryj</v>
      </c>
      <c r="K855" s="489"/>
    </row>
    <row r="856" spans="1:11" s="228" customFormat="1" ht="15.05" customHeight="1" x14ac:dyDescent="0.25">
      <c r="B856" s="435"/>
      <c r="C856" s="436"/>
      <c r="D856" s="1152" t="str">
        <f>IF(Noty!D856="","",Noty!D856)</f>
        <v/>
      </c>
      <c r="E856" s="1152" t="str">
        <f>IF(Noty!E856="","",Noty!E856)</f>
        <v/>
      </c>
      <c r="F856" s="1152" t="str">
        <f>IF(Noty!F856="","",Noty!F856)</f>
        <v/>
      </c>
      <c r="G856" s="1152" t="str">
        <f>IF(Noty!G856="","",Noty!G856)</f>
        <v/>
      </c>
      <c r="H856" s="1152" t="str">
        <f>IF(Noty!H856="","",Noty!H856)</f>
        <v/>
      </c>
      <c r="I856" s="1152" t="str">
        <f>IF(Noty!I856="","",Noty!I856)</f>
        <v/>
      </c>
      <c r="J856" s="499" t="str">
        <f>Noty!J856</f>
        <v>ukryj</v>
      </c>
      <c r="K856" s="489"/>
    </row>
    <row r="857" spans="1:11" s="228" customFormat="1" ht="15.05" customHeight="1" x14ac:dyDescent="0.25">
      <c r="B857" s="435"/>
      <c r="C857" s="436"/>
      <c r="D857" s="1152" t="str">
        <f>IF(Noty!D857="","",Noty!D857)</f>
        <v/>
      </c>
      <c r="E857" s="1152" t="str">
        <f>IF(Noty!E857="","",Noty!E857)</f>
        <v/>
      </c>
      <c r="F857" s="1152" t="str">
        <f>IF(Noty!F857="","",Noty!F857)</f>
        <v/>
      </c>
      <c r="G857" s="1152" t="str">
        <f>IF(Noty!G857="","",Noty!G857)</f>
        <v/>
      </c>
      <c r="H857" s="1152" t="str">
        <f>IF(Noty!H857="","",Noty!H857)</f>
        <v/>
      </c>
      <c r="I857" s="1152" t="str">
        <f>IF(Noty!I857="","",Noty!I857)</f>
        <v/>
      </c>
      <c r="J857" s="499" t="str">
        <f>Noty!J857</f>
        <v>ukryj</v>
      </c>
      <c r="K857" s="489"/>
    </row>
    <row r="858" spans="1:11" s="228" customFormat="1" ht="12.8" customHeight="1" x14ac:dyDescent="0.25">
      <c r="B858" s="1399"/>
      <c r="C858" s="1399" t="s">
        <v>11077</v>
      </c>
      <c r="D858" s="695"/>
      <c r="E858" s="676">
        <f>IF(Noty!E858="","",Noty!E858)</f>
        <v>0</v>
      </c>
      <c r="F858" s="676">
        <f>IF(Noty!F858="","",Noty!F858)</f>
        <v>0</v>
      </c>
      <c r="G858" s="676">
        <f>IF(Noty!G858="","",Noty!G858)</f>
        <v>0</v>
      </c>
      <c r="H858" s="676">
        <f>IF(Noty!H858="","",Noty!H858)</f>
        <v>0</v>
      </c>
      <c r="I858" s="676">
        <f>IF(Noty!I858="","",Noty!I858)</f>
        <v>0</v>
      </c>
      <c r="J858" s="499" t="str">
        <f>Noty!J858</f>
        <v>ukryj</v>
      </c>
      <c r="K858" s="489"/>
    </row>
    <row r="859" spans="1:11" s="228" customFormat="1" ht="15.05" customHeight="1" x14ac:dyDescent="0.25">
      <c r="B859" s="435"/>
      <c r="C859" s="436"/>
      <c r="D859" s="1152" t="str">
        <f>IF(Noty!D859="","",Noty!D859)</f>
        <v/>
      </c>
      <c r="E859" s="1152" t="str">
        <f>IF(Noty!E859="","",Noty!E859)</f>
        <v/>
      </c>
      <c r="F859" s="1152" t="str">
        <f>IF(Noty!F859="","",Noty!F859)</f>
        <v/>
      </c>
      <c r="G859" s="1152" t="str">
        <f>IF(Noty!G859="","",Noty!G859)</f>
        <v/>
      </c>
      <c r="H859" s="1152" t="str">
        <f>IF(Noty!H859="","",Noty!H859)</f>
        <v/>
      </c>
      <c r="I859" s="1152" t="str">
        <f>IF(Noty!I859="","",Noty!I859)</f>
        <v/>
      </c>
      <c r="J859" s="499" t="str">
        <f>Noty!J859</f>
        <v>ukryj</v>
      </c>
      <c r="K859" s="489"/>
    </row>
    <row r="860" spans="1:11" s="228" customFormat="1" ht="15.05" customHeight="1" x14ac:dyDescent="0.25">
      <c r="B860" s="435"/>
      <c r="C860" s="436"/>
      <c r="D860" s="1152" t="str">
        <f>IF(Noty!D860="","",Noty!D860)</f>
        <v/>
      </c>
      <c r="E860" s="1152" t="str">
        <f>IF(Noty!E860="","",Noty!E860)</f>
        <v/>
      </c>
      <c r="F860" s="1152" t="str">
        <f>IF(Noty!F860="","",Noty!F860)</f>
        <v/>
      </c>
      <c r="G860" s="1152" t="str">
        <f>IF(Noty!G860="","",Noty!G860)</f>
        <v/>
      </c>
      <c r="H860" s="1152" t="str">
        <f>IF(Noty!H860="","",Noty!H860)</f>
        <v/>
      </c>
      <c r="I860" s="1152" t="str">
        <f>IF(Noty!I860="","",Noty!I860)</f>
        <v/>
      </c>
      <c r="J860" s="499" t="str">
        <f>Noty!J860</f>
        <v>ukryj</v>
      </c>
      <c r="K860" s="489"/>
    </row>
    <row r="861" spans="1:11" s="228" customFormat="1" ht="15.05" customHeight="1" x14ac:dyDescent="0.25">
      <c r="B861" s="435"/>
      <c r="C861" s="436"/>
      <c r="D861" s="1152" t="str">
        <f>IF(Noty!D861="","",Noty!D861)</f>
        <v/>
      </c>
      <c r="E861" s="1152" t="str">
        <f>IF(Noty!E861="","",Noty!E861)</f>
        <v/>
      </c>
      <c r="F861" s="1152" t="str">
        <f>IF(Noty!F861="","",Noty!F861)</f>
        <v/>
      </c>
      <c r="G861" s="1152" t="str">
        <f>IF(Noty!G861="","",Noty!G861)</f>
        <v/>
      </c>
      <c r="H861" s="1152" t="str">
        <f>IF(Noty!H861="","",Noty!H861)</f>
        <v/>
      </c>
      <c r="I861" s="1152" t="str">
        <f>IF(Noty!I861="","",Noty!I861)</f>
        <v/>
      </c>
      <c r="J861" s="499" t="str">
        <f>Noty!J861</f>
        <v>ukryj</v>
      </c>
      <c r="K861" s="489"/>
    </row>
    <row r="862" spans="1:11" s="228" customFormat="1" ht="12.8" customHeight="1" x14ac:dyDescent="0.25">
      <c r="B862" s="1399"/>
      <c r="C862" s="1399" t="s">
        <v>11078</v>
      </c>
      <c r="D862" s="695"/>
      <c r="E862" s="676">
        <f>IF(Noty!E862="","",Noty!E862)</f>
        <v>0</v>
      </c>
      <c r="F862" s="676">
        <f>IF(Noty!F862="","",Noty!F862)</f>
        <v>0</v>
      </c>
      <c r="G862" s="676">
        <f>IF(Noty!G862="","",Noty!G862)</f>
        <v>0</v>
      </c>
      <c r="H862" s="676">
        <f>IF(Noty!H862="","",Noty!H862)</f>
        <v>0</v>
      </c>
      <c r="I862" s="676">
        <f>IF(Noty!I862="","",Noty!I862)</f>
        <v>0</v>
      </c>
      <c r="J862" s="499" t="str">
        <f>Noty!J862</f>
        <v>ukryj</v>
      </c>
      <c r="K862" s="489"/>
    </row>
    <row r="863" spans="1:11" s="228" customFormat="1" ht="15.05" customHeight="1" x14ac:dyDescent="0.25">
      <c r="B863" s="435"/>
      <c r="C863" s="436"/>
      <c r="D863" s="1152" t="str">
        <f>IF(Noty!D863="","",Noty!D863)</f>
        <v/>
      </c>
      <c r="E863" s="1152" t="str">
        <f>IF(Noty!E863="","",Noty!E863)</f>
        <v/>
      </c>
      <c r="F863" s="1152" t="str">
        <f>IF(Noty!F863="","",Noty!F863)</f>
        <v/>
      </c>
      <c r="G863" s="1152" t="str">
        <f>IF(Noty!G863="","",Noty!G863)</f>
        <v/>
      </c>
      <c r="H863" s="1152" t="str">
        <f>IF(Noty!H863="","",Noty!H863)</f>
        <v/>
      </c>
      <c r="I863" s="1152" t="str">
        <f>IF(Noty!I863="","",Noty!I863)</f>
        <v/>
      </c>
      <c r="J863" s="499" t="str">
        <f>Noty!J863</f>
        <v>ukryj</v>
      </c>
      <c r="K863" s="489"/>
    </row>
    <row r="864" spans="1:11" s="228" customFormat="1" ht="15.05" customHeight="1" x14ac:dyDescent="0.25">
      <c r="B864" s="435"/>
      <c r="C864" s="436"/>
      <c r="D864" s="1152" t="str">
        <f>IF(Noty!D864="","",Noty!D864)</f>
        <v/>
      </c>
      <c r="E864" s="1152" t="str">
        <f>IF(Noty!E864="","",Noty!E864)</f>
        <v/>
      </c>
      <c r="F864" s="1152" t="str">
        <f>IF(Noty!F864="","",Noty!F864)</f>
        <v/>
      </c>
      <c r="G864" s="1152" t="str">
        <f>IF(Noty!G864="","",Noty!G864)</f>
        <v/>
      </c>
      <c r="H864" s="1152" t="str">
        <f>IF(Noty!H864="","",Noty!H864)</f>
        <v/>
      </c>
      <c r="I864" s="1152" t="str">
        <f>IF(Noty!I864="","",Noty!I864)</f>
        <v/>
      </c>
      <c r="J864" s="499" t="str">
        <f>Noty!J864</f>
        <v>ukryj</v>
      </c>
      <c r="K864" s="489"/>
    </row>
    <row r="865" spans="1:14" s="228" customFormat="1" ht="15.05" customHeight="1" x14ac:dyDescent="0.25">
      <c r="B865" s="435"/>
      <c r="C865" s="436"/>
      <c r="D865" s="1152" t="str">
        <f>IF(Noty!D865="","",Noty!D865)</f>
        <v/>
      </c>
      <c r="E865" s="1152" t="str">
        <f>IF(Noty!E865="","",Noty!E865)</f>
        <v/>
      </c>
      <c r="F865" s="1152" t="str">
        <f>IF(Noty!F865="","",Noty!F865)</f>
        <v/>
      </c>
      <c r="G865" s="1152" t="str">
        <f>IF(Noty!G865="","",Noty!G865)</f>
        <v/>
      </c>
      <c r="H865" s="1152" t="str">
        <f>IF(Noty!H865="","",Noty!H865)</f>
        <v/>
      </c>
      <c r="I865" s="1152" t="str">
        <f>IF(Noty!I865="","",Noty!I865)</f>
        <v/>
      </c>
      <c r="J865" s="499" t="str">
        <f>Noty!J865</f>
        <v>ukryj</v>
      </c>
      <c r="K865" s="489"/>
    </row>
    <row r="866" spans="1:14" s="228" customFormat="1" ht="25.55" customHeight="1" x14ac:dyDescent="0.25">
      <c r="B866" s="1399"/>
      <c r="C866" s="1399" t="s">
        <v>11079</v>
      </c>
      <c r="D866" s="695"/>
      <c r="E866" s="676">
        <f>IF(Noty!E866="","",Noty!E866)</f>
        <v>0</v>
      </c>
      <c r="F866" s="676">
        <f>IF(Noty!F866="","",Noty!F866)</f>
        <v>0</v>
      </c>
      <c r="G866" s="676">
        <f>IF(Noty!G866="","",Noty!G866)</f>
        <v>0</v>
      </c>
      <c r="H866" s="676">
        <f>IF(Noty!H866="","",Noty!H866)</f>
        <v>0</v>
      </c>
      <c r="I866" s="676">
        <f>IF(Noty!I866="","",Noty!I866)</f>
        <v>0</v>
      </c>
      <c r="J866" s="499" t="str">
        <f>Noty!J866</f>
        <v>ukryj</v>
      </c>
      <c r="K866" s="489"/>
    </row>
    <row r="867" spans="1:14" s="228" customFormat="1" ht="15.05" customHeight="1" x14ac:dyDescent="0.25">
      <c r="B867" s="437"/>
      <c r="C867" s="438"/>
      <c r="D867" s="1152" t="str">
        <f>IF(Noty!D867="","",Noty!D867)</f>
        <v/>
      </c>
      <c r="E867" s="1152" t="str">
        <f>IF(Noty!E867="","",Noty!E867)</f>
        <v/>
      </c>
      <c r="F867" s="1152" t="str">
        <f>IF(Noty!F867="","",Noty!F867)</f>
        <v/>
      </c>
      <c r="G867" s="1152" t="str">
        <f>IF(Noty!G867="","",Noty!G867)</f>
        <v/>
      </c>
      <c r="H867" s="1152" t="str">
        <f>IF(Noty!H867="","",Noty!H867)</f>
        <v/>
      </c>
      <c r="I867" s="1152" t="str">
        <f>IF(Noty!I867="","",Noty!I867)</f>
        <v/>
      </c>
      <c r="J867" s="499" t="str">
        <f>Noty!J867</f>
        <v>ukryj</v>
      </c>
      <c r="K867" s="489"/>
    </row>
    <row r="868" spans="1:14" s="228" customFormat="1" ht="15.05" customHeight="1" x14ac:dyDescent="0.25">
      <c r="B868" s="437"/>
      <c r="C868" s="438"/>
      <c r="D868" s="1152" t="str">
        <f>IF(Noty!D868="","",Noty!D868)</f>
        <v/>
      </c>
      <c r="E868" s="1152" t="str">
        <f>IF(Noty!E868="","",Noty!E868)</f>
        <v/>
      </c>
      <c r="F868" s="1152" t="str">
        <f>IF(Noty!F868="","",Noty!F868)</f>
        <v/>
      </c>
      <c r="G868" s="1152" t="str">
        <f>IF(Noty!G868="","",Noty!G868)</f>
        <v/>
      </c>
      <c r="H868" s="1152" t="str">
        <f>IF(Noty!H868="","",Noty!H868)</f>
        <v/>
      </c>
      <c r="I868" s="1152" t="str">
        <f>IF(Noty!I868="","",Noty!I868)</f>
        <v/>
      </c>
      <c r="J868" s="499" t="str">
        <f>Noty!J868</f>
        <v>ukryj</v>
      </c>
      <c r="K868" s="489"/>
    </row>
    <row r="869" spans="1:14" s="228" customFormat="1" ht="15.05" customHeight="1" x14ac:dyDescent="0.25">
      <c r="B869" s="437"/>
      <c r="C869" s="438"/>
      <c r="D869" s="1152" t="str">
        <f>IF(Noty!D869="","",Noty!D869)</f>
        <v/>
      </c>
      <c r="E869" s="1152" t="str">
        <f>IF(Noty!E869="","",Noty!E869)</f>
        <v/>
      </c>
      <c r="F869" s="1152" t="str">
        <f>IF(Noty!F869="","",Noty!F869)</f>
        <v/>
      </c>
      <c r="G869" s="1152" t="str">
        <f>IF(Noty!G869="","",Noty!G869)</f>
        <v/>
      </c>
      <c r="H869" s="1152" t="str">
        <f>IF(Noty!H869="","",Noty!H869)</f>
        <v/>
      </c>
      <c r="I869" s="1152" t="str">
        <f>IF(Noty!I869="","",Noty!I869)</f>
        <v/>
      </c>
      <c r="J869" s="499" t="str">
        <f>Noty!J869</f>
        <v>ukryj</v>
      </c>
      <c r="K869" s="489"/>
    </row>
    <row r="870" spans="1:14" s="228" customFormat="1" ht="15.05" customHeight="1" x14ac:dyDescent="0.25">
      <c r="B870" s="428"/>
      <c r="C870" s="434"/>
      <c r="D870" s="696"/>
      <c r="E870" s="836">
        <f>IF(Noty!E870="","",Noty!E870)</f>
        <v>0</v>
      </c>
      <c r="F870" s="836">
        <f>IF(Noty!F870="","",Noty!F870)</f>
        <v>0</v>
      </c>
      <c r="G870" s="836">
        <f>IF(Noty!G870="","",Noty!G870)</f>
        <v>0</v>
      </c>
      <c r="H870" s="836">
        <f>IF(Noty!H870="","",Noty!H870)</f>
        <v>0</v>
      </c>
      <c r="I870" s="836">
        <f>IF(Noty!I870="","",Noty!I870)</f>
        <v>0</v>
      </c>
      <c r="J870" s="499" t="str">
        <f>Noty!J870</f>
        <v>ukryj</v>
      </c>
      <c r="K870" s="489"/>
    </row>
    <row r="871" spans="1:14" s="228" customFormat="1" ht="15.05" customHeight="1" thickBot="1" x14ac:dyDescent="0.3">
      <c r="B871" s="428"/>
      <c r="C871" s="428"/>
      <c r="D871" s="634"/>
      <c r="E871" s="634"/>
      <c r="F871" s="697"/>
      <c r="G871" s="697"/>
      <c r="H871" s="697"/>
      <c r="I871" s="697"/>
      <c r="J871" s="499" t="str">
        <f>Noty!J871</f>
        <v>ukryj</v>
      </c>
      <c r="K871" s="489"/>
      <c r="L871" s="230"/>
    </row>
    <row r="872" spans="1:14" s="228" customFormat="1" ht="16.399999999999999" thickTop="1" thickBot="1" x14ac:dyDescent="0.35">
      <c r="A872" s="1183">
        <f>A820</f>
        <v>1</v>
      </c>
      <c r="B872" s="1184">
        <f>+IF(K872="n/a",B847,B847+1)</f>
        <v>0</v>
      </c>
      <c r="C872" s="1369" t="s">
        <v>11087</v>
      </c>
      <c r="D872" s="1369"/>
      <c r="E872" s="1369"/>
      <c r="F872" s="1369"/>
      <c r="G872" s="1369"/>
      <c r="H872" s="1369"/>
      <c r="I872" s="1369"/>
      <c r="J872" s="499" t="str">
        <f>Noty!J872</f>
        <v>ukryj</v>
      </c>
      <c r="K872" s="585" t="str">
        <f>Noty!K872</f>
        <v>n/a</v>
      </c>
      <c r="L872" s="196" t="str">
        <f>A872&amp;"."&amp;B872</f>
        <v>1.0</v>
      </c>
      <c r="N872" s="1101" t="s">
        <v>9378</v>
      </c>
    </row>
    <row r="873" spans="1:14" s="228" customFormat="1" ht="15.05" customHeight="1" thickTop="1" x14ac:dyDescent="0.25">
      <c r="B873" s="428"/>
      <c r="C873" s="428"/>
      <c r="D873" s="645"/>
      <c r="E873" s="645"/>
      <c r="F873" s="645"/>
      <c r="G873" s="645"/>
      <c r="H873" s="698"/>
      <c r="I873" s="634"/>
      <c r="J873" s="499" t="str">
        <f>Noty!J873</f>
        <v>ukryj</v>
      </c>
      <c r="K873" s="489"/>
    </row>
    <row r="874" spans="1:14" s="228" customFormat="1" ht="26.2" x14ac:dyDescent="0.3">
      <c r="B874" s="428"/>
      <c r="C874" s="1400" t="s">
        <v>11088</v>
      </c>
      <c r="D874" s="1400"/>
      <c r="E874" s="634"/>
      <c r="F874"/>
      <c r="G874"/>
      <c r="H874" s="699" t="str">
        <f>CONCATENATE("As at  ",Input!$C$7)</f>
        <v>As at  31.12.2020</v>
      </c>
      <c r="I874" s="699" t="str">
        <f>CONCATENATE("As at ",Input!$C$11)</f>
        <v>As at 31.12.2019</v>
      </c>
      <c r="J874" s="499" t="str">
        <f>Noty!J874</f>
        <v>ukryj</v>
      </c>
      <c r="K874" s="489"/>
    </row>
    <row r="875" spans="1:14" s="228" customFormat="1" ht="15.05" customHeight="1" x14ac:dyDescent="0.3">
      <c r="B875" s="428"/>
      <c r="C875" s="428"/>
      <c r="D875" s="700"/>
      <c r="E875" s="634"/>
      <c r="F875"/>
      <c r="G875"/>
      <c r="H875" s="701"/>
      <c r="I875" s="701"/>
      <c r="J875" s="499" t="str">
        <f>Noty!J875</f>
        <v>ukryj</v>
      </c>
      <c r="K875" s="489"/>
    </row>
    <row r="876" spans="1:14" s="228" customFormat="1" ht="25.55" customHeight="1" x14ac:dyDescent="0.3">
      <c r="B876" s="428"/>
      <c r="C876" s="1397" t="s">
        <v>11089</v>
      </c>
      <c r="D876" s="1397"/>
      <c r="E876" s="1397"/>
      <c r="F876"/>
      <c r="G876"/>
      <c r="H876" s="702" t="str">
        <f>IF(Noty!F876="","",Noty!F876)</f>
        <v/>
      </c>
      <c r="I876" s="702" t="str">
        <f>IF(Noty!G876="","",Noty!G876)</f>
        <v/>
      </c>
      <c r="J876" s="499" t="str">
        <f>Noty!J876</f>
        <v>ukryj</v>
      </c>
      <c r="K876" s="489"/>
    </row>
    <row r="877" spans="1:14" s="228" customFormat="1" ht="15.05" customHeight="1" x14ac:dyDescent="0.3">
      <c r="B877" s="428"/>
      <c r="C877" s="1398"/>
      <c r="D877" s="1398"/>
      <c r="E877" s="1398"/>
      <c r="F877"/>
      <c r="G877"/>
      <c r="H877" s="760" t="str">
        <f>IF(Noty!F877="","",Noty!F877)</f>
        <v/>
      </c>
      <c r="I877" s="760" t="str">
        <f>IF(Noty!G877="","",Noty!G877)</f>
        <v/>
      </c>
      <c r="J877" s="499" t="str">
        <f>Noty!J877</f>
        <v>ukryj</v>
      </c>
      <c r="K877" s="489"/>
    </row>
    <row r="878" spans="1:14" s="228" customFormat="1" ht="15.05" customHeight="1" x14ac:dyDescent="0.3">
      <c r="B878" s="428"/>
      <c r="C878" s="1398"/>
      <c r="D878" s="1398"/>
      <c r="E878" s="1398"/>
      <c r="F878"/>
      <c r="G878"/>
      <c r="H878" s="760" t="str">
        <f>IF(Noty!F878="","",Noty!F878)</f>
        <v/>
      </c>
      <c r="I878" s="760" t="str">
        <f>IF(Noty!G878="","",Noty!G878)</f>
        <v/>
      </c>
      <c r="J878" s="499" t="str">
        <f>Noty!J878</f>
        <v>ukryj</v>
      </c>
      <c r="K878" s="489"/>
    </row>
    <row r="879" spans="1:14" s="228" customFormat="1" ht="15.05" customHeight="1" x14ac:dyDescent="0.3">
      <c r="B879" s="428"/>
      <c r="C879" s="1398"/>
      <c r="D879" s="1398"/>
      <c r="E879" s="1398"/>
      <c r="F879"/>
      <c r="G879"/>
      <c r="H879" s="760" t="str">
        <f>IF(Noty!F879="","",Noty!F879)</f>
        <v/>
      </c>
      <c r="I879" s="760" t="str">
        <f>IF(Noty!G879="","",Noty!G879)</f>
        <v/>
      </c>
      <c r="J879" s="499" t="str">
        <f>Noty!J879</f>
        <v>ukryj</v>
      </c>
      <c r="K879" s="489"/>
    </row>
    <row r="880" spans="1:14" s="228" customFormat="1" ht="12.8" customHeight="1" x14ac:dyDescent="0.3">
      <c r="B880" s="428"/>
      <c r="C880" s="1397" t="s">
        <v>8401</v>
      </c>
      <c r="D880" s="1397"/>
      <c r="E880" s="1397"/>
      <c r="F880"/>
      <c r="G880"/>
      <c r="H880" s="702" t="str">
        <f>IF(Noty!F880="","",Noty!F880)</f>
        <v/>
      </c>
      <c r="I880" s="702" t="str">
        <f>IF(Noty!G880="","",Noty!G880)</f>
        <v/>
      </c>
      <c r="J880" s="499" t="str">
        <f>Noty!J880</f>
        <v>ukryj</v>
      </c>
      <c r="K880" s="489"/>
    </row>
    <row r="881" spans="1:14" s="228" customFormat="1" ht="15.05" customHeight="1" x14ac:dyDescent="0.3">
      <c r="B881" s="428"/>
      <c r="C881" s="1398"/>
      <c r="D881" s="1398"/>
      <c r="E881" s="1398"/>
      <c r="F881"/>
      <c r="G881"/>
      <c r="H881" s="760" t="str">
        <f>IF(Noty!F881="","",Noty!F881)</f>
        <v/>
      </c>
      <c r="I881" s="760" t="str">
        <f>IF(Noty!G881="","",Noty!G881)</f>
        <v/>
      </c>
      <c r="J881" s="499" t="str">
        <f>Noty!J881</f>
        <v>ukryj</v>
      </c>
      <c r="K881" s="489"/>
    </row>
    <row r="882" spans="1:14" s="228" customFormat="1" ht="15.05" customHeight="1" x14ac:dyDescent="0.3">
      <c r="B882" s="428"/>
      <c r="C882" s="1398"/>
      <c r="D882" s="1398"/>
      <c r="E882" s="1398"/>
      <c r="F882"/>
      <c r="G882"/>
      <c r="H882" s="760" t="str">
        <f>IF(Noty!F882="","",Noty!F882)</f>
        <v/>
      </c>
      <c r="I882" s="760" t="str">
        <f>IF(Noty!G882="","",Noty!G882)</f>
        <v/>
      </c>
      <c r="J882" s="499" t="str">
        <f>Noty!J882</f>
        <v>ukryj</v>
      </c>
      <c r="K882" s="489"/>
    </row>
    <row r="883" spans="1:14" s="228" customFormat="1" ht="29.3" customHeight="1" x14ac:dyDescent="0.3">
      <c r="B883" s="428"/>
      <c r="C883" s="1397" t="s">
        <v>11090</v>
      </c>
      <c r="D883" s="1397"/>
      <c r="E883" s="1397"/>
      <c r="F883"/>
      <c r="G883"/>
      <c r="H883" s="702" t="str">
        <f>IF(Noty!F883="","",Noty!F883)</f>
        <v/>
      </c>
      <c r="I883" s="702" t="str">
        <f>IF(Noty!G883="","",Noty!G883)</f>
        <v/>
      </c>
      <c r="J883" s="499" t="str">
        <f>Noty!J883</f>
        <v>ukryj</v>
      </c>
      <c r="K883" s="489"/>
    </row>
    <row r="884" spans="1:14" s="228" customFormat="1" ht="15.05" customHeight="1" x14ac:dyDescent="0.3">
      <c r="B884" s="428"/>
      <c r="C884" s="1398"/>
      <c r="D884" s="1398"/>
      <c r="E884" s="1398"/>
      <c r="F884"/>
      <c r="G884"/>
      <c r="H884" s="760" t="str">
        <f>IF(Noty!F884="","",Noty!F884)</f>
        <v/>
      </c>
      <c r="I884" s="760" t="str">
        <f>IF(Noty!G884="","",Noty!G884)</f>
        <v/>
      </c>
      <c r="J884" s="499" t="str">
        <f>Noty!J884</f>
        <v>ukryj</v>
      </c>
      <c r="K884" s="489"/>
    </row>
    <row r="885" spans="1:14" s="228" customFormat="1" ht="15.05" customHeight="1" x14ac:dyDescent="0.3">
      <c r="B885" s="428"/>
      <c r="C885" s="1398"/>
      <c r="D885" s="1398"/>
      <c r="E885" s="1398"/>
      <c r="F885"/>
      <c r="G885"/>
      <c r="H885" s="760" t="str">
        <f>IF(Noty!F885="","",Noty!F885)</f>
        <v/>
      </c>
      <c r="I885" s="760" t="str">
        <f>IF(Noty!G885="","",Noty!G885)</f>
        <v/>
      </c>
      <c r="J885" s="499" t="str">
        <f>Noty!J885</f>
        <v>ukryj</v>
      </c>
      <c r="K885" s="489"/>
    </row>
    <row r="886" spans="1:14" s="228" customFormat="1" ht="15.05" customHeight="1" x14ac:dyDescent="0.3">
      <c r="B886" s="428"/>
      <c r="C886" s="1398"/>
      <c r="D886" s="1398"/>
      <c r="E886" s="1398"/>
      <c r="F886"/>
      <c r="G886"/>
      <c r="H886" s="760" t="str">
        <f>IF(Noty!F886="","",Noty!F886)</f>
        <v/>
      </c>
      <c r="I886" s="760" t="str">
        <f>IF(Noty!G886="","",Noty!G886)</f>
        <v/>
      </c>
      <c r="J886" s="499" t="str">
        <f>Noty!J886</f>
        <v>ukryj</v>
      </c>
      <c r="K886" s="489"/>
    </row>
    <row r="887" spans="1:14" s="228" customFormat="1" ht="15.05" customHeight="1" x14ac:dyDescent="0.3">
      <c r="B887" s="428"/>
      <c r="C887" s="428"/>
      <c r="D887" s="816"/>
      <c r="E887" s="634"/>
      <c r="F887"/>
      <c r="G887"/>
      <c r="H887" s="619" t="str">
        <f>IF(Noty!F887="","",Noty!F887)</f>
        <v/>
      </c>
      <c r="I887" s="619" t="str">
        <f>IF(Noty!G887="","",Noty!G887)</f>
        <v/>
      </c>
      <c r="J887" s="499" t="str">
        <f>Noty!J887</f>
        <v>ukryj</v>
      </c>
      <c r="K887" s="489"/>
    </row>
    <row r="888" spans="1:14" s="228" customFormat="1" ht="15.05" customHeight="1" thickBot="1" x14ac:dyDescent="0.35">
      <c r="B888" s="428"/>
      <c r="C888" s="428"/>
      <c r="D888" s="634"/>
      <c r="E888" s="634"/>
      <c r="F888"/>
      <c r="G888"/>
      <c r="H888" s="634"/>
      <c r="I888" s="634"/>
      <c r="J888" s="499" t="str">
        <f>Noty!J888</f>
        <v>ukryj</v>
      </c>
      <c r="K888" s="489"/>
      <c r="L888" s="230"/>
    </row>
    <row r="889" spans="1:14" s="228" customFormat="1" ht="15.05" customHeight="1" thickTop="1" thickBot="1" x14ac:dyDescent="0.35">
      <c r="A889" s="1183">
        <f>A820</f>
        <v>1</v>
      </c>
      <c r="B889" s="1184">
        <f>+IF(K889="n/a",B872,B872+1)</f>
        <v>0</v>
      </c>
      <c r="C889" s="1472" t="s">
        <v>11091</v>
      </c>
      <c r="D889" s="1472"/>
      <c r="E889" s="1472"/>
      <c r="F889" s="1472"/>
      <c r="G889" s="1472"/>
      <c r="H889" s="1472"/>
      <c r="I889" s="1472"/>
      <c r="J889" s="499" t="str">
        <f>Noty!J889</f>
        <v>ukryj</v>
      </c>
      <c r="K889" s="585" t="str">
        <f>Noty!K889</f>
        <v>n/a</v>
      </c>
      <c r="L889" s="196" t="str">
        <f>A889&amp;"."&amp;B889</f>
        <v>1.0</v>
      </c>
      <c r="N889" s="1101" t="s">
        <v>9378</v>
      </c>
    </row>
    <row r="890" spans="1:14" s="228" customFormat="1" ht="15.05" customHeight="1" thickTop="1" x14ac:dyDescent="0.25">
      <c r="A890" s="440"/>
      <c r="B890" s="440"/>
      <c r="C890" s="440"/>
      <c r="D890" s="704"/>
      <c r="E890" s="704"/>
      <c r="F890" s="704"/>
      <c r="G890" s="704"/>
      <c r="H890" s="704"/>
      <c r="I890" s="634"/>
      <c r="J890" s="499" t="str">
        <f>Noty!J890</f>
        <v>ukryj</v>
      </c>
      <c r="K890" s="489"/>
    </row>
    <row r="891" spans="1:14" s="228" customFormat="1" ht="26.2" customHeight="1" x14ac:dyDescent="0.25">
      <c r="A891" s="440"/>
      <c r="B891" s="440"/>
      <c r="C891" s="1402" t="s">
        <v>11092</v>
      </c>
      <c r="D891" s="1402"/>
      <c r="E891" s="1402"/>
      <c r="F891" s="1402"/>
      <c r="G891" s="1402"/>
      <c r="H891" s="1402"/>
      <c r="I891" s="1402"/>
      <c r="J891" s="499" t="str">
        <f>Noty!J891</f>
        <v>ukryj</v>
      </c>
      <c r="K891" s="489"/>
    </row>
    <row r="892" spans="1:14" s="228" customFormat="1" ht="15.05" customHeight="1" x14ac:dyDescent="0.25">
      <c r="A892" s="440"/>
      <c r="B892" s="440"/>
      <c r="C892" s="441"/>
      <c r="D892" s="1403"/>
      <c r="E892" s="1403"/>
      <c r="F892" s="1403"/>
      <c r="G892" s="1403"/>
      <c r="H892" s="1403"/>
      <c r="I892" s="634"/>
      <c r="J892" s="499" t="str">
        <f>Noty!J892</f>
        <v>ukryj</v>
      </c>
      <c r="K892" s="489"/>
    </row>
    <row r="893" spans="1:14" s="228" customFormat="1" ht="15.05" customHeight="1" x14ac:dyDescent="0.25">
      <c r="A893" s="440"/>
      <c r="B893" s="440"/>
      <c r="C893" s="1402" t="s">
        <v>11093</v>
      </c>
      <c r="D893" s="1402"/>
      <c r="E893" s="1402"/>
      <c r="F893" s="1402"/>
      <c r="G893" s="1402"/>
      <c r="H893" s="1402"/>
      <c r="I893" s="1402"/>
      <c r="J893" s="499" t="str">
        <f>Noty!J893</f>
        <v>ukryj</v>
      </c>
      <c r="K893" s="489"/>
    </row>
    <row r="894" spans="1:14" s="228" customFormat="1" ht="15.05" customHeight="1" x14ac:dyDescent="0.25">
      <c r="A894" s="440"/>
      <c r="B894" s="440"/>
      <c r="C894" s="441"/>
      <c r="D894" s="705"/>
      <c r="E894" s="706"/>
      <c r="F894" s="706"/>
      <c r="G894" s="706"/>
      <c r="H894" s="706"/>
      <c r="I894" s="634"/>
      <c r="J894" s="499" t="str">
        <f>Noty!J894</f>
        <v>ukryj</v>
      </c>
      <c r="K894" s="489"/>
    </row>
    <row r="895" spans="1:14" s="228" customFormat="1" ht="40.6" customHeight="1" x14ac:dyDescent="0.25">
      <c r="A895" s="440"/>
      <c r="B895" s="440"/>
      <c r="C895" s="828" t="s">
        <v>11094</v>
      </c>
      <c r="D895" s="1404" t="s">
        <v>11095</v>
      </c>
      <c r="E895" s="1404"/>
      <c r="F895" s="1404" t="s">
        <v>11096</v>
      </c>
      <c r="G895" s="1404"/>
      <c r="H895" s="1404" t="s">
        <v>11097</v>
      </c>
      <c r="I895" s="1404"/>
      <c r="J895" s="499" t="str">
        <f>Noty!J895</f>
        <v>ukryj</v>
      </c>
      <c r="K895" s="489"/>
      <c r="L895" s="442"/>
    </row>
    <row r="896" spans="1:14" s="228" customFormat="1" ht="15.05" customHeight="1" x14ac:dyDescent="0.25">
      <c r="A896" s="440"/>
      <c r="B896" s="440"/>
      <c r="C896" s="548"/>
      <c r="D896" s="1319"/>
      <c r="E896" s="1319"/>
      <c r="F896" s="1513" t="str">
        <f>IF(Noty!F896="","",Noty!F896)</f>
        <v/>
      </c>
      <c r="G896" s="1319"/>
      <c r="H896" s="1319"/>
      <c r="I896" s="1319"/>
      <c r="J896" s="499" t="str">
        <f>Noty!J896</f>
        <v>ukryj</v>
      </c>
      <c r="K896" s="489"/>
      <c r="L896" s="440"/>
    </row>
    <row r="897" spans="1:12" s="228" customFormat="1" ht="15.05" customHeight="1" x14ac:dyDescent="0.25">
      <c r="A897" s="440"/>
      <c r="B897" s="440"/>
      <c r="C897" s="548"/>
      <c r="D897" s="1319"/>
      <c r="E897" s="1319"/>
      <c r="F897" s="1513" t="str">
        <f>IF(Noty!F897="","",Noty!F897)</f>
        <v/>
      </c>
      <c r="G897" s="1319"/>
      <c r="H897" s="1319"/>
      <c r="I897" s="1319"/>
      <c r="J897" s="499" t="str">
        <f>Noty!J897</f>
        <v>ukryj</v>
      </c>
      <c r="K897" s="489"/>
      <c r="L897" s="440"/>
    </row>
    <row r="898" spans="1:12" s="228" customFormat="1" ht="15.05" customHeight="1" x14ac:dyDescent="0.25">
      <c r="A898" s="440"/>
      <c r="B898" s="440"/>
      <c r="C898" s="548"/>
      <c r="D898" s="1319"/>
      <c r="E898" s="1319"/>
      <c r="F898" s="1513" t="str">
        <f>IF(Noty!F898="","",Noty!F898)</f>
        <v/>
      </c>
      <c r="G898" s="1319"/>
      <c r="H898" s="1319"/>
      <c r="I898" s="1319"/>
      <c r="J898" s="499" t="str">
        <f>Noty!J898</f>
        <v>ukryj</v>
      </c>
      <c r="K898" s="489"/>
      <c r="L898" s="440"/>
    </row>
    <row r="899" spans="1:12" s="228" customFormat="1" ht="15.05" customHeight="1" x14ac:dyDescent="0.25">
      <c r="A899" s="440"/>
      <c r="B899" s="440"/>
      <c r="C899" s="441"/>
      <c r="D899" s="191"/>
      <c r="E899" s="191"/>
      <c r="F899" s="191"/>
      <c r="G899" s="191"/>
      <c r="H899" s="706"/>
      <c r="I899" s="634"/>
      <c r="J899" s="499" t="str">
        <f>Noty!J899</f>
        <v>ukryj</v>
      </c>
      <c r="K899" s="489"/>
      <c r="L899" s="440"/>
    </row>
    <row r="900" spans="1:12" s="228" customFormat="1" ht="12.8" customHeight="1" x14ac:dyDescent="0.25">
      <c r="A900" s="440"/>
      <c r="B900" s="440"/>
      <c r="C900" s="1406" t="s">
        <v>11098</v>
      </c>
      <c r="D900" s="1406"/>
      <c r="E900" s="1406"/>
      <c r="F900" s="1406"/>
      <c r="G900" s="1406"/>
      <c r="H900" s="1406"/>
      <c r="I900" s="1406"/>
      <c r="J900" s="499" t="str">
        <f>Noty!J900</f>
        <v>ukryj</v>
      </c>
      <c r="K900" s="489"/>
      <c r="L900" s="440"/>
    </row>
    <row r="901" spans="1:12" s="228" customFormat="1" ht="15.05" customHeight="1" x14ac:dyDescent="0.25">
      <c r="A901" s="440"/>
      <c r="B901" s="440"/>
      <c r="C901" s="440"/>
      <c r="D901" s="705"/>
      <c r="E901" s="706"/>
      <c r="F901" s="706"/>
      <c r="G901" s="706"/>
      <c r="H901" s="706"/>
      <c r="I901" s="634"/>
      <c r="J901" s="499" t="str">
        <f>Noty!J901</f>
        <v>ukryj</v>
      </c>
      <c r="K901" s="489"/>
      <c r="L901" s="440"/>
    </row>
    <row r="902" spans="1:12" s="228" customFormat="1" ht="12.8" customHeight="1" x14ac:dyDescent="0.25">
      <c r="A902" s="440"/>
      <c r="B902" s="440"/>
      <c r="C902" s="1407" t="s">
        <v>11099</v>
      </c>
      <c r="D902" s="1407"/>
      <c r="E902" s="1404" t="s">
        <v>11100</v>
      </c>
      <c r="F902" s="1404" t="s">
        <v>11095</v>
      </c>
      <c r="G902" s="1404"/>
      <c r="H902" s="1404" t="s">
        <v>11101</v>
      </c>
      <c r="I902" s="1404"/>
      <c r="J902" s="499" t="str">
        <f>Noty!J902</f>
        <v>ukryj</v>
      </c>
      <c r="K902" s="489"/>
      <c r="L902" s="442"/>
    </row>
    <row r="903" spans="1:12" s="228" customFormat="1" ht="51.05" customHeight="1" x14ac:dyDescent="0.25">
      <c r="A903" s="440"/>
      <c r="B903" s="440"/>
      <c r="C903" s="1407"/>
      <c r="D903" s="1407"/>
      <c r="E903" s="1404"/>
      <c r="F903" s="1404"/>
      <c r="G903" s="1404"/>
      <c r="H903" s="827" t="s">
        <v>11102</v>
      </c>
      <c r="I903" s="827" t="s">
        <v>11103</v>
      </c>
      <c r="J903" s="499" t="str">
        <f>Noty!J903</f>
        <v>ukryj</v>
      </c>
      <c r="K903" s="489"/>
      <c r="L903" s="442"/>
    </row>
    <row r="904" spans="1:12" s="228" customFormat="1" ht="15.05" customHeight="1" x14ac:dyDescent="0.25">
      <c r="A904" s="440"/>
      <c r="B904" s="440"/>
      <c r="C904" s="1405"/>
      <c r="D904" s="1405"/>
      <c r="E904" s="703"/>
      <c r="F904" s="1319"/>
      <c r="G904" s="1319"/>
      <c r="H904" s="760" t="str">
        <f>IF(Noty!H904="","",Noty!H904)</f>
        <v/>
      </c>
      <c r="I904" s="703"/>
      <c r="J904" s="499" t="str">
        <f>Noty!J904</f>
        <v>ukryj</v>
      </c>
      <c r="K904" s="489"/>
      <c r="L904" s="444"/>
    </row>
    <row r="905" spans="1:12" s="228" customFormat="1" ht="15.05" customHeight="1" x14ac:dyDescent="0.25">
      <c r="A905" s="440"/>
      <c r="B905" s="440"/>
      <c r="C905" s="1405"/>
      <c r="D905" s="1405"/>
      <c r="E905" s="703"/>
      <c r="F905" s="1319"/>
      <c r="G905" s="1319"/>
      <c r="H905" s="760" t="str">
        <f>IF(Noty!H905="","",Noty!H905)</f>
        <v/>
      </c>
      <c r="I905" s="703"/>
      <c r="J905" s="499" t="str">
        <f>Noty!J905</f>
        <v>ukryj</v>
      </c>
      <c r="K905" s="489"/>
      <c r="L905" s="444"/>
    </row>
    <row r="906" spans="1:12" s="228" customFormat="1" ht="15.05" customHeight="1" x14ac:dyDescent="0.25">
      <c r="A906" s="440"/>
      <c r="B906" s="440"/>
      <c r="C906" s="1405"/>
      <c r="D906" s="1405"/>
      <c r="E906" s="703"/>
      <c r="F906" s="1319"/>
      <c r="G906" s="1319"/>
      <c r="H906" s="760" t="str">
        <f>IF(Noty!H906="","",Noty!H906)</f>
        <v/>
      </c>
      <c r="I906" s="703"/>
      <c r="J906" s="499" t="str">
        <f>Noty!J906</f>
        <v>ukryj</v>
      </c>
      <c r="K906" s="489"/>
      <c r="L906" s="444"/>
    </row>
    <row r="907" spans="1:12" s="228" customFormat="1" ht="15.05" customHeight="1" x14ac:dyDescent="0.25">
      <c r="A907" s="440"/>
      <c r="B907" s="440"/>
      <c r="C907" s="440"/>
      <c r="D907" s="191"/>
      <c r="E907" s="191"/>
      <c r="F907" s="191"/>
      <c r="G907" s="191"/>
      <c r="H907" s="191"/>
      <c r="I907" s="634"/>
      <c r="J907" s="499" t="str">
        <f>Noty!J907</f>
        <v>ukryj</v>
      </c>
      <c r="K907" s="489"/>
      <c r="L907" s="443"/>
    </row>
    <row r="908" spans="1:12" s="228" customFormat="1" ht="38.950000000000003" customHeight="1" x14ac:dyDescent="0.25">
      <c r="A908" s="826"/>
      <c r="B908" s="826"/>
      <c r="C908" s="1402" t="s">
        <v>11104</v>
      </c>
      <c r="D908" s="1402"/>
      <c r="E908" s="1402"/>
      <c r="F908" s="1402"/>
      <c r="G908" s="1402"/>
      <c r="H908" s="1402"/>
      <c r="I908" s="1402"/>
      <c r="J908" s="499" t="str">
        <f>Noty!J908</f>
        <v>ukryj</v>
      </c>
      <c r="K908" s="489"/>
      <c r="L908" s="440"/>
    </row>
    <row r="909" spans="1:12" s="228" customFormat="1" ht="15.05" customHeight="1" x14ac:dyDescent="0.25">
      <c r="A909" s="440"/>
      <c r="B909" s="440"/>
      <c r="C909" s="440"/>
      <c r="D909" s="705"/>
      <c r="E909" s="706"/>
      <c r="F909" s="706"/>
      <c r="G909" s="706"/>
      <c r="H909" s="706"/>
      <c r="I909" s="634"/>
      <c r="J909" s="499" t="str">
        <f>Noty!J909</f>
        <v>ukryj</v>
      </c>
      <c r="K909" s="489"/>
      <c r="L909" s="440"/>
    </row>
    <row r="910" spans="1:12" s="228" customFormat="1" ht="39.799999999999997" customHeight="1" x14ac:dyDescent="0.25">
      <c r="A910" s="440"/>
      <c r="B910" s="440"/>
      <c r="C910" s="1474" t="s">
        <v>11105</v>
      </c>
      <c r="D910" s="1474"/>
      <c r="E910" s="1475" t="s">
        <v>11106</v>
      </c>
      <c r="F910" s="1475"/>
      <c r="G910" s="1475" t="s">
        <v>11107</v>
      </c>
      <c r="H910" s="1475"/>
      <c r="I910" s="1475"/>
      <c r="J910" s="499" t="str">
        <f>Noty!J910</f>
        <v>ukryj</v>
      </c>
      <c r="K910" s="489"/>
      <c r="L910" s="442"/>
    </row>
    <row r="911" spans="1:12" s="228" customFormat="1" ht="33.75" customHeight="1" x14ac:dyDescent="0.25">
      <c r="A911" s="440"/>
      <c r="B911" s="440"/>
      <c r="C911" s="829" t="s">
        <v>11108</v>
      </c>
      <c r="D911" s="830" t="s">
        <v>11109</v>
      </c>
      <c r="E911" s="1475"/>
      <c r="F911" s="1475"/>
      <c r="G911" s="1475"/>
      <c r="H911" s="1475"/>
      <c r="I911" s="1475"/>
      <c r="J911" s="499" t="str">
        <f>Noty!J911</f>
        <v>ukryj</v>
      </c>
      <c r="K911" s="489"/>
      <c r="L911" s="442"/>
    </row>
    <row r="912" spans="1:12" s="228" customFormat="1" ht="15.05" customHeight="1" x14ac:dyDescent="0.25">
      <c r="A912" s="440"/>
      <c r="B912" s="440"/>
      <c r="C912" s="1154" t="str">
        <f>IF(Noty!C912="","",Noty!C912)</f>
        <v/>
      </c>
      <c r="D912" s="760" t="str">
        <f>IF(Noty!D912="","",Noty!D912)</f>
        <v/>
      </c>
      <c r="E912" s="1513" t="str">
        <f>IF(Noty!E912="","",Noty!E912)</f>
        <v/>
      </c>
      <c r="F912" s="1319"/>
      <c r="G912" s="1513" t="str">
        <f>IF(Noty!G912="","",Noty!G912)</f>
        <v/>
      </c>
      <c r="H912" s="1319"/>
      <c r="I912" s="1319"/>
      <c r="J912" s="499" t="str">
        <f>Noty!J912</f>
        <v>ukryj</v>
      </c>
      <c r="K912" s="489"/>
      <c r="L912" s="440"/>
    </row>
    <row r="913" spans="1:14" s="228" customFormat="1" ht="15.05" customHeight="1" x14ac:dyDescent="0.25">
      <c r="A913" s="440"/>
      <c r="B913" s="440"/>
      <c r="C913" s="1154" t="str">
        <f>IF(Noty!C913="","",Noty!C913)</f>
        <v/>
      </c>
      <c r="D913" s="760" t="str">
        <f>IF(Noty!D913="","",Noty!D913)</f>
        <v/>
      </c>
      <c r="E913" s="1513" t="str">
        <f>IF(Noty!E913="","",Noty!E913)</f>
        <v/>
      </c>
      <c r="F913" s="1319"/>
      <c r="G913" s="1513" t="str">
        <f>IF(Noty!G913="","",Noty!G913)</f>
        <v/>
      </c>
      <c r="H913" s="1319"/>
      <c r="I913" s="1319"/>
      <c r="J913" s="499" t="str">
        <f>Noty!J913</f>
        <v>ukryj</v>
      </c>
      <c r="K913" s="489"/>
      <c r="L913" s="440"/>
    </row>
    <row r="914" spans="1:14" s="228" customFormat="1" ht="15.05" customHeight="1" thickBot="1" x14ac:dyDescent="0.3">
      <c r="A914" s="440"/>
      <c r="B914" s="440"/>
      <c r="C914" s="440"/>
      <c r="D914" s="707"/>
      <c r="E914" s="707"/>
      <c r="F914" s="707"/>
      <c r="G914" s="1473"/>
      <c r="H914" s="1473"/>
      <c r="I914" s="634"/>
      <c r="J914" s="499" t="str">
        <f>Noty!J914</f>
        <v>ukryj</v>
      </c>
      <c r="K914" s="489"/>
      <c r="L914" s="440"/>
    </row>
    <row r="915" spans="1:14" s="200" customFormat="1" ht="15.05" customHeight="1" thickTop="1" thickBot="1" x14ac:dyDescent="0.35">
      <c r="A915" s="1180">
        <f>IF(K915="n/a",A889,A889+1)</f>
        <v>1</v>
      </c>
      <c r="B915" s="1182"/>
      <c r="C915" s="1388" t="s">
        <v>11110</v>
      </c>
      <c r="D915" s="1388"/>
      <c r="E915" s="1388"/>
      <c r="F915" s="1388"/>
      <c r="G915" s="1388"/>
      <c r="H915" s="1388"/>
      <c r="I915" s="1388"/>
      <c r="J915" s="499" t="str">
        <f>Noty!J915</f>
        <v>ukryj</v>
      </c>
      <c r="K915" s="585" t="str">
        <f>Noty!K915</f>
        <v>n/a</v>
      </c>
      <c r="L915" s="496" t="str">
        <f>A915&amp;"."&amp;B915</f>
        <v>1.</v>
      </c>
      <c r="N915" s="1101" t="s">
        <v>9378</v>
      </c>
    </row>
    <row r="916" spans="1:14" s="200" customFormat="1" ht="15.05" customHeight="1" thickTop="1" thickBot="1" x14ac:dyDescent="0.3">
      <c r="A916" s="508"/>
      <c r="B916" s="520"/>
      <c r="C916" s="195"/>
      <c r="D916" s="195"/>
      <c r="E916" s="196"/>
      <c r="F916" s="196"/>
      <c r="G916" s="196"/>
      <c r="H916" s="196"/>
      <c r="I916" s="196"/>
      <c r="J916" s="499" t="str">
        <f>Noty!J916</f>
        <v>ukryj</v>
      </c>
      <c r="K916" s="489"/>
      <c r="L916" s="257"/>
    </row>
    <row r="917" spans="1:14" s="200" customFormat="1" ht="15.05" customHeight="1" thickTop="1" thickBot="1" x14ac:dyDescent="0.35">
      <c r="A917" s="1183">
        <f>A915</f>
        <v>1</v>
      </c>
      <c r="B917" s="1184">
        <f>IF(K917="n/a",0,1)</f>
        <v>0</v>
      </c>
      <c r="C917" s="1389" t="s">
        <v>11111</v>
      </c>
      <c r="D917" s="1389"/>
      <c r="E917" s="1389"/>
      <c r="F917" s="1389"/>
      <c r="G917" s="1389"/>
      <c r="H917" s="1389"/>
      <c r="I917" s="1389"/>
      <c r="J917" s="499" t="str">
        <f>Noty!J917</f>
        <v>ukryj</v>
      </c>
      <c r="K917" s="585" t="str">
        <f>Noty!K917</f>
        <v>n/a</v>
      </c>
      <c r="L917" s="188" t="str">
        <f>A917&amp;"."&amp;B917</f>
        <v>1.0</v>
      </c>
      <c r="N917" s="1101" t="s">
        <v>9378</v>
      </c>
    </row>
    <row r="918" spans="1:14" s="200" customFormat="1" ht="25.55" customHeight="1" thickTop="1" x14ac:dyDescent="0.25">
      <c r="A918" s="509"/>
      <c r="B918" s="520"/>
      <c r="E918" s="196"/>
      <c r="F918" s="196"/>
      <c r="G918" s="251"/>
      <c r="H918" s="999" t="str">
        <f>IF(Noty!H918="","",Noty!H918)</f>
        <v>01.01.2020 -31.12.2020</v>
      </c>
      <c r="I918" s="999" t="str">
        <f>IF(Noty!I918="","",Noty!I918)</f>
        <v>01.01.2019 -31.12.2019</v>
      </c>
      <c r="J918" s="499" t="str">
        <f>Noty!J918</f>
        <v>ukryj</v>
      </c>
      <c r="K918" s="489"/>
    </row>
    <row r="919" spans="1:14" s="200" customFormat="1" ht="13.6" customHeight="1" x14ac:dyDescent="0.25">
      <c r="A919" s="509"/>
      <c r="B919" s="520"/>
      <c r="E919" s="196"/>
      <c r="F919" s="196"/>
      <c r="G919" s="196"/>
      <c r="H919" s="196"/>
      <c r="I919" s="196"/>
      <c r="J919" s="499" t="str">
        <f>Noty!J919</f>
        <v>ukryj</v>
      </c>
      <c r="K919" s="489"/>
    </row>
    <row r="920" spans="1:14" s="200" customFormat="1" ht="30.8" customHeight="1" x14ac:dyDescent="0.25">
      <c r="A920" s="509"/>
      <c r="B920" s="520"/>
      <c r="C920" s="1427" t="s">
        <v>11112</v>
      </c>
      <c r="D920" s="1427"/>
      <c r="E920" s="1427"/>
      <c r="F920" s="1427"/>
      <c r="G920" s="196"/>
      <c r="H920" s="192"/>
      <c r="I920" s="192"/>
      <c r="J920" s="499" t="str">
        <f>Noty!J920</f>
        <v>ukryj</v>
      </c>
      <c r="K920" s="489"/>
      <c r="L920" s="372"/>
    </row>
    <row r="921" spans="1:14" s="200" customFormat="1" ht="13.6" customHeight="1" x14ac:dyDescent="0.25">
      <c r="A921" s="509"/>
      <c r="B921" s="520"/>
      <c r="C921" s="1408"/>
      <c r="D921" s="1408"/>
      <c r="E921" s="1408"/>
      <c r="F921" s="1408"/>
      <c r="G921" s="1011"/>
      <c r="H921" s="800" t="str">
        <f>IF(Noty!H921="","",Noty!H921)</f>
        <v/>
      </c>
      <c r="I921" s="800" t="str">
        <f>IF(Noty!I921="","",Noty!I921)</f>
        <v/>
      </c>
      <c r="J921" s="499" t="str">
        <f>Noty!J921</f>
        <v>ukryj</v>
      </c>
      <c r="K921" s="489"/>
    </row>
    <row r="922" spans="1:14" s="200" customFormat="1" ht="13.6" customHeight="1" x14ac:dyDescent="0.25">
      <c r="A922" s="509"/>
      <c r="B922" s="520"/>
      <c r="C922" s="1408"/>
      <c r="D922" s="1408"/>
      <c r="E922" s="1408"/>
      <c r="F922" s="1408"/>
      <c r="G922" s="1011"/>
      <c r="H922" s="800" t="str">
        <f>IF(Noty!H922="","",Noty!H922)</f>
        <v/>
      </c>
      <c r="I922" s="800" t="str">
        <f>IF(Noty!I922="","",Noty!I922)</f>
        <v/>
      </c>
      <c r="J922" s="499" t="str">
        <f>Noty!J922</f>
        <v>ukryj</v>
      </c>
      <c r="K922" s="489"/>
    </row>
    <row r="923" spans="1:14" s="200" customFormat="1" ht="13.6" customHeight="1" x14ac:dyDescent="0.25">
      <c r="A923" s="509"/>
      <c r="B923" s="520"/>
      <c r="C923" s="841"/>
      <c r="D923" s="841"/>
      <c r="E923" s="841"/>
      <c r="F923" s="202"/>
      <c r="G923" s="251"/>
      <c r="H923" s="803">
        <f>IF(Noty!H923="","",Noty!H923)</f>
        <v>0</v>
      </c>
      <c r="I923" s="803">
        <f>IF(Noty!I923="","",Noty!I923)</f>
        <v>0</v>
      </c>
      <c r="J923" s="499" t="str">
        <f>Noty!J923</f>
        <v>ukryj</v>
      </c>
      <c r="K923" s="489"/>
    </row>
    <row r="924" spans="1:14" s="200" customFormat="1" ht="29.95" customHeight="1" x14ac:dyDescent="0.25">
      <c r="A924" s="509"/>
      <c r="B924" s="520"/>
      <c r="C924" s="1427" t="s">
        <v>11113</v>
      </c>
      <c r="D924" s="1427"/>
      <c r="E924" s="1427"/>
      <c r="F924" s="1427"/>
      <c r="G924" s="831"/>
      <c r="H924" s="192"/>
      <c r="I924" s="192"/>
      <c r="J924" s="499" t="str">
        <f>Noty!J924</f>
        <v>ukryj</v>
      </c>
      <c r="K924" s="489"/>
      <c r="L924" s="372"/>
    </row>
    <row r="925" spans="1:14" s="200" customFormat="1" ht="13.6" customHeight="1" x14ac:dyDescent="0.25">
      <c r="A925" s="509"/>
      <c r="B925" s="520"/>
      <c r="C925" s="1386" t="s">
        <v>11114</v>
      </c>
      <c r="D925" s="1386"/>
      <c r="E925" s="1386"/>
      <c r="F925" s="1386"/>
      <c r="G925" s="251"/>
      <c r="H925" s="800" t="str">
        <f>IF(Noty!H925="","",Noty!H925)</f>
        <v/>
      </c>
      <c r="I925" s="800" t="str">
        <f>IF(Noty!I925="","",Noty!I925)</f>
        <v/>
      </c>
      <c r="J925" s="499" t="str">
        <f>Noty!J925</f>
        <v>ukryj</v>
      </c>
      <c r="K925" s="489"/>
      <c r="L925" s="372"/>
    </row>
    <row r="926" spans="1:14" s="200" customFormat="1" ht="13.6" customHeight="1" x14ac:dyDescent="0.25">
      <c r="A926" s="509"/>
      <c r="B926" s="520"/>
      <c r="C926" s="1386" t="s">
        <v>11115</v>
      </c>
      <c r="D926" s="1386"/>
      <c r="E926" s="1386"/>
      <c r="F926" s="1386"/>
      <c r="G926" s="251"/>
      <c r="H926" s="800" t="str">
        <f>IF(Noty!H926="","",Noty!H926)</f>
        <v/>
      </c>
      <c r="I926" s="800" t="str">
        <f>IF(Noty!I926="","",Noty!I926)</f>
        <v/>
      </c>
      <c r="J926" s="499" t="str">
        <f>Noty!J926</f>
        <v>ukryj</v>
      </c>
      <c r="K926" s="489"/>
    </row>
    <row r="927" spans="1:14" s="200" customFormat="1" ht="13.6" customHeight="1" x14ac:dyDescent="0.25">
      <c r="A927" s="509"/>
      <c r="B927" s="520"/>
      <c r="C927" s="195"/>
      <c r="D927" s="195"/>
      <c r="E927" s="196"/>
      <c r="F927" s="196"/>
      <c r="G927" s="251"/>
      <c r="H927" s="803">
        <f>IF(Noty!H927="","",Noty!H927)</f>
        <v>0</v>
      </c>
      <c r="I927" s="803">
        <f>IF(Noty!I927="","",Noty!I927)</f>
        <v>0</v>
      </c>
      <c r="J927" s="499" t="str">
        <f>Noty!J927</f>
        <v>ukryj</v>
      </c>
      <c r="K927" s="489"/>
    </row>
    <row r="928" spans="1:14" s="200" customFormat="1" ht="13.6" customHeight="1" x14ac:dyDescent="0.25">
      <c r="A928" s="509"/>
      <c r="B928" s="520"/>
      <c r="C928" s="195"/>
      <c r="D928" s="195"/>
      <c r="E928" s="196"/>
      <c r="F928" s="196"/>
      <c r="G928" s="196"/>
      <c r="H928" s="196"/>
      <c r="I928" s="377"/>
      <c r="J928" s="499" t="str">
        <f>Noty!J928</f>
        <v>ukryj</v>
      </c>
      <c r="K928" s="489"/>
    </row>
    <row r="929" spans="1:14" s="200" customFormat="1" ht="27.85" customHeight="1" x14ac:dyDescent="0.25">
      <c r="A929" s="509"/>
      <c r="B929" s="520"/>
      <c r="C929" s="1413" t="s">
        <v>11116</v>
      </c>
      <c r="D929" s="1413"/>
      <c r="E929" s="1413"/>
      <c r="F929" s="1413"/>
      <c r="G929" s="1413"/>
      <c r="H929" s="1413"/>
      <c r="I929" s="1413"/>
      <c r="J929" s="499" t="str">
        <f>Noty!J929</f>
        <v>ukryj</v>
      </c>
      <c r="K929" s="489"/>
    </row>
    <row r="930" spans="1:14" s="200" customFormat="1" ht="13.6" customHeight="1" thickBot="1" x14ac:dyDescent="0.3">
      <c r="A930" s="509"/>
      <c r="B930" s="520"/>
      <c r="C930" s="195"/>
      <c r="D930" s="195"/>
      <c r="E930" s="196"/>
      <c r="F930" s="196"/>
      <c r="G930" s="196"/>
      <c r="H930" s="196"/>
      <c r="I930" s="191"/>
      <c r="J930" s="499" t="str">
        <f>Noty!J930</f>
        <v>ukryj</v>
      </c>
      <c r="K930" s="489"/>
    </row>
    <row r="931" spans="1:14" s="200" customFormat="1" ht="16.399999999999999" thickTop="1" thickBot="1" x14ac:dyDescent="0.35">
      <c r="A931" s="1183">
        <f>A915</f>
        <v>1</v>
      </c>
      <c r="B931" s="1184">
        <f>+IF(K931="n/a",B917,B917+1)</f>
        <v>0</v>
      </c>
      <c r="C931" s="1282" t="s">
        <v>11117</v>
      </c>
      <c r="D931" s="1282"/>
      <c r="E931" s="1282"/>
      <c r="F931" s="1282"/>
      <c r="G931" s="1282"/>
      <c r="H931" s="1282"/>
      <c r="I931" s="1282"/>
      <c r="J931" s="499" t="str">
        <f>Noty!J931</f>
        <v>ukryj</v>
      </c>
      <c r="K931" s="585" t="str">
        <f>Noty!K931</f>
        <v>n/a</v>
      </c>
      <c r="L931" s="188" t="str">
        <f>A931&amp;"."&amp;B931</f>
        <v>1.0</v>
      </c>
      <c r="N931" s="1101" t="s">
        <v>9378</v>
      </c>
    </row>
    <row r="932" spans="1:14" s="200" customFormat="1" ht="13.6" customHeight="1" thickTop="1" x14ac:dyDescent="0.25">
      <c r="A932" s="508"/>
      <c r="B932" s="520"/>
      <c r="C932" s="195"/>
      <c r="D932" s="195"/>
      <c r="E932" s="196"/>
      <c r="F932" s="196"/>
      <c r="G932" s="196"/>
      <c r="H932" s="196"/>
      <c r="I932" s="191"/>
      <c r="J932" s="499" t="str">
        <f>Noty!J932</f>
        <v>ukryj</v>
      </c>
      <c r="K932" s="489"/>
    </row>
    <row r="933" spans="1:14" s="200" customFormat="1" ht="25.55" customHeight="1" x14ac:dyDescent="0.25">
      <c r="A933" s="508"/>
      <c r="B933" s="520"/>
      <c r="E933" s="196"/>
      <c r="F933" s="196"/>
      <c r="G933" s="251"/>
      <c r="H933" s="999" t="str">
        <f>IF(Noty!H933="","",Noty!H933)</f>
        <v>01.01.2020 -31.12.2020</v>
      </c>
      <c r="I933" s="999" t="str">
        <f>IF(Noty!I933="","",Noty!I933)</f>
        <v>01.01.2019 -31.12.2019</v>
      </c>
      <c r="J933" s="499" t="str">
        <f>Noty!J933</f>
        <v>ukryj</v>
      </c>
      <c r="K933" s="489"/>
    </row>
    <row r="934" spans="1:14" s="200" customFormat="1" ht="13.6" customHeight="1" x14ac:dyDescent="0.25">
      <c r="A934" s="508"/>
      <c r="B934" s="520"/>
      <c r="E934" s="196"/>
      <c r="F934" s="196"/>
      <c r="G934" s="196"/>
      <c r="H934" s="196"/>
      <c r="I934" s="196"/>
      <c r="J934" s="499" t="str">
        <f>Noty!J934</f>
        <v>ukryj</v>
      </c>
      <c r="K934" s="489"/>
    </row>
    <row r="935" spans="1:14" s="200" customFormat="1" ht="13.6" customHeight="1" x14ac:dyDescent="0.25">
      <c r="A935" s="508"/>
      <c r="B935" s="520"/>
      <c r="C935" s="185" t="s">
        <v>11118</v>
      </c>
      <c r="D935" s="185"/>
      <c r="E935" s="185"/>
      <c r="F935" s="185"/>
      <c r="H935" s="549"/>
      <c r="I935" s="549"/>
      <c r="J935" s="499" t="str">
        <f>Noty!J935</f>
        <v>ukryj</v>
      </c>
      <c r="K935" s="489"/>
      <c r="L935" s="372"/>
    </row>
    <row r="936" spans="1:14" s="200" customFormat="1" ht="13.6" customHeight="1" x14ac:dyDescent="0.25">
      <c r="A936" s="508"/>
      <c r="B936" s="520"/>
      <c r="C936" s="1408"/>
      <c r="D936" s="1408"/>
      <c r="E936" s="1408"/>
      <c r="F936" s="1408"/>
      <c r="G936" s="1011"/>
      <c r="H936" s="800" t="str">
        <f>IF(Noty!H936="","",Noty!H936)</f>
        <v/>
      </c>
      <c r="I936" s="800" t="str">
        <f>IF(Noty!I936="","",Noty!I936)</f>
        <v/>
      </c>
      <c r="J936" s="499" t="str">
        <f>Noty!J936</f>
        <v>ukryj</v>
      </c>
      <c r="K936" s="489"/>
    </row>
    <row r="937" spans="1:14" s="200" customFormat="1" ht="13.6" customHeight="1" x14ac:dyDescent="0.25">
      <c r="A937" s="508"/>
      <c r="B937" s="520"/>
      <c r="C937" s="1408"/>
      <c r="D937" s="1408"/>
      <c r="E937" s="1408"/>
      <c r="F937" s="1408"/>
      <c r="G937" s="1011"/>
      <c r="H937" s="1103" t="str">
        <f>IF(Noty!H937="","",Noty!H937)</f>
        <v/>
      </c>
      <c r="I937" s="1103" t="str">
        <f>IF(Noty!I937="","",Noty!I937)</f>
        <v/>
      </c>
      <c r="J937" s="499" t="str">
        <f>Noty!J937</f>
        <v>ukryj</v>
      </c>
      <c r="K937" s="489"/>
    </row>
    <row r="938" spans="1:14" s="200" customFormat="1" ht="13.6" customHeight="1" x14ac:dyDescent="0.25">
      <c r="A938" s="508"/>
      <c r="B938" s="520"/>
      <c r="C938" s="967"/>
      <c r="D938" s="581"/>
      <c r="E938" s="581"/>
      <c r="F938" s="581"/>
      <c r="G938" s="9"/>
      <c r="H938" s="803">
        <f>IF(Noty!H938="","",Noty!H938)</f>
        <v>0</v>
      </c>
      <c r="I938" s="803">
        <f>IF(Noty!I938="","",Noty!I938)</f>
        <v>0</v>
      </c>
      <c r="J938" s="499" t="str">
        <f>Noty!J938</f>
        <v>ukryj</v>
      </c>
      <c r="K938" s="489"/>
    </row>
    <row r="939" spans="1:14" s="200" customFormat="1" ht="13.6" customHeight="1" x14ac:dyDescent="0.25">
      <c r="A939" s="508"/>
      <c r="B939" s="520"/>
      <c r="C939" s="185" t="s">
        <v>11119</v>
      </c>
      <c r="D939" s="185"/>
      <c r="E939" s="185"/>
      <c r="F939" s="185"/>
      <c r="H939" s="549"/>
      <c r="I939" s="549"/>
      <c r="J939" s="499" t="str">
        <f>Noty!J939</f>
        <v>ukryj</v>
      </c>
      <c r="K939" s="489"/>
      <c r="L939" s="372"/>
    </row>
    <row r="940" spans="1:14" s="200" customFormat="1" ht="13.6" customHeight="1" x14ac:dyDescent="0.25">
      <c r="A940" s="508"/>
      <c r="B940" s="520"/>
      <c r="C940" s="1408"/>
      <c r="D940" s="1408"/>
      <c r="E940" s="1408"/>
      <c r="F940" s="1408"/>
      <c r="G940" s="1011"/>
      <c r="H940" s="800" t="str">
        <f>IF(Noty!H940="","",Noty!H940)</f>
        <v/>
      </c>
      <c r="I940" s="800" t="str">
        <f>IF(Noty!I940="","",Noty!I940)</f>
        <v/>
      </c>
      <c r="J940" s="499" t="str">
        <f>Noty!J940</f>
        <v>ukryj</v>
      </c>
      <c r="K940" s="489"/>
      <c r="L940" s="372"/>
    </row>
    <row r="941" spans="1:14" s="200" customFormat="1" ht="13.6" customHeight="1" x14ac:dyDescent="0.25">
      <c r="A941" s="508"/>
      <c r="B941" s="520"/>
      <c r="C941" s="1408"/>
      <c r="D941" s="1408"/>
      <c r="E941" s="1408"/>
      <c r="F941" s="1408"/>
      <c r="G941" s="1011"/>
      <c r="H941" s="1103" t="str">
        <f>IF(Noty!H941="","",Noty!H941)</f>
        <v/>
      </c>
      <c r="I941" s="1103" t="str">
        <f>IF(Noty!I941="","",Noty!I941)</f>
        <v/>
      </c>
      <c r="J941" s="499" t="str">
        <f>Noty!J941</f>
        <v>ukryj</v>
      </c>
      <c r="K941" s="489"/>
    </row>
    <row r="942" spans="1:14" s="200" customFormat="1" ht="13.6" customHeight="1" x14ac:dyDescent="0.25">
      <c r="A942" s="508"/>
      <c r="B942" s="520"/>
      <c r="C942" s="204"/>
      <c r="D942" s="204"/>
      <c r="G942" s="9"/>
      <c r="H942" s="803">
        <f>IF(Noty!H942="","",Noty!H942)</f>
        <v>0</v>
      </c>
      <c r="I942" s="803">
        <f>IF(Noty!I942="","",Noty!I942)</f>
        <v>0</v>
      </c>
      <c r="J942" s="499" t="str">
        <f>Noty!J942</f>
        <v>ukryj</v>
      </c>
      <c r="K942" s="489"/>
    </row>
    <row r="943" spans="1:14" s="200" customFormat="1" ht="13.6" customHeight="1" x14ac:dyDescent="0.25">
      <c r="A943" s="508"/>
      <c r="B943" s="520"/>
      <c r="C943" s="195"/>
      <c r="D943" s="195"/>
      <c r="E943" s="196"/>
      <c r="F943" s="196"/>
      <c r="G943" s="196"/>
      <c r="H943" s="196"/>
      <c r="I943" s="196"/>
      <c r="J943" s="499" t="str">
        <f>Noty!J943</f>
        <v>ukryj</v>
      </c>
      <c r="K943" s="489"/>
    </row>
    <row r="944" spans="1:14" s="200" customFormat="1" ht="28.5" customHeight="1" x14ac:dyDescent="0.25">
      <c r="A944" s="508"/>
      <c r="B944" s="520"/>
      <c r="C944" s="1413" t="s">
        <v>11120</v>
      </c>
      <c r="D944" s="1413"/>
      <c r="E944" s="1413"/>
      <c r="F944" s="1413"/>
      <c r="G944" s="1413"/>
      <c r="H944" s="1413"/>
      <c r="I944" s="1413"/>
      <c r="J944" s="499" t="str">
        <f>Noty!J944</f>
        <v>ukryj</v>
      </c>
      <c r="K944" s="489"/>
    </row>
    <row r="945" spans="1:15" s="200" customFormat="1" ht="13.6" customHeight="1" thickBot="1" x14ac:dyDescent="0.3">
      <c r="A945" s="508"/>
      <c r="B945" s="520"/>
      <c r="C945" s="195"/>
      <c r="D945" s="195"/>
      <c r="E945" s="196"/>
      <c r="F945" s="196"/>
      <c r="G945" s="196"/>
      <c r="H945" s="196"/>
      <c r="I945" s="196"/>
      <c r="J945" s="499" t="str">
        <f>Noty!J945</f>
        <v>ukryj</v>
      </c>
      <c r="K945" s="489"/>
    </row>
    <row r="946" spans="1:15" s="200" customFormat="1" ht="13.6" customHeight="1" thickTop="1" thickBot="1" x14ac:dyDescent="0.35">
      <c r="A946" s="1188">
        <f>IF(K946="n/a",A931,A931+1)</f>
        <v>1</v>
      </c>
      <c r="B946" s="1189"/>
      <c r="C946" s="1415" t="s">
        <v>11121</v>
      </c>
      <c r="D946" s="1415"/>
      <c r="E946" s="1415"/>
      <c r="F946" s="1415"/>
      <c r="G946" s="1415"/>
      <c r="H946" s="1415"/>
      <c r="I946" s="1415"/>
      <c r="J946" s="499" t="str">
        <f>Noty!J946</f>
        <v>ukryj</v>
      </c>
      <c r="K946" s="1137" t="str">
        <f>Noty!K946</f>
        <v>n/a</v>
      </c>
      <c r="L946" s="1130" t="str">
        <f>A946&amp;"."&amp;B946</f>
        <v>1.</v>
      </c>
      <c r="N946" s="1138" t="s">
        <v>9378</v>
      </c>
      <c r="O946" s="200" t="str">
        <f>A946&amp;"."&amp;B946</f>
        <v>1.</v>
      </c>
    </row>
    <row r="947" spans="1:15" s="200" customFormat="1" ht="13.6" customHeight="1" thickTop="1" x14ac:dyDescent="0.25">
      <c r="A947" s="508"/>
      <c r="B947" s="520"/>
      <c r="C947" s="195"/>
      <c r="D947" s="195"/>
      <c r="E947" s="196"/>
      <c r="F947" s="196"/>
      <c r="G947" s="196"/>
      <c r="H947" s="196"/>
      <c r="I947" s="196"/>
      <c r="J947" s="499" t="str">
        <f>Noty!J947</f>
        <v>ukryj</v>
      </c>
      <c r="K947" s="489"/>
    </row>
    <row r="948" spans="1:15" s="200" customFormat="1" ht="25.55" x14ac:dyDescent="0.25">
      <c r="A948" s="508"/>
      <c r="B948" s="520"/>
      <c r="C948" s="195"/>
      <c r="D948" s="195"/>
      <c r="E948" s="196"/>
      <c r="F948" s="196"/>
      <c r="G948" s="196"/>
      <c r="H948" s="1133" t="str">
        <f>Noty!H948</f>
        <v>01.01.2020 - 31.12.2020</v>
      </c>
      <c r="I948" s="1133" t="str">
        <f>Noty!I948</f>
        <v>01.01.2019 - 31.12.2019</v>
      </c>
      <c r="J948" s="499" t="str">
        <f>Noty!J948</f>
        <v>ukryj</v>
      </c>
      <c r="K948" s="489"/>
    </row>
    <row r="949" spans="1:15" s="200" customFormat="1" ht="13.6" customHeight="1" x14ac:dyDescent="0.25">
      <c r="A949" s="508"/>
      <c r="B949" s="520"/>
      <c r="C949" s="1130" t="s">
        <v>11122</v>
      </c>
      <c r="D949" s="195"/>
      <c r="E949" s="196"/>
      <c r="F949" s="196"/>
      <c r="G949" s="196"/>
      <c r="H949" s="1136" t="str">
        <f>IF(Noty!$H$949="","",Noty!$H$949)</f>
        <v/>
      </c>
      <c r="I949" s="1136" t="str">
        <f>IF(Noty!$I$949="","",Noty!$I$949)</f>
        <v/>
      </c>
      <c r="J949" s="1135" t="str">
        <f>Noty!J949</f>
        <v>ukryj</v>
      </c>
      <c r="K949" s="489"/>
    </row>
    <row r="950" spans="1:15" s="200" customFormat="1" ht="13.6" customHeight="1" x14ac:dyDescent="0.3">
      <c r="A950" s="508"/>
      <c r="B950" s="520"/>
      <c r="C950" s="1130"/>
      <c r="D950" s="195"/>
      <c r="E950" s="196"/>
      <c r="F950" s="196"/>
      <c r="G950" s="196"/>
      <c r="H950"/>
      <c r="I950"/>
      <c r="J950" s="1135" t="str">
        <f>Noty!J950</f>
        <v>ukryj</v>
      </c>
      <c r="K950" s="489"/>
    </row>
    <row r="951" spans="1:15" s="200" customFormat="1" ht="13.6" customHeight="1" x14ac:dyDescent="0.25">
      <c r="A951" s="508"/>
      <c r="B951" s="520"/>
      <c r="C951" s="1130" t="s">
        <v>11123</v>
      </c>
      <c r="D951" s="195"/>
      <c r="E951" s="196"/>
      <c r="F951" s="196"/>
      <c r="G951" s="196"/>
      <c r="H951" s="1136" t="str">
        <f>IF(Noty!$H$951="","",Noty!$H$951)</f>
        <v/>
      </c>
      <c r="I951" s="1136" t="str">
        <f>IF(Noty!$I$951="","",Noty!$I$951)</f>
        <v/>
      </c>
      <c r="J951" s="1135" t="str">
        <f>Noty!J951</f>
        <v>ukryj</v>
      </c>
      <c r="K951" s="489"/>
    </row>
    <row r="952" spans="1:15" s="200" customFormat="1" ht="13.6" customHeight="1" x14ac:dyDescent="0.25">
      <c r="A952" s="508"/>
      <c r="B952" s="520"/>
      <c r="C952" s="1178" t="s">
        <v>8547</v>
      </c>
      <c r="D952" s="195"/>
      <c r="E952" s="196"/>
      <c r="F952" s="196"/>
      <c r="G952" s="196"/>
      <c r="H952" s="1136" t="str">
        <f>IF(Noty!$H$952="","",Noty!$H$952)</f>
        <v/>
      </c>
      <c r="I952" s="1136" t="str">
        <f>IF(Noty!$I$952="","",Noty!$I$952)</f>
        <v/>
      </c>
      <c r="J952" s="1135" t="str">
        <f>Noty!J952</f>
        <v>ukryj</v>
      </c>
      <c r="K952" s="489"/>
    </row>
    <row r="953" spans="1:15" s="200" customFormat="1" ht="13.6" customHeight="1" x14ac:dyDescent="0.25">
      <c r="A953" s="508"/>
      <c r="B953" s="520"/>
      <c r="C953" s="1178" t="s">
        <v>8552</v>
      </c>
      <c r="D953" s="195"/>
      <c r="E953" s="196"/>
      <c r="F953" s="196"/>
      <c r="G953" s="196"/>
      <c r="H953" s="1136" t="str">
        <f>IF(Noty!$H$953="","",Noty!$H$953)</f>
        <v/>
      </c>
      <c r="I953" s="1136" t="str">
        <f>IF(Noty!$I$953="","",Noty!$I$953)</f>
        <v/>
      </c>
      <c r="J953" s="1135" t="str">
        <f>Noty!J953</f>
        <v>ukryj</v>
      </c>
      <c r="K953" s="489"/>
    </row>
    <row r="954" spans="1:15" s="200" customFormat="1" ht="13.6" customHeight="1" x14ac:dyDescent="0.25">
      <c r="A954" s="508"/>
      <c r="B954" s="520"/>
      <c r="C954" s="1178" t="s">
        <v>8557</v>
      </c>
      <c r="D954" s="195"/>
      <c r="E954" s="196"/>
      <c r="F954" s="196"/>
      <c r="G954" s="196"/>
      <c r="H954" s="1136" t="str">
        <f>IF(Noty!$H$954="","",Noty!$H$954)</f>
        <v/>
      </c>
      <c r="I954" s="1136" t="str">
        <f>IF(Noty!$I$954="","",Noty!$I$954)</f>
        <v/>
      </c>
      <c r="J954" s="1135" t="str">
        <f>Noty!J954</f>
        <v>ukryj</v>
      </c>
      <c r="K954" s="489"/>
    </row>
    <row r="955" spans="1:15" s="200" customFormat="1" ht="13.6" customHeight="1" x14ac:dyDescent="0.25">
      <c r="A955" s="508"/>
      <c r="B955" s="520"/>
      <c r="C955" s="1178" t="s">
        <v>11124</v>
      </c>
      <c r="D955" s="195"/>
      <c r="E955" s="196"/>
      <c r="F955" s="196"/>
      <c r="G955" s="196"/>
      <c r="H955" s="1136" t="str">
        <f>IF(Noty!$H$955="","",Noty!$H$955)</f>
        <v/>
      </c>
      <c r="I955" s="1136" t="str">
        <f>IF(Noty!$I$955="","",Noty!$I$955)</f>
        <v/>
      </c>
      <c r="J955" s="1135" t="str">
        <f>Noty!J955</f>
        <v>ukryj</v>
      </c>
      <c r="K955" s="489"/>
    </row>
    <row r="956" spans="1:15" s="200" customFormat="1" ht="13.6" customHeight="1" x14ac:dyDescent="0.25">
      <c r="A956" s="508"/>
      <c r="B956" s="520"/>
      <c r="C956" s="1178" t="s">
        <v>8572</v>
      </c>
      <c r="D956" s="195"/>
      <c r="E956" s="196"/>
      <c r="F956" s="196"/>
      <c r="G956" s="196"/>
      <c r="H956" s="1136" t="str">
        <f>IF(Noty!$H$956="","",Noty!$H$956)</f>
        <v/>
      </c>
      <c r="I956" s="1136" t="str">
        <f>IF(Noty!$I$956="","",Noty!$I$956)</f>
        <v/>
      </c>
      <c r="J956" s="1135" t="str">
        <f>Noty!J956</f>
        <v>ukryj</v>
      </c>
      <c r="K956" s="489"/>
    </row>
    <row r="957" spans="1:15" s="200" customFormat="1" ht="13.6" customHeight="1" x14ac:dyDescent="0.25">
      <c r="A957" s="508"/>
      <c r="B957" s="520"/>
      <c r="C957" s="1178" t="s">
        <v>11125</v>
      </c>
      <c r="D957" s="195"/>
      <c r="E957" s="196"/>
      <c r="F957" s="196"/>
      <c r="G957" s="196"/>
      <c r="H957" s="1136" t="str">
        <f>IF(Noty!$H$957="","",Noty!$H$957)</f>
        <v/>
      </c>
      <c r="I957" s="1136" t="str">
        <f>IF(Noty!$I$957="","",Noty!$I$957)</f>
        <v/>
      </c>
      <c r="J957" s="1135" t="str">
        <f>Noty!J957</f>
        <v>ukryj</v>
      </c>
      <c r="K957" s="489"/>
    </row>
    <row r="958" spans="1:15" s="200" customFormat="1" ht="13.6" customHeight="1" x14ac:dyDescent="0.25">
      <c r="A958" s="508"/>
      <c r="B958" s="520"/>
      <c r="C958" s="1178" t="s">
        <v>8586</v>
      </c>
      <c r="D958" s="195"/>
      <c r="E958" s="196"/>
      <c r="F958" s="196"/>
      <c r="G958" s="196"/>
      <c r="H958" s="1136" t="str">
        <f>IF(Noty!$H$958="","",Noty!$H$958)</f>
        <v/>
      </c>
      <c r="I958" s="1136" t="str">
        <f>IF(Noty!$I$958="","",Noty!$I$958)</f>
        <v/>
      </c>
      <c r="J958" s="1135" t="str">
        <f>Noty!J958</f>
        <v>ukryj</v>
      </c>
      <c r="K958" s="489"/>
    </row>
    <row r="959" spans="1:15" s="200" customFormat="1" ht="13.6" customHeight="1" x14ac:dyDescent="0.25">
      <c r="A959" s="508"/>
      <c r="B959" s="520"/>
      <c r="C959" s="195"/>
      <c r="D959" s="195"/>
      <c r="E959" s="196"/>
      <c r="F959" s="196"/>
      <c r="G959" s="196"/>
      <c r="H959" s="196"/>
      <c r="I959" s="196"/>
      <c r="J959" s="499" t="str">
        <f>Noty!J959</f>
        <v>ukryj</v>
      </c>
      <c r="K959" s="489"/>
    </row>
    <row r="960" spans="1:15" s="200" customFormat="1" ht="13.6" customHeight="1" x14ac:dyDescent="0.25">
      <c r="A960" s="508"/>
      <c r="B960" s="520"/>
      <c r="C960" s="224" t="s">
        <v>11126</v>
      </c>
      <c r="D960" s="195"/>
      <c r="E960" s="196"/>
      <c r="F960" s="196"/>
      <c r="G960" s="196"/>
      <c r="H960" s="196"/>
      <c r="I960" s="196"/>
      <c r="J960" s="499" t="str">
        <f>Noty!J960</f>
        <v>ukryj</v>
      </c>
      <c r="K960" s="489"/>
    </row>
    <row r="961" spans="1:14" s="200" customFormat="1" ht="13.6" customHeight="1" thickBot="1" x14ac:dyDescent="0.3">
      <c r="A961" s="508"/>
      <c r="B961" s="520"/>
      <c r="C961" s="195"/>
      <c r="D961" s="195"/>
      <c r="E961" s="196"/>
      <c r="F961" s="196"/>
      <c r="G961" s="196"/>
      <c r="H961" s="196"/>
      <c r="I961" s="196"/>
      <c r="J961" s="499" t="str">
        <f>Noty!J961</f>
        <v>ukryj</v>
      </c>
      <c r="K961" s="489"/>
    </row>
    <row r="962" spans="1:14" s="200" customFormat="1" ht="15.05" customHeight="1" thickTop="1" thickBot="1" x14ac:dyDescent="0.35">
      <c r="A962" s="1180">
        <f>IF(K962="n/a",A946,A946+1)</f>
        <v>1</v>
      </c>
      <c r="B962" s="1182"/>
      <c r="C962" s="1388" t="s">
        <v>8600</v>
      </c>
      <c r="D962" s="1388"/>
      <c r="E962" s="1388"/>
      <c r="F962" s="1388"/>
      <c r="G962" s="1388"/>
      <c r="H962" s="1388"/>
      <c r="I962" s="1388"/>
      <c r="J962" s="499" t="str">
        <f>Noty!J962</f>
        <v>ukryj</v>
      </c>
      <c r="K962" s="585" t="str">
        <f>Noty!K962</f>
        <v>n/a</v>
      </c>
      <c r="L962" s="496" t="str">
        <f>A962&amp;"."&amp;B962</f>
        <v>1.</v>
      </c>
      <c r="N962" s="1101" t="s">
        <v>9378</v>
      </c>
    </row>
    <row r="963" spans="1:14" s="200" customFormat="1" ht="13.6" customHeight="1" thickTop="1" x14ac:dyDescent="0.25">
      <c r="A963" s="508"/>
      <c r="B963" s="520"/>
      <c r="C963" s="1414" t="s">
        <v>11127</v>
      </c>
      <c r="D963" s="1414"/>
      <c r="E963" s="1414"/>
      <c r="F963" s="1414"/>
      <c r="G963" s="1414"/>
      <c r="H963" s="1414"/>
      <c r="I963" s="1414"/>
      <c r="J963" s="499" t="str">
        <f>Noty!J963</f>
        <v>ukryj</v>
      </c>
      <c r="K963" s="489"/>
    </row>
    <row r="964" spans="1:14" s="200" customFormat="1" ht="25.55" customHeight="1" x14ac:dyDescent="0.25">
      <c r="A964" s="508"/>
      <c r="B964" s="520"/>
      <c r="C964" s="195"/>
      <c r="D964" s="195"/>
      <c r="E964" s="196"/>
      <c r="F964" s="196"/>
      <c r="G964" s="251"/>
      <c r="H964" s="999" t="str">
        <f>IF(Noty!H964="","",Noty!H964)</f>
        <v>01.01.2020 -31.12.2020</v>
      </c>
      <c r="I964" s="999" t="str">
        <f>IF(Noty!I964="","",Noty!I964)</f>
        <v>01.01.2019 -31.12.2019</v>
      </c>
      <c r="J964" s="499" t="str">
        <f>Noty!J964</f>
        <v>ukryj</v>
      </c>
      <c r="K964" s="489"/>
    </row>
    <row r="965" spans="1:14" s="200" customFormat="1" ht="13.6" customHeight="1" x14ac:dyDescent="0.25">
      <c r="A965" s="508"/>
      <c r="B965" s="520"/>
      <c r="C965" s="195"/>
      <c r="D965" s="195"/>
      <c r="E965" s="196"/>
      <c r="F965" s="196"/>
      <c r="G965" s="196"/>
      <c r="H965" s="196"/>
      <c r="I965" s="196"/>
      <c r="J965" s="499" t="str">
        <f>Noty!J965</f>
        <v>ukryj</v>
      </c>
      <c r="K965" s="489"/>
    </row>
    <row r="966" spans="1:14" s="200" customFormat="1" ht="13.6" customHeight="1" x14ac:dyDescent="0.25">
      <c r="A966" s="508"/>
      <c r="B966" s="520"/>
      <c r="C966" s="550" t="s">
        <v>11128</v>
      </c>
      <c r="E966" s="708"/>
      <c r="F966" s="708"/>
      <c r="G966" s="196"/>
      <c r="H966" s="196"/>
      <c r="I966" s="196"/>
      <c r="J966" s="499" t="str">
        <f>Noty!J966</f>
        <v>ukryj</v>
      </c>
      <c r="K966" s="489"/>
    </row>
    <row r="967" spans="1:14" s="200" customFormat="1" ht="13.6" customHeight="1" x14ac:dyDescent="0.25">
      <c r="A967" s="508"/>
      <c r="B967" s="520"/>
      <c r="C967" s="439" t="s">
        <v>11129</v>
      </c>
      <c r="E967" s="698"/>
      <c r="F967" s="698"/>
      <c r="G967" s="251"/>
      <c r="H967" s="800" t="str">
        <f>IF(Noty!H967="","",Noty!H967)</f>
        <v/>
      </c>
      <c r="I967" s="800" t="str">
        <f>IF(Noty!I967="","",Noty!I967)</f>
        <v/>
      </c>
      <c r="J967" s="499" t="str">
        <f>Noty!J967</f>
        <v>ukryj</v>
      </c>
      <c r="K967" s="489"/>
    </row>
    <row r="968" spans="1:14" s="200" customFormat="1" ht="13.6" customHeight="1" x14ac:dyDescent="0.25">
      <c r="A968" s="508"/>
      <c r="B968" s="520"/>
      <c r="C968" s="439" t="s">
        <v>11130</v>
      </c>
      <c r="E968" s="698"/>
      <c r="F968" s="698"/>
      <c r="G968" s="251"/>
      <c r="H968" s="800" t="str">
        <f>IF(Noty!H968="","",Noty!H968)</f>
        <v/>
      </c>
      <c r="I968" s="800" t="str">
        <f>IF(Noty!I968="","",Noty!I968)</f>
        <v/>
      </c>
      <c r="J968" s="499" t="str">
        <f>Noty!J968</f>
        <v>ukryj</v>
      </c>
      <c r="K968" s="489"/>
    </row>
    <row r="969" spans="1:14" s="200" customFormat="1" ht="13.6" customHeight="1" x14ac:dyDescent="0.25">
      <c r="A969" s="508"/>
      <c r="B969" s="520"/>
      <c r="C969" s="439" t="s">
        <v>11131</v>
      </c>
      <c r="E969" s="698"/>
      <c r="F969" s="698"/>
      <c r="G969" s="251"/>
      <c r="H969" s="800" t="str">
        <f>IF(Noty!H969="","",Noty!H969)</f>
        <v/>
      </c>
      <c r="I969" s="800" t="str">
        <f>IF(Noty!I969="","",Noty!I969)</f>
        <v/>
      </c>
      <c r="J969" s="499" t="str">
        <f>Noty!J969</f>
        <v>ukryj</v>
      </c>
      <c r="K969" s="489"/>
    </row>
    <row r="970" spans="1:14" s="200" customFormat="1" ht="13.6" customHeight="1" x14ac:dyDescent="0.25">
      <c r="A970" s="508"/>
      <c r="B970" s="520"/>
      <c r="C970" s="439"/>
      <c r="E970" s="698"/>
      <c r="F970" s="698"/>
      <c r="G970" s="251"/>
      <c r="H970" s="803">
        <f>IF(Noty!H970="","",Noty!H970)</f>
        <v>0</v>
      </c>
      <c r="I970" s="803">
        <f>IF(Noty!I970="","",Noty!I970)</f>
        <v>0</v>
      </c>
      <c r="J970" s="499" t="str">
        <f>Noty!J970</f>
        <v>ukryj</v>
      </c>
      <c r="K970" s="489"/>
    </row>
    <row r="971" spans="1:14" s="200" customFormat="1" ht="13.6" customHeight="1" x14ac:dyDescent="0.25">
      <c r="A971" s="508"/>
      <c r="B971" s="520"/>
      <c r="C971" s="204"/>
      <c r="E971" s="709"/>
      <c r="F971" s="709"/>
      <c r="G971" s="196"/>
      <c r="H971" s="710"/>
      <c r="I971" s="710"/>
      <c r="J971" s="499" t="str">
        <f>Noty!J971</f>
        <v>ukryj</v>
      </c>
      <c r="K971" s="489"/>
    </row>
    <row r="972" spans="1:14" s="200" customFormat="1" ht="13.6" customHeight="1" x14ac:dyDescent="0.25">
      <c r="A972" s="508"/>
      <c r="B972" s="520"/>
      <c r="C972" s="550" t="s">
        <v>11132</v>
      </c>
      <c r="G972" s="196"/>
      <c r="H972" s="549"/>
      <c r="I972" s="549"/>
      <c r="J972" s="499" t="str">
        <f>Noty!J972</f>
        <v>ukryj</v>
      </c>
      <c r="K972" s="489"/>
    </row>
    <row r="973" spans="1:14" s="200" customFormat="1" ht="13.6" customHeight="1" x14ac:dyDescent="0.25">
      <c r="A973" s="508"/>
      <c r="B973" s="520"/>
      <c r="C973" s="439" t="s">
        <v>11129</v>
      </c>
      <c r="G973" s="251"/>
      <c r="H973" s="800" t="str">
        <f>IF(Noty!H973="","",Noty!H973)</f>
        <v/>
      </c>
      <c r="I973" s="800" t="str">
        <f>IF(Noty!I973="","",Noty!I973)</f>
        <v/>
      </c>
      <c r="J973" s="499" t="str">
        <f>Noty!J973</f>
        <v>ukryj</v>
      </c>
      <c r="K973" s="489"/>
    </row>
    <row r="974" spans="1:14" s="200" customFormat="1" ht="13.6" customHeight="1" x14ac:dyDescent="0.25">
      <c r="A974" s="508"/>
      <c r="B974" s="520"/>
      <c r="C974" s="439" t="s">
        <v>11130</v>
      </c>
      <c r="G974" s="251"/>
      <c r="H974" s="800" t="str">
        <f>IF(Noty!H974="","",Noty!H974)</f>
        <v/>
      </c>
      <c r="I974" s="800" t="str">
        <f>IF(Noty!I974="","",Noty!I974)</f>
        <v/>
      </c>
      <c r="J974" s="499" t="str">
        <f>Noty!J974</f>
        <v>ukryj</v>
      </c>
      <c r="K974" s="489"/>
    </row>
    <row r="975" spans="1:14" s="200" customFormat="1" ht="13.6" customHeight="1" x14ac:dyDescent="0.25">
      <c r="A975" s="508"/>
      <c r="B975" s="520"/>
      <c r="C975" s="439" t="s">
        <v>11133</v>
      </c>
      <c r="G975" s="251"/>
      <c r="H975" s="800" t="str">
        <f>IF(Noty!H975="","",Noty!H975)</f>
        <v/>
      </c>
      <c r="I975" s="800" t="str">
        <f>IF(Noty!I975="","",Noty!I975)</f>
        <v/>
      </c>
      <c r="J975" s="499" t="str">
        <f>Noty!J975</f>
        <v>ukryj</v>
      </c>
      <c r="K975" s="489"/>
    </row>
    <row r="976" spans="1:14" s="200" customFormat="1" ht="13.6" customHeight="1" x14ac:dyDescent="0.25">
      <c r="A976" s="508"/>
      <c r="B976" s="520"/>
      <c r="C976" s="439" t="s">
        <v>11134</v>
      </c>
      <c r="G976" s="251"/>
      <c r="H976" s="800" t="str">
        <f>IF(Noty!H976="","",Noty!H976)</f>
        <v/>
      </c>
      <c r="I976" s="800" t="str">
        <f>IF(Noty!I976="","",Noty!I976)</f>
        <v/>
      </c>
      <c r="J976" s="499" t="str">
        <f>Noty!J976</f>
        <v>ukryj</v>
      </c>
      <c r="K976" s="489"/>
    </row>
    <row r="977" spans="1:14" s="200" customFormat="1" ht="13.6" customHeight="1" x14ac:dyDescent="0.25">
      <c r="A977" s="508"/>
      <c r="B977" s="520"/>
      <c r="C977" s="439" t="s">
        <v>11135</v>
      </c>
      <c r="G977" s="251"/>
      <c r="H977" s="800" t="str">
        <f>IF(Noty!H977="","",Noty!H977)</f>
        <v/>
      </c>
      <c r="I977" s="800" t="str">
        <f>IF(Noty!I977="","",Noty!I977)</f>
        <v/>
      </c>
      <c r="J977" s="499" t="str">
        <f>Noty!J977</f>
        <v>ukryj</v>
      </c>
      <c r="K977" s="489"/>
    </row>
    <row r="978" spans="1:14" s="200" customFormat="1" ht="13.6" customHeight="1" x14ac:dyDescent="0.25">
      <c r="A978" s="508"/>
      <c r="B978" s="520"/>
      <c r="C978" s="439" t="s">
        <v>11136</v>
      </c>
      <c r="G978" s="251"/>
      <c r="H978" s="800" t="str">
        <f>IF(Noty!H978="","",Noty!H978)</f>
        <v/>
      </c>
      <c r="I978" s="800" t="str">
        <f>IF(Noty!I978="","",Noty!I978)</f>
        <v/>
      </c>
      <c r="J978" s="499" t="str">
        <f>Noty!J978</f>
        <v>ukryj</v>
      </c>
      <c r="K978" s="489"/>
    </row>
    <row r="979" spans="1:14" s="200" customFormat="1" ht="13.6" customHeight="1" x14ac:dyDescent="0.25">
      <c r="A979" s="508"/>
      <c r="B979" s="520"/>
      <c r="C979" s="551"/>
      <c r="G979" s="251"/>
      <c r="H979" s="803">
        <f>IF(Noty!H979="","",Noty!H979)</f>
        <v>0</v>
      </c>
      <c r="I979" s="803">
        <f>IF(Noty!I979="","",Noty!I979)</f>
        <v>0</v>
      </c>
      <c r="J979" s="499" t="str">
        <f>Noty!J979</f>
        <v>ukryj</v>
      </c>
      <c r="K979" s="489"/>
    </row>
    <row r="980" spans="1:14" s="200" customFormat="1" ht="13.6" customHeight="1" x14ac:dyDescent="0.25">
      <c r="A980" s="508"/>
      <c r="B980" s="520"/>
      <c r="C980" s="204"/>
      <c r="E980" s="709"/>
      <c r="F980" s="709"/>
      <c r="G980" s="196"/>
      <c r="H980" s="710"/>
      <c r="I980" s="710"/>
      <c r="J980" s="499" t="str">
        <f>Noty!J980</f>
        <v>ukryj</v>
      </c>
      <c r="K980" s="489"/>
    </row>
    <row r="981" spans="1:14" s="200" customFormat="1" ht="13.6" customHeight="1" x14ac:dyDescent="0.25">
      <c r="A981" s="508"/>
      <c r="B981" s="520"/>
      <c r="C981" s="233" t="s">
        <v>8609</v>
      </c>
      <c r="E981" s="709"/>
      <c r="F981" s="709"/>
      <c r="G981" s="251"/>
      <c r="H981" s="800" t="str">
        <f>IF(Noty!H981="","",Noty!H981)</f>
        <v/>
      </c>
      <c r="I981" s="800" t="str">
        <f>IF(Noty!I981="","",Noty!I981)</f>
        <v/>
      </c>
      <c r="J981" s="499" t="str">
        <f>Noty!J981</f>
        <v>ukryj</v>
      </c>
      <c r="K981" s="489"/>
    </row>
    <row r="982" spans="1:14" s="200" customFormat="1" ht="13.6" customHeight="1" x14ac:dyDescent="0.25">
      <c r="A982" s="508"/>
      <c r="B982" s="520"/>
      <c r="C982" s="233"/>
      <c r="E982" s="709"/>
      <c r="F982" s="709"/>
      <c r="G982" s="196"/>
      <c r="H982" s="561"/>
      <c r="I982" s="561"/>
      <c r="J982" s="499" t="str">
        <f>Noty!J982</f>
        <v>ukryj</v>
      </c>
      <c r="K982" s="489"/>
    </row>
    <row r="983" spans="1:14" s="200" customFormat="1" ht="13.6" customHeight="1" x14ac:dyDescent="0.25">
      <c r="A983" s="508"/>
      <c r="B983" s="520"/>
      <c r="C983" s="550" t="s">
        <v>11137</v>
      </c>
      <c r="E983" s="708"/>
      <c r="F983" s="708"/>
      <c r="G983" s="196"/>
      <c r="H983" s="711"/>
      <c r="I983" s="711"/>
      <c r="J983" s="499" t="str">
        <f>Noty!J983</f>
        <v>ukryj</v>
      </c>
      <c r="K983" s="489"/>
    </row>
    <row r="984" spans="1:14" s="200" customFormat="1" ht="13.6" customHeight="1" x14ac:dyDescent="0.25">
      <c r="A984" s="508"/>
      <c r="B984" s="520"/>
      <c r="C984" s="439" t="s">
        <v>11138</v>
      </c>
      <c r="E984" s="708"/>
      <c r="F984" s="708"/>
      <c r="G984" s="251"/>
      <c r="H984" s="800" t="str">
        <f>IF(Noty!H984="","",Noty!H984)</f>
        <v/>
      </c>
      <c r="I984" s="800" t="str">
        <f>IF(Noty!I984="","",Noty!I984)</f>
        <v/>
      </c>
      <c r="J984" s="499" t="str">
        <f>Noty!J984</f>
        <v>ukryj</v>
      </c>
      <c r="K984" s="489"/>
    </row>
    <row r="985" spans="1:14" s="200" customFormat="1" ht="13.6" customHeight="1" x14ac:dyDescent="0.25">
      <c r="A985" s="508"/>
      <c r="B985" s="520"/>
      <c r="C985" s="439" t="s">
        <v>11139</v>
      </c>
      <c r="E985" s="698"/>
      <c r="F985" s="698"/>
      <c r="G985" s="251"/>
      <c r="H985" s="800" t="str">
        <f>IF(Noty!H985="","",Noty!H985)</f>
        <v/>
      </c>
      <c r="I985" s="800" t="str">
        <f>IF(Noty!I985="","",Noty!I985)</f>
        <v/>
      </c>
      <c r="J985" s="499" t="str">
        <f>Noty!J985</f>
        <v>ukryj</v>
      </c>
      <c r="K985" s="489"/>
    </row>
    <row r="986" spans="1:14" s="200" customFormat="1" ht="13.6" customHeight="1" x14ac:dyDescent="0.25">
      <c r="A986" s="508"/>
      <c r="B986" s="520"/>
      <c r="C986" s="195"/>
      <c r="D986" s="195"/>
      <c r="E986" s="196"/>
      <c r="F986" s="196"/>
      <c r="G986" s="251"/>
      <c r="H986" s="803">
        <f>IF(Noty!H986="","",Noty!H986)</f>
        <v>0</v>
      </c>
      <c r="I986" s="803">
        <f>IF(Noty!I986="","",Noty!I986)</f>
        <v>0</v>
      </c>
      <c r="J986" s="499" t="str">
        <f>Noty!J986</f>
        <v>ukryj</v>
      </c>
      <c r="K986" s="489"/>
    </row>
    <row r="987" spans="1:14" s="200" customFormat="1" ht="13.6" customHeight="1" x14ac:dyDescent="0.25">
      <c r="A987" s="508"/>
      <c r="B987" s="520"/>
      <c r="C987" s="195"/>
      <c r="D987" s="195"/>
      <c r="E987" s="196"/>
      <c r="F987" s="196"/>
      <c r="G987" s="196"/>
      <c r="H987" s="712"/>
      <c r="I987" s="712"/>
      <c r="J987" s="499" t="str">
        <f>Noty!J987</f>
        <v>ukryj</v>
      </c>
      <c r="K987" s="489"/>
    </row>
    <row r="988" spans="1:14" s="200" customFormat="1" ht="13.6" customHeight="1" x14ac:dyDescent="0.25">
      <c r="A988" s="508"/>
      <c r="B988" s="520"/>
      <c r="C988" s="195" t="s">
        <v>9287</v>
      </c>
      <c r="D988" s="708"/>
      <c r="E988" s="196"/>
      <c r="F988" s="196"/>
      <c r="G988" s="251"/>
      <c r="H988" s="803">
        <f>IF(Noty!H988="","",Noty!H988)</f>
        <v>0</v>
      </c>
      <c r="I988" s="803">
        <f>IF(Noty!I988="","",Noty!I988)</f>
        <v>0</v>
      </c>
      <c r="J988" s="499" t="str">
        <f>Noty!J988</f>
        <v>ukryj</v>
      </c>
      <c r="K988" s="489"/>
    </row>
    <row r="989" spans="1:14" s="200" customFormat="1" ht="13.6" customHeight="1" thickBot="1" x14ac:dyDescent="0.3">
      <c r="A989" s="508"/>
      <c r="B989" s="520"/>
      <c r="C989" s="195"/>
      <c r="D989" s="708"/>
      <c r="E989" s="196"/>
      <c r="F989" s="196"/>
      <c r="G989" s="196"/>
      <c r="H989" s="196"/>
      <c r="I989" s="377"/>
      <c r="J989" s="499" t="str">
        <f>Noty!J989</f>
        <v>ukryj</v>
      </c>
      <c r="K989" s="489"/>
    </row>
    <row r="990" spans="1:14" s="200" customFormat="1" ht="16.399999999999999" thickTop="1" thickBot="1" x14ac:dyDescent="0.35">
      <c r="A990" s="1180">
        <f>IF(K990="n/a",A962,A962+1)</f>
        <v>1</v>
      </c>
      <c r="B990" s="1182"/>
      <c r="C990" s="1388" t="s">
        <v>8622</v>
      </c>
      <c r="D990" s="1388"/>
      <c r="E990" s="1388"/>
      <c r="F990" s="1388"/>
      <c r="G990" s="1388"/>
      <c r="H990" s="1388"/>
      <c r="I990" s="1388"/>
      <c r="J990" s="499" t="str">
        <f>Noty!J990</f>
        <v>ukryj</v>
      </c>
      <c r="K990" s="585" t="str">
        <f>Noty!K990</f>
        <v>n/a</v>
      </c>
      <c r="L990" s="496" t="str">
        <f>A990&amp;"."&amp;B990</f>
        <v>1.</v>
      </c>
      <c r="N990" s="1101" t="s">
        <v>9378</v>
      </c>
    </row>
    <row r="991" spans="1:14" s="200" customFormat="1" ht="13.6" customHeight="1" thickTop="1" x14ac:dyDescent="0.25">
      <c r="A991" s="508"/>
      <c r="B991" s="520"/>
      <c r="C991" s="1414" t="str">
        <f>C963</f>
        <v>Only fill in if items are relevant!</v>
      </c>
      <c r="D991" s="1414"/>
      <c r="E991" s="1414"/>
      <c r="F991" s="1414"/>
      <c r="G991" s="1414"/>
      <c r="H991" s="1414"/>
      <c r="I991" s="1414"/>
      <c r="J991" s="499" t="str">
        <f>Noty!J991</f>
        <v>ukryj</v>
      </c>
      <c r="K991" s="489"/>
    </row>
    <row r="992" spans="1:14" s="200" customFormat="1" ht="25.55" customHeight="1" x14ac:dyDescent="0.25">
      <c r="A992" s="508"/>
      <c r="B992" s="520"/>
      <c r="C992" s="195"/>
      <c r="D992" s="195"/>
      <c r="E992" s="196"/>
      <c r="F992" s="196"/>
      <c r="G992" s="251"/>
      <c r="H992" s="999" t="str">
        <f>IF(Noty!H992="","",Noty!H992)</f>
        <v>01.01.2020 -31.12.2020</v>
      </c>
      <c r="I992" s="999" t="str">
        <f>IF(Noty!I992="","",Noty!I992)</f>
        <v>01.01.2019 -31.12.2019</v>
      </c>
      <c r="J992" s="499" t="str">
        <f>Noty!J992</f>
        <v>ukryj</v>
      </c>
      <c r="K992" s="489"/>
    </row>
    <row r="993" spans="1:11" s="200" customFormat="1" ht="13.6" customHeight="1" x14ac:dyDescent="0.25">
      <c r="A993" s="508"/>
      <c r="B993" s="520"/>
      <c r="C993" s="195"/>
      <c r="D993" s="195"/>
      <c r="E993" s="196"/>
      <c r="F993" s="196"/>
      <c r="G993" s="196"/>
      <c r="H993" s="196"/>
      <c r="I993" s="196"/>
      <c r="J993" s="499" t="str">
        <f>Noty!J993</f>
        <v>ukryj</v>
      </c>
      <c r="K993" s="489"/>
    </row>
    <row r="994" spans="1:11" s="200" customFormat="1" ht="13.6" customHeight="1" x14ac:dyDescent="0.25">
      <c r="A994" s="508"/>
      <c r="B994" s="520"/>
      <c r="C994" s="550" t="s">
        <v>11140</v>
      </c>
      <c r="G994" s="196"/>
      <c r="J994" s="499" t="str">
        <f>Noty!J994</f>
        <v>ukryj</v>
      </c>
      <c r="K994" s="489"/>
    </row>
    <row r="995" spans="1:11" s="200" customFormat="1" ht="13.6" customHeight="1" x14ac:dyDescent="0.25">
      <c r="A995" s="508"/>
      <c r="B995" s="520"/>
      <c r="C995" s="439" t="s">
        <v>11129</v>
      </c>
      <c r="G995" s="251"/>
      <c r="H995" s="800" t="str">
        <f>IF(Noty!H995="","",Noty!H995)</f>
        <v/>
      </c>
      <c r="I995" s="800" t="str">
        <f>IF(Noty!I995="","",Noty!I995)</f>
        <v/>
      </c>
      <c r="J995" s="499" t="str">
        <f>Noty!J995</f>
        <v>ukryj</v>
      </c>
      <c r="K995" s="489"/>
    </row>
    <row r="996" spans="1:11" s="200" customFormat="1" ht="13.6" customHeight="1" x14ac:dyDescent="0.25">
      <c r="A996" s="508"/>
      <c r="B996" s="520"/>
      <c r="C996" s="439" t="s">
        <v>11130</v>
      </c>
      <c r="G996" s="251"/>
      <c r="H996" s="800" t="str">
        <f>IF(Noty!H996="","",Noty!H996)</f>
        <v/>
      </c>
      <c r="I996" s="800" t="str">
        <f>IF(Noty!I996="","",Noty!I996)</f>
        <v/>
      </c>
      <c r="J996" s="499" t="str">
        <f>Noty!J996</f>
        <v>ukryj</v>
      </c>
      <c r="K996" s="489"/>
    </row>
    <row r="997" spans="1:11" s="200" customFormat="1" ht="13.6" customHeight="1" x14ac:dyDescent="0.25">
      <c r="A997" s="508"/>
      <c r="B997" s="520"/>
      <c r="C997" s="439" t="s">
        <v>11133</v>
      </c>
      <c r="G997" s="251"/>
      <c r="H997" s="800" t="str">
        <f>IF(Noty!H997="","",Noty!H997)</f>
        <v/>
      </c>
      <c r="I997" s="800" t="str">
        <f>IF(Noty!I997="","",Noty!I997)</f>
        <v/>
      </c>
      <c r="J997" s="499" t="str">
        <f>Noty!J997</f>
        <v>ukryj</v>
      </c>
      <c r="K997" s="489"/>
    </row>
    <row r="998" spans="1:11" s="200" customFormat="1" ht="13.6" customHeight="1" x14ac:dyDescent="0.25">
      <c r="A998" s="508"/>
      <c r="B998" s="520"/>
      <c r="C998" s="439"/>
      <c r="G998" s="251"/>
      <c r="H998" s="803">
        <f>IF(Noty!H998="","",Noty!H998)</f>
        <v>0</v>
      </c>
      <c r="I998" s="803">
        <f>IF(Noty!I998="","",Noty!I998)</f>
        <v>0</v>
      </c>
      <c r="J998" s="499" t="str">
        <f>Noty!J998</f>
        <v>ukryj</v>
      </c>
      <c r="K998" s="489"/>
    </row>
    <row r="999" spans="1:11" s="200" customFormat="1" ht="13.6" customHeight="1" x14ac:dyDescent="0.25">
      <c r="A999" s="508"/>
      <c r="B999" s="520"/>
      <c r="C999" s="439"/>
      <c r="G999" s="196"/>
      <c r="H999" s="711"/>
      <c r="I999" s="711"/>
      <c r="J999" s="499" t="str">
        <f>Noty!J999</f>
        <v>ukryj</v>
      </c>
      <c r="K999" s="489"/>
    </row>
    <row r="1000" spans="1:11" s="200" customFormat="1" ht="13.6" customHeight="1" x14ac:dyDescent="0.25">
      <c r="A1000" s="508"/>
      <c r="B1000" s="520"/>
      <c r="C1000" s="550" t="s">
        <v>11132</v>
      </c>
      <c r="G1000" s="196"/>
      <c r="H1000" s="549"/>
      <c r="I1000" s="549"/>
      <c r="J1000" s="499" t="str">
        <f>Noty!J1000</f>
        <v>ukryj</v>
      </c>
      <c r="K1000" s="489"/>
    </row>
    <row r="1001" spans="1:11" s="200" customFormat="1" ht="13.6" customHeight="1" x14ac:dyDescent="0.25">
      <c r="A1001" s="508"/>
      <c r="B1001" s="520"/>
      <c r="C1001" s="439" t="s">
        <v>11129</v>
      </c>
      <c r="G1001" s="251"/>
      <c r="H1001" s="800" t="str">
        <f>IF(Noty!H1001="","",Noty!H1001)</f>
        <v/>
      </c>
      <c r="I1001" s="800" t="str">
        <f>IF(Noty!I1001="","",Noty!I1001)</f>
        <v/>
      </c>
      <c r="J1001" s="499" t="str">
        <f>Noty!J1001</f>
        <v>ukryj</v>
      </c>
      <c r="K1001" s="489"/>
    </row>
    <row r="1002" spans="1:11" s="200" customFormat="1" ht="13.6" customHeight="1" x14ac:dyDescent="0.25">
      <c r="A1002" s="508"/>
      <c r="B1002" s="520"/>
      <c r="C1002" s="439" t="s">
        <v>11130</v>
      </c>
      <c r="G1002" s="251"/>
      <c r="H1002" s="800" t="str">
        <f>IF(Noty!H1002="","",Noty!H1002)</f>
        <v/>
      </c>
      <c r="I1002" s="800" t="str">
        <f>IF(Noty!I1002="","",Noty!I1002)</f>
        <v/>
      </c>
      <c r="J1002" s="499" t="str">
        <f>Noty!J1002</f>
        <v>ukryj</v>
      </c>
      <c r="K1002" s="489"/>
    </row>
    <row r="1003" spans="1:11" s="200" customFormat="1" ht="13.6" customHeight="1" x14ac:dyDescent="0.25">
      <c r="A1003" s="508"/>
      <c r="B1003" s="520"/>
      <c r="C1003" s="439" t="s">
        <v>11133</v>
      </c>
      <c r="G1003" s="251"/>
      <c r="H1003" s="800" t="str">
        <f>IF(Noty!H1003="","",Noty!H1003)</f>
        <v/>
      </c>
      <c r="I1003" s="800" t="str">
        <f>IF(Noty!I1003="","",Noty!I1003)</f>
        <v/>
      </c>
      <c r="J1003" s="499" t="str">
        <f>Noty!J1003</f>
        <v>ukryj</v>
      </c>
      <c r="K1003" s="489"/>
    </row>
    <row r="1004" spans="1:11" s="200" customFormat="1" ht="13.6" customHeight="1" x14ac:dyDescent="0.25">
      <c r="A1004" s="508"/>
      <c r="B1004" s="520"/>
      <c r="C1004" s="439" t="s">
        <v>11134</v>
      </c>
      <c r="G1004" s="251"/>
      <c r="H1004" s="800" t="str">
        <f>IF(Noty!H1004="","",Noty!H1004)</f>
        <v/>
      </c>
      <c r="I1004" s="800" t="str">
        <f>IF(Noty!I1004="","",Noty!I1004)</f>
        <v/>
      </c>
      <c r="J1004" s="499" t="str">
        <f>Noty!J1004</f>
        <v>ukryj</v>
      </c>
      <c r="K1004" s="489"/>
    </row>
    <row r="1005" spans="1:11" s="200" customFormat="1" ht="13.6" customHeight="1" x14ac:dyDescent="0.25">
      <c r="A1005" s="508"/>
      <c r="B1005" s="520"/>
      <c r="C1005" s="439" t="s">
        <v>11135</v>
      </c>
      <c r="G1005" s="251"/>
      <c r="H1005" s="800" t="str">
        <f>IF(Noty!H1005="","",Noty!H1005)</f>
        <v/>
      </c>
      <c r="I1005" s="800" t="str">
        <f>IF(Noty!I1005="","",Noty!I1005)</f>
        <v/>
      </c>
      <c r="J1005" s="499" t="str">
        <f>Noty!J1005</f>
        <v>ukryj</v>
      </c>
      <c r="K1005" s="489"/>
    </row>
    <row r="1006" spans="1:11" s="200" customFormat="1" ht="13.6" customHeight="1" x14ac:dyDescent="0.25">
      <c r="A1006" s="508"/>
      <c r="B1006" s="520"/>
      <c r="C1006" s="439" t="s">
        <v>11136</v>
      </c>
      <c r="G1006" s="251"/>
      <c r="H1006" s="800" t="str">
        <f>IF(Noty!H1006="","",Noty!H1006)</f>
        <v/>
      </c>
      <c r="I1006" s="800" t="str">
        <f>IF(Noty!I1006="","",Noty!I1006)</f>
        <v/>
      </c>
      <c r="J1006" s="499" t="str">
        <f>Noty!J1006</f>
        <v>ukryj</v>
      </c>
      <c r="K1006" s="489"/>
    </row>
    <row r="1007" spans="1:11" s="200" customFormat="1" ht="13.6" customHeight="1" x14ac:dyDescent="0.25">
      <c r="A1007" s="508"/>
      <c r="B1007" s="520"/>
      <c r="C1007" s="439"/>
      <c r="G1007" s="251"/>
      <c r="H1007" s="803">
        <f>IF(Noty!H1007="","",Noty!H1007)</f>
        <v>0</v>
      </c>
      <c r="I1007" s="803">
        <f>IF(Noty!I1007="","",Noty!I1007)</f>
        <v>0</v>
      </c>
      <c r="J1007" s="499" t="str">
        <f>Noty!J1007</f>
        <v>ukryj</v>
      </c>
      <c r="K1007" s="489"/>
    </row>
    <row r="1008" spans="1:11" s="200" customFormat="1" ht="13.6" customHeight="1" x14ac:dyDescent="0.25">
      <c r="A1008" s="508"/>
      <c r="B1008" s="520"/>
      <c r="C1008" s="550" t="s">
        <v>11137</v>
      </c>
      <c r="G1008" s="196"/>
      <c r="H1008" s="549"/>
      <c r="I1008" s="549"/>
      <c r="J1008" s="499" t="str">
        <f>Noty!J1008</f>
        <v>ukryj</v>
      </c>
      <c r="K1008" s="489"/>
    </row>
    <row r="1009" spans="1:14" s="200" customFormat="1" ht="13.6" customHeight="1" x14ac:dyDescent="0.25">
      <c r="A1009" s="508"/>
      <c r="B1009" s="520"/>
      <c r="C1009" s="552" t="s">
        <v>11141</v>
      </c>
      <c r="G1009" s="251"/>
      <c r="H1009" s="800" t="str">
        <f>IF(Noty!H1009="","",Noty!H1009)</f>
        <v/>
      </c>
      <c r="I1009" s="800" t="str">
        <f>IF(Noty!I1009="","",Noty!I1009)</f>
        <v/>
      </c>
      <c r="J1009" s="499" t="str">
        <f>Noty!J1009</f>
        <v>ukryj</v>
      </c>
      <c r="K1009" s="489"/>
    </row>
    <row r="1010" spans="1:14" s="200" customFormat="1" ht="13.6" customHeight="1" x14ac:dyDescent="0.25">
      <c r="A1010" s="508"/>
      <c r="B1010" s="520"/>
      <c r="C1010" s="439" t="s">
        <v>11142</v>
      </c>
      <c r="G1010" s="251"/>
      <c r="H1010" s="800" t="str">
        <f>IF(Noty!H1010="","",Noty!H1010)</f>
        <v/>
      </c>
      <c r="I1010" s="800" t="str">
        <f>IF(Noty!I1010="","",Noty!I1010)</f>
        <v/>
      </c>
      <c r="J1010" s="499" t="str">
        <f>Noty!J1010</f>
        <v>ukryj</v>
      </c>
      <c r="K1010" s="489"/>
    </row>
    <row r="1011" spans="1:14" s="200" customFormat="1" ht="13.6" customHeight="1" x14ac:dyDescent="0.25">
      <c r="A1011" s="508"/>
      <c r="B1011" s="520"/>
      <c r="C1011" s="439" t="s">
        <v>11143</v>
      </c>
      <c r="G1011" s="251"/>
      <c r="H1011" s="800" t="str">
        <f>IF(Noty!H1011="","",Noty!H1011)</f>
        <v/>
      </c>
      <c r="I1011" s="800" t="str">
        <f>IF(Noty!I1011="","",Noty!I1011)</f>
        <v/>
      </c>
      <c r="J1011" s="499" t="str">
        <f>Noty!J1011</f>
        <v>ukryj</v>
      </c>
      <c r="K1011" s="489"/>
    </row>
    <row r="1012" spans="1:14" s="200" customFormat="1" ht="13.6" customHeight="1" x14ac:dyDescent="0.25">
      <c r="A1012" s="508"/>
      <c r="B1012" s="520"/>
      <c r="C1012" s="195"/>
      <c r="D1012" s="713"/>
      <c r="G1012" s="251"/>
      <c r="H1012" s="803">
        <f>IF(Noty!H1012="","",Noty!H1012)</f>
        <v>0</v>
      </c>
      <c r="I1012" s="803">
        <f>IF(Noty!I1012="","",Noty!I1012)</f>
        <v>0</v>
      </c>
      <c r="J1012" s="499" t="str">
        <f>Noty!J1012</f>
        <v>ukryj</v>
      </c>
      <c r="K1012" s="489"/>
    </row>
    <row r="1013" spans="1:14" s="200" customFormat="1" ht="13.6" customHeight="1" x14ac:dyDescent="0.25">
      <c r="A1013" s="508"/>
      <c r="B1013" s="520"/>
      <c r="C1013" s="195"/>
      <c r="D1013" s="713"/>
      <c r="G1013" s="196"/>
      <c r="H1013" s="712"/>
      <c r="I1013" s="712"/>
      <c r="J1013" s="499" t="str">
        <f>Noty!J1013</f>
        <v>ukryj</v>
      </c>
      <c r="K1013" s="489"/>
    </row>
    <row r="1014" spans="1:14" s="200" customFormat="1" ht="13.6" customHeight="1" x14ac:dyDescent="0.25">
      <c r="A1014" s="508"/>
      <c r="B1014" s="520"/>
      <c r="C1014" s="195" t="s">
        <v>9287</v>
      </c>
      <c r="D1014" s="708"/>
      <c r="E1014" s="196"/>
      <c r="F1014" s="196"/>
      <c r="G1014" s="251"/>
      <c r="H1014" s="803">
        <f>IF(Noty!H1014="","",Noty!H1014)</f>
        <v>0</v>
      </c>
      <c r="I1014" s="803">
        <f>IF(Noty!I1014="","",Noty!I1014)</f>
        <v>0</v>
      </c>
      <c r="J1014" s="499" t="str">
        <f>Noty!J1014</f>
        <v>ukryj</v>
      </c>
      <c r="K1014" s="489"/>
    </row>
    <row r="1015" spans="1:14" s="200" customFormat="1" ht="13.6" customHeight="1" thickBot="1" x14ac:dyDescent="0.3">
      <c r="A1015" s="508"/>
      <c r="B1015" s="520"/>
      <c r="C1015" s="195"/>
      <c r="D1015" s="195"/>
      <c r="E1015" s="196"/>
      <c r="F1015" s="196"/>
      <c r="G1015" s="196"/>
      <c r="H1015" s="196"/>
      <c r="I1015" s="196"/>
      <c r="J1015" s="499" t="str">
        <f>Noty!J1015</f>
        <v>ukryj</v>
      </c>
      <c r="K1015" s="489"/>
    </row>
    <row r="1016" spans="1:14" s="447" customFormat="1" ht="16.399999999999999" thickTop="1" thickBot="1" x14ac:dyDescent="0.35">
      <c r="A1016" s="1180">
        <f>IF(K1016="n/a",A990,A990+1)</f>
        <v>1</v>
      </c>
      <c r="B1016" s="1190"/>
      <c r="C1016" s="1416" t="s">
        <v>8643</v>
      </c>
      <c r="D1016" s="1416"/>
      <c r="E1016" s="1416"/>
      <c r="F1016" s="1416"/>
      <c r="G1016" s="1416"/>
      <c r="H1016" s="1416"/>
      <c r="I1016" s="1416"/>
      <c r="J1016" s="499" t="str">
        <f>Noty!J1016</f>
        <v>ukryj</v>
      </c>
      <c r="K1016" s="585" t="str">
        <f>Noty!K1016</f>
        <v>n/a</v>
      </c>
      <c r="L1016" s="496" t="str">
        <f>A1016&amp;"."&amp;B1016</f>
        <v>1.</v>
      </c>
      <c r="N1016" s="1101" t="s">
        <v>9378</v>
      </c>
    </row>
    <row r="1017" spans="1:14" s="447" customFormat="1" ht="15.05" customHeight="1" thickTop="1" thickBot="1" x14ac:dyDescent="0.3">
      <c r="A1017" s="508"/>
      <c r="B1017" s="466"/>
      <c r="C1017" s="448"/>
      <c r="D1017" s="716"/>
      <c r="E1017" s="715"/>
      <c r="F1017" s="715"/>
      <c r="G1017" s="715"/>
      <c r="H1017" s="715"/>
      <c r="I1017" s="714"/>
      <c r="J1017" s="499" t="str">
        <f>Noty!J1017</f>
        <v>ukryj</v>
      </c>
      <c r="K1017" s="489"/>
      <c r="L1017" s="200"/>
    </row>
    <row r="1018" spans="1:14" s="447" customFormat="1" ht="16.399999999999999" thickTop="1" thickBot="1" x14ac:dyDescent="0.35">
      <c r="A1018" s="1183">
        <f>A1016</f>
        <v>1</v>
      </c>
      <c r="B1018" s="1184">
        <f>IF(K1018="n/a",0,1)</f>
        <v>0</v>
      </c>
      <c r="C1018" s="1417" t="s">
        <v>11144</v>
      </c>
      <c r="D1018" s="1417"/>
      <c r="E1018" s="1417"/>
      <c r="F1018" s="1417"/>
      <c r="G1018" s="1417"/>
      <c r="H1018" s="1417"/>
      <c r="I1018" s="1417"/>
      <c r="J1018" s="499" t="str">
        <f>Noty!J1018</f>
        <v>ukryj</v>
      </c>
      <c r="K1018" s="585" t="str">
        <f>Noty!K1018</f>
        <v>n/a</v>
      </c>
      <c r="L1018" s="496" t="str">
        <f>A1018&amp;"."&amp;B1018</f>
        <v>1.0</v>
      </c>
      <c r="N1018" s="1101" t="s">
        <v>9378</v>
      </c>
    </row>
    <row r="1019" spans="1:14" s="447" customFormat="1" ht="15.05" customHeight="1" thickTop="1" x14ac:dyDescent="0.25">
      <c r="A1019" s="509"/>
      <c r="B1019" s="466"/>
      <c r="C1019" s="1414" t="str">
        <f>C991</f>
        <v>Only fill in if items are relevant!</v>
      </c>
      <c r="D1019" s="1414"/>
      <c r="E1019" s="1414"/>
      <c r="F1019" s="1414"/>
      <c r="G1019" s="1414"/>
      <c r="H1019" s="1414"/>
      <c r="I1019" s="1414"/>
      <c r="J1019" s="499" t="str">
        <f>Noty!J1019</f>
        <v>ukryj</v>
      </c>
      <c r="K1019" s="489"/>
      <c r="L1019" s="200"/>
    </row>
    <row r="1020" spans="1:14" s="447" customFormat="1" ht="15.05" customHeight="1" x14ac:dyDescent="0.25">
      <c r="A1020" s="1409"/>
      <c r="B1020" s="466"/>
      <c r="C1020" s="1410" t="s">
        <v>11145</v>
      </c>
      <c r="D1020" s="1411" t="s">
        <v>11146</v>
      </c>
      <c r="E1020" s="1411"/>
      <c r="F1020" s="1411"/>
      <c r="G1020" s="1411"/>
      <c r="H1020" s="1411"/>
      <c r="I1020" s="1411"/>
      <c r="J1020" s="499" t="str">
        <f>Noty!J1020</f>
        <v>ukryj</v>
      </c>
      <c r="K1020" s="489"/>
      <c r="L1020" s="452"/>
    </row>
    <row r="1021" spans="1:14" s="447" customFormat="1" ht="27.85" customHeight="1" x14ac:dyDescent="0.25">
      <c r="A1021" s="1409"/>
      <c r="B1021" s="466"/>
      <c r="C1021" s="1410"/>
      <c r="D1021" s="1412" t="s">
        <v>11147</v>
      </c>
      <c r="E1021" s="1412"/>
      <c r="F1021" s="1412" t="s">
        <v>11148</v>
      </c>
      <c r="G1021" s="1412"/>
      <c r="H1021" s="1412"/>
      <c r="I1021" s="1412"/>
      <c r="J1021" s="499" t="str">
        <f>Noty!J1021</f>
        <v>ukryj</v>
      </c>
      <c r="K1021" s="489"/>
      <c r="L1021" s="452"/>
    </row>
    <row r="1022" spans="1:14" s="447" customFormat="1" ht="25.55" customHeight="1" x14ac:dyDescent="0.25">
      <c r="A1022" s="1409"/>
      <c r="B1022" s="466"/>
      <c r="C1022" s="1410"/>
      <c r="D1022" s="1412"/>
      <c r="E1022" s="1412"/>
      <c r="F1022" s="1102" t="s">
        <v>11149</v>
      </c>
      <c r="G1022" s="1102" t="s">
        <v>11150</v>
      </c>
      <c r="H1022" s="1412" t="s">
        <v>11151</v>
      </c>
      <c r="I1022" s="1412"/>
      <c r="J1022" s="499" t="str">
        <f>Noty!J1022</f>
        <v>ukryj</v>
      </c>
      <c r="K1022" s="489"/>
      <c r="L1022" s="452"/>
    </row>
    <row r="1023" spans="1:14" s="447" customFormat="1" ht="15.05" customHeight="1" x14ac:dyDescent="0.25">
      <c r="A1023" s="832"/>
      <c r="B1023" s="467"/>
      <c r="C1023" s="833" t="s">
        <v>11152</v>
      </c>
      <c r="D1023" s="1487" t="str">
        <f>IF(Noty!D1023="","",Noty!D1023)</f>
        <v/>
      </c>
      <c r="E1023" s="1298"/>
      <c r="F1023" s="1103" t="str">
        <f>IF(Noty!F1023="","",Noty!F1023)</f>
        <v/>
      </c>
      <c r="G1023" s="1103" t="str">
        <f>IF(Noty!G1023="","",Noty!G1023)</f>
        <v/>
      </c>
      <c r="H1023" s="1296" t="str">
        <f>IF(Noty!H1023="","",Noty!H1023)</f>
        <v/>
      </c>
      <c r="I1023" s="1295"/>
      <c r="J1023" s="499" t="str">
        <f>Noty!J1023</f>
        <v>ukryj</v>
      </c>
      <c r="K1023" s="489"/>
      <c r="L1023" s="450"/>
    </row>
    <row r="1024" spans="1:14" s="447" customFormat="1" ht="25.55" customHeight="1" x14ac:dyDescent="0.25">
      <c r="A1024" s="832"/>
      <c r="B1024" s="467"/>
      <c r="C1024" s="470" t="s">
        <v>11153</v>
      </c>
      <c r="D1024" s="1487" t="str">
        <f>IF(Noty!D1024="","",Noty!D1024)</f>
        <v/>
      </c>
      <c r="E1024" s="1298"/>
      <c r="F1024" s="1103" t="str">
        <f>IF(Noty!F1024="","",Noty!F1024)</f>
        <v/>
      </c>
      <c r="G1024" s="1103" t="str">
        <f>IF(Noty!G1024="","",Noty!G1024)</f>
        <v/>
      </c>
      <c r="H1024" s="1487" t="str">
        <f>IF(Noty!H1024="","",Noty!H1024)</f>
        <v/>
      </c>
      <c r="I1024" s="1298"/>
      <c r="J1024" s="499" t="str">
        <f>Noty!J1024</f>
        <v>ukryj</v>
      </c>
      <c r="K1024" s="489"/>
      <c r="L1024" s="455"/>
    </row>
    <row r="1025" spans="1:14" s="447" customFormat="1" ht="15.05" customHeight="1" x14ac:dyDescent="0.25">
      <c r="A1025" s="832"/>
      <c r="B1025" s="467"/>
      <c r="C1025" s="833" t="s">
        <v>11154</v>
      </c>
      <c r="D1025" s="1487" t="str">
        <f>IF(Noty!D1025="","",Noty!D1025)</f>
        <v/>
      </c>
      <c r="E1025" s="1298"/>
      <c r="F1025" s="1103" t="str">
        <f>IF(Noty!F1025="","",Noty!F1025)</f>
        <v/>
      </c>
      <c r="G1025" s="1103" t="str">
        <f>IF(Noty!G1025="","",Noty!G1025)</f>
        <v/>
      </c>
      <c r="H1025" s="1296" t="str">
        <f>IF(Noty!H1025="","",Noty!H1025)</f>
        <v/>
      </c>
      <c r="I1025" s="1295"/>
      <c r="J1025" s="499" t="str">
        <f>Noty!J1025</f>
        <v>ukryj</v>
      </c>
      <c r="K1025" s="489"/>
      <c r="L1025" s="450"/>
    </row>
    <row r="1026" spans="1:14" s="447" customFormat="1" ht="30.8" customHeight="1" x14ac:dyDescent="0.25">
      <c r="A1026" s="832"/>
      <c r="B1026" s="467"/>
      <c r="C1026" s="470" t="s">
        <v>11153</v>
      </c>
      <c r="D1026" s="1487" t="str">
        <f>IF(Noty!D1026="","",Noty!D1026)</f>
        <v/>
      </c>
      <c r="E1026" s="1298"/>
      <c r="F1026" s="1103" t="str">
        <f>IF(Noty!F1026="","",Noty!F1026)</f>
        <v/>
      </c>
      <c r="G1026" s="1103" t="str">
        <f>IF(Noty!G1026="","",Noty!G1026)</f>
        <v/>
      </c>
      <c r="H1026" s="1487" t="str">
        <f>IF(Noty!H1026="","",Noty!H1026)</f>
        <v/>
      </c>
      <c r="I1026" s="1298"/>
      <c r="J1026" s="499" t="str">
        <f>Noty!J1026</f>
        <v>ukryj</v>
      </c>
      <c r="K1026" s="489"/>
      <c r="L1026" s="455"/>
    </row>
    <row r="1027" spans="1:14" s="447" customFormat="1" ht="15.05" customHeight="1" x14ac:dyDescent="0.25">
      <c r="A1027" s="832"/>
      <c r="B1027" s="467"/>
      <c r="C1027" s="833" t="s">
        <v>11032</v>
      </c>
      <c r="D1027" s="1487" t="str">
        <f>IF(Noty!D1027="","",Noty!D1027)</f>
        <v/>
      </c>
      <c r="E1027" s="1298"/>
      <c r="F1027" s="1103" t="str">
        <f>IF(Noty!F1027="","",Noty!F1027)</f>
        <v/>
      </c>
      <c r="G1027" s="1103" t="str">
        <f>IF(Noty!G1027="","",Noty!G1027)</f>
        <v/>
      </c>
      <c r="H1027" s="1296" t="str">
        <f>IF(Noty!H1027="","",Noty!H1027)</f>
        <v/>
      </c>
      <c r="I1027" s="1295"/>
      <c r="J1027" s="499" t="str">
        <f>Noty!J1027</f>
        <v>ukryj</v>
      </c>
      <c r="K1027" s="489"/>
      <c r="L1027" s="450"/>
    </row>
    <row r="1028" spans="1:14" s="447" customFormat="1" ht="28.5" customHeight="1" x14ac:dyDescent="0.25">
      <c r="A1028" s="832"/>
      <c r="B1028" s="467"/>
      <c r="C1028" s="470" t="s">
        <v>11153</v>
      </c>
      <c r="D1028" s="1487" t="str">
        <f>IF(Noty!D1028="","",Noty!D1028)</f>
        <v/>
      </c>
      <c r="E1028" s="1298"/>
      <c r="F1028" s="1103" t="str">
        <f>IF(Noty!F1028="","",Noty!F1028)</f>
        <v/>
      </c>
      <c r="G1028" s="1103" t="str">
        <f>IF(Noty!G1028="","",Noty!G1028)</f>
        <v/>
      </c>
      <c r="H1028" s="1487" t="str">
        <f>IF(Noty!H1028="","",Noty!H1028)</f>
        <v/>
      </c>
      <c r="I1028" s="1298"/>
      <c r="J1028" s="499" t="str">
        <f>Noty!J1028</f>
        <v>ukryj</v>
      </c>
      <c r="K1028" s="489"/>
      <c r="L1028" s="455"/>
    </row>
    <row r="1029" spans="1:14" s="447" customFormat="1" ht="15.05" customHeight="1" x14ac:dyDescent="0.25">
      <c r="A1029" s="832"/>
      <c r="B1029" s="467"/>
      <c r="C1029" s="833" t="s">
        <v>11155</v>
      </c>
      <c r="D1029" s="1487" t="str">
        <f>IF(Noty!D1029="","",Noty!D1029)</f>
        <v/>
      </c>
      <c r="E1029" s="1298"/>
      <c r="F1029" s="1103" t="str">
        <f>IF(Noty!F1029="","",Noty!F1029)</f>
        <v/>
      </c>
      <c r="G1029" s="1103" t="str">
        <f>IF(Noty!G1029="","",Noty!G1029)</f>
        <v/>
      </c>
      <c r="H1029" s="1296" t="str">
        <f>IF(Noty!H1029="","",Noty!H1029)</f>
        <v/>
      </c>
      <c r="I1029" s="1295"/>
      <c r="J1029" s="499" t="str">
        <f>Noty!J1029</f>
        <v>ukryj</v>
      </c>
      <c r="K1029" s="489"/>
      <c r="L1029" s="450"/>
    </row>
    <row r="1030" spans="1:14" s="447" customFormat="1" ht="27" customHeight="1" x14ac:dyDescent="0.25">
      <c r="A1030" s="832"/>
      <c r="B1030" s="467"/>
      <c r="C1030" s="470" t="s">
        <v>11153</v>
      </c>
      <c r="D1030" s="1487" t="str">
        <f>IF(Noty!D1030="","",Noty!D1030)</f>
        <v/>
      </c>
      <c r="E1030" s="1298"/>
      <c r="F1030" s="1103" t="str">
        <f>IF(Noty!F1030="","",Noty!F1030)</f>
        <v/>
      </c>
      <c r="G1030" s="1103" t="str">
        <f>IF(Noty!G1030="","",Noty!G1030)</f>
        <v/>
      </c>
      <c r="H1030" s="1487" t="str">
        <f>IF(Noty!H1030="","",Noty!H1030)</f>
        <v/>
      </c>
      <c r="I1030" s="1298"/>
      <c r="J1030" s="499" t="str">
        <f>Noty!J1030</f>
        <v>ukryj</v>
      </c>
      <c r="K1030" s="489"/>
      <c r="L1030" s="455"/>
    </row>
    <row r="1031" spans="1:14" s="447" customFormat="1" ht="15.05" customHeight="1" x14ac:dyDescent="0.25">
      <c r="A1031" s="832"/>
      <c r="B1031" s="467"/>
      <c r="C1031" s="833" t="s">
        <v>11156</v>
      </c>
      <c r="D1031" s="1487" t="str">
        <f>IF(Noty!D1031="","",Noty!D1031)</f>
        <v/>
      </c>
      <c r="E1031" s="1298"/>
      <c r="F1031" s="1103" t="str">
        <f>IF(Noty!F1031="","",Noty!F1031)</f>
        <v/>
      </c>
      <c r="G1031" s="1103" t="str">
        <f>IF(Noty!G1031="","",Noty!G1031)</f>
        <v/>
      </c>
      <c r="H1031" s="1296" t="str">
        <f>IF(Noty!H1031="","",Noty!H1031)</f>
        <v/>
      </c>
      <c r="I1031" s="1295"/>
      <c r="J1031" s="499" t="str">
        <f>Noty!J1031</f>
        <v>ukryj</v>
      </c>
      <c r="K1031" s="489"/>
      <c r="L1031" s="450"/>
    </row>
    <row r="1032" spans="1:14" s="447" customFormat="1" ht="31.6" customHeight="1" x14ac:dyDescent="0.25">
      <c r="A1032" s="832"/>
      <c r="B1032" s="467"/>
      <c r="C1032" s="470" t="s">
        <v>11153</v>
      </c>
      <c r="D1032" s="1501" t="str">
        <f>IF(Noty!D1032="","",Noty!D1032)</f>
        <v/>
      </c>
      <c r="E1032" s="1301"/>
      <c r="F1032" s="1125" t="str">
        <f>IF(Noty!F1032="","",Noty!F1032)</f>
        <v/>
      </c>
      <c r="G1032" s="1125" t="str">
        <f>IF(Noty!G1032="","",Noty!G1032)</f>
        <v/>
      </c>
      <c r="H1032" s="1501" t="str">
        <f>IF(Noty!H1032="","",Noty!H1032)</f>
        <v/>
      </c>
      <c r="I1032" s="1301"/>
      <c r="J1032" s="499" t="str">
        <f>Noty!J1032</f>
        <v>ukryj</v>
      </c>
      <c r="K1032" s="489"/>
      <c r="L1032" s="455"/>
    </row>
    <row r="1033" spans="1:14" s="447" customFormat="1" ht="15.05" customHeight="1" x14ac:dyDescent="0.25">
      <c r="A1033" s="832"/>
      <c r="B1033" s="828"/>
      <c r="C1033" s="457"/>
      <c r="D1033" s="1300">
        <f>IF(Noty!D1033="","",Noty!D1033)</f>
        <v>0</v>
      </c>
      <c r="E1033" s="1300"/>
      <c r="F1033" s="803">
        <f>IF(Noty!F1033="","",Noty!F1033)</f>
        <v>0</v>
      </c>
      <c r="G1033" s="803" t="str">
        <f>IF(Noty!G1033="","",Noty!G1033)</f>
        <v/>
      </c>
      <c r="H1033" s="1300">
        <f>IF(Noty!H1033="","",Noty!H1033)</f>
        <v>0</v>
      </c>
      <c r="I1033" s="1300"/>
      <c r="J1033" s="499" t="str">
        <f>Noty!J1033</f>
        <v>ukryj</v>
      </c>
      <c r="K1033" s="489"/>
      <c r="L1033" s="450"/>
    </row>
    <row r="1034" spans="1:14" s="447" customFormat="1" ht="15.05" customHeight="1" thickBot="1" x14ac:dyDescent="0.3">
      <c r="A1034" s="458"/>
      <c r="B1034" s="828"/>
      <c r="C1034" s="457"/>
      <c r="D1034" s="717"/>
      <c r="E1034" s="718"/>
      <c r="F1034" s="718"/>
      <c r="G1034" s="718"/>
      <c r="H1034" s="718"/>
      <c r="I1034" s="719"/>
      <c r="J1034" s="499" t="str">
        <f>Noty!J1034</f>
        <v>ukryj</v>
      </c>
      <c r="K1034" s="489"/>
      <c r="L1034" s="501"/>
    </row>
    <row r="1035" spans="1:14" s="447" customFormat="1" ht="16.399999999999999" thickTop="1" thickBot="1" x14ac:dyDescent="0.35">
      <c r="A1035" s="1183">
        <f>A1016</f>
        <v>1</v>
      </c>
      <c r="B1035" s="1184">
        <f>IF(K1035="n/a",B1018,B1018+1)</f>
        <v>0</v>
      </c>
      <c r="C1035" s="1417" t="s">
        <v>8684</v>
      </c>
      <c r="D1035" s="1417"/>
      <c r="E1035" s="1417"/>
      <c r="F1035" s="1417"/>
      <c r="G1035" s="1417"/>
      <c r="H1035" s="1417"/>
      <c r="I1035" s="1417"/>
      <c r="J1035" s="499" t="str">
        <f>Noty!J1035</f>
        <v>ukryj</v>
      </c>
      <c r="K1035" s="585" t="str">
        <f>Noty!K1035</f>
        <v>n/a</v>
      </c>
      <c r="L1035" s="496" t="str">
        <f>A1035&amp;"."&amp;B1035</f>
        <v>1.0</v>
      </c>
      <c r="N1035" s="1101" t="s">
        <v>9378</v>
      </c>
    </row>
    <row r="1036" spans="1:14" s="447" customFormat="1" ht="15.05" customHeight="1" thickTop="1" x14ac:dyDescent="0.25">
      <c r="A1036" s="458"/>
      <c r="B1036" s="828"/>
      <c r="C1036" s="1414" t="str">
        <f>C1019</f>
        <v>Only fill in if items are relevant!</v>
      </c>
      <c r="D1036" s="1414"/>
      <c r="E1036" s="1414"/>
      <c r="F1036" s="1414"/>
      <c r="G1036" s="1414"/>
      <c r="H1036" s="1414"/>
      <c r="I1036" s="1414"/>
      <c r="J1036" s="499" t="str">
        <f>Noty!J1036</f>
        <v>ukryj</v>
      </c>
      <c r="K1036" s="489"/>
      <c r="L1036" s="450"/>
    </row>
    <row r="1037" spans="1:14" s="447" customFormat="1" ht="25.55" customHeight="1" x14ac:dyDescent="0.25">
      <c r="A1037" s="832"/>
      <c r="B1037" s="466"/>
      <c r="C1037" s="553" t="s">
        <v>10836</v>
      </c>
      <c r="E1037" s="714"/>
      <c r="F1037" s="714"/>
      <c r="G1037" s="1012"/>
      <c r="H1037" s="1013" t="str">
        <f>IF(Noty!H1037="","",Noty!H1037)</f>
        <v>01.01.2020 -31.12.2020</v>
      </c>
      <c r="I1037" s="1013" t="str">
        <f>IF(Noty!I1037="","",Noty!I1037)</f>
        <v>01.01.2019 -31.12.2019</v>
      </c>
      <c r="J1037" s="499" t="str">
        <f>Noty!J1037</f>
        <v>ukryj</v>
      </c>
      <c r="K1037" s="489"/>
      <c r="L1037" s="450"/>
    </row>
    <row r="1038" spans="1:14" s="447" customFormat="1" ht="15.05" customHeight="1" x14ac:dyDescent="0.25">
      <c r="A1038" s="832"/>
      <c r="B1038" s="466"/>
      <c r="C1038" s="461" t="s">
        <v>11157</v>
      </c>
      <c r="E1038" s="612"/>
      <c r="F1038" s="612"/>
      <c r="G1038" s="720"/>
      <c r="H1038" s="720"/>
      <c r="I1038" s="720"/>
      <c r="J1038" s="499" t="str">
        <f>Noty!J1038</f>
        <v>ukryj</v>
      </c>
      <c r="K1038" s="489"/>
      <c r="L1038" s="461"/>
    </row>
    <row r="1039" spans="1:14" s="447" customFormat="1" ht="15.05" customHeight="1" x14ac:dyDescent="0.25">
      <c r="A1039" s="832"/>
      <c r="B1039" s="467"/>
      <c r="C1039" s="450" t="s">
        <v>11158</v>
      </c>
      <c r="E1039" s="714"/>
      <c r="F1039" s="714"/>
      <c r="G1039" s="1012"/>
      <c r="H1039" s="800" t="str">
        <f>IF(Noty!H1039="","",Noty!H1039)</f>
        <v/>
      </c>
      <c r="I1039" s="800" t="str">
        <f>IF(Noty!I1039="","",Noty!I1039)</f>
        <v/>
      </c>
      <c r="J1039" s="499" t="str">
        <f>Noty!J1039</f>
        <v>ukryj</v>
      </c>
      <c r="K1039" s="489"/>
      <c r="L1039" s="450"/>
    </row>
    <row r="1040" spans="1:14" s="447" customFormat="1" ht="15.05" customHeight="1" x14ac:dyDescent="0.25">
      <c r="A1040" s="832"/>
      <c r="B1040" s="467"/>
      <c r="C1040" s="1419" t="s">
        <v>11159</v>
      </c>
      <c r="D1040" s="1419"/>
      <c r="E1040" s="1419"/>
      <c r="F1040" s="1419"/>
      <c r="G1040" s="1014"/>
      <c r="H1040" s="800" t="str">
        <f>IF(Noty!H1040="","",Noty!H1040)</f>
        <v/>
      </c>
      <c r="I1040" s="800" t="str">
        <f>IF(Noty!I1040="","",Noty!I1040)</f>
        <v/>
      </c>
      <c r="J1040" s="499" t="str">
        <f>Noty!J1040</f>
        <v>ukryj</v>
      </c>
      <c r="K1040" s="489"/>
      <c r="L1040" s="450"/>
    </row>
    <row r="1041" spans="1:12" s="447" customFormat="1" ht="15.05" customHeight="1" x14ac:dyDescent="0.25">
      <c r="A1041" s="832"/>
      <c r="B1041" s="467"/>
      <c r="C1041" s="450" t="s">
        <v>11160</v>
      </c>
      <c r="E1041" s="714"/>
      <c r="F1041" s="714"/>
      <c r="G1041" s="1012"/>
      <c r="H1041" s="800" t="str">
        <f>IF(Noty!H1041="","",Noty!H1041)</f>
        <v/>
      </c>
      <c r="I1041" s="800" t="str">
        <f>IF(Noty!I1041="","",Noty!I1041)</f>
        <v/>
      </c>
      <c r="J1041" s="499" t="str">
        <f>Noty!J1041</f>
        <v>ukryj</v>
      </c>
      <c r="K1041" s="489"/>
      <c r="L1041" s="450"/>
    </row>
    <row r="1042" spans="1:12" s="447" customFormat="1" ht="15.05" customHeight="1" x14ac:dyDescent="0.25">
      <c r="A1042" s="832"/>
      <c r="B1042" s="467"/>
      <c r="C1042" s="450" t="s">
        <v>11161</v>
      </c>
      <c r="E1042" s="714"/>
      <c r="F1042" s="714"/>
      <c r="G1042" s="1012"/>
      <c r="H1042" s="800" t="str">
        <f>IF(Noty!H1042="","",Noty!H1042)</f>
        <v/>
      </c>
      <c r="I1042" s="800" t="str">
        <f>IF(Noty!I1042="","",Noty!I1042)</f>
        <v/>
      </c>
      <c r="J1042" s="499" t="str">
        <f>Noty!J1042</f>
        <v>ukryj</v>
      </c>
      <c r="K1042" s="489"/>
      <c r="L1042" s="450"/>
    </row>
    <row r="1043" spans="1:12" s="447" customFormat="1" ht="15.05" customHeight="1" x14ac:dyDescent="0.25">
      <c r="A1043" s="832"/>
      <c r="B1043" s="467"/>
      <c r="C1043" s="450" t="s">
        <v>11162</v>
      </c>
      <c r="E1043" s="714"/>
      <c r="F1043" s="714"/>
      <c r="G1043" s="1012"/>
      <c r="H1043" s="800" t="str">
        <f>IF(Noty!H1043="","",Noty!H1043)</f>
        <v/>
      </c>
      <c r="I1043" s="800" t="str">
        <f>IF(Noty!I1043="","",Noty!I1043)</f>
        <v/>
      </c>
      <c r="J1043" s="499" t="str">
        <f>Noty!J1043</f>
        <v>ukryj</v>
      </c>
      <c r="K1043" s="489"/>
      <c r="L1043" s="450"/>
    </row>
    <row r="1044" spans="1:12" s="447" customFormat="1" ht="15.05" customHeight="1" x14ac:dyDescent="0.25">
      <c r="A1044" s="832"/>
      <c r="B1044" s="467"/>
      <c r="C1044" s="450" t="s">
        <v>11163</v>
      </c>
      <c r="E1044" s="714"/>
      <c r="F1044" s="714"/>
      <c r="G1044" s="1012"/>
      <c r="H1044" s="1103" t="str">
        <f>IF(Noty!H1044="","",Noty!H1044)</f>
        <v/>
      </c>
      <c r="I1044" s="1103" t="str">
        <f>IF(Noty!I1044="","",Noty!I1044)</f>
        <v/>
      </c>
      <c r="J1044" s="499" t="str">
        <f>Noty!J1044</f>
        <v>ukryj</v>
      </c>
      <c r="K1044" s="489"/>
      <c r="L1044" s="450"/>
    </row>
    <row r="1045" spans="1:12" s="447" customFormat="1" ht="15.05" customHeight="1" x14ac:dyDescent="0.25">
      <c r="A1045" s="832"/>
      <c r="B1045" s="467"/>
      <c r="C1045" s="454"/>
      <c r="D1045" s="716"/>
      <c r="E1045" s="714"/>
      <c r="F1045" s="714"/>
      <c r="G1045" s="1012"/>
      <c r="H1045" s="803">
        <f>IF(Noty!H1045="","",Noty!H1045)</f>
        <v>0</v>
      </c>
      <c r="I1045" s="803">
        <f>IF(Noty!I1045="","",Noty!I1045)</f>
        <v>0</v>
      </c>
      <c r="J1045" s="499" t="str">
        <f>Noty!J1045</f>
        <v>ukryj</v>
      </c>
      <c r="K1045" s="489"/>
      <c r="L1045" s="450"/>
    </row>
    <row r="1046" spans="1:12" s="447" customFormat="1" ht="15.05" customHeight="1" x14ac:dyDescent="0.25">
      <c r="A1046" s="832"/>
      <c r="B1046" s="467"/>
      <c r="C1046" s="454"/>
      <c r="D1046" s="716"/>
      <c r="E1046" s="714"/>
      <c r="F1046" s="714"/>
      <c r="G1046" s="714"/>
      <c r="H1046" s="714"/>
      <c r="J1046" s="499" t="str">
        <f>Noty!J1046</f>
        <v>ukryj</v>
      </c>
      <c r="K1046" s="489"/>
      <c r="L1046" s="450"/>
    </row>
    <row r="1047" spans="1:12" s="447" customFormat="1" ht="15.05" customHeight="1" x14ac:dyDescent="0.25">
      <c r="A1047" s="832"/>
      <c r="B1047" s="466"/>
      <c r="C1047" s="553" t="s">
        <v>11164</v>
      </c>
      <c r="E1047" s="612"/>
      <c r="F1047" s="612"/>
      <c r="G1047" s="720"/>
      <c r="H1047" s="720"/>
      <c r="J1047" s="499" t="str">
        <f>Noty!J1047</f>
        <v>ukryj</v>
      </c>
      <c r="K1047" s="489"/>
      <c r="L1047" s="461"/>
    </row>
    <row r="1048" spans="1:12" s="447" customFormat="1" ht="15.05" customHeight="1" x14ac:dyDescent="0.25">
      <c r="A1048" s="832"/>
      <c r="B1048" s="466"/>
      <c r="C1048" s="553" t="s">
        <v>7803</v>
      </c>
      <c r="D1048" s="714"/>
      <c r="E1048" s="714"/>
      <c r="G1048" s="714"/>
      <c r="H1048" s="714"/>
      <c r="I1048" s="714"/>
      <c r="J1048" s="499" t="str">
        <f>Noty!J1048</f>
        <v>ukryj</v>
      </c>
      <c r="K1048" s="489"/>
      <c r="L1048" s="450"/>
    </row>
    <row r="1049" spans="1:12" s="447" customFormat="1" ht="15.05" customHeight="1" x14ac:dyDescent="0.25">
      <c r="A1049" s="832"/>
      <c r="B1049" s="467"/>
      <c r="C1049" s="463" t="s">
        <v>11158</v>
      </c>
      <c r="D1049" s="714"/>
      <c r="E1049" s="714"/>
      <c r="G1049" s="1012"/>
      <c r="H1049" s="800" t="str">
        <f>IF(Noty!H1049="","",Noty!H1049)</f>
        <v/>
      </c>
      <c r="I1049" s="800" t="str">
        <f>IF(Noty!I1049="","",Noty!I1049)</f>
        <v/>
      </c>
      <c r="J1049" s="499" t="str">
        <f>Noty!J1049</f>
        <v>ukryj</v>
      </c>
      <c r="K1049" s="489"/>
      <c r="L1049" s="450"/>
    </row>
    <row r="1050" spans="1:12" s="447" customFormat="1" ht="15.05" customHeight="1" x14ac:dyDescent="0.25">
      <c r="A1050" s="832"/>
      <c r="B1050" s="467"/>
      <c r="C1050" s="1418" t="s">
        <v>11160</v>
      </c>
      <c r="D1050" s="1418"/>
      <c r="E1050" s="1418"/>
      <c r="F1050" s="1418"/>
      <c r="G1050" s="1012"/>
      <c r="H1050" s="800" t="str">
        <f>IF(Noty!H1050="","",Noty!H1050)</f>
        <v/>
      </c>
      <c r="I1050" s="800" t="str">
        <f>IF(Noty!I1050="","",Noty!I1050)</f>
        <v/>
      </c>
      <c r="J1050" s="499" t="str">
        <f>Noty!J1050</f>
        <v>ukryj</v>
      </c>
      <c r="K1050" s="489"/>
      <c r="L1050" s="450"/>
    </row>
    <row r="1051" spans="1:12" s="447" customFormat="1" ht="15.05" customHeight="1" x14ac:dyDescent="0.25">
      <c r="A1051" s="832"/>
      <c r="B1051" s="467"/>
      <c r="C1051" s="463" t="s">
        <v>11165</v>
      </c>
      <c r="D1051" s="714"/>
      <c r="E1051" s="714"/>
      <c r="G1051" s="1012"/>
      <c r="H1051" s="800" t="str">
        <f>IF(Noty!H1051="","",Noty!H1051)</f>
        <v/>
      </c>
      <c r="I1051" s="800" t="str">
        <f>IF(Noty!I1051="","",Noty!I1051)</f>
        <v/>
      </c>
      <c r="J1051" s="499" t="str">
        <f>Noty!J1051</f>
        <v>ukryj</v>
      </c>
      <c r="K1051" s="489"/>
      <c r="L1051" s="450"/>
    </row>
    <row r="1052" spans="1:12" s="447" customFormat="1" ht="15.05" customHeight="1" x14ac:dyDescent="0.25">
      <c r="A1052" s="832"/>
      <c r="B1052" s="467"/>
      <c r="C1052" s="463" t="s">
        <v>11161</v>
      </c>
      <c r="D1052" s="714"/>
      <c r="E1052" s="714"/>
      <c r="G1052" s="1012"/>
      <c r="H1052" s="800" t="str">
        <f>IF(Noty!H1052="","",Noty!H1052)</f>
        <v/>
      </c>
      <c r="I1052" s="800" t="str">
        <f>IF(Noty!I1052="","",Noty!I1052)</f>
        <v/>
      </c>
      <c r="J1052" s="499" t="str">
        <f>Noty!J1052</f>
        <v>ukryj</v>
      </c>
      <c r="K1052" s="489"/>
      <c r="L1052" s="450"/>
    </row>
    <row r="1053" spans="1:12" s="447" customFormat="1" ht="15.05" customHeight="1" x14ac:dyDescent="0.25">
      <c r="A1053" s="832"/>
      <c r="B1053" s="467"/>
      <c r="C1053" s="463" t="s">
        <v>11162</v>
      </c>
      <c r="D1053" s="714"/>
      <c r="E1053" s="714"/>
      <c r="G1053" s="1012"/>
      <c r="H1053" s="800" t="str">
        <f>IF(Noty!H1053="","",Noty!H1053)</f>
        <v/>
      </c>
      <c r="I1053" s="800" t="str">
        <f>IF(Noty!I1053="","",Noty!I1053)</f>
        <v/>
      </c>
      <c r="J1053" s="499" t="str">
        <f>Noty!J1053</f>
        <v>ukryj</v>
      </c>
      <c r="K1053" s="489"/>
      <c r="L1053" s="450"/>
    </row>
    <row r="1054" spans="1:12" s="447" customFormat="1" ht="15.05" customHeight="1" x14ac:dyDescent="0.25">
      <c r="A1054" s="832"/>
      <c r="B1054" s="467"/>
      <c r="C1054" s="463" t="s">
        <v>11163</v>
      </c>
      <c r="D1054" s="714"/>
      <c r="E1054" s="714"/>
      <c r="G1054" s="1012"/>
      <c r="H1054" s="800" t="str">
        <f>IF(Noty!H1054="","",Noty!H1054)</f>
        <v/>
      </c>
      <c r="I1054" s="800" t="str">
        <f>IF(Noty!I1054="","",Noty!I1054)</f>
        <v/>
      </c>
      <c r="J1054" s="499" t="str">
        <f>Noty!J1054</f>
        <v>ukryj</v>
      </c>
      <c r="K1054" s="489"/>
      <c r="L1054" s="450"/>
    </row>
    <row r="1055" spans="1:12" s="447" customFormat="1" ht="15.05" customHeight="1" x14ac:dyDescent="0.25">
      <c r="A1055" s="832"/>
      <c r="B1055" s="467"/>
      <c r="C1055" s="449"/>
      <c r="D1055" s="714"/>
      <c r="E1055" s="714"/>
      <c r="G1055" s="1012"/>
      <c r="H1055" s="803">
        <f>IF(Noty!H1055="","",Noty!H1055)</f>
        <v>0</v>
      </c>
      <c r="I1055" s="803">
        <f>IF(Noty!I1055="","",Noty!I1055)</f>
        <v>0</v>
      </c>
      <c r="J1055" s="499" t="str">
        <f>Noty!J1055</f>
        <v>ukryj</v>
      </c>
      <c r="K1055" s="489"/>
      <c r="L1055" s="450"/>
    </row>
    <row r="1056" spans="1:12" s="447" customFormat="1" ht="15.05" customHeight="1" x14ac:dyDescent="0.25">
      <c r="A1056" s="832"/>
      <c r="B1056" s="467"/>
      <c r="C1056" s="449"/>
      <c r="D1056" s="714"/>
      <c r="E1056" s="714"/>
      <c r="G1056" s="714"/>
      <c r="H1056" s="191"/>
      <c r="I1056" s="191"/>
      <c r="J1056" s="499" t="str">
        <f>Noty!J1056</f>
        <v>ukryj</v>
      </c>
      <c r="K1056" s="489"/>
      <c r="L1056" s="450"/>
    </row>
    <row r="1057" spans="1:14" s="447" customFormat="1" ht="15.05" customHeight="1" x14ac:dyDescent="0.25">
      <c r="A1057" s="832"/>
      <c r="B1057" s="466"/>
      <c r="C1057" s="461" t="s">
        <v>7863</v>
      </c>
      <c r="D1057" s="720"/>
      <c r="E1057" s="720"/>
      <c r="G1057" s="720"/>
      <c r="H1057" s="721"/>
      <c r="I1057" s="721"/>
      <c r="J1057" s="499" t="str">
        <f>Noty!J1057</f>
        <v>ukryj</v>
      </c>
      <c r="K1057" s="489"/>
      <c r="L1057" s="461"/>
    </row>
    <row r="1058" spans="1:14" s="447" customFormat="1" ht="15.05" customHeight="1" x14ac:dyDescent="0.25">
      <c r="A1058" s="832"/>
      <c r="B1058" s="467"/>
      <c r="C1058" s="463" t="s">
        <v>11158</v>
      </c>
      <c r="D1058" s="714"/>
      <c r="E1058" s="714"/>
      <c r="G1058" s="1012"/>
      <c r="H1058" s="800" t="str">
        <f>IF(Noty!H1058="","",Noty!H1058)</f>
        <v/>
      </c>
      <c r="I1058" s="800" t="str">
        <f>IF(Noty!I1058="","",Noty!I1058)</f>
        <v/>
      </c>
      <c r="J1058" s="499" t="str">
        <f>Noty!J1058</f>
        <v>ukryj</v>
      </c>
      <c r="K1058" s="489"/>
      <c r="L1058" s="450"/>
    </row>
    <row r="1059" spans="1:14" s="447" customFormat="1" ht="15.05" customHeight="1" x14ac:dyDescent="0.25">
      <c r="A1059" s="832"/>
      <c r="B1059" s="467"/>
      <c r="C1059" s="463" t="s">
        <v>11165</v>
      </c>
      <c r="D1059" s="714"/>
      <c r="E1059" s="714"/>
      <c r="G1059" s="1012"/>
      <c r="H1059" s="800" t="str">
        <f>IF(Noty!H1059="","",Noty!H1059)</f>
        <v/>
      </c>
      <c r="I1059" s="800" t="str">
        <f>IF(Noty!I1059="","",Noty!I1059)</f>
        <v/>
      </c>
      <c r="J1059" s="499" t="str">
        <f>Noty!J1059</f>
        <v>ukryj</v>
      </c>
      <c r="K1059" s="489"/>
      <c r="L1059" s="450"/>
    </row>
    <row r="1060" spans="1:14" s="447" customFormat="1" ht="15.05" customHeight="1" x14ac:dyDescent="0.25">
      <c r="A1060" s="832"/>
      <c r="B1060" s="467"/>
      <c r="C1060" s="463" t="s">
        <v>11161</v>
      </c>
      <c r="D1060" s="714"/>
      <c r="E1060" s="714"/>
      <c r="G1060" s="1012"/>
      <c r="H1060" s="800" t="str">
        <f>IF(Noty!H1060="","",Noty!H1060)</f>
        <v/>
      </c>
      <c r="I1060" s="800" t="str">
        <f>IF(Noty!I1060="","",Noty!I1060)</f>
        <v/>
      </c>
      <c r="J1060" s="499" t="str">
        <f>Noty!J1060</f>
        <v>ukryj</v>
      </c>
      <c r="K1060" s="489"/>
      <c r="L1060" s="450"/>
    </row>
    <row r="1061" spans="1:14" s="447" customFormat="1" ht="15.05" customHeight="1" x14ac:dyDescent="0.25">
      <c r="A1061" s="832"/>
      <c r="B1061" s="467"/>
      <c r="C1061" s="463" t="s">
        <v>11162</v>
      </c>
      <c r="D1061" s="714"/>
      <c r="E1061" s="714"/>
      <c r="G1061" s="1012"/>
      <c r="H1061" s="800" t="str">
        <f>IF(Noty!H1061="","",Noty!H1061)</f>
        <v/>
      </c>
      <c r="I1061" s="800" t="str">
        <f>IF(Noty!I1061="","",Noty!I1061)</f>
        <v/>
      </c>
      <c r="J1061" s="499" t="str">
        <f>Noty!J1061</f>
        <v>ukryj</v>
      </c>
      <c r="K1061" s="489"/>
      <c r="L1061" s="450"/>
    </row>
    <row r="1062" spans="1:14" s="447" customFormat="1" ht="15.05" customHeight="1" x14ac:dyDescent="0.25">
      <c r="A1062" s="832"/>
      <c r="B1062" s="467"/>
      <c r="C1062" s="463" t="s">
        <v>11163</v>
      </c>
      <c r="D1062" s="714"/>
      <c r="E1062" s="714"/>
      <c r="G1062" s="1012"/>
      <c r="H1062" s="800" t="str">
        <f>IF(Noty!H1062="","",Noty!H1062)</f>
        <v/>
      </c>
      <c r="I1062" s="800" t="str">
        <f>IF(Noty!I1062="","",Noty!I1062)</f>
        <v/>
      </c>
      <c r="J1062" s="499" t="str">
        <f>Noty!J1062</f>
        <v>ukryj</v>
      </c>
      <c r="K1062" s="489"/>
      <c r="L1062" s="450"/>
    </row>
    <row r="1063" spans="1:14" s="447" customFormat="1" ht="15.05" customHeight="1" x14ac:dyDescent="0.25">
      <c r="A1063" s="832"/>
      <c r="B1063" s="467"/>
      <c r="C1063" s="454"/>
      <c r="D1063" s="722"/>
      <c r="E1063" s="714"/>
      <c r="F1063" s="714"/>
      <c r="G1063" s="1012"/>
      <c r="H1063" s="803">
        <f>IF(Noty!H1063="","",Noty!H1063)</f>
        <v>0</v>
      </c>
      <c r="I1063" s="803">
        <f>IF(Noty!I1063="","",Noty!I1063)</f>
        <v>0</v>
      </c>
      <c r="J1063" s="499" t="str">
        <f>Noty!J1063</f>
        <v>ukryj</v>
      </c>
      <c r="K1063" s="489"/>
      <c r="L1063" s="450"/>
    </row>
    <row r="1064" spans="1:14" s="447" customFormat="1" ht="15.05" customHeight="1" x14ac:dyDescent="0.25">
      <c r="A1064" s="832"/>
      <c r="B1064" s="467"/>
      <c r="C1064" s="454"/>
      <c r="D1064" s="716"/>
      <c r="E1064" s="714"/>
      <c r="F1064" s="714"/>
      <c r="G1064" s="714"/>
      <c r="H1064" s="719"/>
      <c r="I1064" s="719"/>
      <c r="J1064" s="499" t="str">
        <f>Noty!J1064</f>
        <v>ukryj</v>
      </c>
      <c r="K1064" s="489"/>
      <c r="L1064" s="450"/>
    </row>
    <row r="1065" spans="1:14" s="447" customFormat="1" ht="15.05" customHeight="1" x14ac:dyDescent="0.25">
      <c r="A1065" s="464"/>
      <c r="B1065" s="467"/>
      <c r="C1065" s="553" t="s">
        <v>11166</v>
      </c>
      <c r="D1065" s="723"/>
      <c r="E1065" s="723"/>
      <c r="F1065" s="723"/>
      <c r="G1065" s="1012"/>
      <c r="H1065" s="803">
        <f>IF(Noty!H1065="","",Noty!H1065)</f>
        <v>0</v>
      </c>
      <c r="I1065" s="803">
        <f>IF(Noty!I1065="","",Noty!I1065)</f>
        <v>0</v>
      </c>
      <c r="J1065" s="499" t="str">
        <f>Noty!J1065</f>
        <v>ukryj</v>
      </c>
      <c r="K1065" s="489"/>
      <c r="L1065" s="450"/>
    </row>
    <row r="1066" spans="1:14" s="447" customFormat="1" ht="15.05" customHeight="1" thickBot="1" x14ac:dyDescent="0.3">
      <c r="A1066" s="832"/>
      <c r="B1066" s="467"/>
      <c r="C1066" s="454"/>
      <c r="D1066" s="716"/>
      <c r="E1066" s="714"/>
      <c r="F1066" s="714"/>
      <c r="G1066" s="714"/>
      <c r="H1066" s="714"/>
      <c r="I1066" s="714"/>
      <c r="J1066" s="499" t="str">
        <f>Noty!J1066</f>
        <v>ukryj</v>
      </c>
      <c r="K1066" s="489"/>
      <c r="L1066" s="501"/>
    </row>
    <row r="1067" spans="1:14" s="447" customFormat="1" ht="16.399999999999999" thickTop="1" thickBot="1" x14ac:dyDescent="0.35">
      <c r="A1067" s="1183">
        <f>A1016</f>
        <v>1</v>
      </c>
      <c r="B1067" s="1184">
        <f>IF(K1067="n/a",B1035,B1035+1)</f>
        <v>0</v>
      </c>
      <c r="C1067" s="1417" t="s">
        <v>11167</v>
      </c>
      <c r="D1067" s="1417"/>
      <c r="E1067" s="1417"/>
      <c r="F1067" s="1417"/>
      <c r="G1067" s="1417"/>
      <c r="H1067" s="1417"/>
      <c r="I1067" s="1417"/>
      <c r="J1067" s="499" t="str">
        <f>Noty!J1067</f>
        <v>ukryj</v>
      </c>
      <c r="K1067" s="585" t="str">
        <f>Noty!K1067</f>
        <v>n/a</v>
      </c>
      <c r="L1067" s="496" t="str">
        <f>A1067&amp;"."&amp;B1067</f>
        <v>1.0</v>
      </c>
      <c r="N1067" s="1101" t="s">
        <v>9378</v>
      </c>
    </row>
    <row r="1068" spans="1:14" s="447" customFormat="1" ht="15.05" customHeight="1" thickTop="1" x14ac:dyDescent="0.25">
      <c r="A1068" s="458"/>
      <c r="B1068" s="828"/>
      <c r="C1068" s="1414" t="str">
        <f>C1036</f>
        <v>Only fill in if items are relevant!</v>
      </c>
      <c r="D1068" s="1414"/>
      <c r="E1068" s="1414"/>
      <c r="F1068" s="1414"/>
      <c r="G1068" s="1414"/>
      <c r="H1068" s="1414"/>
      <c r="I1068" s="1414"/>
      <c r="J1068" s="499" t="str">
        <f>Noty!J1068</f>
        <v>ukryj</v>
      </c>
      <c r="K1068" s="489"/>
      <c r="L1068" s="450"/>
    </row>
    <row r="1069" spans="1:14" s="447" customFormat="1" ht="25.55" customHeight="1" x14ac:dyDescent="0.25">
      <c r="A1069" s="465"/>
      <c r="B1069" s="466"/>
      <c r="C1069" s="553" t="s">
        <v>10836</v>
      </c>
      <c r="E1069" s="714"/>
      <c r="F1069" s="714"/>
      <c r="G1069" s="1012"/>
      <c r="H1069" s="999" t="str">
        <f>IF(Noty!H1069="","",Noty!H1069)</f>
        <v>01.01.2020 -31.12.2020</v>
      </c>
      <c r="I1069" s="999" t="str">
        <f>IF(Noty!I1069="","",Noty!I1069)</f>
        <v>01.01.2019 -31.12.2019</v>
      </c>
      <c r="J1069" s="499" t="str">
        <f>Noty!J1069</f>
        <v>ukryj</v>
      </c>
      <c r="K1069" s="489"/>
      <c r="L1069" s="450"/>
    </row>
    <row r="1070" spans="1:14" s="447" customFormat="1" ht="15.05" customHeight="1" x14ac:dyDescent="0.25">
      <c r="A1070" s="465"/>
      <c r="B1070" s="466"/>
      <c r="C1070" s="553" t="s">
        <v>11168</v>
      </c>
      <c r="E1070" s="720"/>
      <c r="F1070" s="720"/>
      <c r="G1070" s="720"/>
      <c r="H1070" s="191"/>
      <c r="I1070" s="191"/>
      <c r="J1070" s="499" t="str">
        <f>Noty!J1070</f>
        <v>ukryj</v>
      </c>
      <c r="K1070" s="489"/>
      <c r="L1070" s="461"/>
    </row>
    <row r="1071" spans="1:14" s="447" customFormat="1" ht="15.05" customHeight="1" x14ac:dyDescent="0.25">
      <c r="A1071" s="465"/>
      <c r="B1071" s="467"/>
      <c r="C1071" s="1398"/>
      <c r="D1071" s="1398"/>
      <c r="E1071" s="1398"/>
      <c r="F1071" s="1398"/>
      <c r="G1071" s="1001"/>
      <c r="H1071" s="800" t="str">
        <f>IF(Noty!H1071="","",Noty!H1071)</f>
        <v/>
      </c>
      <c r="I1071" s="800" t="str">
        <f>IF(Noty!I1071="","",Noty!I1071)</f>
        <v/>
      </c>
      <c r="J1071" s="499" t="str">
        <f>Noty!J1071</f>
        <v>ukryj</v>
      </c>
      <c r="K1071" s="489"/>
      <c r="L1071" s="450"/>
    </row>
    <row r="1072" spans="1:14" s="447" customFormat="1" ht="15.05" customHeight="1" x14ac:dyDescent="0.25">
      <c r="A1072" s="465"/>
      <c r="B1072" s="467"/>
      <c r="C1072" s="1398"/>
      <c r="D1072" s="1398"/>
      <c r="E1072" s="1398"/>
      <c r="F1072" s="1398"/>
      <c r="G1072" s="1001"/>
      <c r="H1072" s="1103" t="str">
        <f>IF(Noty!H1072="","",Noty!H1072)</f>
        <v/>
      </c>
      <c r="I1072" s="1103" t="str">
        <f>IF(Noty!I1072="","",Noty!I1072)</f>
        <v/>
      </c>
      <c r="J1072" s="499" t="str">
        <f>Noty!J1072</f>
        <v>ukryj</v>
      </c>
      <c r="K1072" s="489"/>
      <c r="L1072" s="450"/>
    </row>
    <row r="1073" spans="1:14" s="447" customFormat="1" ht="15.05" customHeight="1" x14ac:dyDescent="0.25">
      <c r="A1073" s="465"/>
      <c r="B1073" s="467"/>
      <c r="C1073" s="1398"/>
      <c r="D1073" s="1398"/>
      <c r="E1073" s="1398"/>
      <c r="F1073" s="1398"/>
      <c r="G1073" s="1001"/>
      <c r="H1073" s="1103" t="str">
        <f>IF(Noty!H1073="","",Noty!H1073)</f>
        <v/>
      </c>
      <c r="I1073" s="1103" t="str">
        <f>IF(Noty!I1073="","",Noty!I1073)</f>
        <v/>
      </c>
      <c r="J1073" s="499" t="str">
        <f>Noty!J1073</f>
        <v>ukryj</v>
      </c>
      <c r="K1073" s="489"/>
      <c r="L1073" s="450"/>
    </row>
    <row r="1074" spans="1:14" s="447" customFormat="1" ht="15.05" customHeight="1" x14ac:dyDescent="0.25">
      <c r="A1074" s="465"/>
      <c r="B1074" s="467"/>
      <c r="C1074" s="467"/>
      <c r="D1074" s="716"/>
      <c r="E1074" s="714"/>
      <c r="F1074" s="714"/>
      <c r="G1074" s="1012"/>
      <c r="H1074" s="803">
        <f>IF(Noty!H1074="","",Noty!H1074)</f>
        <v>0</v>
      </c>
      <c r="I1074" s="803">
        <f>IF(Noty!I1074="","",Noty!I1074)</f>
        <v>0</v>
      </c>
      <c r="J1074" s="499" t="str">
        <f>Noty!J1074</f>
        <v>ukryj</v>
      </c>
      <c r="K1074" s="489"/>
      <c r="L1074" s="450"/>
    </row>
    <row r="1075" spans="1:14" s="447" customFormat="1" ht="15.05" customHeight="1" x14ac:dyDescent="0.25">
      <c r="A1075" s="465"/>
      <c r="B1075" s="467"/>
      <c r="C1075" s="467"/>
      <c r="D1075" s="716"/>
      <c r="E1075" s="714"/>
      <c r="F1075" s="714"/>
      <c r="G1075" s="714"/>
      <c r="H1075" s="724"/>
      <c r="I1075" s="724"/>
      <c r="J1075" s="499" t="str">
        <f>Noty!J1075</f>
        <v>ukryj</v>
      </c>
      <c r="K1075" s="489"/>
      <c r="L1075" s="450"/>
    </row>
    <row r="1076" spans="1:14" s="447" customFormat="1" ht="15.05" customHeight="1" x14ac:dyDescent="0.25">
      <c r="A1076" s="465"/>
      <c r="B1076" s="466"/>
      <c r="C1076" s="461" t="s">
        <v>11169</v>
      </c>
      <c r="E1076" s="720"/>
      <c r="F1076" s="720"/>
      <c r="G1076" s="720"/>
      <c r="H1076" s="718"/>
      <c r="I1076" s="718"/>
      <c r="J1076" s="499" t="str">
        <f>Noty!J1076</f>
        <v>ukryj</v>
      </c>
      <c r="K1076" s="489"/>
      <c r="L1076" s="461"/>
    </row>
    <row r="1077" spans="1:14" s="447" customFormat="1" ht="12.8" customHeight="1" x14ac:dyDescent="0.25">
      <c r="A1077" s="465"/>
      <c r="B1077" s="467"/>
      <c r="C1077" s="463" t="s">
        <v>11170</v>
      </c>
      <c r="D1077" s="725"/>
      <c r="E1077" s="725"/>
      <c r="F1077" s="725"/>
      <c r="G1077" s="1015"/>
      <c r="H1077" s="800" t="str">
        <f>IF(Noty!H1077="","",Noty!H1077)</f>
        <v/>
      </c>
      <c r="I1077" s="800" t="str">
        <f>IF(Noty!I1077="","",Noty!I1077)</f>
        <v/>
      </c>
      <c r="J1077" s="499" t="str">
        <f>Noty!J1077</f>
        <v>ukryj</v>
      </c>
      <c r="K1077" s="489"/>
      <c r="L1077" s="461"/>
    </row>
    <row r="1078" spans="1:14" s="447" customFormat="1" ht="12.8" customHeight="1" x14ac:dyDescent="0.25">
      <c r="A1078" s="465"/>
      <c r="B1078" s="467"/>
      <c r="C1078" s="463" t="s">
        <v>11171</v>
      </c>
      <c r="D1078" s="725"/>
      <c r="E1078" s="725"/>
      <c r="F1078" s="725"/>
      <c r="G1078" s="1015"/>
      <c r="H1078" s="803">
        <f>IF(Noty!H1078="","",Noty!H1078)</f>
        <v>0</v>
      </c>
      <c r="I1078" s="803">
        <f>IF(Noty!I1078="","",Noty!I1078)</f>
        <v>0</v>
      </c>
      <c r="J1078" s="499" t="str">
        <f>Noty!J1078</f>
        <v>ukryj</v>
      </c>
      <c r="K1078" s="489"/>
      <c r="L1078" s="461"/>
    </row>
    <row r="1079" spans="1:14" s="447" customFormat="1" ht="15.05" customHeight="1" x14ac:dyDescent="0.25">
      <c r="A1079" s="832"/>
      <c r="B1079" s="467"/>
      <c r="C1079" s="468" t="s">
        <v>11172</v>
      </c>
      <c r="D1079" s="726"/>
      <c r="E1079" s="726"/>
      <c r="F1079" s="726"/>
      <c r="G1079" s="1016"/>
      <c r="H1079" s="800" t="str">
        <f>IF(Noty!H1079="","",Noty!H1079)</f>
        <v/>
      </c>
      <c r="I1079" s="800" t="str">
        <f>IF(Noty!I1079="","",Noty!I1079)</f>
        <v/>
      </c>
      <c r="J1079" s="499" t="str">
        <f>Noty!J1079</f>
        <v>ukryj</v>
      </c>
      <c r="K1079" s="489"/>
      <c r="L1079" s="448"/>
    </row>
    <row r="1080" spans="1:14" s="447" customFormat="1" ht="15.05" customHeight="1" x14ac:dyDescent="0.25">
      <c r="A1080" s="832"/>
      <c r="B1080" s="467"/>
      <c r="C1080" s="468" t="s">
        <v>11173</v>
      </c>
      <c r="D1080" s="726"/>
      <c r="E1080" s="726"/>
      <c r="F1080" s="726"/>
      <c r="G1080" s="1016"/>
      <c r="H1080" s="800" t="str">
        <f>IF(Noty!H1080="","",Noty!H1080)</f>
        <v/>
      </c>
      <c r="I1080" s="800" t="str">
        <f>IF(Noty!I1080="","",Noty!I1080)</f>
        <v/>
      </c>
      <c r="J1080" s="499" t="str">
        <f>Noty!J1080</f>
        <v>ukryj</v>
      </c>
      <c r="K1080" s="489"/>
      <c r="L1080" s="448"/>
    </row>
    <row r="1081" spans="1:14" s="447" customFormat="1" ht="15.05" customHeight="1" x14ac:dyDescent="0.25">
      <c r="A1081" s="832"/>
      <c r="B1081" s="467"/>
      <c r="C1081" s="468" t="s">
        <v>11174</v>
      </c>
      <c r="D1081" s="727"/>
      <c r="E1081" s="727"/>
      <c r="F1081" s="726"/>
      <c r="G1081" s="1016"/>
      <c r="H1081" s="800" t="str">
        <f>IF(Noty!H1081="","",Noty!H1081)</f>
        <v/>
      </c>
      <c r="I1081" s="800" t="str">
        <f>IF(Noty!I1081="","",Noty!I1081)</f>
        <v/>
      </c>
      <c r="J1081" s="499" t="str">
        <f>Noty!J1081</f>
        <v>ukryj</v>
      </c>
      <c r="K1081" s="489"/>
      <c r="L1081" s="448"/>
    </row>
    <row r="1082" spans="1:14" s="447" customFormat="1" ht="15.05" customHeight="1" x14ac:dyDescent="0.25">
      <c r="A1082" s="832"/>
      <c r="B1082" s="467"/>
      <c r="C1082" s="468" t="s">
        <v>11175</v>
      </c>
      <c r="D1082" s="727"/>
      <c r="E1082" s="727"/>
      <c r="F1082" s="726"/>
      <c r="G1082" s="1016"/>
      <c r="H1082" s="800" t="str">
        <f>IF(Noty!H1082="","",Noty!H1082)</f>
        <v/>
      </c>
      <c r="I1082" s="800" t="str">
        <f>IF(Noty!I1082="","",Noty!I1082)</f>
        <v/>
      </c>
      <c r="J1082" s="499" t="str">
        <f>Noty!J1082</f>
        <v>ukryj</v>
      </c>
      <c r="K1082" s="489"/>
      <c r="L1082" s="448"/>
    </row>
    <row r="1083" spans="1:14" s="447" customFormat="1" ht="15.05" customHeight="1" x14ac:dyDescent="0.25">
      <c r="A1083" s="465"/>
      <c r="B1083" s="467"/>
      <c r="C1083" s="449"/>
      <c r="D1083" s="714"/>
      <c r="E1083" s="714"/>
      <c r="F1083" s="714"/>
      <c r="G1083" s="1012"/>
      <c r="H1083" s="803">
        <f>IF(Noty!H1083="","",Noty!H1083)</f>
        <v>0</v>
      </c>
      <c r="I1083" s="803">
        <f>IF(Noty!I1083="","",Noty!I1083)</f>
        <v>0</v>
      </c>
      <c r="J1083" s="499" t="str">
        <f>Noty!J1083</f>
        <v>ukryj</v>
      </c>
      <c r="K1083" s="489"/>
      <c r="L1083" s="450"/>
    </row>
    <row r="1084" spans="1:14" s="447" customFormat="1" ht="15.05" customHeight="1" x14ac:dyDescent="0.25">
      <c r="A1084" s="465"/>
      <c r="B1084" s="467"/>
      <c r="C1084" s="449"/>
      <c r="D1084" s="714"/>
      <c r="E1084" s="714"/>
      <c r="F1084" s="714"/>
      <c r="G1084" s="714"/>
      <c r="H1084" s="191"/>
      <c r="I1084" s="191"/>
      <c r="J1084" s="499" t="str">
        <f>Noty!J1084</f>
        <v>ukryj</v>
      </c>
      <c r="K1084" s="489"/>
      <c r="L1084" s="450"/>
    </row>
    <row r="1085" spans="1:14" s="447" customFormat="1" ht="15.05" customHeight="1" x14ac:dyDescent="0.25">
      <c r="A1085" s="465"/>
      <c r="B1085" s="466"/>
      <c r="C1085" s="550" t="s">
        <v>11176</v>
      </c>
      <c r="D1085" s="714"/>
      <c r="E1085" s="714"/>
      <c r="F1085" s="714"/>
      <c r="G1085" s="1012"/>
      <c r="H1085" s="803">
        <f>IF(Noty!H1085="","",Noty!H1085)</f>
        <v>0</v>
      </c>
      <c r="I1085" s="803">
        <f>IF(Noty!I1085="","",Noty!I1085)</f>
        <v>0</v>
      </c>
      <c r="J1085" s="499" t="str">
        <f>Noty!J1085</f>
        <v>ukryj</v>
      </c>
      <c r="K1085" s="489"/>
      <c r="L1085" s="450"/>
    </row>
    <row r="1086" spans="1:14" s="447" customFormat="1" ht="15.05" customHeight="1" thickBot="1" x14ac:dyDescent="0.3">
      <c r="A1086" s="465"/>
      <c r="B1086" s="467"/>
      <c r="C1086" s="467"/>
      <c r="D1086" s="716"/>
      <c r="E1086" s="714"/>
      <c r="F1086" s="714"/>
      <c r="G1086" s="714"/>
      <c r="H1086" s="714"/>
      <c r="I1086" s="714"/>
      <c r="J1086" s="499" t="str">
        <f>Noty!J1086</f>
        <v>ukryj</v>
      </c>
      <c r="K1086" s="489"/>
      <c r="L1086" s="501"/>
    </row>
    <row r="1087" spans="1:14" s="447" customFormat="1" ht="16.399999999999999" thickTop="1" thickBot="1" x14ac:dyDescent="0.35">
      <c r="A1087" s="1180">
        <f>IF(K1087="n/a",A1067,A1067+1)</f>
        <v>1</v>
      </c>
      <c r="B1087" s="1190"/>
      <c r="C1087" s="1416" t="s">
        <v>8692</v>
      </c>
      <c r="D1087" s="1416"/>
      <c r="E1087" s="1416"/>
      <c r="F1087" s="1416"/>
      <c r="G1087" s="1416"/>
      <c r="H1087" s="1416"/>
      <c r="I1087" s="1416"/>
      <c r="J1087" s="499" t="str">
        <f>Noty!J1087</f>
        <v>ukryj</v>
      </c>
      <c r="K1087" s="585" t="str">
        <f>Noty!K1087</f>
        <v>n/a</v>
      </c>
      <c r="L1087" s="496" t="str">
        <f>A1087&amp;"."&amp;B1087</f>
        <v>1.</v>
      </c>
      <c r="N1087" s="1101" t="s">
        <v>9378</v>
      </c>
    </row>
    <row r="1088" spans="1:14" s="447" customFormat="1" ht="15.05" customHeight="1" thickTop="1" thickBot="1" x14ac:dyDescent="0.3">
      <c r="A1088" s="176"/>
      <c r="B1088" s="200"/>
      <c r="C1088" s="176"/>
      <c r="D1088" s="716"/>
      <c r="E1088" s="200"/>
      <c r="F1088" s="200"/>
      <c r="G1088" s="728"/>
      <c r="H1088" s="728"/>
      <c r="I1088" s="200"/>
      <c r="J1088" s="499" t="str">
        <f>Noty!J1088</f>
        <v>ukryj</v>
      </c>
      <c r="K1088" s="489"/>
      <c r="L1088" s="176"/>
    </row>
    <row r="1089" spans="1:14" s="447" customFormat="1" ht="16.399999999999999" thickTop="1" thickBot="1" x14ac:dyDescent="0.35">
      <c r="A1089" s="1183">
        <f>A1087</f>
        <v>1</v>
      </c>
      <c r="B1089" s="1184">
        <f>IF(K1089="n/a",0,1)</f>
        <v>0</v>
      </c>
      <c r="C1089" s="1417" t="s">
        <v>11177</v>
      </c>
      <c r="D1089" s="1417"/>
      <c r="E1089" s="1417"/>
      <c r="F1089" s="1417"/>
      <c r="G1089" s="1417"/>
      <c r="H1089" s="1417"/>
      <c r="I1089" s="1417"/>
      <c r="J1089" s="499" t="str">
        <f>Noty!J1089</f>
        <v>ukryj</v>
      </c>
      <c r="K1089" s="585" t="str">
        <f>Noty!K1089</f>
        <v>n/a</v>
      </c>
      <c r="L1089" s="496" t="str">
        <f>A1089&amp;"."&amp;B1089</f>
        <v>1.0</v>
      </c>
      <c r="N1089" s="1101" t="s">
        <v>9378</v>
      </c>
    </row>
    <row r="1090" spans="1:14" s="447" customFormat="1" ht="15.05" customHeight="1" thickTop="1" x14ac:dyDescent="0.25">
      <c r="A1090" s="458"/>
      <c r="B1090" s="828"/>
      <c r="C1090" s="1420" t="str">
        <f>C1068</f>
        <v>Only fill in if items are relevant!</v>
      </c>
      <c r="D1090" s="1420"/>
      <c r="E1090" s="1420"/>
      <c r="F1090" s="1420"/>
      <c r="G1090" s="1420"/>
      <c r="H1090" s="1420"/>
      <c r="I1090" s="1420"/>
      <c r="J1090" s="499" t="str">
        <f>Noty!J1090</f>
        <v>ukryj</v>
      </c>
      <c r="K1090" s="489"/>
      <c r="L1090" s="450"/>
    </row>
    <row r="1091" spans="1:14" s="447" customFormat="1" ht="15.05" customHeight="1" x14ac:dyDescent="0.25">
      <c r="A1091" s="1409"/>
      <c r="B1091" s="466"/>
      <c r="C1091" s="1410" t="s">
        <v>11178</v>
      </c>
      <c r="D1091" s="1411" t="s">
        <v>11179</v>
      </c>
      <c r="E1091" s="1411"/>
      <c r="F1091" s="1411"/>
      <c r="G1091" s="1411"/>
      <c r="H1091" s="1411"/>
      <c r="I1091" s="1411"/>
      <c r="J1091" s="499" t="str">
        <f>Noty!J1091</f>
        <v>ukryj</v>
      </c>
      <c r="K1091" s="489"/>
      <c r="L1091" s="452"/>
    </row>
    <row r="1092" spans="1:14" s="447" customFormat="1" ht="12.8" customHeight="1" x14ac:dyDescent="0.25">
      <c r="A1092" s="1409"/>
      <c r="B1092" s="466"/>
      <c r="C1092" s="1410"/>
      <c r="D1092" s="1412" t="s">
        <v>11180</v>
      </c>
      <c r="E1092" s="1412"/>
      <c r="F1092" s="1412" t="s">
        <v>11181</v>
      </c>
      <c r="G1092" s="1412"/>
      <c r="H1092" s="1412"/>
      <c r="I1092" s="1412"/>
      <c r="J1092" s="499" t="str">
        <f>Noty!J1092</f>
        <v>ukryj</v>
      </c>
      <c r="K1092" s="489"/>
      <c r="L1092" s="452"/>
    </row>
    <row r="1093" spans="1:14" s="447" customFormat="1" ht="13.6" customHeight="1" x14ac:dyDescent="0.25">
      <c r="A1093" s="1409"/>
      <c r="B1093" s="466"/>
      <c r="C1093" s="1410"/>
      <c r="D1093" s="1412"/>
      <c r="E1093" s="1412"/>
      <c r="F1093" s="1102" t="s">
        <v>11149</v>
      </c>
      <c r="G1093" s="1102" t="s">
        <v>11150</v>
      </c>
      <c r="H1093" s="1412" t="s">
        <v>11151</v>
      </c>
      <c r="I1093" s="1412"/>
      <c r="J1093" s="499" t="str">
        <f>Noty!J1093</f>
        <v>ukryj</v>
      </c>
      <c r="K1093" s="489"/>
      <c r="L1093" s="452"/>
    </row>
    <row r="1094" spans="1:14" s="447" customFormat="1" ht="26.2" x14ac:dyDescent="0.25">
      <c r="A1094" s="832"/>
      <c r="B1094" s="467"/>
      <c r="C1094" s="833" t="s">
        <v>11182</v>
      </c>
      <c r="D1094" s="1487" t="str">
        <f>IF(Noty!D1094="","",Noty!D1094)</f>
        <v/>
      </c>
      <c r="E1094" s="1298"/>
      <c r="F1094" s="1103" t="str">
        <f>IF(Noty!F1094="","",Noty!F1094)</f>
        <v/>
      </c>
      <c r="G1094" s="1103" t="str">
        <f>IF(Noty!G1094="","",Noty!G1094)</f>
        <v/>
      </c>
      <c r="H1094" s="1487" t="str">
        <f>IF(Noty!H1094="","",Noty!H1094)</f>
        <v/>
      </c>
      <c r="I1094" s="1298"/>
      <c r="J1094" s="499" t="str">
        <f>Noty!J1094</f>
        <v>ukryj</v>
      </c>
      <c r="K1094" s="489"/>
      <c r="L1094" s="450"/>
    </row>
    <row r="1095" spans="1:14" s="447" customFormat="1" ht="26.2" x14ac:dyDescent="0.25">
      <c r="A1095" s="832"/>
      <c r="B1095" s="467"/>
      <c r="C1095" s="833" t="s">
        <v>11183</v>
      </c>
      <c r="D1095" s="1296">
        <f>IF(Noty!D1095="","",Noty!D1095)</f>
        <v>0</v>
      </c>
      <c r="E1095" s="1296"/>
      <c r="F1095" s="800">
        <f>IF(Noty!F1095="","",Noty!F1095)</f>
        <v>0</v>
      </c>
      <c r="G1095" s="800" t="str">
        <f>IF(Noty!G1095="","",Noty!G1095)</f>
        <v/>
      </c>
      <c r="H1095" s="1296">
        <f>IF(Noty!H1095="","",Noty!H1095)</f>
        <v>0</v>
      </c>
      <c r="I1095" s="1296"/>
      <c r="J1095" s="499" t="str">
        <f>Noty!J1095</f>
        <v>ukryj</v>
      </c>
      <c r="K1095" s="489"/>
      <c r="L1095" s="450"/>
    </row>
    <row r="1096" spans="1:14" s="447" customFormat="1" ht="15.05" customHeight="1" x14ac:dyDescent="0.25">
      <c r="A1096" s="832"/>
      <c r="B1096" s="467"/>
      <c r="C1096" s="554" t="s">
        <v>8391</v>
      </c>
      <c r="D1096" s="1487" t="str">
        <f>IF(Noty!D1096="","",Noty!D1096)</f>
        <v/>
      </c>
      <c r="E1096" s="1298"/>
      <c r="F1096" s="1103" t="str">
        <f>IF(Noty!F1096="","",Noty!F1096)</f>
        <v/>
      </c>
      <c r="G1096" s="1103" t="str">
        <f>IF(Noty!G1096="","",Noty!G1096)</f>
        <v/>
      </c>
      <c r="H1096" s="1487" t="str">
        <f>IF(Noty!H1096="","",Noty!H1096)</f>
        <v/>
      </c>
      <c r="I1096" s="1298"/>
      <c r="J1096" s="499" t="str">
        <f>Noty!J1096</f>
        <v>ukryj</v>
      </c>
      <c r="K1096" s="489"/>
      <c r="L1096" s="455"/>
    </row>
    <row r="1097" spans="1:14" s="447" customFormat="1" ht="15.05" customHeight="1" x14ac:dyDescent="0.25">
      <c r="A1097" s="832"/>
      <c r="B1097" s="467"/>
      <c r="C1097" s="554" t="s">
        <v>8396</v>
      </c>
      <c r="D1097" s="1487" t="str">
        <f>IF(Noty!D1097="","",Noty!D1097)</f>
        <v/>
      </c>
      <c r="E1097" s="1298"/>
      <c r="F1097" s="1103" t="str">
        <f>IF(Noty!F1097="","",Noty!F1097)</f>
        <v/>
      </c>
      <c r="G1097" s="1103" t="str">
        <f>IF(Noty!G1097="","",Noty!G1097)</f>
        <v/>
      </c>
      <c r="H1097" s="1487" t="str">
        <f>IF(Noty!H1097="","",Noty!H1097)</f>
        <v/>
      </c>
      <c r="I1097" s="1298"/>
      <c r="J1097" s="499" t="str">
        <f>Noty!J1097</f>
        <v>ukryj</v>
      </c>
      <c r="K1097" s="489"/>
      <c r="L1097" s="455"/>
    </row>
    <row r="1098" spans="1:14" s="447" customFormat="1" ht="26.2" customHeight="1" x14ac:dyDescent="0.25">
      <c r="A1098" s="832"/>
      <c r="B1098" s="467"/>
      <c r="C1098" s="554" t="s">
        <v>8401</v>
      </c>
      <c r="D1098" s="1487" t="str">
        <f>IF(Noty!D1098="","",Noty!D1098)</f>
        <v/>
      </c>
      <c r="E1098" s="1298"/>
      <c r="F1098" s="1103" t="str">
        <f>IF(Noty!F1098="","",Noty!F1098)</f>
        <v/>
      </c>
      <c r="G1098" s="1103" t="str">
        <f>IF(Noty!G1098="","",Noty!G1098)</f>
        <v/>
      </c>
      <c r="H1098" s="1487" t="str">
        <f>IF(Noty!H1098="","",Noty!H1098)</f>
        <v/>
      </c>
      <c r="I1098" s="1298"/>
      <c r="J1098" s="499" t="str">
        <f>Noty!J1098</f>
        <v>ukryj</v>
      </c>
      <c r="K1098" s="489"/>
      <c r="L1098" s="455"/>
    </row>
    <row r="1099" spans="1:14" s="447" customFormat="1" ht="15.05" customHeight="1" x14ac:dyDescent="0.25">
      <c r="A1099" s="832"/>
      <c r="B1099" s="467"/>
      <c r="C1099" s="554" t="s">
        <v>11184</v>
      </c>
      <c r="D1099" s="1487" t="str">
        <f>IF(Noty!D1099="","",Noty!D1099)</f>
        <v/>
      </c>
      <c r="E1099" s="1298"/>
      <c r="F1099" s="1103" t="str">
        <f>IF(Noty!F1099="","",Noty!F1099)</f>
        <v/>
      </c>
      <c r="G1099" s="1103" t="str">
        <f>IF(Noty!G1099="","",Noty!G1099)</f>
        <v/>
      </c>
      <c r="H1099" s="1487" t="str">
        <f>IF(Noty!H1099="","",Noty!H1099)</f>
        <v/>
      </c>
      <c r="I1099" s="1298"/>
      <c r="J1099" s="499" t="str">
        <f>Noty!J1099</f>
        <v>ukryj</v>
      </c>
      <c r="K1099" s="489"/>
      <c r="L1099" s="455"/>
    </row>
    <row r="1100" spans="1:14" s="447" customFormat="1" ht="26.2" customHeight="1" x14ac:dyDescent="0.25">
      <c r="A1100" s="832"/>
      <c r="B1100" s="467"/>
      <c r="C1100" s="554" t="s">
        <v>11185</v>
      </c>
      <c r="D1100" s="1487" t="str">
        <f>IF(Noty!D1100="","",Noty!D1100)</f>
        <v/>
      </c>
      <c r="E1100" s="1298"/>
      <c r="F1100" s="1103" t="str">
        <f>IF(Noty!F1100="","",Noty!F1100)</f>
        <v/>
      </c>
      <c r="G1100" s="1103" t="str">
        <f>IF(Noty!G1100="","",Noty!G1100)</f>
        <v/>
      </c>
      <c r="H1100" s="1487" t="str">
        <f>IF(Noty!H1100="","",Noty!H1100)</f>
        <v/>
      </c>
      <c r="I1100" s="1298"/>
      <c r="J1100" s="499" t="str">
        <f>Noty!J1100</f>
        <v>ukryj</v>
      </c>
      <c r="K1100" s="489"/>
      <c r="L1100" s="455"/>
    </row>
    <row r="1101" spans="1:14" s="447" customFormat="1" ht="26.2" x14ac:dyDescent="0.25">
      <c r="A1101" s="832"/>
      <c r="B1101" s="467"/>
      <c r="C1101" s="833" t="s">
        <v>11186</v>
      </c>
      <c r="D1101" s="1296">
        <f>IF(Noty!D1101="","",Noty!D1101)</f>
        <v>0</v>
      </c>
      <c r="E1101" s="1296"/>
      <c r="F1101" s="800">
        <f>IF(Noty!F1101="","",Noty!F1101)</f>
        <v>0</v>
      </c>
      <c r="G1101" s="800" t="str">
        <f>IF(Noty!G1101="","",Noty!G1101)</f>
        <v/>
      </c>
      <c r="H1101" s="1296">
        <f>IF(Noty!H1101="","",Noty!H1101)</f>
        <v>0</v>
      </c>
      <c r="I1101" s="1296"/>
      <c r="J1101" s="499" t="str">
        <f>Noty!J1101</f>
        <v>ukryj</v>
      </c>
      <c r="K1101" s="489"/>
      <c r="L1101" s="450"/>
    </row>
    <row r="1102" spans="1:14" s="447" customFormat="1" ht="15.05" customHeight="1" x14ac:dyDescent="0.25">
      <c r="A1102" s="832"/>
      <c r="B1102" s="467"/>
      <c r="C1102" s="554" t="s">
        <v>8391</v>
      </c>
      <c r="D1102" s="1487" t="str">
        <f>IF(Noty!D1102="","",Noty!D1102)</f>
        <v/>
      </c>
      <c r="E1102" s="1298"/>
      <c r="F1102" s="1103" t="str">
        <f>IF(Noty!F1102="","",Noty!F1102)</f>
        <v/>
      </c>
      <c r="G1102" s="1103" t="str">
        <f>IF(Noty!G1102="","",Noty!G1102)</f>
        <v/>
      </c>
      <c r="H1102" s="1487" t="str">
        <f>IF(Noty!H1102="","",Noty!H1102)</f>
        <v/>
      </c>
      <c r="I1102" s="1298"/>
      <c r="J1102" s="499" t="str">
        <f>Noty!J1102</f>
        <v>ukryj</v>
      </c>
      <c r="K1102" s="489"/>
      <c r="L1102" s="455"/>
    </row>
    <row r="1103" spans="1:14" s="447" customFormat="1" ht="15.05" customHeight="1" x14ac:dyDescent="0.25">
      <c r="A1103" s="832"/>
      <c r="B1103" s="467"/>
      <c r="C1103" s="554" t="s">
        <v>8396</v>
      </c>
      <c r="D1103" s="1487" t="str">
        <f>IF(Noty!D1103="","",Noty!D1103)</f>
        <v/>
      </c>
      <c r="E1103" s="1298"/>
      <c r="F1103" s="1103" t="str">
        <f>IF(Noty!F1103="","",Noty!F1103)</f>
        <v/>
      </c>
      <c r="G1103" s="1103" t="str">
        <f>IF(Noty!G1103="","",Noty!G1103)</f>
        <v/>
      </c>
      <c r="H1103" s="1487" t="str">
        <f>IF(Noty!H1103="","",Noty!H1103)</f>
        <v/>
      </c>
      <c r="I1103" s="1298"/>
      <c r="J1103" s="499" t="str">
        <f>Noty!J1103</f>
        <v>ukryj</v>
      </c>
      <c r="K1103" s="489"/>
      <c r="L1103" s="455"/>
    </row>
    <row r="1104" spans="1:14" s="447" customFormat="1" ht="26.2" customHeight="1" x14ac:dyDescent="0.25">
      <c r="A1104" s="832"/>
      <c r="B1104" s="467"/>
      <c r="C1104" s="554" t="s">
        <v>8401</v>
      </c>
      <c r="D1104" s="1487" t="str">
        <f>IF(Noty!D1104="","",Noty!D1104)</f>
        <v/>
      </c>
      <c r="E1104" s="1298"/>
      <c r="F1104" s="1103" t="str">
        <f>IF(Noty!F1104="","",Noty!F1104)</f>
        <v/>
      </c>
      <c r="G1104" s="1103" t="str">
        <f>IF(Noty!G1104="","",Noty!G1104)</f>
        <v/>
      </c>
      <c r="H1104" s="1487" t="str">
        <f>IF(Noty!H1104="","",Noty!H1104)</f>
        <v/>
      </c>
      <c r="I1104" s="1298"/>
      <c r="J1104" s="499" t="str">
        <f>Noty!J1104</f>
        <v>ukryj</v>
      </c>
      <c r="K1104" s="489"/>
      <c r="L1104" s="455"/>
    </row>
    <row r="1105" spans="1:14" s="447" customFormat="1" ht="26.2" customHeight="1" x14ac:dyDescent="0.25">
      <c r="A1105" s="832"/>
      <c r="B1105" s="467"/>
      <c r="C1105" s="833" t="s">
        <v>11187</v>
      </c>
      <c r="D1105" s="1501" t="str">
        <f>IF(Noty!D1105="","",Noty!D1105)</f>
        <v/>
      </c>
      <c r="E1105" s="1301"/>
      <c r="F1105" s="1125" t="str">
        <f>IF(Noty!F1105="","",Noty!F1105)</f>
        <v/>
      </c>
      <c r="G1105" s="1125" t="str">
        <f>IF(Noty!G1105="","",Noty!G1105)</f>
        <v/>
      </c>
      <c r="H1105" s="1501" t="str">
        <f>IF(Noty!H1105="","",Noty!H1105)</f>
        <v/>
      </c>
      <c r="I1105" s="1301"/>
      <c r="J1105" s="499" t="str">
        <f>Noty!J1105</f>
        <v>ukryj</v>
      </c>
      <c r="K1105" s="489"/>
      <c r="L1105" s="450"/>
    </row>
    <row r="1106" spans="1:14" s="447" customFormat="1" ht="15.05" customHeight="1" x14ac:dyDescent="0.25">
      <c r="A1106" s="464"/>
      <c r="B1106" s="467"/>
      <c r="C1106" s="555"/>
      <c r="D1106" s="1300">
        <f>IF(Noty!D1106="","",Noty!D1106)</f>
        <v>0</v>
      </c>
      <c r="E1106" s="1300"/>
      <c r="F1106" s="803">
        <f>IF(Noty!F1106="","",Noty!F1106)</f>
        <v>0</v>
      </c>
      <c r="G1106" s="803" t="str">
        <f>IF(Noty!G1106="","",Noty!G1106)</f>
        <v/>
      </c>
      <c r="H1106" s="1300">
        <f>IF(Noty!H1106="","",Noty!H1106)</f>
        <v>0</v>
      </c>
      <c r="I1106" s="1300"/>
      <c r="J1106" s="499" t="str">
        <f>Noty!J1106</f>
        <v>ukryj</v>
      </c>
      <c r="K1106" s="489"/>
      <c r="L1106" s="450"/>
    </row>
    <row r="1107" spans="1:14" s="447" customFormat="1" ht="15.05" customHeight="1" thickBot="1" x14ac:dyDescent="0.3">
      <c r="A1107" s="832"/>
      <c r="B1107" s="467"/>
      <c r="C1107" s="454"/>
      <c r="D1107" s="716"/>
      <c r="E1107" s="714"/>
      <c r="F1107" s="714"/>
      <c r="G1107" s="714"/>
      <c r="H1107" s="714"/>
      <c r="I1107" s="714"/>
      <c r="J1107" s="499" t="str">
        <f>Noty!J1107</f>
        <v>ukryj</v>
      </c>
      <c r="K1107" s="489"/>
      <c r="L1107" s="501"/>
    </row>
    <row r="1108" spans="1:14" s="447" customFormat="1" ht="16.399999999999999" thickTop="1" thickBot="1" x14ac:dyDescent="0.35">
      <c r="A1108" s="1183">
        <f>A1087</f>
        <v>1</v>
      </c>
      <c r="B1108" s="1184">
        <f>IF(K1108="n/a",B1089,B1089+1)</f>
        <v>0</v>
      </c>
      <c r="C1108" s="1417" t="s">
        <v>8684</v>
      </c>
      <c r="D1108" s="1417"/>
      <c r="E1108" s="1417"/>
      <c r="F1108" s="1417"/>
      <c r="G1108" s="1417"/>
      <c r="H1108" s="1417"/>
      <c r="I1108" s="1417"/>
      <c r="J1108" s="499" t="str">
        <f>Noty!J1108</f>
        <v>ukryj</v>
      </c>
      <c r="K1108" s="585" t="str">
        <f>Noty!K1108</f>
        <v>n/a</v>
      </c>
      <c r="L1108" s="496" t="str">
        <f>A1108&amp;"."&amp;B1108</f>
        <v>1.0</v>
      </c>
      <c r="N1108" s="1101" t="s">
        <v>9378</v>
      </c>
    </row>
    <row r="1109" spans="1:14" s="447" customFormat="1" ht="15.05" customHeight="1" thickTop="1" x14ac:dyDescent="0.25">
      <c r="A1109" s="458"/>
      <c r="B1109" s="828"/>
      <c r="C1109" s="1414" t="str">
        <f>C1090</f>
        <v>Only fill in if items are relevant!</v>
      </c>
      <c r="D1109" s="1414"/>
      <c r="E1109" s="1414"/>
      <c r="F1109" s="1414"/>
      <c r="G1109" s="1414"/>
      <c r="H1109" s="1414"/>
      <c r="I1109" s="1414"/>
      <c r="J1109" s="499" t="str">
        <f>Noty!J1109</f>
        <v>ukryj</v>
      </c>
      <c r="K1109" s="489"/>
      <c r="L1109" s="450"/>
    </row>
    <row r="1110" spans="1:14" s="447" customFormat="1" ht="25.55" customHeight="1" x14ac:dyDescent="0.25">
      <c r="A1110" s="832"/>
      <c r="B1110" s="466"/>
      <c r="C1110" s="553" t="s">
        <v>10836</v>
      </c>
      <c r="E1110" s="714"/>
      <c r="F1110" s="714"/>
      <c r="G1110" s="1012"/>
      <c r="H1110" s="999" t="str">
        <f>IF(Noty!H1110="","",Noty!H1110)</f>
        <v>01.01.2020 -31.12.2020</v>
      </c>
      <c r="I1110" s="999" t="str">
        <f>IF(Noty!I1110="","",Noty!I1110)</f>
        <v>01.01.2019 -31.12.2019</v>
      </c>
      <c r="J1110" s="499" t="str">
        <f>Noty!J1110</f>
        <v>ukryj</v>
      </c>
      <c r="K1110" s="489"/>
      <c r="L1110" s="450"/>
    </row>
    <row r="1111" spans="1:14" s="447" customFormat="1" ht="15.05" customHeight="1" x14ac:dyDescent="0.25">
      <c r="A1111" s="832"/>
      <c r="B1111" s="466"/>
      <c r="C1111" s="553" t="s">
        <v>11188</v>
      </c>
      <c r="E1111" s="720"/>
      <c r="F1111" s="720"/>
      <c r="G1111" s="720"/>
      <c r="H1111" s="729"/>
      <c r="I1111" s="729"/>
      <c r="J1111" s="499" t="str">
        <f>Noty!J1111</f>
        <v>ukryj</v>
      </c>
      <c r="K1111" s="489"/>
      <c r="L1111" s="461"/>
    </row>
    <row r="1112" spans="1:14" s="447" customFormat="1" ht="15.05" customHeight="1" x14ac:dyDescent="0.25">
      <c r="A1112" s="832"/>
      <c r="B1112" s="466"/>
      <c r="C1112" s="471" t="s">
        <v>7803</v>
      </c>
      <c r="D1112" s="730"/>
      <c r="E1112" s="730"/>
      <c r="F1112" s="730"/>
      <c r="G1112" s="714"/>
      <c r="H1112" s="714"/>
      <c r="I1112" s="714"/>
      <c r="J1112" s="499" t="str">
        <f>Noty!J1112</f>
        <v>ukryj</v>
      </c>
      <c r="K1112" s="489"/>
      <c r="L1112" s="450"/>
    </row>
    <row r="1113" spans="1:14" s="447" customFormat="1" ht="15.05" customHeight="1" x14ac:dyDescent="0.25">
      <c r="A1113" s="832"/>
      <c r="B1113" s="467"/>
      <c r="C1113" s="472" t="s">
        <v>11158</v>
      </c>
      <c r="D1113" s="730"/>
      <c r="E1113" s="730"/>
      <c r="F1113" s="730"/>
      <c r="G1113" s="1012"/>
      <c r="H1113" s="800" t="str">
        <f>IF(Noty!H1113="","",Noty!H1113)</f>
        <v/>
      </c>
      <c r="I1113" s="800" t="str">
        <f>IF(Noty!I1113="","",Noty!I1113)</f>
        <v/>
      </c>
      <c r="J1113" s="499" t="str">
        <f>Noty!J1113</f>
        <v>ukryj</v>
      </c>
      <c r="K1113" s="489"/>
      <c r="L1113" s="450"/>
    </row>
    <row r="1114" spans="1:14" s="447" customFormat="1" ht="24.75" customHeight="1" x14ac:dyDescent="0.25">
      <c r="A1114" s="832"/>
      <c r="B1114" s="467"/>
      <c r="C1114" s="1479" t="s">
        <v>11160</v>
      </c>
      <c r="D1114" s="1479"/>
      <c r="E1114" s="1479"/>
      <c r="F1114" s="1479"/>
      <c r="G1114" s="1017"/>
      <c r="H1114" s="800" t="str">
        <f>IF(Noty!H1114="","",Noty!H1114)</f>
        <v/>
      </c>
      <c r="I1114" s="800" t="str">
        <f>IF(Noty!I1114="","",Noty!I1114)</f>
        <v/>
      </c>
      <c r="J1114" s="499" t="str">
        <f>Noty!J1114</f>
        <v>ukryj</v>
      </c>
      <c r="K1114" s="489"/>
      <c r="L1114" s="450"/>
    </row>
    <row r="1115" spans="1:14" s="447" customFormat="1" ht="15.05" customHeight="1" x14ac:dyDescent="0.25">
      <c r="A1115" s="832"/>
      <c r="B1115" s="467"/>
      <c r="C1115" s="472" t="s">
        <v>11165</v>
      </c>
      <c r="D1115" s="730"/>
      <c r="E1115" s="730"/>
      <c r="F1115" s="730"/>
      <c r="G1115" s="1012"/>
      <c r="H1115" s="800" t="str">
        <f>IF(Noty!H1115="","",Noty!H1115)</f>
        <v/>
      </c>
      <c r="I1115" s="800" t="str">
        <f>IF(Noty!I1115="","",Noty!I1115)</f>
        <v/>
      </c>
      <c r="J1115" s="499" t="str">
        <f>Noty!J1115</f>
        <v>ukryj</v>
      </c>
      <c r="K1115" s="489"/>
      <c r="L1115" s="450"/>
    </row>
    <row r="1116" spans="1:14" s="447" customFormat="1" ht="15.05" customHeight="1" x14ac:dyDescent="0.25">
      <c r="A1116" s="832"/>
      <c r="B1116" s="467"/>
      <c r="C1116" s="472" t="s">
        <v>11161</v>
      </c>
      <c r="D1116" s="730"/>
      <c r="E1116" s="730"/>
      <c r="F1116" s="730"/>
      <c r="G1116" s="1012"/>
      <c r="H1116" s="800" t="str">
        <f>IF(Noty!H1116="","",Noty!H1116)</f>
        <v/>
      </c>
      <c r="I1116" s="800" t="str">
        <f>IF(Noty!I1116="","",Noty!I1116)</f>
        <v/>
      </c>
      <c r="J1116" s="499" t="str">
        <f>Noty!J1116</f>
        <v>ukryj</v>
      </c>
      <c r="K1116" s="489"/>
      <c r="L1116" s="450"/>
    </row>
    <row r="1117" spans="1:14" s="447" customFormat="1" ht="15.05" customHeight="1" x14ac:dyDescent="0.25">
      <c r="A1117" s="832"/>
      <c r="B1117" s="467"/>
      <c r="C1117" s="472" t="s">
        <v>11162</v>
      </c>
      <c r="D1117" s="730"/>
      <c r="E1117" s="730"/>
      <c r="F1117" s="730"/>
      <c r="G1117" s="1012"/>
      <c r="H1117" s="800" t="str">
        <f>IF(Noty!H1117="","",Noty!H1117)</f>
        <v/>
      </c>
      <c r="I1117" s="800" t="str">
        <f>IF(Noty!I1117="","",Noty!I1117)</f>
        <v/>
      </c>
      <c r="J1117" s="499" t="str">
        <f>Noty!J1117</f>
        <v>ukryj</v>
      </c>
      <c r="K1117" s="489"/>
      <c r="L1117" s="450"/>
    </row>
    <row r="1118" spans="1:14" s="447" customFormat="1" ht="15.05" customHeight="1" x14ac:dyDescent="0.25">
      <c r="A1118" s="832"/>
      <c r="B1118" s="467"/>
      <c r="C1118" s="472" t="s">
        <v>11163</v>
      </c>
      <c r="D1118" s="730"/>
      <c r="E1118" s="730"/>
      <c r="F1118" s="730"/>
      <c r="G1118" s="1012"/>
      <c r="H1118" s="800" t="str">
        <f>IF(Noty!H1118="","",Noty!H1118)</f>
        <v/>
      </c>
      <c r="I1118" s="800" t="str">
        <f>IF(Noty!I1118="","",Noty!I1118)</f>
        <v/>
      </c>
      <c r="J1118" s="499" t="str">
        <f>Noty!J1118</f>
        <v>ukryj</v>
      </c>
      <c r="K1118" s="489"/>
      <c r="L1118" s="450"/>
    </row>
    <row r="1119" spans="1:14" s="447" customFormat="1" ht="15.05" customHeight="1" x14ac:dyDescent="0.25">
      <c r="A1119" s="832"/>
      <c r="B1119" s="467"/>
      <c r="C1119" s="449"/>
      <c r="D1119" s="714"/>
      <c r="E1119" s="714"/>
      <c r="F1119" s="714"/>
      <c r="G1119" s="1012"/>
      <c r="H1119" s="803">
        <f>IF(Noty!H1119="","",Noty!H1119)</f>
        <v>0</v>
      </c>
      <c r="I1119" s="803">
        <f>IF(Noty!I1119="","",Noty!I1119)</f>
        <v>0</v>
      </c>
      <c r="J1119" s="499" t="str">
        <f>Noty!J1119</f>
        <v>ukryj</v>
      </c>
      <c r="K1119" s="489"/>
      <c r="L1119" s="450"/>
    </row>
    <row r="1120" spans="1:14" s="447" customFormat="1" ht="15.05" customHeight="1" x14ac:dyDescent="0.25">
      <c r="A1120" s="832"/>
      <c r="B1120" s="467"/>
      <c r="C1120" s="449"/>
      <c r="D1120" s="714"/>
      <c r="E1120" s="714"/>
      <c r="F1120" s="714"/>
      <c r="G1120" s="714"/>
      <c r="H1120" s="561"/>
      <c r="I1120" s="561"/>
      <c r="J1120" s="499" t="str">
        <f>Noty!J1120</f>
        <v>ukryj</v>
      </c>
      <c r="K1120" s="489"/>
      <c r="L1120" s="450"/>
    </row>
    <row r="1121" spans="1:14" s="447" customFormat="1" ht="15.05" customHeight="1" x14ac:dyDescent="0.25">
      <c r="A1121" s="832"/>
      <c r="B1121" s="466"/>
      <c r="C1121" s="461" t="s">
        <v>7863</v>
      </c>
      <c r="D1121" s="720"/>
      <c r="E1121" s="720"/>
      <c r="F1121" s="720"/>
      <c r="G1121" s="720"/>
      <c r="H1121" s="721"/>
      <c r="I1121" s="721"/>
      <c r="J1121" s="499" t="str">
        <f>Noty!J1121</f>
        <v>ukryj</v>
      </c>
      <c r="K1121" s="489"/>
      <c r="L1121" s="461"/>
    </row>
    <row r="1122" spans="1:14" s="447" customFormat="1" ht="15.05" customHeight="1" x14ac:dyDescent="0.25">
      <c r="A1122" s="832"/>
      <c r="B1122" s="467"/>
      <c r="C1122" s="472" t="s">
        <v>11158</v>
      </c>
      <c r="D1122" s="714"/>
      <c r="E1122" s="714"/>
      <c r="F1122" s="714"/>
      <c r="G1122" s="1012"/>
      <c r="H1122" s="800" t="str">
        <f>IF(Noty!H1122="","",Noty!H1122)</f>
        <v/>
      </c>
      <c r="I1122" s="800" t="str">
        <f>IF(Noty!I1122="","",Noty!I1122)</f>
        <v/>
      </c>
      <c r="J1122" s="499" t="str">
        <f>Noty!J1122</f>
        <v>ukryj</v>
      </c>
      <c r="K1122" s="489"/>
      <c r="L1122" s="450"/>
    </row>
    <row r="1123" spans="1:14" s="447" customFormat="1" ht="12.8" customHeight="1" x14ac:dyDescent="0.25">
      <c r="A1123" s="832"/>
      <c r="B1123" s="467"/>
      <c r="C1123" s="472" t="s">
        <v>11165</v>
      </c>
      <c r="D1123" s="714"/>
      <c r="E1123" s="714"/>
      <c r="F1123" s="714"/>
      <c r="G1123" s="1012"/>
      <c r="H1123" s="800" t="str">
        <f>IF(Noty!H1123="","",Noty!H1123)</f>
        <v/>
      </c>
      <c r="I1123" s="800" t="str">
        <f>IF(Noty!I1123="","",Noty!I1123)</f>
        <v/>
      </c>
      <c r="J1123" s="499" t="str">
        <f>Noty!J1123</f>
        <v>ukryj</v>
      </c>
      <c r="K1123" s="489"/>
      <c r="L1123" s="450"/>
    </row>
    <row r="1124" spans="1:14" s="447" customFormat="1" ht="15.05" customHeight="1" x14ac:dyDescent="0.25">
      <c r="A1124" s="832"/>
      <c r="B1124" s="467"/>
      <c r="C1124" s="472" t="s">
        <v>11161</v>
      </c>
      <c r="D1124" s="714"/>
      <c r="E1124" s="714"/>
      <c r="F1124" s="714"/>
      <c r="G1124" s="1012"/>
      <c r="H1124" s="800" t="str">
        <f>IF(Noty!H1124="","",Noty!H1124)</f>
        <v/>
      </c>
      <c r="I1124" s="800" t="str">
        <f>IF(Noty!I1124="","",Noty!I1124)</f>
        <v/>
      </c>
      <c r="J1124" s="499" t="str">
        <f>Noty!J1124</f>
        <v>ukryj</v>
      </c>
      <c r="K1124" s="489"/>
      <c r="L1124" s="450"/>
    </row>
    <row r="1125" spans="1:14" s="447" customFormat="1" ht="15.05" customHeight="1" x14ac:dyDescent="0.25">
      <c r="A1125" s="832"/>
      <c r="B1125" s="467"/>
      <c r="C1125" s="472" t="s">
        <v>11162</v>
      </c>
      <c r="D1125" s="714"/>
      <c r="E1125" s="714"/>
      <c r="F1125" s="714"/>
      <c r="G1125" s="1012"/>
      <c r="H1125" s="800" t="str">
        <f>IF(Noty!H1125="","",Noty!H1125)</f>
        <v/>
      </c>
      <c r="I1125" s="800" t="str">
        <f>IF(Noty!I1125="","",Noty!I1125)</f>
        <v/>
      </c>
      <c r="J1125" s="499" t="str">
        <f>Noty!J1125</f>
        <v>ukryj</v>
      </c>
      <c r="K1125" s="489"/>
      <c r="L1125" s="450"/>
    </row>
    <row r="1126" spans="1:14" s="447" customFormat="1" ht="15.05" customHeight="1" x14ac:dyDescent="0.25">
      <c r="A1126" s="832"/>
      <c r="B1126" s="467"/>
      <c r="C1126" s="472" t="s">
        <v>11163</v>
      </c>
      <c r="D1126" s="714"/>
      <c r="E1126" s="714"/>
      <c r="F1126" s="714"/>
      <c r="G1126" s="1012"/>
      <c r="H1126" s="800" t="str">
        <f>IF(Noty!H1126="","",Noty!H1126)</f>
        <v/>
      </c>
      <c r="I1126" s="800" t="str">
        <f>IF(Noty!I1126="","",Noty!I1126)</f>
        <v/>
      </c>
      <c r="J1126" s="499" t="str">
        <f>Noty!J1126</f>
        <v>ukryj</v>
      </c>
      <c r="K1126" s="489"/>
      <c r="L1126" s="450"/>
    </row>
    <row r="1127" spans="1:14" s="447" customFormat="1" ht="15.05" customHeight="1" x14ac:dyDescent="0.25">
      <c r="A1127" s="832"/>
      <c r="B1127" s="467"/>
      <c r="C1127" s="454"/>
      <c r="D1127" s="722"/>
      <c r="E1127" s="714"/>
      <c r="F1127" s="714"/>
      <c r="G1127" s="1012"/>
      <c r="H1127" s="803">
        <f>IF(Noty!H1127="","",Noty!H1127)</f>
        <v>0</v>
      </c>
      <c r="I1127" s="803">
        <f>IF(Noty!I1127="","",Noty!I1127)</f>
        <v>0</v>
      </c>
      <c r="J1127" s="499" t="str">
        <f>Noty!J1127</f>
        <v>ukryj</v>
      </c>
      <c r="K1127" s="489"/>
      <c r="L1127" s="450"/>
    </row>
    <row r="1128" spans="1:14" s="447" customFormat="1" ht="15.05" customHeight="1" x14ac:dyDescent="0.25">
      <c r="A1128" s="832"/>
      <c r="B1128" s="467"/>
      <c r="C1128" s="454"/>
      <c r="D1128" s="722"/>
      <c r="E1128" s="714"/>
      <c r="F1128" s="714"/>
      <c r="G1128" s="714"/>
      <c r="H1128" s="191"/>
      <c r="I1128" s="191"/>
      <c r="J1128" s="499" t="str">
        <f>Noty!J1128</f>
        <v>ukryj</v>
      </c>
      <c r="K1128" s="489"/>
      <c r="L1128" s="450"/>
    </row>
    <row r="1129" spans="1:14" s="447" customFormat="1" ht="15.05" customHeight="1" x14ac:dyDescent="0.25">
      <c r="A1129" s="832"/>
      <c r="B1129" s="466"/>
      <c r="C1129" s="550" t="s">
        <v>11166</v>
      </c>
      <c r="E1129" s="714"/>
      <c r="F1129" s="714"/>
      <c r="G1129" s="1012"/>
      <c r="H1129" s="803">
        <f>IF(Noty!H1129="","",Noty!H1129)</f>
        <v>0</v>
      </c>
      <c r="I1129" s="803">
        <f>IF(Noty!I1129="","",Noty!I1129)</f>
        <v>0</v>
      </c>
      <c r="J1129" s="499" t="str">
        <f>Noty!J1129</f>
        <v>ukryj</v>
      </c>
      <c r="K1129" s="489"/>
      <c r="L1129" s="450"/>
    </row>
    <row r="1130" spans="1:14" s="447" customFormat="1" ht="15.05" customHeight="1" thickBot="1" x14ac:dyDescent="0.3">
      <c r="A1130" s="832"/>
      <c r="B1130" s="467"/>
      <c r="C1130" s="454"/>
      <c r="D1130" s="716"/>
      <c r="E1130" s="714"/>
      <c r="F1130" s="714"/>
      <c r="G1130" s="714"/>
      <c r="H1130" s="714"/>
      <c r="I1130" s="714"/>
      <c r="J1130" s="499" t="str">
        <f>Noty!J1130</f>
        <v>ukryj</v>
      </c>
      <c r="K1130" s="489"/>
      <c r="L1130" s="501"/>
    </row>
    <row r="1131" spans="1:14" s="447" customFormat="1" ht="16.399999999999999" thickTop="1" thickBot="1" x14ac:dyDescent="0.35">
      <c r="A1131" s="1183">
        <f>A1087</f>
        <v>1</v>
      </c>
      <c r="B1131" s="1184">
        <f>IF(K1131="n/a",B1108,B1108+1)</f>
        <v>0</v>
      </c>
      <c r="C1131" s="1417" t="s">
        <v>11189</v>
      </c>
      <c r="D1131" s="1417"/>
      <c r="E1131" s="1417"/>
      <c r="F1131" s="1417"/>
      <c r="G1131" s="1417"/>
      <c r="H1131" s="1417"/>
      <c r="I1131" s="1417"/>
      <c r="J1131" s="499" t="str">
        <f>Noty!J1131</f>
        <v>ukryj</v>
      </c>
      <c r="K1131" s="585" t="str">
        <f>Noty!K1131</f>
        <v>n/a</v>
      </c>
      <c r="L1131" s="496" t="str">
        <f>A1131&amp;"."&amp;B1131</f>
        <v>1.0</v>
      </c>
      <c r="N1131" s="1101" t="s">
        <v>9378</v>
      </c>
    </row>
    <row r="1132" spans="1:14" s="447" customFormat="1" ht="15.05" customHeight="1" thickTop="1" x14ac:dyDescent="0.25">
      <c r="A1132" s="458"/>
      <c r="B1132" s="828"/>
      <c r="C1132" s="1414" t="str">
        <f>C1109</f>
        <v>Only fill in if items are relevant!</v>
      </c>
      <c r="D1132" s="1414"/>
      <c r="E1132" s="1414"/>
      <c r="F1132" s="1414"/>
      <c r="G1132" s="1414"/>
      <c r="H1132" s="1414"/>
      <c r="I1132" s="1414"/>
      <c r="J1132" s="499" t="str">
        <f>Noty!J1132</f>
        <v>ukryj</v>
      </c>
      <c r="K1132" s="489"/>
      <c r="L1132" s="450"/>
    </row>
    <row r="1133" spans="1:14" s="447" customFormat="1" ht="25.55" customHeight="1" x14ac:dyDescent="0.25">
      <c r="A1133" s="832"/>
      <c r="B1133" s="466"/>
      <c r="C1133" s="556" t="s">
        <v>10836</v>
      </c>
      <c r="E1133" s="714"/>
      <c r="F1133" s="714"/>
      <c r="G1133" s="1012"/>
      <c r="H1133" s="999" t="str">
        <f>IF(Noty!H1133="","",Noty!H1133)</f>
        <v>01.01.2020 -31.12.2020</v>
      </c>
      <c r="I1133" s="999" t="str">
        <f>IF(Noty!I1133="","",Noty!I1133)</f>
        <v>01.01.2019 -31.12.2019</v>
      </c>
      <c r="J1133" s="499" t="str">
        <f>Noty!J1133</f>
        <v>ukryj</v>
      </c>
      <c r="K1133" s="489"/>
      <c r="L1133" s="450"/>
    </row>
    <row r="1134" spans="1:14" s="447" customFormat="1" ht="15.05" customHeight="1" x14ac:dyDescent="0.25">
      <c r="A1134" s="832"/>
      <c r="B1134" s="466"/>
      <c r="C1134" s="553" t="s">
        <v>11190</v>
      </c>
      <c r="D1134" s="417"/>
      <c r="E1134" s="731"/>
      <c r="F1134" s="731"/>
      <c r="G1134" s="731"/>
      <c r="H1134" s="714"/>
      <c r="I1134" s="714"/>
      <c r="J1134" s="499" t="str">
        <f>Noty!J1134</f>
        <v>ukryj</v>
      </c>
      <c r="K1134" s="489"/>
      <c r="L1134" s="450"/>
    </row>
    <row r="1135" spans="1:14" s="447" customFormat="1" ht="15.05" customHeight="1" x14ac:dyDescent="0.25">
      <c r="A1135" s="832"/>
      <c r="B1135" s="467"/>
      <c r="C1135" s="1398"/>
      <c r="D1135" s="1398"/>
      <c r="E1135" s="1398"/>
      <c r="F1135" s="1398"/>
      <c r="G1135" s="1001"/>
      <c r="H1135" s="800" t="str">
        <f>IF(Noty!H1135="","",Noty!H1135)</f>
        <v/>
      </c>
      <c r="I1135" s="800" t="str">
        <f>IF(Noty!I1135="","",Noty!I1135)</f>
        <v/>
      </c>
      <c r="J1135" s="499" t="str">
        <f>Noty!J1135</f>
        <v>ukryj</v>
      </c>
      <c r="K1135" s="489"/>
      <c r="L1135" s="450"/>
    </row>
    <row r="1136" spans="1:14" s="447" customFormat="1" ht="15.05" customHeight="1" x14ac:dyDescent="0.25">
      <c r="A1136" s="832"/>
      <c r="B1136" s="467"/>
      <c r="C1136" s="1398"/>
      <c r="D1136" s="1398"/>
      <c r="E1136" s="1398"/>
      <c r="F1136" s="1398"/>
      <c r="G1136" s="1001"/>
      <c r="H1136" s="1103" t="str">
        <f>IF(Noty!H1136="","",Noty!H1136)</f>
        <v/>
      </c>
      <c r="I1136" s="1103" t="str">
        <f>IF(Noty!I1136="","",Noty!I1136)</f>
        <v/>
      </c>
      <c r="J1136" s="499" t="str">
        <f>Noty!J1136</f>
        <v>ukryj</v>
      </c>
      <c r="K1136" s="489"/>
      <c r="L1136" s="450"/>
    </row>
    <row r="1137" spans="1:17" s="447" customFormat="1" ht="15.05" customHeight="1" x14ac:dyDescent="0.25">
      <c r="A1137" s="832"/>
      <c r="B1137" s="467"/>
      <c r="C1137" s="489"/>
      <c r="E1137" s="714"/>
      <c r="F1137" s="714"/>
      <c r="G1137" s="1012"/>
      <c r="H1137" s="803">
        <f>IF(Noty!H1137="","",Noty!H1137)</f>
        <v>0</v>
      </c>
      <c r="I1137" s="803">
        <f>IF(Noty!I1137="","",Noty!I1137)</f>
        <v>0</v>
      </c>
      <c r="J1137" s="499" t="str">
        <f>Noty!J1137</f>
        <v>ukryj</v>
      </c>
      <c r="K1137" s="489"/>
      <c r="L1137" s="450"/>
    </row>
    <row r="1138" spans="1:17" s="447" customFormat="1" ht="15.05" customHeight="1" x14ac:dyDescent="0.25">
      <c r="A1138" s="832"/>
      <c r="B1138" s="467"/>
      <c r="C1138" s="454"/>
      <c r="D1138" s="716"/>
      <c r="E1138" s="714"/>
      <c r="F1138" s="714"/>
      <c r="G1138" s="714"/>
      <c r="H1138" s="724"/>
      <c r="I1138" s="724"/>
      <c r="J1138" s="499" t="str">
        <f>Noty!J1138</f>
        <v>ukryj</v>
      </c>
      <c r="K1138" s="489"/>
      <c r="L1138" s="450"/>
    </row>
    <row r="1139" spans="1:17" s="447" customFormat="1" ht="15.05" customHeight="1" x14ac:dyDescent="0.25">
      <c r="A1139" s="832"/>
      <c r="B1139" s="466"/>
      <c r="C1139" s="461" t="s">
        <v>11169</v>
      </c>
      <c r="E1139" s="714"/>
      <c r="F1139" s="714"/>
      <c r="G1139" s="714"/>
      <c r="H1139" s="719"/>
      <c r="I1139" s="719"/>
      <c r="J1139" s="499" t="str">
        <f>Noty!J1139</f>
        <v>ukryj</v>
      </c>
      <c r="K1139" s="489"/>
      <c r="L1139" s="450"/>
    </row>
    <row r="1140" spans="1:17" s="447" customFormat="1" ht="15.05" customHeight="1" x14ac:dyDescent="0.25">
      <c r="A1140" s="832"/>
      <c r="B1140" s="467"/>
      <c r="C1140" s="450" t="s">
        <v>11191</v>
      </c>
      <c r="D1140" s="714"/>
      <c r="F1140" s="725"/>
      <c r="G1140" s="1012"/>
      <c r="H1140" s="1103" t="str">
        <f>IF(Noty!H1140="","",Noty!H1140)</f>
        <v/>
      </c>
      <c r="I1140" s="1103" t="str">
        <f>IF(Noty!I1140="","",Noty!I1140)</f>
        <v/>
      </c>
      <c r="J1140" s="499" t="str">
        <f>Noty!J1140</f>
        <v>ukryj</v>
      </c>
      <c r="K1140" s="489"/>
      <c r="L1140" s="450"/>
    </row>
    <row r="1141" spans="1:17" s="447" customFormat="1" ht="15.05" customHeight="1" x14ac:dyDescent="0.25">
      <c r="A1141" s="832"/>
      <c r="B1141" s="467"/>
      <c r="C1141" s="473" t="s">
        <v>11192</v>
      </c>
      <c r="D1141" s="725"/>
      <c r="F1141" s="725"/>
      <c r="G1141" s="1012"/>
      <c r="H1141" s="800">
        <f>IF(Noty!H1141="","",Noty!H1141)</f>
        <v>0</v>
      </c>
      <c r="I1141" s="800">
        <f>IF(Noty!I1141="","",Noty!I1141)</f>
        <v>0</v>
      </c>
      <c r="J1141" s="499" t="str">
        <f>Noty!J1141</f>
        <v>ukryj</v>
      </c>
      <c r="K1141" s="489"/>
      <c r="L1141" s="450"/>
    </row>
    <row r="1142" spans="1:17" s="447" customFormat="1" ht="15.05" customHeight="1" x14ac:dyDescent="0.25">
      <c r="A1142" s="832"/>
      <c r="B1142" s="467"/>
      <c r="C1142" s="474" t="s">
        <v>11172</v>
      </c>
      <c r="D1142" s="732"/>
      <c r="F1142" s="732"/>
      <c r="G1142" s="1018"/>
      <c r="H1142" s="1103" t="str">
        <f>IF(Noty!H1142="","",Noty!H1142)</f>
        <v/>
      </c>
      <c r="I1142" s="1103" t="str">
        <f>IF(Noty!I1142="","",Noty!I1142)</f>
        <v/>
      </c>
      <c r="J1142" s="499" t="str">
        <f>Noty!J1142</f>
        <v>ukryj</v>
      </c>
      <c r="K1142" s="489"/>
      <c r="L1142" s="455"/>
    </row>
    <row r="1143" spans="1:17" s="447" customFormat="1" ht="15.05" customHeight="1" x14ac:dyDescent="0.25">
      <c r="A1143" s="832"/>
      <c r="B1143" s="467"/>
      <c r="C1143" s="474" t="s">
        <v>11193</v>
      </c>
      <c r="D1143" s="732"/>
      <c r="F1143" s="732"/>
      <c r="G1143" s="1018"/>
      <c r="H1143" s="1103" t="str">
        <f>IF(Noty!H1143="","",Noty!H1143)</f>
        <v/>
      </c>
      <c r="I1143" s="1103" t="str">
        <f>IF(Noty!I1143="","",Noty!I1143)</f>
        <v/>
      </c>
      <c r="J1143" s="499" t="str">
        <f>Noty!J1143</f>
        <v>ukryj</v>
      </c>
      <c r="K1143" s="489"/>
      <c r="L1143" s="455"/>
    </row>
    <row r="1144" spans="1:17" s="447" customFormat="1" ht="15.05" customHeight="1" x14ac:dyDescent="0.25">
      <c r="A1144" s="832"/>
      <c r="B1144" s="467"/>
      <c r="C1144" s="474" t="s">
        <v>11174</v>
      </c>
      <c r="D1144" s="732"/>
      <c r="F1144" s="732"/>
      <c r="G1144" s="1018"/>
      <c r="H1144" s="1103" t="str">
        <f>IF(Noty!H1144="","",Noty!H1144)</f>
        <v/>
      </c>
      <c r="I1144" s="1103" t="str">
        <f>IF(Noty!I1144="","",Noty!I1144)</f>
        <v/>
      </c>
      <c r="J1144" s="499" t="str">
        <f>Noty!J1144</f>
        <v>ukryj</v>
      </c>
      <c r="K1144" s="489"/>
      <c r="L1144" s="455"/>
    </row>
    <row r="1145" spans="1:17" s="447" customFormat="1" ht="15.05" customHeight="1" x14ac:dyDescent="0.25">
      <c r="A1145" s="832"/>
      <c r="B1145" s="467"/>
      <c r="C1145" s="474" t="s">
        <v>11175</v>
      </c>
      <c r="D1145" s="732"/>
      <c r="F1145" s="732"/>
      <c r="G1145" s="1018"/>
      <c r="H1145" s="1103" t="str">
        <f>IF(Noty!H1145="","",Noty!H1145)</f>
        <v/>
      </c>
      <c r="I1145" s="1103" t="str">
        <f>IF(Noty!I1145="","",Noty!I1145)</f>
        <v/>
      </c>
      <c r="J1145" s="499" t="str">
        <f>Noty!J1145</f>
        <v>ukryj</v>
      </c>
      <c r="K1145" s="489"/>
      <c r="L1145" s="455"/>
    </row>
    <row r="1146" spans="1:17" s="447" customFormat="1" ht="15.05" customHeight="1" x14ac:dyDescent="0.25">
      <c r="A1146" s="832"/>
      <c r="B1146" s="467"/>
      <c r="C1146" s="454"/>
      <c r="D1146" s="716"/>
      <c r="E1146" s="714"/>
      <c r="F1146" s="714"/>
      <c r="G1146" s="1012"/>
      <c r="H1146" s="803">
        <f>IF(Noty!H1146="","",Noty!H1146)</f>
        <v>0</v>
      </c>
      <c r="I1146" s="803">
        <f>IF(Noty!I1146="","",Noty!I1146)</f>
        <v>0</v>
      </c>
      <c r="J1146" s="499" t="str">
        <f>Noty!J1146</f>
        <v>ukryj</v>
      </c>
      <c r="K1146" s="489"/>
      <c r="L1146" s="450"/>
    </row>
    <row r="1147" spans="1:17" s="447" customFormat="1" ht="15.05" customHeight="1" x14ac:dyDescent="0.25">
      <c r="A1147" s="832"/>
      <c r="B1147" s="467"/>
      <c r="C1147" s="454"/>
      <c r="D1147" s="716"/>
      <c r="E1147" s="714"/>
      <c r="F1147" s="714"/>
      <c r="G1147" s="714"/>
      <c r="H1147" s="724"/>
      <c r="I1147" s="724"/>
      <c r="J1147" s="499" t="str">
        <f>Noty!J1147</f>
        <v>ukryj</v>
      </c>
      <c r="K1147" s="489"/>
      <c r="L1147" s="450"/>
    </row>
    <row r="1148" spans="1:17" s="447" customFormat="1" ht="15.05" customHeight="1" x14ac:dyDescent="0.25">
      <c r="A1148" s="465"/>
      <c r="B1148" s="466"/>
      <c r="C1148" s="550" t="s">
        <v>11194</v>
      </c>
      <c r="E1148" s="714"/>
      <c r="F1148" s="714"/>
      <c r="G1148" s="1012"/>
      <c r="H1148" s="803">
        <f>IF(Noty!H1148="","",Noty!H1148)</f>
        <v>0</v>
      </c>
      <c r="I1148" s="803">
        <f>IF(Noty!I1148="","",Noty!I1148)</f>
        <v>0</v>
      </c>
      <c r="J1148" s="499" t="str">
        <f>Noty!J1148</f>
        <v>ukryj</v>
      </c>
      <c r="K1148" s="489"/>
      <c r="L1148" s="450"/>
    </row>
    <row r="1149" spans="1:17" ht="15.75" customHeight="1" thickBot="1" x14ac:dyDescent="0.3">
      <c r="A1149" s="194"/>
      <c r="B1149" s="520"/>
      <c r="C1149" s="195"/>
      <c r="D1149" s="195"/>
      <c r="E1149" s="196"/>
      <c r="F1149" s="196"/>
      <c r="G1149" s="196"/>
      <c r="H1149" s="196"/>
      <c r="I1149" s="196"/>
      <c r="J1149" s="499" t="str">
        <f>Noty!J1149</f>
        <v>ukryj</v>
      </c>
      <c r="L1149" s="496"/>
    </row>
    <row r="1150" spans="1:17" ht="15.05" customHeight="1" thickBot="1" x14ac:dyDescent="0.35">
      <c r="A1150" s="1180">
        <f>IF(K1150="n/a",A1131,A1131+1)</f>
        <v>2</v>
      </c>
      <c r="B1150" s="1182"/>
      <c r="C1150" s="1416" t="s">
        <v>11195</v>
      </c>
      <c r="D1150" s="1416"/>
      <c r="E1150" s="1416"/>
      <c r="F1150" s="1416"/>
      <c r="G1150" s="1416"/>
      <c r="H1150" s="1416"/>
      <c r="I1150" s="1416"/>
      <c r="J1150" s="499" t="str">
        <f>Noty!J1150</f>
        <v>odkryj</v>
      </c>
      <c r="K1150" s="1230" t="str">
        <f>Noty!K1150</f>
        <v/>
      </c>
      <c r="L1150" s="488" t="str">
        <f>A1150&amp;"."&amp;B1150</f>
        <v>2.</v>
      </c>
      <c r="M1150" s="488"/>
      <c r="N1150" s="1101" t="s">
        <v>9378</v>
      </c>
    </row>
    <row r="1151" spans="1:17" ht="15.05" customHeight="1" thickTop="1" thickBot="1" x14ac:dyDescent="0.3">
      <c r="A1151" s="508"/>
      <c r="B1151" s="520"/>
      <c r="C1151" s="968"/>
      <c r="D1151" s="714"/>
      <c r="E1151" s="714"/>
      <c r="F1151" s="714"/>
      <c r="G1151" s="714"/>
      <c r="H1151" s="714"/>
      <c r="I1151" s="714"/>
      <c r="J1151" s="499" t="str">
        <f>Noty!J1151</f>
        <v>odkryj</v>
      </c>
      <c r="L1151" s="488"/>
      <c r="M1151" s="488"/>
      <c r="N1151" s="488"/>
      <c r="Q1151" s="257" t="s">
        <v>11196</v>
      </c>
    </row>
    <row r="1152" spans="1:17" ht="30.8" customHeight="1" thickBot="1" x14ac:dyDescent="0.3">
      <c r="A1152" s="508"/>
      <c r="B1152" s="520"/>
      <c r="C1152" s="1424" t="str">
        <f>CONCATENATE("Both in the current financial year ending ",DAY(DataDo)," ",Input!S7," ",YEAR(DataDo)," and in the previous financial year there were no revenues or costs that occured incidentally or of extraordinary value.")</f>
        <v>Both in the current financial year ending 31 December 2020 and in the previous financial year there were no revenues or costs that occured incidentally or of extraordinary value.</v>
      </c>
      <c r="D1152" s="1424"/>
      <c r="E1152" s="1424"/>
      <c r="F1152" s="1424"/>
      <c r="G1152" s="1424"/>
      <c r="H1152" s="1424"/>
      <c r="I1152" s="1424"/>
      <c r="J1152" s="499" t="str">
        <f>Noty!J1152</f>
        <v>odkryj</v>
      </c>
      <c r="K1152" s="1224" t="str">
        <f>Noty!K1152</f>
        <v/>
      </c>
      <c r="L1152" s="488"/>
      <c r="M1152" s="488"/>
      <c r="N1152" s="488"/>
      <c r="Q1152" s="257" t="s">
        <v>11196</v>
      </c>
    </row>
    <row r="1153" spans="1:14" ht="15.05" customHeight="1" thickBot="1" x14ac:dyDescent="0.3">
      <c r="A1153" s="458"/>
      <c r="B1153" s="828"/>
      <c r="C1153" s="557" t="s">
        <v>11197</v>
      </c>
      <c r="D1153" s="733"/>
      <c r="E1153" s="733"/>
      <c r="F1153" s="733"/>
      <c r="G1153" s="733"/>
      <c r="H1153" s="733"/>
      <c r="I1153" s="733"/>
      <c r="J1153" s="499" t="str">
        <f>Noty!J1153</f>
        <v>ukryj</v>
      </c>
      <c r="L1153" s="488"/>
      <c r="M1153" s="488"/>
      <c r="N1153" s="488"/>
    </row>
    <row r="1154" spans="1:14" ht="13.6" customHeight="1" thickBot="1" x14ac:dyDescent="0.3">
      <c r="A1154" s="465"/>
      <c r="B1154" s="466"/>
      <c r="C1154" s="459"/>
      <c r="D1154" s="447"/>
      <c r="E1154" s="714"/>
      <c r="F1154" s="714"/>
      <c r="G1154" s="1012"/>
      <c r="H1154" s="999" t="str">
        <f>IF(Noty!H1154="","",Noty!H1154)</f>
        <v>31.12.2020</v>
      </c>
      <c r="I1154" s="999" t="str">
        <f>IF(Noty!I1154="","",Noty!I1154)</f>
        <v>31.12.2019</v>
      </c>
      <c r="J1154" s="499" t="str">
        <f>Noty!J1154</f>
        <v>ukryj</v>
      </c>
      <c r="K1154" s="1224" t="str">
        <f>Noty!K1154</f>
        <v>n/a</v>
      </c>
    </row>
    <row r="1155" spans="1:14" ht="13.6" customHeight="1" x14ac:dyDescent="0.25">
      <c r="A1155" s="465"/>
      <c r="B1155" s="466"/>
      <c r="C1155" s="553" t="s">
        <v>11198</v>
      </c>
      <c r="D1155" s="447"/>
      <c r="E1155" s="720"/>
      <c r="F1155" s="720"/>
      <c r="G1155" s="720"/>
      <c r="H1155" s="561"/>
      <c r="I1155" s="561"/>
      <c r="J1155" s="499" t="str">
        <f>Noty!J1155</f>
        <v>ukryj</v>
      </c>
      <c r="K1155" s="174"/>
    </row>
    <row r="1156" spans="1:14" ht="13.6" customHeight="1" x14ac:dyDescent="0.25">
      <c r="A1156" s="465"/>
      <c r="B1156" s="467"/>
      <c r="C1156" s="1398"/>
      <c r="D1156" s="1398"/>
      <c r="E1156" s="1398"/>
      <c r="F1156" s="1398"/>
      <c r="G1156" s="1001"/>
      <c r="H1156" s="800" t="str">
        <f>IF(Noty!H1156="","",Noty!H1156)</f>
        <v/>
      </c>
      <c r="I1156" s="800" t="str">
        <f>IF(Noty!I1156="","",Noty!I1156)</f>
        <v/>
      </c>
      <c r="J1156" s="499" t="str">
        <f>Noty!J1156</f>
        <v>ukryj</v>
      </c>
      <c r="K1156" s="174"/>
    </row>
    <row r="1157" spans="1:14" ht="13.6" customHeight="1" x14ac:dyDescent="0.25">
      <c r="A1157" s="465"/>
      <c r="B1157" s="467"/>
      <c r="C1157" s="1398"/>
      <c r="D1157" s="1398"/>
      <c r="E1157" s="1398"/>
      <c r="F1157" s="1398"/>
      <c r="G1157" s="1001"/>
      <c r="H1157" s="1103" t="str">
        <f>IF(Noty!H1157="","",Noty!H1157)</f>
        <v/>
      </c>
      <c r="I1157" s="1103" t="str">
        <f>IF(Noty!I1157="","",Noty!I1157)</f>
        <v/>
      </c>
      <c r="J1157" s="499" t="str">
        <f>Noty!J1157</f>
        <v>ukryj</v>
      </c>
      <c r="K1157" s="174"/>
    </row>
    <row r="1158" spans="1:14" ht="13.6" customHeight="1" x14ac:dyDescent="0.25">
      <c r="A1158" s="465"/>
      <c r="B1158" s="467"/>
      <c r="C1158" s="1398"/>
      <c r="D1158" s="1398"/>
      <c r="E1158" s="1398"/>
      <c r="F1158" s="1398"/>
      <c r="G1158" s="1001"/>
      <c r="H1158" s="1103" t="str">
        <f>IF(Noty!H1158="","",Noty!H1158)</f>
        <v/>
      </c>
      <c r="I1158" s="1103" t="str">
        <f>IF(Noty!I1158="","",Noty!I1158)</f>
        <v/>
      </c>
      <c r="J1158" s="499" t="str">
        <f>Noty!J1158</f>
        <v>ukryj</v>
      </c>
      <c r="K1158" s="174"/>
    </row>
    <row r="1159" spans="1:14" ht="13.6" customHeight="1" x14ac:dyDescent="0.25">
      <c r="A1159" s="465"/>
      <c r="B1159" s="467"/>
      <c r="C1159" s="467"/>
      <c r="D1159" s="716"/>
      <c r="E1159" s="714"/>
      <c r="F1159" s="714"/>
      <c r="G1159" s="1012"/>
      <c r="H1159" s="803">
        <f>IF(Noty!H1159="","",Noty!H1159)</f>
        <v>0</v>
      </c>
      <c r="I1159" s="803">
        <f>IF(Noty!I1159="","",Noty!I1159)</f>
        <v>0</v>
      </c>
      <c r="J1159" s="499" t="str">
        <f>Noty!J1159</f>
        <v>ukryj</v>
      </c>
      <c r="K1159" s="174"/>
    </row>
    <row r="1160" spans="1:14" ht="13.6" customHeight="1" x14ac:dyDescent="0.25">
      <c r="A1160" s="465"/>
      <c r="B1160" s="467"/>
      <c r="C1160" s="1425" t="s">
        <v>11199</v>
      </c>
      <c r="D1160" s="1425"/>
      <c r="E1160" s="1425"/>
      <c r="F1160" s="1425"/>
      <c r="G1160" s="1425"/>
      <c r="H1160" s="1425"/>
      <c r="I1160" s="1425"/>
      <c r="J1160" s="499" t="str">
        <f>Noty!J1160</f>
        <v>ukryj</v>
      </c>
      <c r="K1160" s="174"/>
    </row>
    <row r="1161" spans="1:14" ht="13.6" customHeight="1" thickBot="1" x14ac:dyDescent="0.3">
      <c r="A1161" s="465"/>
      <c r="B1161" s="467"/>
      <c r="C1161" s="467"/>
      <c r="D1161" s="716"/>
      <c r="E1161" s="714"/>
      <c r="F1161" s="714"/>
      <c r="G1161" s="714"/>
      <c r="H1161" s="714"/>
      <c r="I1161" s="714"/>
      <c r="J1161" s="499" t="str">
        <f>Noty!J1161</f>
        <v>odkryj</v>
      </c>
      <c r="K1161" s="174"/>
    </row>
    <row r="1162" spans="1:14" s="447" customFormat="1" ht="16.399999999999999" thickTop="1" thickBot="1" x14ac:dyDescent="0.35">
      <c r="A1162" s="1180">
        <f>IF(K1162="n/a",A1150,A1150+ 1)</f>
        <v>2</v>
      </c>
      <c r="B1162" s="1182"/>
      <c r="C1162" s="1388" t="s">
        <v>11200</v>
      </c>
      <c r="D1162" s="1388"/>
      <c r="E1162" s="1388"/>
      <c r="F1162" s="1388"/>
      <c r="G1162" s="1388"/>
      <c r="H1162" s="1388"/>
      <c r="I1162" s="1388"/>
      <c r="J1162" s="499" t="str">
        <f>Noty!J1162</f>
        <v>ukryj</v>
      </c>
      <c r="K1162" s="585" t="str">
        <f>Noty!K1162</f>
        <v>n/a</v>
      </c>
      <c r="L1162" s="496" t="str">
        <f>A1162&amp;"."&amp;B1162</f>
        <v>2.</v>
      </c>
      <c r="N1162" s="1101" t="s">
        <v>9378</v>
      </c>
    </row>
    <row r="1163" spans="1:14" s="447" customFormat="1" ht="25.55" customHeight="1" thickTop="1" x14ac:dyDescent="0.25">
      <c r="A1163" s="508"/>
      <c r="B1163" s="520"/>
      <c r="C1163" s="200"/>
      <c r="D1163" s="200"/>
      <c r="E1163" s="196"/>
      <c r="F1163" s="196"/>
      <c r="G1163" s="580"/>
      <c r="H1163" s="999" t="str">
        <f>IF(Noty!H1163="","",Noty!H1163)</f>
        <v>01.01.2020 -31.12.2020</v>
      </c>
      <c r="I1163" s="999" t="str">
        <f>IF(Noty!I1163="","",Noty!I1163)</f>
        <v>01.01.2019 -31.12.2019</v>
      </c>
      <c r="J1163" s="499" t="str">
        <f>Noty!J1163</f>
        <v>ukryj</v>
      </c>
      <c r="K1163" s="489"/>
      <c r="L1163" s="200"/>
    </row>
    <row r="1164" spans="1:14" s="447" customFormat="1" ht="15.05" customHeight="1" x14ac:dyDescent="0.25">
      <c r="A1164" s="508"/>
      <c r="B1164" s="520"/>
      <c r="C1164" s="200"/>
      <c r="D1164" s="200"/>
      <c r="E1164" s="196"/>
      <c r="F1164" s="196"/>
      <c r="H1164" s="196"/>
      <c r="I1164" s="196"/>
      <c r="J1164" s="499" t="str">
        <f>Noty!J1164</f>
        <v>ukryj</v>
      </c>
      <c r="K1164" s="489"/>
      <c r="L1164" s="200"/>
    </row>
    <row r="1165" spans="1:14" s="447" customFormat="1" ht="13.6" customHeight="1" x14ac:dyDescent="0.25">
      <c r="A1165" s="508"/>
      <c r="B1165" s="520"/>
      <c r="C1165" s="1386" t="s">
        <v>11201</v>
      </c>
      <c r="D1165" s="1386"/>
      <c r="E1165" s="1386"/>
      <c r="F1165" s="1386"/>
      <c r="G1165" s="580"/>
      <c r="H1165" s="800">
        <f>IF(Noty!H1165="","",Noty!H1165)</f>
        <v>0</v>
      </c>
      <c r="I1165" s="800">
        <f>IF(Noty!I1165="","",Noty!I1165)</f>
        <v>0</v>
      </c>
      <c r="J1165" s="499" t="str">
        <f>Noty!J1165</f>
        <v>ukryj</v>
      </c>
      <c r="K1165" s="489"/>
      <c r="L1165" s="200"/>
    </row>
    <row r="1166" spans="1:14" s="447" customFormat="1" ht="13.6" customHeight="1" x14ac:dyDescent="0.25">
      <c r="A1166" s="508"/>
      <c r="B1166" s="520"/>
      <c r="C1166" s="1386" t="s">
        <v>11202</v>
      </c>
      <c r="D1166" s="1386"/>
      <c r="E1166" s="1386"/>
      <c r="F1166" s="1386"/>
      <c r="G1166" s="580"/>
      <c r="H1166" s="800">
        <f>IF(Noty!H1166="","",Noty!H1166)</f>
        <v>0</v>
      </c>
      <c r="I1166" s="1103" t="str">
        <f>IF(Noty!I1166="","",Noty!I1166)</f>
        <v/>
      </c>
      <c r="J1166" s="499" t="str">
        <f>Noty!J1166</f>
        <v>ukryj</v>
      </c>
      <c r="K1166" s="489"/>
      <c r="L1166" s="200"/>
    </row>
    <row r="1167" spans="1:14" s="447" customFormat="1" ht="15.05" customHeight="1" x14ac:dyDescent="0.25">
      <c r="A1167" s="508"/>
      <c r="B1167" s="520"/>
      <c r="C1167" s="200"/>
      <c r="D1167" s="200"/>
      <c r="E1167" s="196"/>
      <c r="F1167" s="196"/>
      <c r="G1167" s="580"/>
      <c r="H1167" s="803">
        <f>IF(Noty!H1167="","",Noty!H1167)</f>
        <v>0</v>
      </c>
      <c r="I1167" s="803">
        <f>IF(Noty!I1167="","",Noty!I1167)</f>
        <v>0</v>
      </c>
      <c r="J1167" s="499" t="str">
        <f>Noty!J1167</f>
        <v>ukryj</v>
      </c>
      <c r="K1167" s="489"/>
      <c r="L1167" s="200"/>
    </row>
    <row r="1168" spans="1:14" s="447" customFormat="1" ht="15.05" customHeight="1" x14ac:dyDescent="0.25">
      <c r="A1168" s="508"/>
      <c r="B1168" s="520"/>
      <c r="C1168" s="200"/>
      <c r="D1168" s="200"/>
      <c r="E1168" s="196"/>
      <c r="F1168" s="196"/>
      <c r="H1168" s="377"/>
      <c r="I1168" s="377"/>
      <c r="J1168" s="499" t="str">
        <f>Noty!J1168</f>
        <v>ukryj</v>
      </c>
      <c r="K1168" s="489"/>
      <c r="L1168" s="200"/>
    </row>
    <row r="1169" spans="1:15" s="447" customFormat="1" ht="27.85" customHeight="1" x14ac:dyDescent="0.25">
      <c r="A1169" s="508"/>
      <c r="B1169" s="520"/>
      <c r="C1169" s="200"/>
      <c r="D1169" s="200"/>
      <c r="E1169" s="196"/>
      <c r="F1169" s="196"/>
      <c r="G1169" s="580"/>
      <c r="H1169" s="999" t="str">
        <f>IF(Noty!H1169="","",Noty!H1169)</f>
        <v>01.01.2020 -31.12.2020</v>
      </c>
      <c r="I1169" s="999" t="str">
        <f>IF(Noty!I1169="","",Noty!I1169)</f>
        <v>01.01.2019 -31.12.2019</v>
      </c>
      <c r="J1169" s="499" t="str">
        <f>Noty!J1169</f>
        <v>ukryj</v>
      </c>
      <c r="K1169" s="489"/>
      <c r="L1169" s="200"/>
    </row>
    <row r="1170" spans="1:15" s="447" customFormat="1" ht="15.05" customHeight="1" x14ac:dyDescent="0.25">
      <c r="A1170" s="508"/>
      <c r="B1170" s="520"/>
      <c r="H1170" s="196"/>
      <c r="I1170" s="196"/>
      <c r="J1170" s="499" t="str">
        <f>Noty!J1170</f>
        <v>ukryj</v>
      </c>
      <c r="K1170" s="489"/>
      <c r="L1170" s="476"/>
    </row>
    <row r="1171" spans="1:15" s="447" customFormat="1" ht="15.05" customHeight="1" x14ac:dyDescent="0.25">
      <c r="A1171" s="508"/>
      <c r="B1171" s="520"/>
      <c r="C1171" s="1385" t="s">
        <v>11203</v>
      </c>
      <c r="D1171" s="1385"/>
      <c r="E1171" s="1385"/>
      <c r="F1171" s="1385"/>
      <c r="G1171" s="580"/>
      <c r="H1171" s="1103" t="str">
        <f>IF(Noty!H1171="","",Noty!H1171)</f>
        <v/>
      </c>
      <c r="I1171" s="1103" t="str">
        <f>IF(Noty!I1171="","",Noty!I1171)</f>
        <v/>
      </c>
      <c r="J1171" s="499" t="str">
        <f>Noty!J1171</f>
        <v>ukryj</v>
      </c>
      <c r="K1171" s="489"/>
      <c r="L1171" s="971"/>
    </row>
    <row r="1172" spans="1:15" s="447" customFormat="1" ht="13.6" customHeight="1" x14ac:dyDescent="0.25">
      <c r="A1172" s="508"/>
      <c r="B1172" s="520"/>
      <c r="C1172" s="1478" t="str">
        <f>"Current tax  ("&amp;IF(Input!C55=Input!C56,TEXT(Input!C55,"##%"&amp;")"),TEXT(Input!C55,"##%")&amp;", "&amp;TEXT(Input!C56,"##%"&amp;")"))</f>
        <v>Current tax  (19%)</v>
      </c>
      <c r="D1172" s="1478"/>
      <c r="E1172" s="1478"/>
      <c r="F1172" s="1478"/>
      <c r="G1172" s="580"/>
      <c r="H1172" s="800">
        <f>IF(Noty!H1172="","",Noty!H1172)</f>
        <v>0</v>
      </c>
      <c r="I1172" s="800">
        <f>IF(Noty!I1172="","",Noty!I1172)</f>
        <v>0</v>
      </c>
      <c r="J1172" s="499" t="str">
        <f>Noty!J1172</f>
        <v>ukryj</v>
      </c>
      <c r="K1172" s="489"/>
      <c r="L1172" s="200"/>
    </row>
    <row r="1173" spans="1:15" s="447" customFormat="1" ht="15.05" customHeight="1" x14ac:dyDescent="0.25">
      <c r="A1173" s="508"/>
      <c r="B1173" s="520"/>
      <c r="C1173" s="200" t="s">
        <v>11201</v>
      </c>
      <c r="D1173" s="200"/>
      <c r="E1173" s="200"/>
      <c r="F1173" s="200"/>
      <c r="G1173" s="580"/>
      <c r="H1173" s="803">
        <f>IF(Noty!H1173="","",Noty!H1173)</f>
        <v>0</v>
      </c>
      <c r="I1173" s="803">
        <f>IF(Noty!I1173="","",Noty!I1173)</f>
        <v>0</v>
      </c>
      <c r="J1173" s="499" t="str">
        <f>Noty!J1173</f>
        <v>ukryj</v>
      </c>
      <c r="K1173" s="489"/>
      <c r="L1173" s="200"/>
    </row>
    <row r="1174" spans="1:15" s="447" customFormat="1" ht="15.05" customHeight="1" thickBot="1" x14ac:dyDescent="0.3">
      <c r="A1174" s="508"/>
      <c r="B1174" s="520"/>
      <c r="C1174" s="200"/>
      <c r="D1174" s="200"/>
      <c r="E1174" s="196"/>
      <c r="F1174" s="196"/>
      <c r="H1174" s="377"/>
      <c r="I1174" s="377"/>
      <c r="J1174" s="499" t="str">
        <f>Noty!J1174</f>
        <v>ukryj</v>
      </c>
      <c r="K1174" s="489"/>
      <c r="L1174" s="496"/>
    </row>
    <row r="1175" spans="1:15" s="447" customFormat="1" ht="15.05" customHeight="1" thickTop="1" thickBot="1" x14ac:dyDescent="0.35">
      <c r="A1175" s="1128">
        <f>IF(K1175="n/a",A1162,A1162+1)</f>
        <v>2</v>
      </c>
      <c r="B1175" s="1129"/>
      <c r="C1175" s="1200" t="s">
        <v>11204</v>
      </c>
      <c r="D1175" s="200"/>
      <c r="E1175" s="196"/>
      <c r="F1175" s="196"/>
      <c r="H1175" s="377"/>
      <c r="I1175" s="377"/>
      <c r="J1175" s="499" t="str">
        <f>Noty!J1175</f>
        <v>ukryj</v>
      </c>
      <c r="K1175" s="1109" t="str">
        <f>Noty!K1175</f>
        <v>n/a</v>
      </c>
      <c r="L1175" s="1207" t="str">
        <f>A1175&amp;"."&amp;B1175</f>
        <v>2.</v>
      </c>
      <c r="N1175" s="1138" t="s">
        <v>9378</v>
      </c>
      <c r="O1175" s="447" t="str">
        <f>A1175&amp;"."&amp;B1175</f>
        <v>2.</v>
      </c>
    </row>
    <row r="1176" spans="1:15" s="447" customFormat="1" ht="15.05" customHeight="1" thickTop="1" x14ac:dyDescent="0.25">
      <c r="A1176" s="508"/>
      <c r="B1176" s="520"/>
      <c r="C1176" s="200"/>
      <c r="D1176" s="200"/>
      <c r="E1176" s="196"/>
      <c r="F1176" s="196"/>
      <c r="H1176" s="377"/>
      <c r="I1176" s="377"/>
      <c r="J1176" s="499" t="str">
        <f>Noty!J1176</f>
        <v>ukryj</v>
      </c>
      <c r="K1176" s="489"/>
      <c r="L1176" s="496"/>
    </row>
    <row r="1177" spans="1:15" s="447" customFormat="1" ht="15.05" customHeight="1" x14ac:dyDescent="0.25">
      <c r="A1177" s="508"/>
      <c r="B1177" s="520"/>
      <c r="C1177" s="1455" t="s">
        <v>11205</v>
      </c>
      <c r="D1177" s="1455"/>
      <c r="E1177" s="1455"/>
      <c r="F1177" s="1455"/>
      <c r="G1177" s="1455"/>
      <c r="H1177" s="1455"/>
      <c r="I1177" s="1455"/>
      <c r="J1177" s="499" t="str">
        <f>Noty!J1177</f>
        <v>ukryj</v>
      </c>
      <c r="K1177" s="489"/>
      <c r="L1177" s="496"/>
    </row>
    <row r="1178" spans="1:15" s="447" customFormat="1" ht="15.05" customHeight="1" x14ac:dyDescent="0.25">
      <c r="A1178" s="508"/>
      <c r="B1178" s="520"/>
      <c r="C1178" s="200"/>
      <c r="D1178" s="200"/>
      <c r="E1178" s="196"/>
      <c r="F1178" s="196"/>
      <c r="H1178" s="1205" t="str">
        <f>IF(Noty!H1178="","",Noty!H1178)</f>
        <v>01.01.2020 -31.12.2020</v>
      </c>
      <c r="I1178" s="1205" t="str">
        <f>IF(Noty!I1178="","",Noty!I1178)</f>
        <v>01.01.2019 -31.12.2019</v>
      </c>
      <c r="J1178" s="499" t="str">
        <f>Noty!J1178</f>
        <v>ukryj</v>
      </c>
      <c r="K1178" s="489"/>
      <c r="L1178" s="496"/>
    </row>
    <row r="1179" spans="1:15" s="447" customFormat="1" ht="15.05" customHeight="1" x14ac:dyDescent="0.25">
      <c r="A1179" s="508"/>
      <c r="B1179" s="520"/>
      <c r="C1179" s="1293" t="s">
        <v>11204</v>
      </c>
      <c r="D1179" s="1293"/>
      <c r="E1179" s="1293"/>
      <c r="F1179" s="1293"/>
      <c r="G1179" s="1293"/>
      <c r="H1179" s="1208" t="str">
        <f>IF(Noty!H1179="","",Noty!H1179)</f>
        <v/>
      </c>
      <c r="I1179" s="1208" t="str">
        <f>IF(Noty!I1179="","",Noty!I1179)</f>
        <v/>
      </c>
      <c r="J1179" s="499" t="str">
        <f>Noty!J1179</f>
        <v>ukryj</v>
      </c>
      <c r="K1179" s="489"/>
      <c r="L1179" s="496"/>
    </row>
    <row r="1180" spans="1:15" s="447" customFormat="1" ht="15.05" customHeight="1" x14ac:dyDescent="0.25">
      <c r="A1180" s="508"/>
      <c r="B1180" s="520"/>
      <c r="C1180" s="1456" t="str">
        <f>"There was no income from hidden profits in "&amp;YEAR(Input!$R$7)&amp;IF(RokObr=1," and in previous year.",".")</f>
        <v>There was no income from hidden profits in 2020.</v>
      </c>
      <c r="D1180" s="1456"/>
      <c r="E1180" s="1456"/>
      <c r="F1180" s="1456"/>
      <c r="G1180" s="1456"/>
      <c r="H1180" s="1456"/>
      <c r="I1180" s="1456"/>
      <c r="J1180" s="499" t="str">
        <f>Noty!J1180</f>
        <v>ukryj</v>
      </c>
      <c r="K1180" s="489"/>
      <c r="L1180" s="496"/>
    </row>
    <row r="1181" spans="1:15" s="447" customFormat="1" ht="15.05" customHeight="1" x14ac:dyDescent="0.25">
      <c r="A1181" s="508"/>
      <c r="B1181" s="520"/>
      <c r="C1181" s="1456"/>
      <c r="D1181" s="1456"/>
      <c r="E1181" s="1456"/>
      <c r="F1181" s="1456"/>
      <c r="G1181" s="1456"/>
      <c r="H1181" s="1456"/>
      <c r="I1181" s="1456"/>
      <c r="J1181" s="499" t="str">
        <f>Noty!J1181</f>
        <v>ukryj</v>
      </c>
      <c r="K1181" s="489"/>
      <c r="L1181" s="496"/>
    </row>
    <row r="1182" spans="1:15" s="447" customFormat="1" ht="15.05" customHeight="1" thickBot="1" x14ac:dyDescent="0.3">
      <c r="A1182" s="508"/>
      <c r="B1182" s="520"/>
      <c r="C1182" s="200"/>
      <c r="D1182" s="200"/>
      <c r="E1182" s="196"/>
      <c r="F1182" s="196"/>
      <c r="H1182" s="377"/>
      <c r="I1182" s="377"/>
      <c r="J1182" s="499" t="str">
        <f>Noty!J1182</f>
        <v>ukryj</v>
      </c>
      <c r="K1182" s="489"/>
      <c r="L1182" s="496"/>
    </row>
    <row r="1183" spans="1:15" s="447" customFormat="1" ht="16.399999999999999" thickTop="1" thickBot="1" x14ac:dyDescent="0.35">
      <c r="A1183" s="1180">
        <f>IF(K1183="n/a",A1175,A1175+1)</f>
        <v>2</v>
      </c>
      <c r="B1183" s="1182"/>
      <c r="C1183" s="1388" t="s">
        <v>11206</v>
      </c>
      <c r="D1183" s="1388"/>
      <c r="E1183" s="1388"/>
      <c r="F1183" s="1388"/>
      <c r="G1183" s="1388"/>
      <c r="H1183" s="1388"/>
      <c r="I1183" s="1388"/>
      <c r="J1183" s="499" t="str">
        <f>Noty!J1183</f>
        <v>ukryj</v>
      </c>
      <c r="K1183" s="585" t="str">
        <f>Noty!K1183</f>
        <v>n/a</v>
      </c>
      <c r="L1183" s="496" t="str">
        <f>A1183&amp;"."&amp;B1183</f>
        <v>2.</v>
      </c>
      <c r="N1183" s="1101" t="s">
        <v>9378</v>
      </c>
    </row>
    <row r="1184" spans="1:15" s="447" customFormat="1" ht="15.05" customHeight="1" thickTop="1" x14ac:dyDescent="0.25">
      <c r="A1184" s="508"/>
      <c r="B1184" s="520"/>
      <c r="C1184" s="204"/>
      <c r="D1184" s="204"/>
      <c r="E1184" s="196"/>
      <c r="F1184" s="196"/>
      <c r="G1184" s="580"/>
      <c r="H1184" s="1019" t="str">
        <f>IF(Noty!H1184="","",Noty!H1184)</f>
        <v>31.12.2020</v>
      </c>
      <c r="I1184" s="1019" t="str">
        <f>IF(Noty!I1184="","",Noty!I1184)</f>
        <v>31.12.2019</v>
      </c>
      <c r="J1184" s="499" t="str">
        <f>Noty!J1184</f>
        <v>ukryj</v>
      </c>
      <c r="K1184" s="489"/>
      <c r="L1184" s="200"/>
    </row>
    <row r="1185" spans="1:12" s="447" customFormat="1" ht="15.05" customHeight="1" x14ac:dyDescent="0.25">
      <c r="A1185" s="508"/>
      <c r="B1185" s="520"/>
      <c r="C1185" s="841"/>
      <c r="D1185" s="841"/>
      <c r="E1185" s="841"/>
      <c r="F1185" s="822"/>
      <c r="H1185" s="192"/>
      <c r="I1185" s="192"/>
      <c r="J1185" s="499" t="str">
        <f>Noty!J1185</f>
        <v>ukryj</v>
      </c>
      <c r="K1185" s="489"/>
      <c r="L1185" s="200"/>
    </row>
    <row r="1186" spans="1:12" s="447" customFormat="1" ht="15.05" customHeight="1" x14ac:dyDescent="0.25">
      <c r="A1186" s="508"/>
      <c r="B1186" s="520"/>
      <c r="C1186" s="185" t="s">
        <v>11207</v>
      </c>
      <c r="D1186" s="207"/>
      <c r="E1186" s="207"/>
      <c r="F1186" s="185"/>
      <c r="H1186" s="192"/>
      <c r="I1186" s="192"/>
      <c r="J1186" s="499" t="str">
        <f>Noty!J1186</f>
        <v>ukryj</v>
      </c>
      <c r="K1186" s="489"/>
      <c r="L1186" s="200"/>
    </row>
    <row r="1187" spans="1:12" s="447" customFormat="1" ht="13.6" customHeight="1" x14ac:dyDescent="0.25">
      <c r="A1187" s="508"/>
      <c r="B1187" s="520"/>
      <c r="C1187" s="203" t="s">
        <v>11208</v>
      </c>
      <c r="E1187" s="202"/>
      <c r="F1187" s="202"/>
      <c r="G1187" s="580"/>
      <c r="H1187" s="800" t="str">
        <f>IF(Noty!H1187="","",Noty!H1187)</f>
        <v/>
      </c>
      <c r="I1187" s="800" t="str">
        <f>IF(Noty!I1187="","",Noty!I1187)</f>
        <v/>
      </c>
      <c r="J1187" s="499" t="str">
        <f>Noty!J1187</f>
        <v>ukryj</v>
      </c>
      <c r="K1187" s="489"/>
      <c r="L1187" s="200"/>
    </row>
    <row r="1188" spans="1:12" s="447" customFormat="1" ht="13.6" customHeight="1" x14ac:dyDescent="0.25">
      <c r="A1188" s="508"/>
      <c r="B1188" s="520"/>
      <c r="C1188" s="203" t="s">
        <v>11209</v>
      </c>
      <c r="E1188" s="202"/>
      <c r="F1188" s="202"/>
      <c r="G1188" s="580"/>
      <c r="H1188" s="800" t="str">
        <f>IF(Noty!H1188="","",Noty!H1188)</f>
        <v/>
      </c>
      <c r="I1188" s="800" t="str">
        <f>IF(Noty!I1188="","",Noty!I1188)</f>
        <v/>
      </c>
      <c r="J1188" s="499" t="str">
        <f>Noty!J1188</f>
        <v>ukryj</v>
      </c>
      <c r="K1188" s="489"/>
      <c r="L1188" s="200"/>
    </row>
    <row r="1189" spans="1:12" s="447" customFormat="1" ht="15.05" customHeight="1" x14ac:dyDescent="0.25">
      <c r="A1189" s="508"/>
      <c r="B1189" s="520"/>
      <c r="C1189" s="203" t="s">
        <v>11210</v>
      </c>
      <c r="E1189" s="202"/>
      <c r="F1189" s="202"/>
      <c r="G1189" s="580"/>
      <c r="H1189" s="800" t="str">
        <f>IF(Noty!H1189="","",Noty!H1189)</f>
        <v/>
      </c>
      <c r="I1189" s="800" t="str">
        <f>IF(Noty!I1189="","",Noty!I1189)</f>
        <v/>
      </c>
      <c r="J1189" s="499" t="str">
        <f>Noty!J1189</f>
        <v>ukryj</v>
      </c>
      <c r="K1189" s="489"/>
      <c r="L1189" s="200"/>
    </row>
    <row r="1190" spans="1:12" s="447" customFormat="1" ht="13.6" customHeight="1" x14ac:dyDescent="0.25">
      <c r="A1190" s="508"/>
      <c r="B1190" s="520"/>
      <c r="C1190" s="203" t="s">
        <v>11211</v>
      </c>
      <c r="E1190" s="202"/>
      <c r="F1190" s="202"/>
      <c r="G1190" s="580"/>
      <c r="H1190" s="800" t="str">
        <f>IF(Noty!H1190="","",Noty!H1190)</f>
        <v/>
      </c>
      <c r="I1190" s="800" t="str">
        <f>IF(Noty!I1190="","",Noty!I1190)</f>
        <v/>
      </c>
      <c r="J1190" s="499" t="str">
        <f>Noty!J1190</f>
        <v>ukryj</v>
      </c>
      <c r="K1190" s="489"/>
      <c r="L1190" s="200"/>
    </row>
    <row r="1191" spans="1:12" s="447" customFormat="1" ht="13.6" customHeight="1" x14ac:dyDescent="0.25">
      <c r="A1191" s="508"/>
      <c r="B1191" s="520"/>
      <c r="C1191" s="203" t="s">
        <v>11212</v>
      </c>
      <c r="E1191" s="202"/>
      <c r="F1191" s="202"/>
      <c r="G1191" s="580"/>
      <c r="H1191" s="800" t="str">
        <f>IF(Noty!H1191="","",Noty!H1191)</f>
        <v/>
      </c>
      <c r="I1191" s="800" t="str">
        <f>IF(Noty!I1191="","",Noty!I1191)</f>
        <v/>
      </c>
      <c r="J1191" s="499" t="str">
        <f>Noty!J1191</f>
        <v>ukryj</v>
      </c>
      <c r="K1191" s="489"/>
      <c r="L1191" s="200"/>
    </row>
    <row r="1192" spans="1:12" s="447" customFormat="1" ht="15.05" customHeight="1" x14ac:dyDescent="0.25">
      <c r="A1192" s="508"/>
      <c r="B1192" s="520"/>
      <c r="C1192" s="203" t="s">
        <v>8162</v>
      </c>
      <c r="E1192" s="202"/>
      <c r="F1192" s="202"/>
      <c r="G1192" s="580"/>
      <c r="H1192" s="800" t="str">
        <f>IF(Noty!H1192="","",Noty!H1192)</f>
        <v/>
      </c>
      <c r="I1192" s="800" t="str">
        <f>IF(Noty!I1192="","",Noty!I1192)</f>
        <v/>
      </c>
      <c r="J1192" s="499" t="str">
        <f>Noty!J1192</f>
        <v>ukryj</v>
      </c>
      <c r="K1192" s="489"/>
      <c r="L1192" s="200"/>
    </row>
    <row r="1193" spans="1:12" s="447" customFormat="1" ht="15.05" customHeight="1" x14ac:dyDescent="0.25">
      <c r="A1193" s="508"/>
      <c r="B1193" s="520"/>
      <c r="C1193" s="477"/>
      <c r="D1193" s="841"/>
      <c r="E1193" s="202"/>
      <c r="F1193" s="202"/>
      <c r="G1193" s="580"/>
      <c r="H1193" s="734">
        <f>IF(Noty!H1193="","",Noty!H1193)</f>
        <v>0</v>
      </c>
      <c r="I1193" s="734">
        <f>IF(Noty!I1193="","",Noty!I1193)</f>
        <v>0</v>
      </c>
      <c r="J1193" s="499" t="str">
        <f>Noty!J1193</f>
        <v>ukryj</v>
      </c>
      <c r="K1193" s="489"/>
      <c r="L1193" s="200"/>
    </row>
    <row r="1194" spans="1:12" s="447" customFormat="1" ht="15.05" customHeight="1" x14ac:dyDescent="0.25">
      <c r="A1194" s="508"/>
      <c r="B1194" s="520"/>
      <c r="C1194" s="477"/>
      <c r="D1194" s="841"/>
      <c r="E1194" s="202"/>
      <c r="F1194" s="202"/>
      <c r="H1194" s="191"/>
      <c r="I1194" s="191"/>
      <c r="J1194" s="499" t="str">
        <f>Noty!J1194</f>
        <v>ukryj</v>
      </c>
      <c r="K1194" s="489"/>
      <c r="L1194" s="200"/>
    </row>
    <row r="1195" spans="1:12" s="447" customFormat="1" ht="13.6" customHeight="1" x14ac:dyDescent="0.25">
      <c r="A1195" s="508"/>
      <c r="B1195" s="520"/>
      <c r="C1195" s="558" t="s">
        <v>11213</v>
      </c>
      <c r="D1195" s="558"/>
      <c r="E1195" s="558"/>
      <c r="F1195" s="558"/>
      <c r="H1195" s="191"/>
      <c r="I1195" s="191"/>
      <c r="J1195" s="499" t="str">
        <f>Noty!J1195</f>
        <v>ukryj</v>
      </c>
      <c r="K1195" s="489"/>
      <c r="L1195" s="200"/>
    </row>
    <row r="1196" spans="1:12" s="447" customFormat="1" ht="15.05" customHeight="1" x14ac:dyDescent="0.25">
      <c r="A1196" s="508"/>
      <c r="B1196" s="520"/>
      <c r="C1196" s="1476"/>
      <c r="D1196" s="1476"/>
      <c r="E1196" s="1476"/>
      <c r="F1196" s="1476"/>
      <c r="G1196" s="993"/>
      <c r="H1196" s="800" t="str">
        <f>IF(Noty!H1196="","",Noty!H1196)</f>
        <v/>
      </c>
      <c r="I1196" s="800" t="str">
        <f>IF(Noty!I1196="","",Noty!I1196)</f>
        <v/>
      </c>
      <c r="J1196" s="499" t="str">
        <f>Noty!J1196</f>
        <v>ukryj</v>
      </c>
      <c r="K1196" s="489"/>
      <c r="L1196" s="200"/>
    </row>
    <row r="1197" spans="1:12" s="447" customFormat="1" ht="15.05" customHeight="1" x14ac:dyDescent="0.25">
      <c r="A1197" s="508"/>
      <c r="B1197" s="520"/>
      <c r="C1197" s="1476"/>
      <c r="D1197" s="1476"/>
      <c r="E1197" s="1476"/>
      <c r="F1197" s="1476"/>
      <c r="G1197" s="993"/>
      <c r="H1197" s="800" t="str">
        <f>IF(Noty!H1197="","",Noty!H1197)</f>
        <v/>
      </c>
      <c r="I1197" s="800" t="str">
        <f>IF(Noty!I1197="","",Noty!I1197)</f>
        <v/>
      </c>
      <c r="J1197" s="499" t="str">
        <f>Noty!J1197</f>
        <v>ukryj</v>
      </c>
      <c r="K1197" s="489"/>
      <c r="L1197" s="200"/>
    </row>
    <row r="1198" spans="1:12" s="447" customFormat="1" ht="15.05" customHeight="1" x14ac:dyDescent="0.25">
      <c r="A1198" s="508"/>
      <c r="B1198" s="520"/>
      <c r="C1198" s="477"/>
      <c r="D1198" s="841"/>
      <c r="E1198" s="202"/>
      <c r="F1198" s="202"/>
      <c r="G1198" s="580"/>
      <c r="H1198" s="734">
        <f>IF(Noty!H1198="","",Noty!H1198)</f>
        <v>0</v>
      </c>
      <c r="I1198" s="734">
        <f>IF(Noty!I1198="","",Noty!I1198)</f>
        <v>0</v>
      </c>
      <c r="J1198" s="499" t="str">
        <f>Noty!J1198</f>
        <v>ukryj</v>
      </c>
      <c r="K1198" s="489"/>
      <c r="L1198" s="200"/>
    </row>
    <row r="1199" spans="1:12" s="447" customFormat="1" ht="15.05" customHeight="1" x14ac:dyDescent="0.25">
      <c r="A1199" s="508"/>
      <c r="B1199" s="520"/>
      <c r="C1199" s="477"/>
      <c r="D1199" s="841"/>
      <c r="E1199" s="202"/>
      <c r="F1199" s="202"/>
      <c r="H1199" s="191"/>
      <c r="I1199" s="191"/>
      <c r="J1199" s="499" t="str">
        <f>Noty!J1199</f>
        <v>ukryj</v>
      </c>
      <c r="K1199" s="489"/>
      <c r="L1199" s="200"/>
    </row>
    <row r="1200" spans="1:12" s="447" customFormat="1" ht="15.05" customHeight="1" x14ac:dyDescent="0.25">
      <c r="A1200" s="508"/>
      <c r="B1200" s="520"/>
      <c r="C1200" s="1421" t="s">
        <v>11214</v>
      </c>
      <c r="D1200" s="1421"/>
      <c r="E1200" s="1421"/>
      <c r="F1200" s="1421"/>
      <c r="G1200" s="580"/>
      <c r="H1200" s="803">
        <f>IF(Noty!H1200="","",Noty!H1200)</f>
        <v>0</v>
      </c>
      <c r="I1200" s="803">
        <f>IF(Noty!I1200="","",Noty!I1200)</f>
        <v>0</v>
      </c>
      <c r="J1200" s="499" t="str">
        <f>Noty!J1200</f>
        <v>ukryj</v>
      </c>
      <c r="K1200" s="489"/>
      <c r="L1200" s="200"/>
    </row>
    <row r="1201" spans="1:11" s="200" customFormat="1" ht="15.05" customHeight="1" x14ac:dyDescent="0.25">
      <c r="A1201" s="508"/>
      <c r="B1201" s="520"/>
      <c r="C1201" s="841"/>
      <c r="D1201" s="841"/>
      <c r="E1201" s="209"/>
      <c r="F1201" s="202"/>
      <c r="G1201" s="196"/>
      <c r="H1201" s="192"/>
      <c r="I1201" s="191"/>
      <c r="J1201" s="499" t="str">
        <f>Noty!J1201</f>
        <v>ukryj</v>
      </c>
      <c r="K1201" s="489"/>
    </row>
    <row r="1202" spans="1:11" s="200" customFormat="1" ht="13.6" customHeight="1" x14ac:dyDescent="0.25">
      <c r="A1202" s="508"/>
      <c r="B1202" s="520"/>
      <c r="C1202" s="199" t="s">
        <v>11215</v>
      </c>
      <c r="D1202" s="735"/>
      <c r="E1202" s="735"/>
      <c r="F1202" s="612"/>
      <c r="G1202" s="478"/>
      <c r="H1202" s="479"/>
      <c r="I1202" s="480"/>
      <c r="J1202" s="499" t="str">
        <f>Noty!J1202</f>
        <v>ukryj</v>
      </c>
      <c r="K1202" s="489"/>
    </row>
    <row r="1203" spans="1:11" s="200" customFormat="1" ht="15.05" customHeight="1" x14ac:dyDescent="0.25">
      <c r="A1203" s="508"/>
      <c r="B1203" s="520"/>
      <c r="C1203" s="227"/>
      <c r="D1203" s="736"/>
      <c r="E1203" s="736"/>
      <c r="F1203" s="612"/>
      <c r="G1203" s="478"/>
      <c r="H1203" s="479"/>
      <c r="I1203" s="480"/>
      <c r="J1203" s="499" t="str">
        <f>Noty!J1203</f>
        <v>ukryj</v>
      </c>
      <c r="K1203" s="489"/>
    </row>
    <row r="1204" spans="1:11" s="200" customFormat="1" ht="13.6" customHeight="1" x14ac:dyDescent="0.25">
      <c r="A1204" s="508"/>
      <c r="B1204" s="520"/>
      <c r="C1204" s="978" t="str">
        <f>"Tax loss "&amp;YEAR(DataDo)-5</f>
        <v>Tax loss 2015</v>
      </c>
      <c r="D1204" s="737"/>
      <c r="E1204" s="737"/>
      <c r="G1204" s="1020"/>
      <c r="H1204" s="800">
        <f>IF(Noty!H1204="","",Noty!H1204)</f>
        <v>0</v>
      </c>
      <c r="I1204" s="1155" t="str">
        <f>IF(Noty!I1204="","",Noty!I1204)</f>
        <v/>
      </c>
      <c r="J1204" s="499" t="str">
        <f>Noty!J1204</f>
        <v>ukryj</v>
      </c>
      <c r="K1204" s="489"/>
    </row>
    <row r="1205" spans="1:11" s="200" customFormat="1" ht="13.6" customHeight="1" x14ac:dyDescent="0.25">
      <c r="A1205" s="508"/>
      <c r="B1205" s="520"/>
      <c r="C1205" s="198" t="s">
        <v>11216</v>
      </c>
      <c r="D1205" s="737"/>
      <c r="E1205" s="737"/>
      <c r="G1205" s="1020"/>
      <c r="H1205" s="1155" t="str">
        <f>IF(Noty!H1205="","",Noty!H1205)</f>
        <v/>
      </c>
      <c r="I1205" s="1155" t="str">
        <f>IF(Noty!I1205="","",Noty!I1205)</f>
        <v/>
      </c>
      <c r="J1205" s="499" t="str">
        <f>Noty!J1205</f>
        <v>ukryj</v>
      </c>
      <c r="K1205" s="489"/>
    </row>
    <row r="1206" spans="1:11" s="200" customFormat="1" ht="13.6" customHeight="1" x14ac:dyDescent="0.25">
      <c r="A1206" s="508"/>
      <c r="B1206" s="520"/>
      <c r="C1206" s="198" t="s">
        <v>11217</v>
      </c>
      <c r="D1206" s="737"/>
      <c r="E1206" s="737"/>
      <c r="G1206" s="1020"/>
      <c r="H1206" s="1156" t="str">
        <f>IF(Noty!H1206="","",Noty!H1206)</f>
        <v/>
      </c>
      <c r="I1206" s="1156" t="str">
        <f>IF(Noty!I1206="","",Noty!I1206)</f>
        <v/>
      </c>
      <c r="J1206" s="499" t="str">
        <f>Noty!J1206</f>
        <v>ukryj</v>
      </c>
      <c r="K1206" s="489"/>
    </row>
    <row r="1207" spans="1:11" s="200" customFormat="1" ht="13.6" customHeight="1" x14ac:dyDescent="0.25">
      <c r="A1207" s="508"/>
      <c r="B1207" s="520"/>
      <c r="C1207" s="978" t="str">
        <f>"Tax loss "&amp;(YEAR(DataDo)-5)&amp;" to be utilised"</f>
        <v>Tax loss 2015 to be utilised</v>
      </c>
      <c r="D1207" s="737"/>
      <c r="E1207" s="737"/>
      <c r="G1207" s="1020"/>
      <c r="H1207" s="734">
        <f>IF(Noty!H1207="","",Noty!H1207)</f>
        <v>0</v>
      </c>
      <c r="I1207" s="734">
        <f>IF(Noty!I1207="","",Noty!I1207)</f>
        <v>0</v>
      </c>
      <c r="J1207" s="499" t="str">
        <f>Noty!J1207</f>
        <v>ukryj</v>
      </c>
      <c r="K1207" s="489"/>
    </row>
    <row r="1208" spans="1:11" s="200" customFormat="1" ht="13.6" customHeight="1" x14ac:dyDescent="0.25">
      <c r="A1208" s="508"/>
      <c r="B1208" s="520"/>
      <c r="C1208" s="198"/>
      <c r="D1208" s="737"/>
      <c r="E1208" s="737"/>
      <c r="G1208" s="478"/>
      <c r="H1208" s="560"/>
      <c r="I1208" s="560"/>
      <c r="J1208" s="499" t="str">
        <f>Noty!J1208</f>
        <v>ukryj</v>
      </c>
      <c r="K1208" s="489"/>
    </row>
    <row r="1209" spans="1:11" s="200" customFormat="1" ht="13.6" customHeight="1" x14ac:dyDescent="0.25">
      <c r="A1209" s="508"/>
      <c r="B1209" s="520"/>
      <c r="C1209" s="978" t="str">
        <f>"Tax loss "&amp;(YEAR(DataDo)-4)</f>
        <v>Tax loss 2016</v>
      </c>
      <c r="D1209" s="737"/>
      <c r="E1209" s="737"/>
      <c r="G1209" s="1020"/>
      <c r="H1209" s="800">
        <f>IF(Noty!H1209="","",Noty!H1209)</f>
        <v>0</v>
      </c>
      <c r="I1209" s="1155" t="str">
        <f>IF(Noty!I1209="","",Noty!I1209)</f>
        <v/>
      </c>
      <c r="J1209" s="499" t="str">
        <f>Noty!J1209</f>
        <v>ukryj</v>
      </c>
      <c r="K1209" s="489"/>
    </row>
    <row r="1210" spans="1:11" s="200" customFormat="1" ht="15.05" customHeight="1" x14ac:dyDescent="0.25">
      <c r="A1210" s="508"/>
      <c r="B1210" s="520"/>
      <c r="C1210" s="198" t="s">
        <v>11216</v>
      </c>
      <c r="D1210" s="737"/>
      <c r="E1210" s="737"/>
      <c r="G1210" s="1020"/>
      <c r="H1210" s="1156" t="str">
        <f>IF(Noty!H1210="","",Noty!H1210)</f>
        <v/>
      </c>
      <c r="I1210" s="1156" t="str">
        <f>IF(Noty!I1210="","",Noty!I1210)</f>
        <v/>
      </c>
      <c r="J1210" s="499" t="str">
        <f>Noty!J1210</f>
        <v>ukryj</v>
      </c>
      <c r="K1210" s="489"/>
    </row>
    <row r="1211" spans="1:11" s="200" customFormat="1" ht="15.05" customHeight="1" x14ac:dyDescent="0.25">
      <c r="A1211" s="508"/>
      <c r="B1211" s="520"/>
      <c r="C1211" s="978" t="str">
        <f>"Tax loss "&amp;(YEAR(DataDo)-4)&amp;" to be utilised"</f>
        <v>Tax loss 2016 to be utilised</v>
      </c>
      <c r="D1211" s="737"/>
      <c r="E1211" s="737"/>
      <c r="G1211" s="1020"/>
      <c r="H1211" s="734">
        <f>IF(Noty!H1211="","",Noty!H1211)</f>
        <v>0</v>
      </c>
      <c r="I1211" s="734">
        <f>IF(Noty!I1211="","",Noty!I1211)</f>
        <v>0</v>
      </c>
      <c r="J1211" s="499" t="str">
        <f>Noty!J1211</f>
        <v>ukryj</v>
      </c>
      <c r="K1211" s="489"/>
    </row>
    <row r="1212" spans="1:11" s="200" customFormat="1" ht="15.05" customHeight="1" x14ac:dyDescent="0.25">
      <c r="A1212" s="508"/>
      <c r="B1212" s="520"/>
      <c r="C1212" s="198"/>
      <c r="D1212" s="737"/>
      <c r="E1212" s="737"/>
      <c r="G1212" s="478"/>
      <c r="H1212" s="560"/>
      <c r="I1212" s="560"/>
      <c r="J1212" s="499" t="str">
        <f>Noty!J1212</f>
        <v>ukryj</v>
      </c>
      <c r="K1212" s="489"/>
    </row>
    <row r="1213" spans="1:11" s="200" customFormat="1" ht="13.6" customHeight="1" x14ac:dyDescent="0.25">
      <c r="A1213" s="508"/>
      <c r="B1213" s="520"/>
      <c r="C1213" s="978" t="str">
        <f>"Tax loss "&amp;(YEAR(DataDo)-3)</f>
        <v>Tax loss 2017</v>
      </c>
      <c r="D1213" s="740"/>
      <c r="E1213" s="740"/>
      <c r="G1213" s="1020"/>
      <c r="H1213" s="800">
        <f>IF(Noty!H1213="","",Noty!H1213)</f>
        <v>0</v>
      </c>
      <c r="I1213" s="1155" t="str">
        <f>IF(Noty!I1213="","",Noty!I1213)</f>
        <v/>
      </c>
      <c r="J1213" s="499" t="str">
        <f>Noty!J1213</f>
        <v>ukryj</v>
      </c>
      <c r="K1213" s="489"/>
    </row>
    <row r="1214" spans="1:11" s="200" customFormat="1" ht="13.6" customHeight="1" x14ac:dyDescent="0.25">
      <c r="A1214" s="508"/>
      <c r="B1214" s="520"/>
      <c r="C1214" s="198" t="s">
        <v>11216</v>
      </c>
      <c r="D1214" s="737"/>
      <c r="E1214" s="737"/>
      <c r="G1214" s="1020"/>
      <c r="H1214" s="1156" t="str">
        <f>IF(Noty!H1214="","",Noty!H1214)</f>
        <v/>
      </c>
      <c r="I1214" s="1156" t="str">
        <f>IF(Noty!I1214="","",Noty!I1214)</f>
        <v/>
      </c>
      <c r="J1214" s="499" t="str">
        <f>Noty!J1214</f>
        <v>ukryj</v>
      </c>
      <c r="K1214" s="489"/>
    </row>
    <row r="1215" spans="1:11" s="200" customFormat="1" ht="13.6" customHeight="1" x14ac:dyDescent="0.25">
      <c r="A1215" s="508"/>
      <c r="B1215" s="520"/>
      <c r="C1215" s="978" t="str">
        <f>"Tax loss "&amp;(YEAR(DataDo)-3)&amp;" to be utilised"</f>
        <v>Tax loss 2017 to be utilised</v>
      </c>
      <c r="D1215" s="737"/>
      <c r="E1215" s="737"/>
      <c r="G1215" s="1020"/>
      <c r="H1215" s="734">
        <f>IF(Noty!H1215="","",Noty!H1215)</f>
        <v>0</v>
      </c>
      <c r="I1215" s="734">
        <f>IF(Noty!I1215="","",Noty!I1215)</f>
        <v>0</v>
      </c>
      <c r="J1215" s="499" t="str">
        <f>Noty!J1215</f>
        <v>ukryj</v>
      </c>
      <c r="K1215" s="489"/>
    </row>
    <row r="1216" spans="1:11" s="200" customFormat="1" ht="15.05" customHeight="1" x14ac:dyDescent="0.25">
      <c r="A1216" s="508"/>
      <c r="B1216" s="520"/>
      <c r="C1216" s="198"/>
      <c r="D1216" s="737"/>
      <c r="E1216" s="737"/>
      <c r="G1216" s="478"/>
      <c r="H1216" s="560"/>
      <c r="I1216" s="560"/>
      <c r="J1216" s="499" t="str">
        <f>Noty!J1216</f>
        <v>ukryj</v>
      </c>
      <c r="K1216" s="489"/>
    </row>
    <row r="1217" spans="1:11" s="200" customFormat="1" ht="13.6" customHeight="1" x14ac:dyDescent="0.25">
      <c r="A1217" s="508"/>
      <c r="B1217" s="520"/>
      <c r="C1217" s="978" t="str">
        <f>"Tax loss "&amp;(YEAR(DataDo)-2)</f>
        <v>Tax loss 2018</v>
      </c>
      <c r="D1217" s="740"/>
      <c r="E1217" s="740"/>
      <c r="G1217" s="1020"/>
      <c r="H1217" s="800">
        <f>IF(Noty!H1217="","",Noty!H1217)</f>
        <v>0</v>
      </c>
      <c r="I1217" s="1155" t="str">
        <f>IF(Noty!I1217="","",Noty!I1217)</f>
        <v/>
      </c>
      <c r="J1217" s="499" t="str">
        <f>Noty!J1217</f>
        <v>ukryj</v>
      </c>
      <c r="K1217" s="489"/>
    </row>
    <row r="1218" spans="1:11" s="200" customFormat="1" ht="13.6" customHeight="1" x14ac:dyDescent="0.25">
      <c r="A1218" s="508"/>
      <c r="B1218" s="520"/>
      <c r="C1218" s="198" t="s">
        <v>11216</v>
      </c>
      <c r="D1218" s="737"/>
      <c r="E1218" s="737"/>
      <c r="G1218" s="1020"/>
      <c r="H1218" s="1156" t="str">
        <f>IF(Noty!H1218="","",Noty!H1218)</f>
        <v/>
      </c>
      <c r="I1218" s="1156" t="str">
        <f>IF(Noty!I1218="","",Noty!I1218)</f>
        <v/>
      </c>
      <c r="J1218" s="499" t="str">
        <f>Noty!J1218</f>
        <v>ukryj</v>
      </c>
      <c r="K1218" s="489"/>
    </row>
    <row r="1219" spans="1:11" s="200" customFormat="1" ht="13.6" customHeight="1" x14ac:dyDescent="0.25">
      <c r="A1219" s="508"/>
      <c r="B1219" s="520"/>
      <c r="C1219" s="978" t="str">
        <f>"Tax loss "&amp;(YEAR(DataDo)-2)&amp;" to be utilised"</f>
        <v>Tax loss 2018 to be utilised</v>
      </c>
      <c r="D1219" s="737"/>
      <c r="E1219" s="737"/>
      <c r="G1219" s="1020"/>
      <c r="H1219" s="734">
        <f>IF(Noty!H1219="","",Noty!H1219)</f>
        <v>0</v>
      </c>
      <c r="I1219" s="734">
        <f>IF(Noty!I1219="","",Noty!I1219)</f>
        <v>0</v>
      </c>
      <c r="J1219" s="499" t="str">
        <f>Noty!J1219</f>
        <v>ukryj</v>
      </c>
      <c r="K1219" s="489"/>
    </row>
    <row r="1220" spans="1:11" s="200" customFormat="1" ht="13.6" customHeight="1" x14ac:dyDescent="0.25">
      <c r="A1220" s="508"/>
      <c r="B1220" s="520"/>
      <c r="C1220" s="198"/>
      <c r="D1220" s="737"/>
      <c r="E1220" s="737"/>
      <c r="G1220" s="478"/>
      <c r="H1220" s="560"/>
      <c r="I1220" s="560"/>
      <c r="J1220" s="499" t="str">
        <f>Noty!J1220</f>
        <v>ukryj</v>
      </c>
      <c r="K1220" s="489"/>
    </row>
    <row r="1221" spans="1:11" s="200" customFormat="1" ht="13.6" customHeight="1" x14ac:dyDescent="0.25">
      <c r="A1221" s="508"/>
      <c r="B1221" s="520"/>
      <c r="C1221" s="978" t="str">
        <f>"Tax loss "&amp;(YEAR(DataDo)-1)</f>
        <v>Tax loss 2019</v>
      </c>
      <c r="D1221" s="740"/>
      <c r="E1221" s="740"/>
      <c r="G1221" s="1020"/>
      <c r="H1221" s="800">
        <f>IF(Noty!H1221="","",Noty!H1221)</f>
        <v>0</v>
      </c>
      <c r="I1221" s="1155" t="str">
        <f>IF(Noty!I1221="","",Noty!I1221)</f>
        <v/>
      </c>
      <c r="J1221" s="499" t="str">
        <f>Noty!J1221</f>
        <v>ukryj</v>
      </c>
      <c r="K1221" s="489"/>
    </row>
    <row r="1222" spans="1:11" s="200" customFormat="1" ht="13.6" customHeight="1" x14ac:dyDescent="0.25">
      <c r="A1222" s="508"/>
      <c r="B1222" s="520"/>
      <c r="C1222" s="198" t="s">
        <v>11216</v>
      </c>
      <c r="D1222" s="737"/>
      <c r="E1222" s="737"/>
      <c r="G1222" s="1020"/>
      <c r="H1222" s="1156" t="str">
        <f>IF(Noty!H1222="","",Noty!H1222)</f>
        <v/>
      </c>
      <c r="I1222" s="1156" t="str">
        <f>IF(Noty!I1222="","",Noty!I1222)</f>
        <v/>
      </c>
      <c r="J1222" s="499" t="str">
        <f>Noty!J1222</f>
        <v>ukryj</v>
      </c>
      <c r="K1222" s="489"/>
    </row>
    <row r="1223" spans="1:11" s="200" customFormat="1" ht="13.6" customHeight="1" x14ac:dyDescent="0.25">
      <c r="A1223" s="508"/>
      <c r="B1223" s="520"/>
      <c r="C1223" s="978" t="str">
        <f>"Tax loss "&amp;(YEAR(DataDo)-1)&amp;" to be utilised"</f>
        <v>Tax loss 2019 to be utilised</v>
      </c>
      <c r="D1223" s="737"/>
      <c r="E1223" s="737"/>
      <c r="G1223" s="1020"/>
      <c r="H1223" s="734">
        <f>IF(Noty!H1223="","",Noty!H1223)</f>
        <v>0</v>
      </c>
      <c r="I1223" s="734">
        <f>IF(Noty!I1223="","",Noty!I1223)</f>
        <v>0</v>
      </c>
      <c r="J1223" s="499" t="str">
        <f>Noty!J1223</f>
        <v>ukryj</v>
      </c>
      <c r="K1223" s="489"/>
    </row>
    <row r="1224" spans="1:11" s="200" customFormat="1" ht="13.6" customHeight="1" x14ac:dyDescent="0.25">
      <c r="A1224" s="508"/>
      <c r="B1224" s="520"/>
      <c r="C1224" s="198"/>
      <c r="D1224" s="737"/>
      <c r="E1224" s="737"/>
      <c r="G1224" s="478"/>
      <c r="H1224" s="560"/>
      <c r="I1224" s="560"/>
      <c r="J1224" s="499" t="str">
        <f>Noty!J1224</f>
        <v>ukryj</v>
      </c>
      <c r="K1224" s="489"/>
    </row>
    <row r="1225" spans="1:11" s="200" customFormat="1" ht="13.6" customHeight="1" x14ac:dyDescent="0.25">
      <c r="A1225" s="508"/>
      <c r="B1225" s="520"/>
      <c r="C1225" s="978" t="str">
        <f>"Tax loss "&amp;(YEAR(DataDo))</f>
        <v>Tax loss 2020</v>
      </c>
      <c r="D1225" s="740"/>
      <c r="E1225" s="740"/>
      <c r="G1225" s="1020"/>
      <c r="H1225" s="1155" t="str">
        <f>IF(Noty!H1225="","",Noty!H1225)</f>
        <v/>
      </c>
      <c r="I1225" s="738"/>
      <c r="J1225" s="499" t="str">
        <f>Noty!J1225</f>
        <v>ukryj</v>
      </c>
      <c r="K1225" s="489"/>
    </row>
    <row r="1226" spans="1:11" s="200" customFormat="1" ht="15.05" customHeight="1" x14ac:dyDescent="0.25">
      <c r="A1226" s="508"/>
      <c r="B1226" s="520"/>
      <c r="C1226" s="227"/>
      <c r="D1226" s="736"/>
      <c r="E1226" s="612"/>
      <c r="F1226" s="612"/>
      <c r="G1226" s="478"/>
      <c r="H1226" s="560"/>
      <c r="I1226" s="560"/>
      <c r="J1226" s="499" t="str">
        <f>Noty!J1226</f>
        <v>ukryj</v>
      </c>
      <c r="K1226" s="489"/>
    </row>
    <row r="1227" spans="1:11" s="200" customFormat="1" ht="13.6" customHeight="1" x14ac:dyDescent="0.25">
      <c r="A1227" s="508"/>
      <c r="B1227" s="520"/>
      <c r="C1227" s="559" t="s">
        <v>11218</v>
      </c>
      <c r="D1227" s="735"/>
      <c r="E1227" s="735"/>
      <c r="F1227" s="736"/>
      <c r="G1227" s="1020"/>
      <c r="H1227" s="803">
        <f>IF(Noty!H1227="","",Noty!H1227)</f>
        <v>0</v>
      </c>
      <c r="I1227" s="803">
        <f>IF(Noty!I1227="","",Noty!I1227)</f>
        <v>0</v>
      </c>
      <c r="J1227" s="499" t="str">
        <f>Noty!J1227</f>
        <v>ukryj</v>
      </c>
      <c r="K1227" s="489"/>
    </row>
    <row r="1228" spans="1:11" s="200" customFormat="1" ht="15.05" customHeight="1" x14ac:dyDescent="0.25">
      <c r="A1228" s="508"/>
      <c r="B1228" s="520"/>
      <c r="C1228" s="822"/>
      <c r="D1228" s="841"/>
      <c r="E1228" s="841"/>
      <c r="F1228" s="196"/>
      <c r="G1228" s="196"/>
      <c r="H1228" s="561"/>
      <c r="I1228" s="561"/>
      <c r="J1228" s="499" t="str">
        <f>Noty!J1228</f>
        <v>ukryj</v>
      </c>
      <c r="K1228" s="489"/>
    </row>
    <row r="1229" spans="1:11" s="200" customFormat="1" ht="15.05" customHeight="1" x14ac:dyDescent="0.25">
      <c r="A1229" s="508"/>
      <c r="B1229" s="520"/>
      <c r="C1229" s="559" t="s">
        <v>11219</v>
      </c>
      <c r="D1229" s="841"/>
      <c r="E1229" s="209"/>
      <c r="F1229" s="202"/>
      <c r="G1229" s="251"/>
      <c r="H1229" s="803">
        <f>IF(Noty!H1229="","",Noty!H1229)</f>
        <v>0</v>
      </c>
      <c r="I1229" s="803">
        <f>IF(Noty!I1229="","",Noty!I1229)</f>
        <v>0</v>
      </c>
      <c r="J1229" s="499" t="str">
        <f>Noty!J1229</f>
        <v>ukryj</v>
      </c>
      <c r="K1229" s="489"/>
    </row>
    <row r="1230" spans="1:11" s="200" customFormat="1" ht="15.05" customHeight="1" x14ac:dyDescent="0.25">
      <c r="A1230" s="508"/>
      <c r="B1230" s="520"/>
      <c r="C1230" s="559"/>
      <c r="D1230" s="841"/>
      <c r="E1230" s="209"/>
      <c r="F1230" s="202"/>
      <c r="G1230" s="196"/>
      <c r="H1230" s="561"/>
      <c r="I1230" s="561"/>
      <c r="J1230" s="499" t="str">
        <f>Noty!J1230</f>
        <v>ukryj</v>
      </c>
      <c r="K1230" s="489"/>
    </row>
    <row r="1231" spans="1:11" s="200" customFormat="1" ht="15.05" customHeight="1" x14ac:dyDescent="0.25">
      <c r="A1231" s="508"/>
      <c r="B1231" s="520"/>
      <c r="C1231" s="979" t="str">
        <f>"Deferred tax assets ("&amp;TEXT(Input!C58,"##%")&amp;")"</f>
        <v>Deferred tax assets (19%)</v>
      </c>
      <c r="D1231" s="841"/>
      <c r="E1231" s="209"/>
      <c r="F1231" s="202"/>
      <c r="G1231" s="251"/>
      <c r="H1231" s="803">
        <f>IF(Noty!H1231="","",Noty!H1231)</f>
        <v>0</v>
      </c>
      <c r="I1231" s="803">
        <f>IF(Noty!I1231="","",Noty!I1231)</f>
        <v>0</v>
      </c>
      <c r="J1231" s="499" t="str">
        <f>Noty!J1231</f>
        <v>ukryj</v>
      </c>
      <c r="K1231" s="489"/>
    </row>
    <row r="1232" spans="1:11" s="200" customFormat="1" ht="15.05" customHeight="1" x14ac:dyDescent="0.25">
      <c r="A1232" s="508"/>
      <c r="B1232" s="520"/>
      <c r="C1232" s="174" t="s">
        <v>11220</v>
      </c>
      <c r="D1232" s="841"/>
      <c r="E1232" s="209"/>
      <c r="F1232" s="202"/>
      <c r="G1232" s="251"/>
      <c r="H1232" s="1103" t="str">
        <f>IF(Noty!H1232="","",Noty!H1232)</f>
        <v/>
      </c>
      <c r="I1232" s="1103" t="str">
        <f>IF(Noty!I1232="","",Noty!I1232)</f>
        <v/>
      </c>
      <c r="J1232" s="499" t="str">
        <f>Noty!J1232</f>
        <v>ukryj</v>
      </c>
      <c r="K1232" s="489"/>
    </row>
    <row r="1233" spans="1:11" s="200" customFormat="1" ht="15.05" customHeight="1" x14ac:dyDescent="0.25">
      <c r="A1233" s="508"/>
      <c r="B1233" s="520"/>
      <c r="C1233" s="559" t="s">
        <v>11221</v>
      </c>
      <c r="D1233" s="841"/>
      <c r="E1233" s="209"/>
      <c r="F1233" s="202"/>
      <c r="G1233" s="251"/>
      <c r="H1233" s="803">
        <f>IF(Noty!H1233="","",Noty!H1233)</f>
        <v>0</v>
      </c>
      <c r="I1233" s="803">
        <f>IF(Noty!I1233="","",Noty!I1233)</f>
        <v>0</v>
      </c>
      <c r="J1233" s="499" t="str">
        <f>Noty!J1233</f>
        <v>ukryj</v>
      </c>
      <c r="K1233" s="489"/>
    </row>
    <row r="1234" spans="1:11" s="200" customFormat="1" ht="15.05" customHeight="1" x14ac:dyDescent="0.25">
      <c r="A1234" s="508"/>
      <c r="B1234" s="520"/>
      <c r="C1234" s="841"/>
      <c r="D1234" s="841"/>
      <c r="E1234" s="209"/>
      <c r="F1234" s="202"/>
      <c r="G1234" s="196"/>
      <c r="H1234" s="191"/>
      <c r="I1234" s="191"/>
      <c r="J1234" s="499" t="str">
        <f>Noty!J1234</f>
        <v>ukryj</v>
      </c>
      <c r="K1234" s="489"/>
    </row>
    <row r="1235" spans="1:11" s="200" customFormat="1" ht="15.05" customHeight="1" x14ac:dyDescent="0.25">
      <c r="A1235" s="508"/>
      <c r="B1235" s="520"/>
      <c r="C1235" s="209"/>
      <c r="D1235" s="841"/>
      <c r="E1235" s="209"/>
      <c r="F1235" s="202"/>
      <c r="G1235" s="196"/>
      <c r="H1235" s="481"/>
      <c r="I1235" s="481"/>
      <c r="J1235" s="499" t="str">
        <f>Noty!J1235</f>
        <v>ukryj</v>
      </c>
      <c r="K1235" s="489"/>
    </row>
    <row r="1236" spans="1:11" s="200" customFormat="1" ht="15.05" customHeight="1" x14ac:dyDescent="0.25">
      <c r="A1236" s="508"/>
      <c r="B1236" s="520"/>
      <c r="C1236" s="185" t="s">
        <v>11222</v>
      </c>
      <c r="D1236" s="207"/>
      <c r="E1236" s="207"/>
      <c r="F1236" s="207"/>
      <c r="G1236" s="196"/>
      <c r="H1236" s="544"/>
      <c r="I1236" s="544"/>
      <c r="J1236" s="499" t="str">
        <f>Noty!J1236</f>
        <v>ukryj</v>
      </c>
      <c r="K1236" s="489"/>
    </row>
    <row r="1237" spans="1:11" s="200" customFormat="1" ht="13.6" customHeight="1" x14ac:dyDescent="0.25">
      <c r="A1237" s="508"/>
      <c r="B1237" s="520"/>
      <c r="C1237" s="202" t="s">
        <v>11223</v>
      </c>
      <c r="D1237" s="202"/>
      <c r="E1237" s="202"/>
      <c r="G1237" s="251"/>
      <c r="H1237" s="800" t="str">
        <f>IF(Noty!H1237="","",Noty!H1237)</f>
        <v/>
      </c>
      <c r="I1237" s="800" t="str">
        <f>IF(Noty!I1237="","",Noty!I1237)</f>
        <v/>
      </c>
      <c r="J1237" s="499" t="str">
        <f>Noty!J1237</f>
        <v>ukryj</v>
      </c>
      <c r="K1237" s="489"/>
    </row>
    <row r="1238" spans="1:11" s="200" customFormat="1" ht="13.6" customHeight="1" x14ac:dyDescent="0.25">
      <c r="A1238" s="508"/>
      <c r="B1238" s="520"/>
      <c r="C1238" s="202" t="s">
        <v>11224</v>
      </c>
      <c r="D1238" s="202"/>
      <c r="E1238" s="202"/>
      <c r="G1238" s="251"/>
      <c r="H1238" s="800" t="str">
        <f>IF(Noty!H1238="","",Noty!H1238)</f>
        <v/>
      </c>
      <c r="I1238" s="800" t="str">
        <f>IF(Noty!I1238="","",Noty!I1238)</f>
        <v/>
      </c>
      <c r="J1238" s="499" t="str">
        <f>Noty!J1238</f>
        <v>ukryj</v>
      </c>
      <c r="K1238" s="489"/>
    </row>
    <row r="1239" spans="1:11" s="200" customFormat="1" ht="15.05" customHeight="1" x14ac:dyDescent="0.25">
      <c r="A1239" s="508"/>
      <c r="B1239" s="520"/>
      <c r="C1239" s="202" t="s">
        <v>11225</v>
      </c>
      <c r="D1239" s="202"/>
      <c r="E1239" s="202"/>
      <c r="G1239" s="251"/>
      <c r="H1239" s="800" t="str">
        <f>IF(Noty!H1239="","",Noty!H1239)</f>
        <v/>
      </c>
      <c r="I1239" s="800" t="str">
        <f>IF(Noty!I1239="","",Noty!I1239)</f>
        <v/>
      </c>
      <c r="J1239" s="499" t="str">
        <f>Noty!J1239</f>
        <v>ukryj</v>
      </c>
      <c r="K1239" s="489"/>
    </row>
    <row r="1240" spans="1:11" s="200" customFormat="1" ht="15.05" customHeight="1" x14ac:dyDescent="0.25">
      <c r="A1240" s="508"/>
      <c r="B1240" s="520"/>
      <c r="C1240" s="477"/>
      <c r="D1240" s="841"/>
      <c r="E1240" s="202"/>
      <c r="F1240" s="202"/>
      <c r="G1240" s="251"/>
      <c r="H1240" s="734">
        <f>IF(Noty!H1240="","",Noty!H1240)</f>
        <v>0</v>
      </c>
      <c r="I1240" s="734">
        <f>IF(Noty!I1240="","",Noty!I1240)</f>
        <v>0</v>
      </c>
      <c r="J1240" s="499" t="str">
        <f>Noty!J1240</f>
        <v>ukryj</v>
      </c>
      <c r="K1240" s="489"/>
    </row>
    <row r="1241" spans="1:11" s="200" customFormat="1" ht="15.05" customHeight="1" x14ac:dyDescent="0.25">
      <c r="A1241" s="508"/>
      <c r="B1241" s="520"/>
      <c r="C1241" s="841"/>
      <c r="D1241" s="841"/>
      <c r="E1241" s="196"/>
      <c r="F1241" s="196"/>
      <c r="G1241" s="196"/>
      <c r="H1241" s="191"/>
      <c r="I1241" s="191"/>
      <c r="J1241" s="499" t="str">
        <f>Noty!J1241</f>
        <v>ukryj</v>
      </c>
      <c r="K1241" s="489"/>
    </row>
    <row r="1242" spans="1:11" s="200" customFormat="1" ht="15.05" customHeight="1" x14ac:dyDescent="0.25">
      <c r="A1242" s="508"/>
      <c r="B1242" s="520"/>
      <c r="C1242" s="185" t="s">
        <v>11226</v>
      </c>
      <c r="D1242" s="207"/>
      <c r="E1242" s="207"/>
      <c r="F1242" s="207"/>
      <c r="G1242" s="196"/>
      <c r="H1242" s="446"/>
      <c r="I1242" s="446"/>
      <c r="J1242" s="499" t="str">
        <f>Noty!J1242</f>
        <v>ukryj</v>
      </c>
      <c r="K1242" s="489"/>
    </row>
    <row r="1243" spans="1:11" s="200" customFormat="1" ht="15.05" customHeight="1" x14ac:dyDescent="0.25">
      <c r="A1243" s="508"/>
      <c r="B1243" s="520"/>
      <c r="C1243" s="980"/>
      <c r="D1243" s="761"/>
      <c r="E1243" s="761"/>
      <c r="F1243" s="9"/>
      <c r="G1243" s="251"/>
      <c r="H1243" s="800" t="str">
        <f>IF(Noty!H1243="","",Noty!H1243)</f>
        <v/>
      </c>
      <c r="I1243" s="800" t="str">
        <f>IF(Noty!I1243="","",Noty!I1243)</f>
        <v/>
      </c>
      <c r="J1243" s="499" t="str">
        <f>Noty!J1243</f>
        <v>ukryj</v>
      </c>
      <c r="K1243" s="489"/>
    </row>
    <row r="1244" spans="1:11" s="200" customFormat="1" ht="15.05" customHeight="1" x14ac:dyDescent="0.25">
      <c r="A1244" s="508"/>
      <c r="B1244" s="520"/>
      <c r="C1244" s="980"/>
      <c r="D1244" s="761"/>
      <c r="E1244" s="761"/>
      <c r="F1244" s="9"/>
      <c r="G1244" s="251"/>
      <c r="H1244" s="800" t="str">
        <f>IF(Noty!H1244="","",Noty!H1244)</f>
        <v/>
      </c>
      <c r="I1244" s="800" t="str">
        <f>IF(Noty!I1244="","",Noty!I1244)</f>
        <v/>
      </c>
      <c r="J1244" s="499" t="str">
        <f>Noty!J1244</f>
        <v>ukryj</v>
      </c>
      <c r="K1244" s="489"/>
    </row>
    <row r="1245" spans="1:11" s="200" customFormat="1" ht="15.05" customHeight="1" x14ac:dyDescent="0.25">
      <c r="A1245" s="508"/>
      <c r="B1245" s="520"/>
      <c r="C1245" s="980"/>
      <c r="D1245" s="761"/>
      <c r="E1245" s="761"/>
      <c r="F1245" s="9"/>
      <c r="G1245" s="251"/>
      <c r="H1245" s="800" t="str">
        <f>IF(Noty!H1245="","",Noty!H1245)</f>
        <v/>
      </c>
      <c r="I1245" s="800" t="str">
        <f>IF(Noty!I1245="","",Noty!I1245)</f>
        <v/>
      </c>
      <c r="J1245" s="499" t="str">
        <f>Noty!J1245</f>
        <v>ukryj</v>
      </c>
      <c r="K1245" s="489"/>
    </row>
    <row r="1246" spans="1:11" s="200" customFormat="1" ht="15.05" customHeight="1" x14ac:dyDescent="0.25">
      <c r="A1246" s="508"/>
      <c r="B1246" s="520"/>
      <c r="C1246" s="562"/>
      <c r="D1246" s="841"/>
      <c r="E1246" s="202"/>
      <c r="F1246" s="202"/>
      <c r="G1246" s="251"/>
      <c r="H1246" s="734">
        <f>IF(Noty!H1246="","",Noty!H1246)</f>
        <v>0</v>
      </c>
      <c r="I1246" s="734">
        <f>IF(Noty!I1246="","",Noty!I1246)</f>
        <v>0</v>
      </c>
      <c r="J1246" s="499" t="str">
        <f>Noty!J1246</f>
        <v>ukryj</v>
      </c>
      <c r="K1246" s="489"/>
    </row>
    <row r="1247" spans="1:11" s="200" customFormat="1" ht="15.05" customHeight="1" x14ac:dyDescent="0.25">
      <c r="A1247" s="508"/>
      <c r="B1247" s="520"/>
      <c r="C1247" s="477"/>
      <c r="D1247" s="841"/>
      <c r="E1247" s="202"/>
      <c r="F1247" s="202"/>
      <c r="G1247" s="196"/>
      <c r="H1247" s="561"/>
      <c r="I1247" s="561"/>
      <c r="J1247" s="499" t="str">
        <f>Noty!J1247</f>
        <v>ukryj</v>
      </c>
      <c r="K1247" s="489"/>
    </row>
    <row r="1248" spans="1:11" s="200" customFormat="1" ht="13.6" customHeight="1" x14ac:dyDescent="0.25">
      <c r="A1248" s="508"/>
      <c r="B1248" s="520"/>
      <c r="C1248" s="1421" t="s">
        <v>11227</v>
      </c>
      <c r="D1248" s="1421"/>
      <c r="E1248" s="1421"/>
      <c r="F1248" s="1421"/>
      <c r="G1248" s="251"/>
      <c r="H1248" s="803">
        <f>IF(Noty!H1248="","",Noty!H1248)</f>
        <v>0</v>
      </c>
      <c r="I1248" s="803">
        <f>IF(Noty!I1248="","",Noty!I1248)</f>
        <v>0</v>
      </c>
      <c r="J1248" s="499" t="str">
        <f>Noty!J1248</f>
        <v>ukryj</v>
      </c>
      <c r="K1248" s="489"/>
    </row>
    <row r="1249" spans="1:14" s="200" customFormat="1" ht="15.05" customHeight="1" x14ac:dyDescent="0.25">
      <c r="A1249" s="508"/>
      <c r="B1249" s="520"/>
      <c r="C1249" s="841"/>
      <c r="D1249" s="841"/>
      <c r="E1249" s="196"/>
      <c r="F1249" s="196"/>
      <c r="G1249" s="196"/>
      <c r="H1249" s="561"/>
      <c r="I1249" s="561"/>
      <c r="J1249" s="499" t="str">
        <f>Noty!J1249</f>
        <v>ukryj</v>
      </c>
      <c r="K1249" s="489"/>
    </row>
    <row r="1250" spans="1:14" s="200" customFormat="1" ht="15.05" customHeight="1" x14ac:dyDescent="0.25">
      <c r="A1250" s="508"/>
      <c r="B1250" s="520"/>
      <c r="C1250" s="981" t="str">
        <f>"Deferred tax liability ("&amp;TEXT(Input!C58,"##%")&amp;")"</f>
        <v>Deferred tax liability (19%)</v>
      </c>
      <c r="D1250" s="741"/>
      <c r="E1250" s="741"/>
      <c r="F1250" s="741"/>
      <c r="G1250" s="251"/>
      <c r="H1250" s="803">
        <f>IF(Noty!H1250="","",Noty!H1250)</f>
        <v>0</v>
      </c>
      <c r="I1250" s="803">
        <f>IF(Noty!I1250="","",Noty!I1250)</f>
        <v>0</v>
      </c>
      <c r="J1250" s="499" t="str">
        <f>Noty!J1250</f>
        <v>ukryj</v>
      </c>
      <c r="K1250" s="489"/>
    </row>
    <row r="1251" spans="1:14" s="200" customFormat="1" ht="15.05" customHeight="1" x14ac:dyDescent="0.25">
      <c r="A1251" s="508"/>
      <c r="B1251" s="520"/>
      <c r="E1251" s="196"/>
      <c r="F1251" s="196"/>
      <c r="G1251" s="196"/>
      <c r="H1251" s="563"/>
      <c r="I1251" s="563"/>
      <c r="J1251" s="499" t="str">
        <f>Noty!J1251</f>
        <v>ukryj</v>
      </c>
      <c r="K1251" s="489"/>
    </row>
    <row r="1252" spans="1:14" s="200" customFormat="1" ht="15.05" customHeight="1" x14ac:dyDescent="0.25">
      <c r="A1252" s="508"/>
      <c r="B1252" s="520"/>
      <c r="C1252" s="202" t="s">
        <v>11228</v>
      </c>
      <c r="D1252" s="202"/>
      <c r="E1252" s="202"/>
      <c r="F1252" s="202"/>
      <c r="G1252" s="196"/>
      <c r="H1252" s="549"/>
      <c r="I1252" s="800">
        <f>IF(Noty!I1252="","",Noty!I1252)</f>
        <v>0</v>
      </c>
      <c r="J1252" s="499" t="str">
        <f>Noty!J1252</f>
        <v>ukryj</v>
      </c>
      <c r="K1252" s="489"/>
    </row>
    <row r="1253" spans="1:14" s="200" customFormat="1" ht="15.05" customHeight="1" x14ac:dyDescent="0.25">
      <c r="A1253" s="508"/>
      <c r="B1253" s="520"/>
      <c r="C1253" s="202" t="s">
        <v>11229</v>
      </c>
      <c r="D1253" s="202"/>
      <c r="E1253" s="202"/>
      <c r="F1253" s="202"/>
      <c r="G1253" s="196"/>
      <c r="H1253" s="191"/>
      <c r="I1253" s="192"/>
      <c r="J1253" s="499" t="str">
        <f>Noty!J1253</f>
        <v>ukryj</v>
      </c>
      <c r="K1253" s="489"/>
    </row>
    <row r="1254" spans="1:14" s="200" customFormat="1" ht="15.05" customHeight="1" x14ac:dyDescent="0.25">
      <c r="A1254" s="508"/>
      <c r="B1254" s="520"/>
      <c r="C1254" s="209"/>
      <c r="D1254" s="202"/>
      <c r="E1254" s="202"/>
      <c r="F1254" s="202"/>
      <c r="G1254" s="196"/>
      <c r="H1254" s="191"/>
      <c r="I1254" s="192"/>
      <c r="J1254" s="499" t="str">
        <f>Noty!J1254</f>
        <v>ukryj</v>
      </c>
      <c r="K1254" s="489"/>
    </row>
    <row r="1255" spans="1:14" s="200" customFormat="1" ht="26.2" customHeight="1" x14ac:dyDescent="0.25">
      <c r="A1255" s="508"/>
      <c r="B1255" s="520"/>
      <c r="C1255" s="1422" t="s">
        <v>11230</v>
      </c>
      <c r="D1255" s="1422"/>
      <c r="E1255" s="1422"/>
      <c r="F1255" s="1422"/>
      <c r="G1255" s="1422"/>
      <c r="H1255" s="1422"/>
      <c r="I1255" s="1422"/>
      <c r="J1255" s="499" t="str">
        <f>Noty!J1255</f>
        <v>ukryj</v>
      </c>
      <c r="K1255" s="489"/>
    </row>
    <row r="1256" spans="1:14" s="200" customFormat="1" ht="15.05" customHeight="1" x14ac:dyDescent="0.25">
      <c r="A1256" s="508"/>
      <c r="B1256" s="520"/>
      <c r="E1256" s="196"/>
      <c r="F1256" s="196"/>
      <c r="G1256" s="196"/>
      <c r="H1256" s="205"/>
      <c r="I1256" s="205"/>
      <c r="J1256" s="499" t="str">
        <f>Noty!J1256</f>
        <v>ukryj</v>
      </c>
      <c r="K1256" s="489"/>
    </row>
    <row r="1257" spans="1:14" s="200" customFormat="1" ht="13.6" customHeight="1" x14ac:dyDescent="0.25">
      <c r="A1257" s="508"/>
      <c r="B1257" s="520"/>
      <c r="C1257" s="1423" t="s">
        <v>11231</v>
      </c>
      <c r="D1257" s="1423"/>
      <c r="E1257" s="1423"/>
      <c r="F1257" s="1423"/>
      <c r="G1257" s="1423"/>
      <c r="H1257" s="1423"/>
      <c r="I1257" s="1423"/>
      <c r="J1257" s="499" t="str">
        <f>Noty!J1257</f>
        <v>ukryj</v>
      </c>
      <c r="K1257" s="489"/>
    </row>
    <row r="1258" spans="1:14" s="200" customFormat="1" ht="15.05" customHeight="1" x14ac:dyDescent="0.25">
      <c r="A1258" s="508"/>
      <c r="B1258" s="520"/>
      <c r="C1258" s="1477"/>
      <c r="D1258" s="1477"/>
      <c r="E1258" s="1477"/>
      <c r="F1258" s="1477"/>
      <c r="G1258" s="1477"/>
      <c r="H1258" s="1477"/>
      <c r="I1258" s="1477"/>
      <c r="J1258" s="499" t="str">
        <f>Noty!J1258</f>
        <v>ukryj</v>
      </c>
      <c r="K1258" s="489"/>
    </row>
    <row r="1259" spans="1:14" s="200" customFormat="1" ht="15.05" customHeight="1" thickBot="1" x14ac:dyDescent="0.3">
      <c r="A1259" s="508"/>
      <c r="B1259" s="520"/>
      <c r="C1259" s="482"/>
      <c r="D1259" s="742"/>
      <c r="E1259" s="742"/>
      <c r="F1259" s="742"/>
      <c r="G1259" s="196"/>
      <c r="H1259" s="196"/>
      <c r="I1259" s="196"/>
      <c r="J1259" s="499" t="str">
        <f>Noty!J1259</f>
        <v>ukryj</v>
      </c>
      <c r="K1259" s="489"/>
      <c r="L1259" s="496"/>
    </row>
    <row r="1260" spans="1:14" s="200" customFormat="1" ht="16.399999999999999" thickTop="1" thickBot="1" x14ac:dyDescent="0.35">
      <c r="A1260" s="1180">
        <f>IF(K1260="n/a",A1183,A1183+1)</f>
        <v>2</v>
      </c>
      <c r="B1260" s="1182"/>
      <c r="C1260" s="1388" t="s">
        <v>11232</v>
      </c>
      <c r="D1260" s="1388"/>
      <c r="E1260" s="1388"/>
      <c r="F1260" s="1388"/>
      <c r="G1260" s="1388"/>
      <c r="H1260" s="1388"/>
      <c r="I1260" s="1388"/>
      <c r="J1260" s="499" t="str">
        <f>Noty!J1260</f>
        <v>ukryj</v>
      </c>
      <c r="K1260" s="585" t="str">
        <f>Noty!K1260</f>
        <v>n/a</v>
      </c>
      <c r="L1260" s="200" t="str">
        <f>A1260&amp;"."&amp;B1260</f>
        <v>2.</v>
      </c>
      <c r="N1260" s="1101" t="s">
        <v>9378</v>
      </c>
    </row>
    <row r="1261" spans="1:14" s="200" customFormat="1" ht="15.05" customHeight="1" thickTop="1" x14ac:dyDescent="0.25">
      <c r="A1261" s="508"/>
      <c r="B1261" s="520"/>
      <c r="C1261" s="195"/>
      <c r="D1261" s="195"/>
      <c r="E1261" s="196"/>
      <c r="F1261" s="196"/>
      <c r="G1261" s="196"/>
      <c r="H1261" s="196"/>
      <c r="I1261" s="196"/>
      <c r="J1261" s="499" t="str">
        <f>Noty!J1261</f>
        <v>ukryj</v>
      </c>
      <c r="K1261" s="489"/>
    </row>
    <row r="1262" spans="1:14" s="200" customFormat="1" ht="56.95" customHeight="1" x14ac:dyDescent="0.25">
      <c r="A1262" s="508"/>
      <c r="B1262" s="520"/>
      <c r="C1262" s="1429" t="s">
        <v>11233</v>
      </c>
      <c r="D1262" s="1429"/>
      <c r="E1262" s="1429"/>
      <c r="F1262" s="1429"/>
      <c r="G1262" s="1429"/>
      <c r="H1262" s="1429"/>
      <c r="I1262" s="1429"/>
      <c r="J1262" s="499" t="str">
        <f>Noty!J1262</f>
        <v>ukryj</v>
      </c>
      <c r="K1262" s="489"/>
    </row>
    <row r="1263" spans="1:14" s="200" customFormat="1" ht="15.05" customHeight="1" x14ac:dyDescent="0.25">
      <c r="A1263" s="508"/>
      <c r="B1263" s="520"/>
      <c r="C1263" s="483"/>
      <c r="D1263" s="483"/>
      <c r="E1263" s="483"/>
      <c r="F1263" s="483"/>
      <c r="G1263" s="483"/>
      <c r="H1263" s="483"/>
      <c r="I1263" s="483"/>
      <c r="J1263" s="499" t="str">
        <f>Noty!J1263</f>
        <v>ukryj</v>
      </c>
      <c r="K1263" s="489"/>
    </row>
    <row r="1264" spans="1:14" s="200" customFormat="1" ht="63.85" customHeight="1" x14ac:dyDescent="0.25">
      <c r="A1264" s="508"/>
      <c r="B1264" s="520"/>
      <c r="C1264" s="1429" t="s">
        <v>11234</v>
      </c>
      <c r="D1264" s="1429"/>
      <c r="E1264" s="1429"/>
      <c r="F1264" s="1429"/>
      <c r="G1264" s="1429"/>
      <c r="H1264" s="1429"/>
      <c r="I1264" s="1429"/>
      <c r="J1264" s="499" t="str">
        <f>Noty!J1264</f>
        <v>ukryj</v>
      </c>
      <c r="K1264" s="489"/>
    </row>
    <row r="1265" spans="1:14" s="200" customFormat="1" ht="13.75" thickBot="1" x14ac:dyDescent="0.3">
      <c r="A1265" s="508"/>
      <c r="B1265" s="520"/>
      <c r="E1265" s="196"/>
      <c r="F1265" s="196"/>
      <c r="G1265" s="196"/>
      <c r="H1265" s="196"/>
      <c r="I1265" s="196"/>
      <c r="J1265" s="499" t="str">
        <f>Noty!J1265</f>
        <v>ukryj</v>
      </c>
      <c r="K1265" s="489"/>
    </row>
    <row r="1266" spans="1:14" s="200" customFormat="1" ht="15.05" customHeight="1" thickTop="1" thickBot="1" x14ac:dyDescent="0.35">
      <c r="A1266" s="1180">
        <f>IF(K1266="n/a",A1260,A1260+1)</f>
        <v>3</v>
      </c>
      <c r="B1266" s="1182"/>
      <c r="C1266" s="1388" t="s">
        <v>11235</v>
      </c>
      <c r="D1266" s="1388"/>
      <c r="E1266" s="1388"/>
      <c r="F1266" s="1388"/>
      <c r="G1266" s="1388"/>
      <c r="H1266" s="1388"/>
      <c r="I1266" s="1388"/>
      <c r="J1266" s="499" t="str">
        <f>Noty!J1266</f>
        <v>odkryj</v>
      </c>
      <c r="K1266" s="585" t="str">
        <f>Noty!K1266</f>
        <v/>
      </c>
      <c r="L1266" s="200" t="str">
        <f>A1266&amp;"."&amp;B1266</f>
        <v>3.</v>
      </c>
      <c r="N1266" s="1101" t="s">
        <v>9378</v>
      </c>
    </row>
    <row r="1267" spans="1:14" s="200" customFormat="1" ht="13.6" customHeight="1" thickTop="1" x14ac:dyDescent="0.25">
      <c r="A1267" s="508"/>
      <c r="B1267" s="520"/>
      <c r="E1267" s="196"/>
      <c r="F1267" s="196"/>
      <c r="G1267" s="196"/>
      <c r="H1267" s="196"/>
      <c r="I1267" s="196"/>
      <c r="J1267" s="499" t="str">
        <f>Noty!J1267</f>
        <v>odkryj</v>
      </c>
      <c r="K1267" s="489"/>
    </row>
    <row r="1268" spans="1:14" s="200" customFormat="1" ht="13.6" customHeight="1" x14ac:dyDescent="0.25">
      <c r="A1268" s="508"/>
      <c r="B1268" s="520"/>
      <c r="E1268" s="196"/>
      <c r="F1268" s="201"/>
      <c r="G1268" s="251"/>
      <c r="H1268" s="999" t="str">
        <f>IF(Noty!H1268="","",Noty!H1268)</f>
        <v>31.12.2020</v>
      </c>
      <c r="I1268" s="1000" t="str">
        <f>IF(Noty!I1268="","",Noty!I1268)</f>
        <v>31.12.2019</v>
      </c>
      <c r="J1268" s="499" t="str">
        <f>Noty!J1268</f>
        <v>odkryj</v>
      </c>
      <c r="K1268" s="489"/>
    </row>
    <row r="1269" spans="1:14" s="200" customFormat="1" ht="13.6" customHeight="1" x14ac:dyDescent="0.25">
      <c r="A1269" s="508"/>
      <c r="B1269" s="520"/>
      <c r="E1269" s="196"/>
      <c r="F1269" s="196"/>
      <c r="G1269" s="196"/>
      <c r="H1269" s="196"/>
      <c r="I1269" s="196"/>
      <c r="J1269" s="499" t="str">
        <f>Noty!J1269</f>
        <v>odkryj</v>
      </c>
      <c r="K1269" s="489"/>
    </row>
    <row r="1270" spans="1:14" s="200" customFormat="1" ht="13.6" customHeight="1" x14ac:dyDescent="0.25">
      <c r="A1270" s="508"/>
      <c r="B1270" s="520"/>
      <c r="C1270" s="202" t="s">
        <v>11236</v>
      </c>
      <c r="D1270" s="202"/>
      <c r="E1270" s="196"/>
      <c r="F1270" s="196"/>
      <c r="G1270" s="196"/>
      <c r="H1270" s="196"/>
      <c r="I1270" s="196"/>
      <c r="J1270" s="499" t="str">
        <f>Noty!J1270</f>
        <v>odkryj</v>
      </c>
      <c r="K1270" s="489"/>
    </row>
    <row r="1271" spans="1:14" s="200" customFormat="1" ht="13.6" customHeight="1" x14ac:dyDescent="0.25">
      <c r="A1271" s="508"/>
      <c r="B1271" s="520"/>
      <c r="C1271" s="203" t="s">
        <v>11237</v>
      </c>
      <c r="E1271" s="196"/>
      <c r="F1271" s="196"/>
      <c r="G1271" s="251"/>
      <c r="H1271" s="1141" t="str">
        <f>IF(Noty!H1271="","",Noty!H1271)</f>
        <v/>
      </c>
      <c r="I1271" s="1141" t="str">
        <f>IF(Noty!I1271="","",Noty!I1271)</f>
        <v/>
      </c>
      <c r="J1271" s="499" t="str">
        <f>Noty!J1271</f>
        <v>ukryj</v>
      </c>
      <c r="K1271" s="489"/>
    </row>
    <row r="1272" spans="1:14" s="200" customFormat="1" ht="13.6" customHeight="1" x14ac:dyDescent="0.25">
      <c r="A1272" s="508"/>
      <c r="B1272" s="520"/>
      <c r="C1272" s="203" t="s">
        <v>11238</v>
      </c>
      <c r="E1272" s="196"/>
      <c r="F1272" s="196"/>
      <c r="G1272" s="251"/>
      <c r="H1272" s="1141" t="str">
        <f>IF(Noty!H1272="","",Noty!H1272)</f>
        <v/>
      </c>
      <c r="I1272" s="1141" t="str">
        <f>IF(Noty!I1272="","",Noty!I1272)</f>
        <v/>
      </c>
      <c r="J1272" s="499" t="str">
        <f>Noty!J1272</f>
        <v>ukryj</v>
      </c>
      <c r="K1272" s="489"/>
    </row>
    <row r="1273" spans="1:14" s="200" customFormat="1" ht="13.6" customHeight="1" x14ac:dyDescent="0.25">
      <c r="A1273" s="508"/>
      <c r="B1273" s="520"/>
      <c r="C1273" s="202" t="s">
        <v>11239</v>
      </c>
      <c r="D1273" s="202"/>
      <c r="E1273" s="196"/>
      <c r="F1273" s="196"/>
      <c r="G1273" s="196"/>
      <c r="H1273" s="549"/>
      <c r="I1273" s="549"/>
      <c r="J1273" s="499" t="str">
        <f>Noty!J1273</f>
        <v>ukryj</v>
      </c>
      <c r="K1273" s="489"/>
    </row>
    <row r="1274" spans="1:14" s="200" customFormat="1" ht="13.6" customHeight="1" x14ac:dyDescent="0.25">
      <c r="A1274" s="508"/>
      <c r="B1274" s="520"/>
      <c r="C1274" s="203" t="s">
        <v>11237</v>
      </c>
      <c r="E1274" s="196"/>
      <c r="F1274" s="196"/>
      <c r="G1274" s="251"/>
      <c r="H1274" s="1141" t="str">
        <f>IF(Noty!H1274="","",Noty!H1274)</f>
        <v/>
      </c>
      <c r="I1274" s="1141" t="str">
        <f>IF(Noty!I1274="","",Noty!I1274)</f>
        <v/>
      </c>
      <c r="J1274" s="499" t="str">
        <f>Noty!J1274</f>
        <v>ukryj</v>
      </c>
      <c r="K1274" s="489"/>
    </row>
    <row r="1275" spans="1:14" s="200" customFormat="1" ht="13.6" customHeight="1" x14ac:dyDescent="0.25">
      <c r="A1275" s="508"/>
      <c r="B1275" s="520"/>
      <c r="C1275" s="203" t="s">
        <v>11238</v>
      </c>
      <c r="E1275" s="196"/>
      <c r="F1275" s="196"/>
      <c r="G1275" s="251"/>
      <c r="H1275" s="1141" t="str">
        <f>IF(Noty!H1275="","",Noty!H1275)</f>
        <v/>
      </c>
      <c r="I1275" s="1141" t="str">
        <f>IF(Noty!I1275="","",Noty!I1275)</f>
        <v/>
      </c>
      <c r="J1275" s="499" t="str">
        <f>Noty!J1275</f>
        <v>ukryj</v>
      </c>
      <c r="K1275" s="489"/>
    </row>
    <row r="1276" spans="1:14" s="200" customFormat="1" ht="13.6" customHeight="1" thickBot="1" x14ac:dyDescent="0.3">
      <c r="A1276" s="508"/>
      <c r="B1276" s="520"/>
      <c r="C1276" s="202"/>
      <c r="D1276" s="202"/>
      <c r="E1276" s="196"/>
      <c r="F1276" s="196"/>
      <c r="G1276" s="196"/>
      <c r="H1276" s="581"/>
      <c r="I1276" s="581"/>
      <c r="J1276" s="499" t="str">
        <f>Noty!J1276</f>
        <v>odkryj</v>
      </c>
      <c r="K1276" s="489"/>
    </row>
    <row r="1277" spans="1:14" s="200" customFormat="1" ht="16.399999999999999" thickTop="1" thickBot="1" x14ac:dyDescent="0.35">
      <c r="A1277" s="1180">
        <f>IF(K1277="n/a",A1266,A1266+1)</f>
        <v>4</v>
      </c>
      <c r="B1277" s="1182"/>
      <c r="C1277" s="1280" t="s">
        <v>11240</v>
      </c>
      <c r="D1277" s="1280"/>
      <c r="E1277" s="1280"/>
      <c r="F1277" s="1280"/>
      <c r="G1277" s="1280"/>
      <c r="H1277" s="1280"/>
      <c r="I1277" s="1280"/>
      <c r="J1277" s="499" t="str">
        <f>Noty!J1277</f>
        <v>odkryj</v>
      </c>
      <c r="K1277" s="585" t="str">
        <f>Noty!K1277</f>
        <v/>
      </c>
      <c r="L1277" s="200" t="str">
        <f>A1277&amp;"."&amp;B1277</f>
        <v>4.</v>
      </c>
      <c r="N1277" s="1101" t="s">
        <v>9378</v>
      </c>
    </row>
    <row r="1278" spans="1:14" s="200" customFormat="1" ht="13.6" customHeight="1" thickTop="1" thickBot="1" x14ac:dyDescent="0.3">
      <c r="A1278" s="508"/>
      <c r="B1278" s="520"/>
      <c r="E1278" s="196"/>
      <c r="F1278" s="196"/>
      <c r="G1278" s="196"/>
      <c r="H1278" s="196"/>
      <c r="I1278" s="196"/>
      <c r="J1278" s="499" t="str">
        <f>Noty!J1278</f>
        <v>odkryj</v>
      </c>
      <c r="K1278" s="489"/>
    </row>
    <row r="1279" spans="1:14" s="200" customFormat="1" ht="41.25" customHeight="1" thickTop="1" thickBot="1" x14ac:dyDescent="0.3">
      <c r="A1279" s="508"/>
      <c r="B1279" s="520"/>
      <c r="C1279" s="1402" t="s">
        <v>11241</v>
      </c>
      <c r="D1279" s="1402"/>
      <c r="E1279" s="1402"/>
      <c r="F1279" s="1402"/>
      <c r="G1279" s="1402"/>
      <c r="H1279" s="1402"/>
      <c r="I1279" s="1402"/>
      <c r="J1279" s="499" t="str">
        <f>Noty!J1279</f>
        <v>odkryj</v>
      </c>
      <c r="K1279" s="585" t="str">
        <f>Noty!K1279</f>
        <v/>
      </c>
    </row>
    <row r="1280" spans="1:14" s="200" customFormat="1" ht="28.5" customHeight="1" thickTop="1" thickBot="1" x14ac:dyDescent="0.3">
      <c r="A1280" s="508"/>
      <c r="B1280" s="520"/>
      <c r="C1280" s="1406" t="s">
        <v>11242</v>
      </c>
      <c r="D1280" s="1406"/>
      <c r="E1280" s="1406"/>
      <c r="F1280" s="1406"/>
      <c r="G1280" s="1406"/>
      <c r="H1280" s="1406"/>
      <c r="I1280" s="1406"/>
      <c r="J1280" s="499" t="str">
        <f>Noty!J1280</f>
        <v>ukryj</v>
      </c>
      <c r="K1280" s="585" t="str">
        <f>Noty!K1280</f>
        <v>n/a</v>
      </c>
    </row>
    <row r="1281" spans="1:14" s="200" customFormat="1" ht="13.6" customHeight="1" thickTop="1" thickBot="1" x14ac:dyDescent="0.3">
      <c r="A1281" s="508"/>
      <c r="B1281" s="520"/>
      <c r="E1281" s="196"/>
      <c r="F1281" s="196"/>
      <c r="G1281" s="196"/>
      <c r="H1281" s="196"/>
      <c r="I1281" s="196"/>
      <c r="J1281" s="499" t="str">
        <f>Noty!J1281</f>
        <v>odkryj</v>
      </c>
      <c r="K1281" s="489"/>
    </row>
    <row r="1282" spans="1:14" s="200" customFormat="1" ht="15.05" customHeight="1" thickTop="1" thickBot="1" x14ac:dyDescent="0.35">
      <c r="A1282" s="1180">
        <f>IF(K1282="n/a",A1277,A1277+1)</f>
        <v>5</v>
      </c>
      <c r="B1282" s="1182"/>
      <c r="C1282" s="1388" t="s">
        <v>11243</v>
      </c>
      <c r="D1282" s="1388"/>
      <c r="E1282" s="1388"/>
      <c r="F1282" s="1388"/>
      <c r="G1282" s="1388"/>
      <c r="H1282" s="1388"/>
      <c r="I1282" s="1388"/>
      <c r="J1282" s="499" t="str">
        <f>Noty!J1282</f>
        <v>odkryj</v>
      </c>
      <c r="K1282" s="585" t="str">
        <f>Noty!K1282</f>
        <v/>
      </c>
      <c r="L1282" s="200" t="str">
        <f>A1282&amp;"."&amp;B1282</f>
        <v>5.</v>
      </c>
      <c r="N1282" s="1101" t="s">
        <v>9378</v>
      </c>
    </row>
    <row r="1283" spans="1:14" s="200" customFormat="1" ht="13.6" customHeight="1" thickTop="1" x14ac:dyDescent="0.25">
      <c r="A1283" s="508"/>
      <c r="B1283" s="520"/>
      <c r="C1283" s="204"/>
      <c r="D1283" s="204"/>
      <c r="E1283" s="196"/>
      <c r="F1283" s="196"/>
      <c r="G1283" s="196"/>
      <c r="H1283" s="196"/>
      <c r="I1283" s="196"/>
      <c r="J1283" s="499" t="str">
        <f>Noty!J1283</f>
        <v>odkryj</v>
      </c>
      <c r="K1283" s="489"/>
    </row>
    <row r="1284" spans="1:14" s="200" customFormat="1" ht="29.95" customHeight="1" x14ac:dyDescent="0.25">
      <c r="A1284" s="508"/>
      <c r="B1284" s="520"/>
      <c r="C1284" s="1426" t="s">
        <v>11244</v>
      </c>
      <c r="D1284" s="1426"/>
      <c r="E1284" s="1426"/>
      <c r="F1284" s="1426"/>
      <c r="G1284" s="1426"/>
      <c r="H1284" s="1426"/>
      <c r="I1284" s="1426"/>
      <c r="J1284" s="499" t="str">
        <f>Noty!J1284</f>
        <v>odkryj</v>
      </c>
      <c r="K1284" s="489"/>
    </row>
    <row r="1285" spans="1:14" s="200" customFormat="1" ht="13.6" customHeight="1" x14ac:dyDescent="0.25">
      <c r="A1285" s="508"/>
      <c r="B1285" s="520"/>
      <c r="C1285" s="196"/>
      <c r="D1285" s="196"/>
      <c r="E1285" s="196"/>
      <c r="F1285" s="196"/>
      <c r="G1285" s="196"/>
      <c r="H1285" s="196"/>
      <c r="I1285" s="196"/>
      <c r="J1285" s="499" t="str">
        <f>Noty!J1285</f>
        <v>odkryj</v>
      </c>
      <c r="K1285" s="489"/>
    </row>
    <row r="1286" spans="1:14" s="200" customFormat="1" ht="13.6" customHeight="1" x14ac:dyDescent="0.25">
      <c r="A1286" s="508"/>
      <c r="B1286" s="520"/>
      <c r="C1286" s="196"/>
      <c r="D1286" s="196"/>
      <c r="E1286" s="196"/>
      <c r="F1286" s="196"/>
      <c r="G1286" s="196"/>
      <c r="H1286" s="999" t="str">
        <f>IF(Noty!H1286="","",Noty!H1286)</f>
        <v>31.12.2020</v>
      </c>
      <c r="I1286" s="1000" t="str">
        <f>IF(Noty!I1286="","",Noty!I1286)</f>
        <v>31.12.2019</v>
      </c>
      <c r="J1286" s="499" t="str">
        <f>Noty!J1286</f>
        <v>ukryj</v>
      </c>
      <c r="K1286" s="489"/>
    </row>
    <row r="1287" spans="1:14" s="200" customFormat="1" ht="13.6" customHeight="1" x14ac:dyDescent="0.25">
      <c r="A1287" s="508"/>
      <c r="B1287" s="520"/>
      <c r="C1287" s="204" t="s">
        <v>11245</v>
      </c>
      <c r="D1287" s="196"/>
      <c r="E1287" s="196"/>
      <c r="F1287" s="196"/>
      <c r="G1287" s="196"/>
      <c r="H1287" s="196"/>
      <c r="I1287" s="196"/>
      <c r="J1287" s="499" t="str">
        <f>Noty!J1287</f>
        <v>ukryj</v>
      </c>
      <c r="K1287" s="489"/>
    </row>
    <row r="1288" spans="1:14" s="200" customFormat="1" ht="13.6" customHeight="1" x14ac:dyDescent="0.25">
      <c r="A1288" s="508"/>
      <c r="B1288" s="520"/>
      <c r="C1288" s="405" t="s">
        <v>11246</v>
      </c>
      <c r="E1288" s="196"/>
      <c r="F1288" s="196"/>
      <c r="G1288" s="251"/>
      <c r="H1288" s="1103" t="str">
        <f>IF(Noty!H1288="","",Noty!H1288)</f>
        <v/>
      </c>
      <c r="I1288" s="1103" t="str">
        <f>IF(Noty!I1288="","",Noty!I1288)</f>
        <v/>
      </c>
      <c r="J1288" s="499" t="str">
        <f>Noty!J1288</f>
        <v>ukryj</v>
      </c>
      <c r="K1288" s="489"/>
    </row>
    <row r="1289" spans="1:14" s="200" customFormat="1" ht="13.6" customHeight="1" x14ac:dyDescent="0.25">
      <c r="A1289" s="508"/>
      <c r="B1289" s="520"/>
      <c r="C1289" s="405" t="s">
        <v>10964</v>
      </c>
      <c r="E1289" s="196"/>
      <c r="F1289" s="196"/>
      <c r="G1289" s="251"/>
      <c r="H1289" s="1103" t="str">
        <f>IF(Noty!H1289="","",Noty!H1289)</f>
        <v/>
      </c>
      <c r="I1289" s="1103" t="str">
        <f>IF(Noty!I1289="","",Noty!I1289)</f>
        <v/>
      </c>
      <c r="J1289" s="499" t="str">
        <f>Noty!J1289</f>
        <v>ukryj</v>
      </c>
      <c r="K1289" s="489"/>
    </row>
    <row r="1290" spans="1:14" s="200" customFormat="1" ht="13.6" customHeight="1" x14ac:dyDescent="0.25">
      <c r="A1290" s="508"/>
      <c r="B1290" s="520"/>
      <c r="C1290" s="405" t="s">
        <v>11247</v>
      </c>
      <c r="E1290" s="196"/>
      <c r="F1290" s="196"/>
      <c r="G1290" s="251"/>
      <c r="H1290" s="1103" t="str">
        <f>IF(Noty!H1290="","",Noty!H1290)</f>
        <v/>
      </c>
      <c r="I1290" s="1103" t="str">
        <f>IF(Noty!I1290="","",Noty!I1290)</f>
        <v/>
      </c>
      <c r="J1290" s="499" t="str">
        <f>Noty!J1290</f>
        <v>ukryj</v>
      </c>
      <c r="K1290" s="489"/>
    </row>
    <row r="1291" spans="1:14" s="200" customFormat="1" ht="13.6" customHeight="1" x14ac:dyDescent="0.25">
      <c r="A1291" s="508"/>
      <c r="B1291" s="520"/>
      <c r="C1291" s="405" t="s">
        <v>11248</v>
      </c>
      <c r="E1291" s="196"/>
      <c r="F1291" s="196"/>
      <c r="G1291" s="251"/>
      <c r="H1291" s="1103" t="str">
        <f>IF(Noty!H1291="","",Noty!H1291)</f>
        <v/>
      </c>
      <c r="I1291" s="1103" t="str">
        <f>IF(Noty!I1291="","",Noty!I1291)</f>
        <v/>
      </c>
      <c r="J1291" s="499" t="str">
        <f>Noty!J1291</f>
        <v>ukryj</v>
      </c>
      <c r="K1291" s="489"/>
    </row>
    <row r="1292" spans="1:14" s="200" customFormat="1" ht="13.6" customHeight="1" x14ac:dyDescent="0.25">
      <c r="A1292" s="508"/>
      <c r="B1292" s="520"/>
      <c r="C1292" s="196"/>
      <c r="D1292" s="196"/>
      <c r="E1292" s="196"/>
      <c r="F1292" s="196"/>
      <c r="G1292" s="251"/>
      <c r="H1292" s="734">
        <f>IF(Noty!H1292="","",Noty!H1292)</f>
        <v>0</v>
      </c>
      <c r="I1292" s="734">
        <f>IF(Noty!I1292="","",Noty!I1292)</f>
        <v>0</v>
      </c>
      <c r="J1292" s="499" t="str">
        <f>Noty!J1292</f>
        <v>ukryj</v>
      </c>
      <c r="K1292" s="489"/>
    </row>
    <row r="1293" spans="1:14" s="200" customFormat="1" ht="13.6" customHeight="1" x14ac:dyDescent="0.25">
      <c r="A1293" s="508"/>
      <c r="B1293" s="520"/>
      <c r="C1293" s="196"/>
      <c r="D1293" s="196"/>
      <c r="E1293" s="196"/>
      <c r="F1293" s="196"/>
      <c r="G1293" s="196"/>
      <c r="H1293" s="544"/>
      <c r="I1293" s="544"/>
      <c r="J1293" s="499" t="str">
        <f>Noty!J1293</f>
        <v>ukryj</v>
      </c>
      <c r="K1293" s="489"/>
    </row>
    <row r="1294" spans="1:14" s="200" customFormat="1" ht="13.6" customHeight="1" x14ac:dyDescent="0.25">
      <c r="A1294" s="508"/>
      <c r="B1294" s="520"/>
      <c r="C1294" s="564" t="s">
        <v>11249</v>
      </c>
      <c r="D1294" s="743"/>
      <c r="E1294" s="196"/>
      <c r="F1294" s="196"/>
      <c r="G1294" s="196"/>
      <c r="H1294" s="544"/>
      <c r="I1294" s="544"/>
      <c r="J1294" s="499" t="str">
        <f>Noty!J1294</f>
        <v>ukryj</v>
      </c>
      <c r="K1294" s="489"/>
    </row>
    <row r="1295" spans="1:14" s="200" customFormat="1" ht="13.6" customHeight="1" x14ac:dyDescent="0.25">
      <c r="A1295" s="508"/>
      <c r="B1295" s="520"/>
      <c r="C1295" s="1408"/>
      <c r="D1295" s="1408"/>
      <c r="E1295" s="1408"/>
      <c r="F1295" s="1408"/>
      <c r="G1295" s="1011"/>
      <c r="H1295" s="1103" t="str">
        <f>IF(Noty!H1295="","",Noty!H1295)</f>
        <v/>
      </c>
      <c r="I1295" s="1103" t="str">
        <f>IF(Noty!I1295="","",Noty!I1295)</f>
        <v/>
      </c>
      <c r="J1295" s="499" t="str">
        <f>Noty!J1295</f>
        <v>ukryj</v>
      </c>
      <c r="K1295" s="489"/>
    </row>
    <row r="1296" spans="1:14" s="200" customFormat="1" ht="13.6" customHeight="1" x14ac:dyDescent="0.25">
      <c r="A1296" s="508"/>
      <c r="B1296" s="520"/>
      <c r="C1296" s="1408"/>
      <c r="D1296" s="1408"/>
      <c r="E1296" s="1408"/>
      <c r="F1296" s="1408"/>
      <c r="G1296" s="1011"/>
      <c r="H1296" s="1103" t="str">
        <f>IF(Noty!H1296="","",Noty!H1296)</f>
        <v/>
      </c>
      <c r="I1296" s="1103" t="str">
        <f>IF(Noty!I1296="","",Noty!I1296)</f>
        <v/>
      </c>
      <c r="J1296" s="499" t="str">
        <f>Noty!J1296</f>
        <v>ukryj</v>
      </c>
      <c r="K1296" s="489"/>
    </row>
    <row r="1297" spans="1:11" s="200" customFormat="1" ht="13.6" customHeight="1" x14ac:dyDescent="0.25">
      <c r="A1297" s="508"/>
      <c r="B1297" s="520"/>
      <c r="C1297" s="1408"/>
      <c r="D1297" s="1408"/>
      <c r="E1297" s="1408"/>
      <c r="F1297" s="1408"/>
      <c r="G1297" s="1011"/>
      <c r="H1297" s="1103" t="str">
        <f>IF(Noty!H1297="","",Noty!H1297)</f>
        <v/>
      </c>
      <c r="I1297" s="1103" t="str">
        <f>IF(Noty!I1297="","",Noty!I1297)</f>
        <v/>
      </c>
      <c r="J1297" s="499" t="str">
        <f>Noty!J1297</f>
        <v>ukryj</v>
      </c>
      <c r="K1297" s="489"/>
    </row>
    <row r="1298" spans="1:11" s="200" customFormat="1" ht="13.6" customHeight="1" x14ac:dyDescent="0.25">
      <c r="A1298" s="508"/>
      <c r="B1298" s="520"/>
      <c r="C1298" s="204"/>
      <c r="D1298" s="204"/>
      <c r="E1298" s="196"/>
      <c r="F1298" s="196"/>
      <c r="G1298" s="251"/>
      <c r="H1298" s="734">
        <f>IF(Noty!H1298="","",Noty!H1298)</f>
        <v>0</v>
      </c>
      <c r="I1298" s="734">
        <f>IF(Noty!I1298="","",Noty!I1298)</f>
        <v>0</v>
      </c>
      <c r="J1298" s="499" t="str">
        <f>Noty!J1298</f>
        <v>ukryj</v>
      </c>
      <c r="K1298" s="489"/>
    </row>
    <row r="1299" spans="1:11" s="200" customFormat="1" ht="13.6" customHeight="1" x14ac:dyDescent="0.25">
      <c r="A1299" s="508"/>
      <c r="B1299" s="520"/>
      <c r="C1299" s="204"/>
      <c r="D1299" s="204"/>
      <c r="E1299" s="196"/>
      <c r="F1299" s="196"/>
      <c r="G1299" s="196"/>
      <c r="H1299" s="196"/>
      <c r="I1299" s="196"/>
      <c r="J1299" s="499" t="str">
        <f>Noty!J1299</f>
        <v>ukryj</v>
      </c>
      <c r="K1299" s="489"/>
    </row>
    <row r="1300" spans="1:11" s="200" customFormat="1" ht="28.5" customHeight="1" x14ac:dyDescent="0.25">
      <c r="A1300" s="508"/>
      <c r="B1300" s="520"/>
      <c r="C1300" s="1426" t="s">
        <v>11250</v>
      </c>
      <c r="D1300" s="1426"/>
      <c r="E1300" s="1426"/>
      <c r="F1300" s="1426"/>
      <c r="G1300" s="1426"/>
      <c r="H1300" s="1426"/>
      <c r="I1300" s="1426"/>
      <c r="J1300" s="499" t="str">
        <f>Noty!J1300</f>
        <v>ukryj</v>
      </c>
      <c r="K1300" s="489"/>
    </row>
    <row r="1301" spans="1:11" s="200" customFormat="1" ht="13.6" customHeight="1" x14ac:dyDescent="0.25">
      <c r="A1301" s="508"/>
      <c r="B1301" s="520"/>
      <c r="C1301" s="204"/>
      <c r="D1301" s="204"/>
      <c r="E1301" s="196"/>
      <c r="F1301" s="196"/>
      <c r="G1301" s="196"/>
      <c r="H1301" s="196"/>
      <c r="I1301" s="196"/>
      <c r="J1301" s="499" t="str">
        <f>Noty!J1301</f>
        <v>ukryj</v>
      </c>
      <c r="K1301" s="489"/>
    </row>
    <row r="1302" spans="1:11" s="200" customFormat="1" ht="25.55" customHeight="1" x14ac:dyDescent="0.25">
      <c r="A1302" s="508"/>
      <c r="B1302" s="520"/>
      <c r="C1302" s="204"/>
      <c r="D1302" s="204"/>
      <c r="E1302" s="196"/>
      <c r="F1302" s="196"/>
      <c r="G1302" s="251"/>
      <c r="H1302" s="999" t="str">
        <f>IF(Noty!H1302="","",Noty!H1302)</f>
        <v>01.01.2020 -31.12.2020</v>
      </c>
      <c r="I1302" s="999" t="str">
        <f>IF(Noty!I1302="","",Noty!I1302)</f>
        <v>01.01.2019 -31.12.2019</v>
      </c>
      <c r="J1302" s="499" t="str">
        <f>Noty!J1302</f>
        <v>ukryj</v>
      </c>
      <c r="K1302" s="489"/>
    </row>
    <row r="1303" spans="1:11" s="200" customFormat="1" ht="13.6" customHeight="1" x14ac:dyDescent="0.25">
      <c r="A1303" s="508"/>
      <c r="B1303" s="520"/>
      <c r="E1303" s="196"/>
      <c r="F1303" s="196"/>
      <c r="G1303" s="196"/>
      <c r="H1303" s="196"/>
      <c r="I1303" s="196"/>
      <c r="J1303" s="499" t="str">
        <f>Noty!J1303</f>
        <v>ukryj</v>
      </c>
      <c r="K1303" s="489"/>
    </row>
    <row r="1304" spans="1:11" s="200" customFormat="1" ht="28.5" customHeight="1" x14ac:dyDescent="0.25">
      <c r="A1304" s="508"/>
      <c r="B1304" s="520"/>
      <c r="C1304" s="1427" t="s">
        <v>11251</v>
      </c>
      <c r="D1304" s="1427"/>
      <c r="E1304" s="1427"/>
      <c r="F1304" s="1427"/>
      <c r="G1304" s="831"/>
      <c r="H1304" s="563"/>
      <c r="I1304" s="544"/>
      <c r="J1304" s="499" t="str">
        <f>Noty!J1304</f>
        <v>ukryj</v>
      </c>
      <c r="K1304" s="489"/>
    </row>
    <row r="1305" spans="1:11" s="200" customFormat="1" ht="13.6" customHeight="1" x14ac:dyDescent="0.25">
      <c r="A1305" s="508"/>
      <c r="B1305" s="520"/>
      <c r="C1305" s="1386" t="s">
        <v>11252</v>
      </c>
      <c r="D1305" s="1386"/>
      <c r="E1305" s="1386"/>
      <c r="F1305" s="1386"/>
      <c r="G1305" s="1021"/>
      <c r="H1305" s="1103" t="str">
        <f>IF(Noty!H1305="","",Noty!H1305)</f>
        <v/>
      </c>
      <c r="I1305" s="1103" t="str">
        <f>IF(Noty!I1305="","",Noty!I1305)</f>
        <v/>
      </c>
      <c r="J1305" s="499" t="str">
        <f>Noty!J1305</f>
        <v>ukryj</v>
      </c>
      <c r="K1305" s="489"/>
    </row>
    <row r="1306" spans="1:11" s="200" customFormat="1" ht="13.6" customHeight="1" x14ac:dyDescent="0.25">
      <c r="A1306" s="508"/>
      <c r="B1306" s="520"/>
      <c r="C1306" s="1386" t="s">
        <v>11253</v>
      </c>
      <c r="D1306" s="1386"/>
      <c r="E1306" s="1386"/>
      <c r="F1306" s="1386"/>
      <c r="G1306" s="1021"/>
      <c r="H1306" s="1103" t="str">
        <f>IF(Noty!H1306="","",Noty!H1306)</f>
        <v/>
      </c>
      <c r="I1306" s="1103" t="str">
        <f>IF(Noty!I1306="","",Noty!I1306)</f>
        <v/>
      </c>
      <c r="J1306" s="499" t="str">
        <f>Noty!J1306</f>
        <v>ukryj</v>
      </c>
      <c r="K1306" s="489"/>
    </row>
    <row r="1307" spans="1:11" s="200" customFormat="1" ht="13.6" customHeight="1" x14ac:dyDescent="0.25">
      <c r="A1307" s="508"/>
      <c r="B1307" s="520"/>
      <c r="C1307" s="1428" t="s">
        <v>11254</v>
      </c>
      <c r="D1307" s="1428"/>
      <c r="E1307" s="1428"/>
      <c r="F1307" s="1428"/>
      <c r="G1307" s="1022"/>
      <c r="H1307" s="1103" t="str">
        <f>IF(Noty!H1307="","",Noty!H1307)</f>
        <v/>
      </c>
      <c r="I1307" s="1103" t="str">
        <f>IF(Noty!I1307="","",Noty!I1307)</f>
        <v/>
      </c>
      <c r="J1307" s="499" t="str">
        <f>Noty!J1307</f>
        <v>ukryj</v>
      </c>
      <c r="K1307" s="489"/>
    </row>
    <row r="1308" spans="1:11" s="200" customFormat="1" ht="13.6" customHeight="1" x14ac:dyDescent="0.25">
      <c r="A1308" s="508"/>
      <c r="B1308" s="520"/>
      <c r="C1308" s="206"/>
      <c r="E1308" s="196"/>
      <c r="F1308" s="196"/>
      <c r="G1308" s="251"/>
      <c r="H1308" s="734">
        <f>IF(Noty!H1308="","",Noty!H1308)</f>
        <v>0</v>
      </c>
      <c r="I1308" s="734">
        <f>IF(Noty!I1308="","",Noty!I1308)</f>
        <v>0</v>
      </c>
      <c r="J1308" s="499" t="str">
        <f>Noty!J1308</f>
        <v>ukryj</v>
      </c>
      <c r="K1308" s="489"/>
    </row>
    <row r="1309" spans="1:11" s="200" customFormat="1" ht="13.6" customHeight="1" x14ac:dyDescent="0.25">
      <c r="A1309" s="508"/>
      <c r="B1309" s="520"/>
      <c r="C1309" s="206"/>
      <c r="E1309" s="196"/>
      <c r="F1309" s="196"/>
      <c r="G1309" s="196"/>
      <c r="H1309" s="191"/>
      <c r="I1309" s="191"/>
      <c r="J1309" s="499" t="str">
        <f>Noty!J1309</f>
        <v>ukryj</v>
      </c>
      <c r="K1309" s="489"/>
    </row>
    <row r="1310" spans="1:11" s="200" customFormat="1" ht="13.6" customHeight="1" x14ac:dyDescent="0.25">
      <c r="A1310" s="508"/>
      <c r="B1310" s="520"/>
      <c r="C1310" s="185" t="s">
        <v>11255</v>
      </c>
      <c r="G1310" s="205"/>
      <c r="H1310" s="205"/>
      <c r="I1310" s="196"/>
      <c r="J1310" s="499" t="str">
        <f>Noty!J1310</f>
        <v>ukryj</v>
      </c>
      <c r="K1310" s="489"/>
    </row>
    <row r="1311" spans="1:11" s="200" customFormat="1" ht="13.6" customHeight="1" x14ac:dyDescent="0.25">
      <c r="A1311" s="508"/>
      <c r="B1311" s="520"/>
      <c r="C1311" s="1386" t="s">
        <v>11256</v>
      </c>
      <c r="D1311" s="1386"/>
      <c r="E1311" s="1386"/>
      <c r="F1311" s="1386"/>
      <c r="G1311" s="1023"/>
      <c r="H1311" s="800" t="str">
        <f>IF(Noty!H1311="","",Noty!H1311)</f>
        <v/>
      </c>
      <c r="I1311" s="1103" t="str">
        <f>IF(Noty!I1311="","",Noty!I1311)</f>
        <v/>
      </c>
      <c r="J1311" s="499" t="str">
        <f>Noty!J1311</f>
        <v>ukryj</v>
      </c>
      <c r="K1311" s="489"/>
    </row>
    <row r="1312" spans="1:11" s="200" customFormat="1" ht="13.6" customHeight="1" x14ac:dyDescent="0.25">
      <c r="A1312" s="508"/>
      <c r="B1312" s="520"/>
      <c r="C1312" s="1386" t="s">
        <v>11257</v>
      </c>
      <c r="D1312" s="1386"/>
      <c r="E1312" s="1386"/>
      <c r="F1312" s="1386"/>
      <c r="G1312" s="1023"/>
      <c r="H1312" s="800" t="str">
        <f>IF(Noty!H1312="","",Noty!H1312)</f>
        <v/>
      </c>
      <c r="I1312" s="1103" t="str">
        <f>IF(Noty!I1312="","",Noty!I1312)</f>
        <v/>
      </c>
      <c r="J1312" s="499" t="str">
        <f>Noty!J1312</f>
        <v>ukryj</v>
      </c>
      <c r="K1312" s="489"/>
    </row>
    <row r="1313" spans="1:12" s="200" customFormat="1" ht="13.6" customHeight="1" x14ac:dyDescent="0.25">
      <c r="A1313" s="508"/>
      <c r="B1313" s="520"/>
      <c r="C1313" s="1386" t="s">
        <v>11258</v>
      </c>
      <c r="D1313" s="1386"/>
      <c r="E1313" s="1386"/>
      <c r="F1313" s="1386"/>
      <c r="G1313" s="1023"/>
      <c r="H1313" s="800" t="str">
        <f>IF(Noty!H1313="","",Noty!H1313)</f>
        <v/>
      </c>
      <c r="I1313" s="1103" t="str">
        <f>IF(Noty!I1313="","",Noty!I1313)</f>
        <v/>
      </c>
      <c r="J1313" s="499" t="str">
        <f>Noty!J1313</f>
        <v>ukryj</v>
      </c>
      <c r="K1313" s="489"/>
    </row>
    <row r="1314" spans="1:12" s="200" customFormat="1" ht="13.6" customHeight="1" x14ac:dyDescent="0.25">
      <c r="A1314" s="508"/>
      <c r="B1314" s="520"/>
      <c r="C1314" s="1386" t="s">
        <v>11259</v>
      </c>
      <c r="D1314" s="1386"/>
      <c r="E1314" s="1386"/>
      <c r="F1314" s="1386"/>
      <c r="G1314" s="1023"/>
      <c r="H1314" s="800" t="str">
        <f>IF(Noty!H1314="","",Noty!H1314)</f>
        <v/>
      </c>
      <c r="I1314" s="1103" t="str">
        <f>IF(Noty!I1314="","",Noty!I1314)</f>
        <v/>
      </c>
      <c r="J1314" s="499" t="str">
        <f>Noty!J1314</f>
        <v>ukryj</v>
      </c>
      <c r="K1314" s="489"/>
    </row>
    <row r="1315" spans="1:12" s="200" customFormat="1" ht="13.6" customHeight="1" x14ac:dyDescent="0.25">
      <c r="A1315" s="508"/>
      <c r="B1315" s="520"/>
      <c r="C1315" s="1386" t="s">
        <v>11260</v>
      </c>
      <c r="D1315" s="1386"/>
      <c r="E1315" s="1386"/>
      <c r="F1315" s="1386"/>
      <c r="G1315" s="1023"/>
      <c r="H1315" s="800" t="str">
        <f>IF(Noty!H1315="","",Noty!H1315)</f>
        <v/>
      </c>
      <c r="I1315" s="1103" t="str">
        <f>IF(Noty!I1315="","",Noty!I1315)</f>
        <v/>
      </c>
      <c r="J1315" s="499" t="str">
        <f>Noty!J1315</f>
        <v>ukryj</v>
      </c>
      <c r="K1315" s="489"/>
    </row>
    <row r="1316" spans="1:12" s="200" customFormat="1" ht="13.6" customHeight="1" x14ac:dyDescent="0.25">
      <c r="A1316" s="508"/>
      <c r="B1316" s="520"/>
      <c r="C1316" s="1386" t="s">
        <v>11261</v>
      </c>
      <c r="D1316" s="1386"/>
      <c r="E1316" s="1386"/>
      <c r="F1316" s="1386"/>
      <c r="G1316" s="1023"/>
      <c r="H1316" s="800" t="str">
        <f>IF(Noty!H1316="","",Noty!H1316)</f>
        <v/>
      </c>
      <c r="I1316" s="1103" t="str">
        <f>IF(Noty!I1316="","",Noty!I1316)</f>
        <v/>
      </c>
      <c r="J1316" s="499" t="str">
        <f>Noty!J1316</f>
        <v>ukryj</v>
      </c>
      <c r="K1316" s="489"/>
    </row>
    <row r="1317" spans="1:12" s="200" customFormat="1" ht="13.6" customHeight="1" x14ac:dyDescent="0.25">
      <c r="A1317" s="508"/>
      <c r="B1317" s="520"/>
      <c r="C1317" s="208"/>
      <c r="E1317" s="196"/>
      <c r="F1317" s="196"/>
      <c r="G1317" s="1023"/>
      <c r="H1317" s="734">
        <f>IF(Noty!H1317="","",Noty!H1317)</f>
        <v>0</v>
      </c>
      <c r="I1317" s="734">
        <f>IF(Noty!I1317="","",Noty!I1317)</f>
        <v>0</v>
      </c>
      <c r="J1317" s="499" t="str">
        <f>Noty!J1317</f>
        <v>ukryj</v>
      </c>
      <c r="K1317" s="489"/>
    </row>
    <row r="1318" spans="1:12" s="200" customFormat="1" ht="13.6" customHeight="1" x14ac:dyDescent="0.25">
      <c r="A1318" s="508"/>
      <c r="B1318" s="520"/>
      <c r="E1318" s="196"/>
      <c r="F1318" s="196"/>
      <c r="G1318" s="205"/>
      <c r="H1318" s="205"/>
      <c r="I1318" s="196"/>
      <c r="J1318" s="499" t="str">
        <f>Noty!J1318</f>
        <v>ukryj</v>
      </c>
      <c r="K1318" s="489"/>
    </row>
    <row r="1319" spans="1:12" s="200" customFormat="1" ht="15.05" customHeight="1" x14ac:dyDescent="0.25">
      <c r="A1319" s="509"/>
      <c r="B1319" s="520"/>
      <c r="C1319" s="185" t="s">
        <v>11262</v>
      </c>
      <c r="D1319" s="231"/>
      <c r="H1319" s="544"/>
      <c r="I1319" s="544"/>
      <c r="J1319" s="499" t="str">
        <f>Noty!J1319</f>
        <v>ukryj</v>
      </c>
      <c r="K1319" s="489"/>
    </row>
    <row r="1320" spans="1:12" s="200" customFormat="1" ht="13.6" customHeight="1" x14ac:dyDescent="0.25">
      <c r="A1320" s="508"/>
      <c r="B1320" s="520"/>
      <c r="C1320" s="1428" t="s">
        <v>11263</v>
      </c>
      <c r="D1320" s="1428"/>
      <c r="E1320" s="1428"/>
      <c r="F1320" s="1428"/>
      <c r="G1320" s="1022"/>
      <c r="H1320" s="800" t="str">
        <f>IF(Noty!H1320="","",Noty!H1320)</f>
        <v/>
      </c>
      <c r="I1320" s="800" t="str">
        <f>IF(Noty!I1320="","",Noty!I1320)</f>
        <v/>
      </c>
      <c r="J1320" s="499" t="str">
        <f>Noty!J1320</f>
        <v>ukryj</v>
      </c>
      <c r="K1320" s="489"/>
    </row>
    <row r="1321" spans="1:12" s="200" customFormat="1" ht="13.6" customHeight="1" x14ac:dyDescent="0.25">
      <c r="A1321" s="508"/>
      <c r="B1321" s="520"/>
      <c r="C1321" s="1428" t="s">
        <v>11264</v>
      </c>
      <c r="D1321" s="1428"/>
      <c r="E1321" s="1428"/>
      <c r="F1321" s="1428"/>
      <c r="G1321" s="1022"/>
      <c r="H1321" s="1103" t="str">
        <f>IF(Noty!H1321="","",Noty!H1321)</f>
        <v/>
      </c>
      <c r="I1321" s="1103" t="str">
        <f>IF(Noty!I1321="","",Noty!I1321)</f>
        <v/>
      </c>
      <c r="J1321" s="499" t="str">
        <f>Noty!J1321</f>
        <v>ukryj</v>
      </c>
      <c r="K1321" s="489"/>
    </row>
    <row r="1322" spans="1:12" s="200" customFormat="1" ht="13.6" customHeight="1" x14ac:dyDescent="0.25">
      <c r="A1322" s="508"/>
      <c r="B1322" s="520"/>
      <c r="C1322" s="202" t="s">
        <v>11265</v>
      </c>
      <c r="D1322" s="157"/>
      <c r="E1322" s="202"/>
      <c r="F1322" s="202"/>
      <c r="G1322" s="9"/>
      <c r="H1322" s="800" t="str">
        <f>IF(Noty!H1322="","",Noty!H1322)</f>
        <v/>
      </c>
      <c r="I1322" s="800" t="str">
        <f>IF(Noty!I1322="","",Noty!I1322)</f>
        <v/>
      </c>
      <c r="J1322" s="499" t="str">
        <f>Noty!J1322</f>
        <v>ukryj</v>
      </c>
      <c r="K1322" s="489"/>
    </row>
    <row r="1323" spans="1:12" s="200" customFormat="1" ht="13.6" customHeight="1" x14ac:dyDescent="0.25">
      <c r="A1323" s="508"/>
      <c r="B1323" s="520"/>
      <c r="C1323" s="202" t="s">
        <v>11266</v>
      </c>
      <c r="D1323" s="157"/>
      <c r="E1323" s="202"/>
      <c r="F1323" s="202"/>
      <c r="G1323" s="9"/>
      <c r="H1323" s="1103" t="str">
        <f>IF(Noty!H1323="","",Noty!H1323)</f>
        <v/>
      </c>
      <c r="I1323" s="1103" t="str">
        <f>IF(Noty!I1323="","",Noty!I1323)</f>
        <v/>
      </c>
      <c r="J1323" s="499" t="str">
        <f>Noty!J1323</f>
        <v>ukryj</v>
      </c>
      <c r="K1323" s="489"/>
    </row>
    <row r="1324" spans="1:12" s="200" customFormat="1" ht="13.6" customHeight="1" x14ac:dyDescent="0.25">
      <c r="A1324" s="508"/>
      <c r="B1324" s="520"/>
      <c r="C1324" s="202" t="s">
        <v>8684</v>
      </c>
      <c r="D1324" s="157"/>
      <c r="E1324" s="202"/>
      <c r="F1324" s="202"/>
      <c r="G1324" s="9"/>
      <c r="H1324" s="1103" t="str">
        <f>IF(Noty!H1324="","",Noty!H1324)</f>
        <v/>
      </c>
      <c r="I1324" s="1103" t="str">
        <f>IF(Noty!I1324="","",Noty!I1324)</f>
        <v/>
      </c>
      <c r="J1324" s="499" t="str">
        <f>Noty!J1324</f>
        <v>ukryj</v>
      </c>
      <c r="K1324" s="489"/>
    </row>
    <row r="1325" spans="1:12" s="200" customFormat="1" ht="13.6" customHeight="1" x14ac:dyDescent="0.25">
      <c r="A1325" s="508"/>
      <c r="B1325" s="520"/>
      <c r="E1325" s="196"/>
      <c r="F1325" s="196"/>
      <c r="G1325" s="251"/>
      <c r="H1325" s="734">
        <f>IF(Noty!H1325="","",Noty!H1325)</f>
        <v>0</v>
      </c>
      <c r="I1325" s="734">
        <f>IF(Noty!I1325="","",Noty!I1325)</f>
        <v>0</v>
      </c>
      <c r="J1325" s="499" t="str">
        <f>Noty!J1325</f>
        <v>ukryj</v>
      </c>
      <c r="K1325" s="489"/>
    </row>
    <row r="1326" spans="1:12" s="200" customFormat="1" ht="12.8" customHeight="1" x14ac:dyDescent="0.25">
      <c r="A1326" s="508"/>
      <c r="B1326" s="520"/>
      <c r="E1326" s="196"/>
      <c r="F1326" s="196"/>
      <c r="G1326" s="196"/>
      <c r="H1326" s="196"/>
      <c r="I1326" s="196"/>
      <c r="J1326" s="499" t="str">
        <f>Noty!J1326</f>
        <v>ukryj</v>
      </c>
      <c r="K1326" s="489"/>
    </row>
    <row r="1327" spans="1:12" s="211" customFormat="1" ht="12.8" customHeight="1" x14ac:dyDescent="0.25">
      <c r="A1327" s="516"/>
      <c r="B1327" s="516"/>
      <c r="C1327" s="185" t="s">
        <v>11267</v>
      </c>
      <c r="D1327" s="744"/>
      <c r="E1327" s="744"/>
      <c r="F1327" s="744"/>
      <c r="G1327" s="744"/>
      <c r="H1327" s="745"/>
      <c r="I1327" s="745"/>
      <c r="J1327" s="499" t="str">
        <f>Noty!J1327</f>
        <v>ukryj</v>
      </c>
      <c r="K1327" s="489"/>
      <c r="L1327" s="200"/>
    </row>
    <row r="1328" spans="1:12" s="212" customFormat="1" ht="12.8" customHeight="1" x14ac:dyDescent="0.25">
      <c r="A1328" s="826"/>
      <c r="B1328" s="826"/>
      <c r="C1328" s="202" t="s">
        <v>11268</v>
      </c>
      <c r="D1328" s="841"/>
      <c r="E1328" s="202"/>
      <c r="F1328" s="202"/>
      <c r="G1328" s="1024"/>
      <c r="H1328" s="800">
        <f>IF(Noty!H1328="","",Noty!H1328)</f>
        <v>0</v>
      </c>
      <c r="I1328" s="1103" t="str">
        <f>IF(Noty!I1328="","",Noty!I1328)</f>
        <v/>
      </c>
      <c r="J1328" s="499" t="str">
        <f>Noty!J1328</f>
        <v>ukryj</v>
      </c>
      <c r="K1328" s="489"/>
    </row>
    <row r="1329" spans="1:12" s="212" customFormat="1" ht="12.8" customHeight="1" x14ac:dyDescent="0.25">
      <c r="A1329" s="826"/>
      <c r="B1329" s="826"/>
      <c r="C1329" s="202" t="s">
        <v>11269</v>
      </c>
      <c r="D1329" s="210"/>
      <c r="E1329" s="202"/>
      <c r="F1329" s="202"/>
      <c r="G1329" s="1024"/>
      <c r="H1329" s="800">
        <f>IF(Noty!H1329="","",Noty!H1329)</f>
        <v>0</v>
      </c>
      <c r="I1329" s="1103" t="str">
        <f>IF(Noty!I1329="","",Noty!I1329)</f>
        <v/>
      </c>
      <c r="J1329" s="499" t="str">
        <f>Noty!J1329</f>
        <v>ukryj</v>
      </c>
      <c r="K1329" s="489"/>
    </row>
    <row r="1330" spans="1:12" s="212" customFormat="1" ht="12.8" customHeight="1" x14ac:dyDescent="0.25">
      <c r="A1330" s="826"/>
      <c r="B1330" s="826"/>
      <c r="C1330" s="202" t="s">
        <v>11270</v>
      </c>
      <c r="D1330" s="841"/>
      <c r="E1330" s="202"/>
      <c r="F1330" s="202"/>
      <c r="G1330" s="1024"/>
      <c r="H1330" s="1103" t="str">
        <f>IF(Noty!H1330="","",Noty!H1330)</f>
        <v/>
      </c>
      <c r="I1330" s="1103" t="str">
        <f>IF(Noty!I1330="","",Noty!I1330)</f>
        <v/>
      </c>
      <c r="J1330" s="499" t="str">
        <f>Noty!J1330</f>
        <v>ukryj</v>
      </c>
      <c r="K1330" s="489"/>
    </row>
    <row r="1331" spans="1:12" s="212" customFormat="1" ht="15.05" customHeight="1" x14ac:dyDescent="0.25">
      <c r="A1331" s="826"/>
      <c r="B1331" s="826"/>
      <c r="C1331" s="202" t="s">
        <v>11271</v>
      </c>
      <c r="D1331" s="210"/>
      <c r="E1331" s="202"/>
      <c r="F1331" s="202"/>
      <c r="G1331" s="1024"/>
      <c r="H1331" s="1103" t="str">
        <f>IF(Noty!H1331="","",Noty!H1331)</f>
        <v/>
      </c>
      <c r="I1331" s="1103" t="str">
        <f>IF(Noty!I1331="","",Noty!I1331)</f>
        <v/>
      </c>
      <c r="J1331" s="499" t="str">
        <f>Noty!J1331</f>
        <v>ukryj</v>
      </c>
      <c r="K1331" s="489"/>
    </row>
    <row r="1332" spans="1:12" s="212" customFormat="1" ht="15.05" customHeight="1" x14ac:dyDescent="0.25">
      <c r="A1332" s="826"/>
      <c r="B1332" s="826"/>
      <c r="C1332" s="202" t="s">
        <v>11272</v>
      </c>
      <c r="D1332" s="210"/>
      <c r="E1332" s="202"/>
      <c r="F1332" s="202"/>
      <c r="G1332" s="1024"/>
      <c r="H1332" s="1103" t="str">
        <f>IF(Noty!H1332="","",Noty!H1332)</f>
        <v/>
      </c>
      <c r="I1332" s="1103" t="str">
        <f>IF(Noty!I1332="","",Noty!I1332)</f>
        <v/>
      </c>
      <c r="J1332" s="499" t="str">
        <f>Noty!J1332</f>
        <v>ukryj</v>
      </c>
      <c r="K1332" s="489"/>
    </row>
    <row r="1333" spans="1:12" s="212" customFormat="1" ht="15.05" customHeight="1" x14ac:dyDescent="0.25">
      <c r="A1333" s="826"/>
      <c r="B1333" s="826"/>
      <c r="C1333" s="202" t="s">
        <v>11273</v>
      </c>
      <c r="D1333" s="746"/>
      <c r="E1333" s="746"/>
      <c r="F1333" s="746"/>
      <c r="G1333" s="1024"/>
      <c r="H1333" s="1103" t="str">
        <f>IF(Noty!H1333="","",Noty!H1333)</f>
        <v/>
      </c>
      <c r="I1333" s="1103" t="str">
        <f>IF(Noty!I1333="","",Noty!I1333)</f>
        <v/>
      </c>
      <c r="J1333" s="499" t="str">
        <f>Noty!J1333</f>
        <v>ukryj</v>
      </c>
      <c r="K1333" s="489"/>
    </row>
    <row r="1334" spans="1:12" s="200" customFormat="1" ht="13.6" customHeight="1" x14ac:dyDescent="0.25">
      <c r="A1334" s="508"/>
      <c r="B1334" s="520"/>
      <c r="E1334" s="196"/>
      <c r="F1334" s="196"/>
      <c r="G1334" s="251"/>
      <c r="H1334" s="734">
        <f>IF(Noty!H1334="","",Noty!H1334)</f>
        <v>0</v>
      </c>
      <c r="I1334" s="734">
        <f>IF(Noty!I1334="","",Noty!I1334)</f>
        <v>0</v>
      </c>
      <c r="J1334" s="499" t="str">
        <f>Noty!J1334</f>
        <v>ukryj</v>
      </c>
      <c r="K1334" s="489"/>
    </row>
    <row r="1335" spans="1:12" s="200" customFormat="1" ht="13.6" customHeight="1" x14ac:dyDescent="0.25">
      <c r="A1335" s="508"/>
      <c r="B1335" s="520"/>
      <c r="E1335" s="196"/>
      <c r="F1335" s="196"/>
      <c r="G1335" s="196"/>
      <c r="H1335" s="191"/>
      <c r="I1335" s="191"/>
      <c r="J1335" s="499" t="str">
        <f>Noty!J1335</f>
        <v>ukryj</v>
      </c>
      <c r="K1335" s="489"/>
    </row>
    <row r="1336" spans="1:12" s="200" customFormat="1" ht="29.3" customHeight="1" x14ac:dyDescent="0.25">
      <c r="A1336" s="509"/>
      <c r="B1336" s="520"/>
      <c r="C1336" s="1427" t="s">
        <v>11274</v>
      </c>
      <c r="D1336" s="1427"/>
      <c r="E1336" s="1427"/>
      <c r="F1336" s="1427"/>
      <c r="G1336" s="831"/>
      <c r="H1336" s="207"/>
      <c r="I1336" s="207"/>
      <c r="J1336" s="499" t="str">
        <f>Noty!J1336</f>
        <v>ukryj</v>
      </c>
      <c r="K1336" s="489"/>
    </row>
    <row r="1337" spans="1:12" s="200" customFormat="1" ht="13.6" customHeight="1" x14ac:dyDescent="0.25">
      <c r="A1337" s="508"/>
      <c r="B1337" s="520"/>
      <c r="C1337" s="1386" t="s">
        <v>11275</v>
      </c>
      <c r="D1337" s="1386"/>
      <c r="E1337" s="1386"/>
      <c r="F1337" s="1386"/>
      <c r="G1337" s="9"/>
      <c r="H1337" s="800">
        <f>IF(Noty!H1337="","",Noty!H1337)</f>
        <v>0</v>
      </c>
      <c r="I1337" s="1103" t="str">
        <f>IF(Noty!I1337="","",Noty!I1337)</f>
        <v/>
      </c>
      <c r="J1337" s="499" t="str">
        <f>Noty!J1337</f>
        <v>ukryj</v>
      </c>
      <c r="K1337" s="489"/>
      <c r="L1337" s="582"/>
    </row>
    <row r="1338" spans="1:12" s="200" customFormat="1" ht="13.6" customHeight="1" x14ac:dyDescent="0.25">
      <c r="A1338" s="508"/>
      <c r="B1338" s="520"/>
      <c r="C1338" s="1386" t="s">
        <v>11276</v>
      </c>
      <c r="D1338" s="1386"/>
      <c r="E1338" s="1386"/>
      <c r="F1338" s="1386"/>
      <c r="G1338" s="9"/>
      <c r="H1338" s="800">
        <f>IF(Noty!H1338="","",Noty!H1338)</f>
        <v>0</v>
      </c>
      <c r="I1338" s="1103" t="str">
        <f>IF(Noty!I1338="","",Noty!I1338)</f>
        <v/>
      </c>
      <c r="J1338" s="499" t="str">
        <f>Noty!J1338</f>
        <v>ukryj</v>
      </c>
      <c r="K1338" s="489"/>
      <c r="L1338" s="582"/>
    </row>
    <row r="1339" spans="1:12" s="200" customFormat="1" ht="25.55" customHeight="1" x14ac:dyDescent="0.25">
      <c r="A1339" s="508"/>
      <c r="B1339" s="520"/>
      <c r="C1339" s="1428" t="s">
        <v>11277</v>
      </c>
      <c r="D1339" s="1428"/>
      <c r="E1339" s="1428"/>
      <c r="F1339" s="1428"/>
      <c r="G1339" s="1022"/>
      <c r="H1339" s="1103" t="str">
        <f>IF(Noty!H1339="","",Noty!H1339)</f>
        <v/>
      </c>
      <c r="I1339" s="1103" t="str">
        <f>IF(Noty!I1339="","",Noty!I1339)</f>
        <v/>
      </c>
      <c r="J1339" s="499" t="str">
        <f>Noty!J1339</f>
        <v>ukryj</v>
      </c>
      <c r="K1339" s="489"/>
      <c r="L1339" s="582"/>
    </row>
    <row r="1340" spans="1:12" s="200" customFormat="1" ht="13.6" customHeight="1" x14ac:dyDescent="0.25">
      <c r="A1340" s="508"/>
      <c r="B1340" s="520"/>
      <c r="C1340" s="1386" t="s">
        <v>11278</v>
      </c>
      <c r="D1340" s="1386"/>
      <c r="E1340" s="1386"/>
      <c r="F1340" s="1386"/>
      <c r="G1340" s="9"/>
      <c r="H1340" s="1103" t="str">
        <f>IF(Noty!H1340="","",Noty!H1340)</f>
        <v/>
      </c>
      <c r="I1340" s="1103" t="str">
        <f>IF(Noty!I1340="","",Noty!I1340)</f>
        <v/>
      </c>
      <c r="J1340" s="499" t="str">
        <f>Noty!J1340</f>
        <v>ukryj</v>
      </c>
      <c r="K1340" s="489"/>
      <c r="L1340" s="582"/>
    </row>
    <row r="1341" spans="1:12" s="200" customFormat="1" ht="13.6" customHeight="1" x14ac:dyDescent="0.25">
      <c r="A1341" s="508"/>
      <c r="B1341" s="520"/>
      <c r="C1341" s="1386" t="s">
        <v>11279</v>
      </c>
      <c r="D1341" s="1386"/>
      <c r="E1341" s="1386"/>
      <c r="F1341" s="1386"/>
      <c r="G1341" s="9"/>
      <c r="H1341" s="1103" t="str">
        <f>IF(Noty!H1341="","",Noty!H1341)</f>
        <v/>
      </c>
      <c r="I1341" s="1103" t="str">
        <f>IF(Noty!I1341="","",Noty!I1341)</f>
        <v/>
      </c>
      <c r="J1341" s="499" t="str">
        <f>Noty!J1341</f>
        <v>ukryj</v>
      </c>
      <c r="K1341" s="489"/>
      <c r="L1341" s="582"/>
    </row>
    <row r="1342" spans="1:12" s="200" customFormat="1" ht="25.55" customHeight="1" x14ac:dyDescent="0.25">
      <c r="A1342" s="508"/>
      <c r="B1342" s="520"/>
      <c r="C1342" s="1428" t="s">
        <v>11280</v>
      </c>
      <c r="D1342" s="1428"/>
      <c r="E1342" s="1428"/>
      <c r="F1342" s="1428"/>
      <c r="G1342" s="1022"/>
      <c r="H1342" s="1103" t="str">
        <f>IF(Noty!H1342="","",Noty!H1342)</f>
        <v/>
      </c>
      <c r="I1342" s="1103" t="str">
        <f>IF(Noty!I1342="","",Noty!I1342)</f>
        <v/>
      </c>
      <c r="J1342" s="499" t="str">
        <f>Noty!J1342</f>
        <v>ukryj</v>
      </c>
      <c r="K1342" s="489"/>
      <c r="L1342" s="582"/>
    </row>
    <row r="1343" spans="1:12" s="200" customFormat="1" ht="27.85" customHeight="1" x14ac:dyDescent="0.25">
      <c r="A1343" s="508"/>
      <c r="B1343" s="520"/>
      <c r="C1343" s="1428" t="s">
        <v>11281</v>
      </c>
      <c r="D1343" s="1428"/>
      <c r="E1343" s="1428"/>
      <c r="F1343" s="1428"/>
      <c r="G1343" s="1022"/>
      <c r="H1343" s="1103" t="str">
        <f>IF(Noty!H1343="","",Noty!H1343)</f>
        <v/>
      </c>
      <c r="I1343" s="1103" t="str">
        <f>IF(Noty!I1343="","",Noty!I1343)</f>
        <v/>
      </c>
      <c r="J1343" s="499" t="str">
        <f>Noty!J1343</f>
        <v>ukryj</v>
      </c>
      <c r="K1343" s="489"/>
      <c r="L1343" s="582"/>
    </row>
    <row r="1344" spans="1:12" s="200" customFormat="1" ht="27.85" customHeight="1" x14ac:dyDescent="0.25">
      <c r="A1344" s="508"/>
      <c r="B1344" s="520"/>
      <c r="C1344" s="1428" t="s">
        <v>11282</v>
      </c>
      <c r="D1344" s="1428"/>
      <c r="E1344" s="1428"/>
      <c r="F1344" s="1428"/>
      <c r="G1344" s="1022"/>
      <c r="H1344" s="1103" t="str">
        <f>IF(Noty!H1344="","",Noty!H1344)</f>
        <v/>
      </c>
      <c r="I1344" s="1103" t="str">
        <f>IF(Noty!I1344="","",Noty!I1344)</f>
        <v/>
      </c>
      <c r="J1344" s="499" t="str">
        <f>Noty!J1344</f>
        <v>ukryj</v>
      </c>
      <c r="K1344" s="489"/>
      <c r="L1344" s="583"/>
    </row>
    <row r="1345" spans="1:12" s="200" customFormat="1" ht="13.6" customHeight="1" x14ac:dyDescent="0.25">
      <c r="A1345" s="508"/>
      <c r="B1345" s="520"/>
      <c r="E1345" s="196"/>
      <c r="F1345" s="196"/>
      <c r="G1345" s="251"/>
      <c r="H1345" s="734">
        <f>IF(Noty!H1345="","",Noty!H1345)</f>
        <v>0</v>
      </c>
      <c r="I1345" s="734">
        <f>IF(Noty!I1345="","",Noty!I1345)</f>
        <v>0</v>
      </c>
      <c r="J1345" s="499" t="str">
        <f>Noty!J1345</f>
        <v>ukryj</v>
      </c>
      <c r="K1345" s="489"/>
      <c r="L1345" s="583"/>
    </row>
    <row r="1346" spans="1:12" s="200" customFormat="1" ht="13.6" customHeight="1" x14ac:dyDescent="0.25">
      <c r="A1346" s="508"/>
      <c r="B1346" s="520"/>
      <c r="E1346" s="196"/>
      <c r="F1346" s="196"/>
      <c r="G1346" s="196"/>
      <c r="H1346" s="191"/>
      <c r="I1346" s="191"/>
      <c r="J1346" s="499" t="str">
        <f>Noty!J1346</f>
        <v>ukryj</v>
      </c>
      <c r="K1346" s="489"/>
      <c r="L1346" s="583"/>
    </row>
    <row r="1347" spans="1:12" s="200" customFormat="1" ht="28.5" customHeight="1" x14ac:dyDescent="0.25">
      <c r="A1347" s="509"/>
      <c r="B1347" s="520"/>
      <c r="C1347" s="1427" t="s">
        <v>11283</v>
      </c>
      <c r="D1347" s="1427"/>
      <c r="E1347" s="1427"/>
      <c r="F1347" s="1427"/>
      <c r="G1347" s="831"/>
      <c r="H1347" s="196"/>
      <c r="I1347" s="196"/>
      <c r="J1347" s="499" t="str">
        <f>Noty!J1347</f>
        <v>ukryj</v>
      </c>
      <c r="K1347" s="489"/>
    </row>
    <row r="1348" spans="1:12" s="200" customFormat="1" ht="15.75" customHeight="1" x14ac:dyDescent="0.25">
      <c r="A1348" s="508"/>
      <c r="B1348" s="520"/>
      <c r="C1348" s="1386" t="s">
        <v>11284</v>
      </c>
      <c r="D1348" s="1386"/>
      <c r="E1348" s="1386"/>
      <c r="F1348" s="1386"/>
      <c r="G1348" s="9"/>
      <c r="H1348" s="800">
        <f>IF(Noty!H1348="","",Noty!H1348)</f>
        <v>0</v>
      </c>
      <c r="I1348" s="1103" t="str">
        <f>IF(Noty!I1348="","",Noty!I1348)</f>
        <v/>
      </c>
      <c r="J1348" s="499" t="str">
        <f>Noty!J1348</f>
        <v>ukryj</v>
      </c>
      <c r="K1348" s="489"/>
    </row>
    <row r="1349" spans="1:12" s="200" customFormat="1" ht="15.05" customHeight="1" x14ac:dyDescent="0.25">
      <c r="A1349" s="508"/>
      <c r="B1349" s="520"/>
      <c r="C1349" s="1428" t="s">
        <v>11285</v>
      </c>
      <c r="D1349" s="1428"/>
      <c r="E1349" s="1428"/>
      <c r="F1349" s="1428"/>
      <c r="G1349" s="1022"/>
      <c r="H1349" s="1103" t="str">
        <f>IF(Noty!H1349="","",Noty!H1349)</f>
        <v/>
      </c>
      <c r="I1349" s="1103" t="str">
        <f>IF(Noty!I1349="","",Noty!I1349)</f>
        <v/>
      </c>
      <c r="J1349" s="499" t="str">
        <f>Noty!J1349</f>
        <v>ukryj</v>
      </c>
      <c r="K1349" s="489"/>
    </row>
    <row r="1350" spans="1:12" s="200" customFormat="1" ht="13.6" customHeight="1" x14ac:dyDescent="0.25">
      <c r="A1350" s="508"/>
      <c r="B1350" s="520"/>
      <c r="C1350" s="1386" t="s">
        <v>11286</v>
      </c>
      <c r="D1350" s="1386"/>
      <c r="E1350" s="1386"/>
      <c r="F1350" s="1386"/>
      <c r="G1350" s="9"/>
      <c r="H1350" s="800" t="str">
        <f>IF(Noty!H1350="","",Noty!H1350)</f>
        <v/>
      </c>
      <c r="I1350" s="1103" t="str">
        <f>IF(Noty!I1350="","",Noty!I1350)</f>
        <v/>
      </c>
      <c r="J1350" s="499" t="str">
        <f>Noty!J1350</f>
        <v>ukryj</v>
      </c>
      <c r="K1350" s="489"/>
    </row>
    <row r="1351" spans="1:12" s="200" customFormat="1" ht="13.6" customHeight="1" x14ac:dyDescent="0.25">
      <c r="A1351" s="508"/>
      <c r="B1351" s="520"/>
      <c r="C1351" s="1386" t="s">
        <v>11287</v>
      </c>
      <c r="D1351" s="1386"/>
      <c r="E1351" s="1386"/>
      <c r="F1351" s="1386"/>
      <c r="G1351" s="9"/>
      <c r="H1351" s="800">
        <f>IF(Noty!H1351="","",Noty!H1351)</f>
        <v>0</v>
      </c>
      <c r="I1351" s="1103" t="str">
        <f>IF(Noty!I1351="","",Noty!I1351)</f>
        <v/>
      </c>
      <c r="J1351" s="499" t="str">
        <f>Noty!J1351</f>
        <v>ukryj</v>
      </c>
      <c r="K1351" s="489"/>
    </row>
    <row r="1352" spans="1:12" s="200" customFormat="1" ht="15.05" customHeight="1" x14ac:dyDescent="0.25">
      <c r="A1352" s="508"/>
      <c r="B1352" s="520"/>
      <c r="C1352" s="1428" t="s">
        <v>11288</v>
      </c>
      <c r="D1352" s="1428"/>
      <c r="E1352" s="1428"/>
      <c r="F1352" s="1428"/>
      <c r="G1352" s="1022"/>
      <c r="H1352" s="1103" t="str">
        <f>IF(Noty!H1352="","",Noty!H1352)</f>
        <v/>
      </c>
      <c r="I1352" s="1103" t="str">
        <f>IF(Noty!I1352="","",Noty!I1352)</f>
        <v/>
      </c>
      <c r="J1352" s="499" t="str">
        <f>Noty!J1352</f>
        <v>ukryj</v>
      </c>
      <c r="K1352" s="489"/>
    </row>
    <row r="1353" spans="1:12" s="200" customFormat="1" ht="15.75" customHeight="1" x14ac:dyDescent="0.25">
      <c r="A1353" s="508"/>
      <c r="B1353" s="520"/>
      <c r="C1353" s="1386" t="s">
        <v>11289</v>
      </c>
      <c r="D1353" s="1386"/>
      <c r="E1353" s="1386"/>
      <c r="F1353" s="1386"/>
      <c r="G1353" s="9"/>
      <c r="H1353" s="800">
        <f>IF(Noty!H1353="","",Noty!H1353)</f>
        <v>0</v>
      </c>
      <c r="I1353" s="1103" t="str">
        <f>IF(Noty!I1353="","",Noty!I1353)</f>
        <v/>
      </c>
      <c r="J1353" s="499" t="str">
        <f>Noty!J1353</f>
        <v>ukryj</v>
      </c>
      <c r="K1353" s="489"/>
    </row>
    <row r="1354" spans="1:12" s="200" customFormat="1" ht="13.6" customHeight="1" x14ac:dyDescent="0.25">
      <c r="A1354" s="508"/>
      <c r="B1354" s="520"/>
      <c r="E1354" s="196"/>
      <c r="F1354" s="196"/>
      <c r="G1354" s="251"/>
      <c r="H1354" s="734">
        <f>IF(Noty!H1354="","",Noty!H1354)</f>
        <v>0</v>
      </c>
      <c r="I1354" s="734">
        <f>IF(Noty!I1354="","",Noty!I1354)</f>
        <v>0</v>
      </c>
      <c r="J1354" s="499" t="str">
        <f>Noty!J1354</f>
        <v>ukryj</v>
      </c>
      <c r="K1354" s="489"/>
    </row>
    <row r="1355" spans="1:12" s="200" customFormat="1" ht="13.6" customHeight="1" x14ac:dyDescent="0.25">
      <c r="A1355" s="508"/>
      <c r="B1355" s="520"/>
      <c r="E1355" s="196"/>
      <c r="F1355" s="196"/>
      <c r="G1355" s="205"/>
      <c r="H1355" s="205"/>
      <c r="I1355" s="196"/>
      <c r="J1355" s="499" t="str">
        <f>Noty!J1355</f>
        <v>ukryj</v>
      </c>
      <c r="K1355" s="489"/>
    </row>
    <row r="1356" spans="1:12" s="200" customFormat="1" ht="13.6" customHeight="1" x14ac:dyDescent="0.25">
      <c r="A1356" s="508"/>
      <c r="B1356" s="520"/>
      <c r="C1356" s="1421" t="s">
        <v>11290</v>
      </c>
      <c r="D1356" s="1421"/>
      <c r="E1356" s="1421"/>
      <c r="F1356" s="1421"/>
      <c r="H1356" s="747"/>
      <c r="I1356" s="747"/>
      <c r="J1356" s="499" t="str">
        <f>Noty!J1356</f>
        <v>ukryj</v>
      </c>
      <c r="K1356" s="489"/>
    </row>
    <row r="1357" spans="1:12" s="200" customFormat="1" ht="13.6" customHeight="1" x14ac:dyDescent="0.25">
      <c r="A1357" s="508"/>
      <c r="B1357" s="520"/>
      <c r="C1357" s="1431"/>
      <c r="D1357" s="1431"/>
      <c r="E1357" s="1431"/>
      <c r="F1357" s="1431"/>
      <c r="G1357" s="994"/>
      <c r="H1357" s="1103" t="str">
        <f>IF(Noty!H1357="","",Noty!H1357)</f>
        <v/>
      </c>
      <c r="I1357" s="1103" t="str">
        <f>IF(Noty!I1357="","",Noty!I1357)</f>
        <v/>
      </c>
      <c r="J1357" s="499" t="str">
        <f>Noty!J1357</f>
        <v>ukryj</v>
      </c>
      <c r="K1357" s="489"/>
    </row>
    <row r="1358" spans="1:12" s="200" customFormat="1" ht="13.6" customHeight="1" x14ac:dyDescent="0.25">
      <c r="A1358" s="508"/>
      <c r="B1358" s="520"/>
      <c r="C1358" s="1431"/>
      <c r="D1358" s="1431"/>
      <c r="E1358" s="1431"/>
      <c r="F1358" s="1431"/>
      <c r="G1358" s="994"/>
      <c r="H1358" s="1103" t="str">
        <f>IF(Noty!H1358="","",Noty!H1358)</f>
        <v/>
      </c>
      <c r="I1358" s="1103" t="str">
        <f>IF(Noty!I1358="","",Noty!I1358)</f>
        <v/>
      </c>
      <c r="J1358" s="499" t="str">
        <f>Noty!J1358</f>
        <v>ukryj</v>
      </c>
      <c r="K1358" s="489"/>
    </row>
    <row r="1359" spans="1:12" s="200" customFormat="1" ht="13.6" customHeight="1" x14ac:dyDescent="0.25">
      <c r="A1359" s="508"/>
      <c r="B1359" s="520"/>
      <c r="C1359" s="206"/>
      <c r="E1359" s="196"/>
      <c r="F1359" s="196"/>
      <c r="G1359" s="251"/>
      <c r="H1359" s="748">
        <f>IF(Noty!H1359="","",Noty!H1359)</f>
        <v>0</v>
      </c>
      <c r="I1359" s="748">
        <f>IF(Noty!I1359="","",Noty!I1359)</f>
        <v>0</v>
      </c>
      <c r="J1359" s="499" t="str">
        <f>Noty!J1359</f>
        <v>ukryj</v>
      </c>
      <c r="K1359" s="489"/>
    </row>
    <row r="1360" spans="1:12" s="200" customFormat="1" ht="13.6" customHeight="1" thickBot="1" x14ac:dyDescent="0.3">
      <c r="A1360" s="508"/>
      <c r="B1360" s="520"/>
      <c r="C1360" s="206"/>
      <c r="E1360" s="196"/>
      <c r="F1360" s="196"/>
      <c r="G1360" s="196"/>
      <c r="H1360" s="196"/>
      <c r="I1360" s="196"/>
      <c r="J1360" s="499" t="str">
        <f>Noty!J1360</f>
        <v>ukryj</v>
      </c>
      <c r="K1360" s="489"/>
    </row>
    <row r="1361" spans="1:14" s="200" customFormat="1" ht="15.75" customHeight="1" thickTop="1" thickBot="1" x14ac:dyDescent="0.35">
      <c r="A1361" s="1180">
        <f>IF(K1361="n/a",A1282,A1282+1)</f>
        <v>6</v>
      </c>
      <c r="B1361" s="1182"/>
      <c r="C1361" s="1388" t="s">
        <v>11291</v>
      </c>
      <c r="D1361" s="1388"/>
      <c r="E1361" s="1388"/>
      <c r="F1361" s="1388"/>
      <c r="G1361" s="1388"/>
      <c r="H1361" s="1388"/>
      <c r="I1361" s="1388"/>
      <c r="J1361" s="499" t="str">
        <f>Noty!J1361</f>
        <v>odkryj</v>
      </c>
      <c r="K1361" s="585" t="str">
        <f>Noty!K1361</f>
        <v/>
      </c>
      <c r="L1361" s="200" t="str">
        <f>A1361&amp;"."&amp;B1361</f>
        <v>6.</v>
      </c>
      <c r="N1361" s="1101" t="s">
        <v>9378</v>
      </c>
    </row>
    <row r="1362" spans="1:14" s="200" customFormat="1" ht="13.6" customHeight="1" thickTop="1" thickBot="1" x14ac:dyDescent="0.3">
      <c r="A1362" s="508"/>
      <c r="B1362" s="520"/>
      <c r="J1362" s="499" t="str">
        <f>Noty!J1362</f>
        <v>odkryj</v>
      </c>
      <c r="K1362" s="489"/>
    </row>
    <row r="1363" spans="1:14" s="200" customFormat="1" ht="13.6" customHeight="1" thickTop="1" thickBot="1" x14ac:dyDescent="0.3">
      <c r="A1363" s="508"/>
      <c r="B1363" s="520"/>
      <c r="C1363" s="565" t="s">
        <v>11292</v>
      </c>
      <c r="D1363" s="9"/>
      <c r="E1363" s="9"/>
      <c r="F1363" s="9"/>
      <c r="G1363" s="9"/>
      <c r="H1363" s="9"/>
      <c r="I1363" s="9"/>
      <c r="J1363" s="499" t="str">
        <f>Noty!J1363</f>
        <v>ukryj</v>
      </c>
      <c r="K1363" s="585" t="str">
        <f>Noty!K1363</f>
        <v>n/a</v>
      </c>
      <c r="L1363" s="372"/>
    </row>
    <row r="1364" spans="1:14" s="200" customFormat="1" ht="13.6" customHeight="1" thickTop="1" x14ac:dyDescent="0.25">
      <c r="A1364" s="508"/>
      <c r="B1364" s="520"/>
      <c r="C1364" s="217"/>
      <c r="J1364" s="499" t="str">
        <f>Noty!J1364</f>
        <v>ukryj</v>
      </c>
      <c r="K1364" s="489"/>
    </row>
    <row r="1365" spans="1:14" s="200" customFormat="1" ht="13.6" customHeight="1" x14ac:dyDescent="0.25">
      <c r="A1365" s="508"/>
      <c r="B1365" s="520"/>
      <c r="C1365" s="1430" t="s">
        <v>11293</v>
      </c>
      <c r="D1365" s="1430"/>
      <c r="E1365" s="1430"/>
      <c r="F1365" s="1430"/>
      <c r="G1365" s="1430"/>
      <c r="H1365" s="1430"/>
      <c r="I1365" s="1430"/>
      <c r="J1365" s="499" t="str">
        <f>Noty!J1365</f>
        <v>ukryj</v>
      </c>
      <c r="K1365" s="489"/>
    </row>
    <row r="1366" spans="1:14" s="200" customFormat="1" ht="13.6" customHeight="1" x14ac:dyDescent="0.25">
      <c r="A1366" s="508"/>
      <c r="B1366" s="520"/>
      <c r="C1366" s="566"/>
      <c r="J1366" s="499" t="str">
        <f>Noty!J1366</f>
        <v>ukryj</v>
      </c>
      <c r="K1366" s="489"/>
    </row>
    <row r="1367" spans="1:14" s="200" customFormat="1" ht="13.6" customHeight="1" x14ac:dyDescent="0.25">
      <c r="A1367" s="508"/>
      <c r="B1367" s="520"/>
      <c r="C1367" s="1430" t="s">
        <v>11294</v>
      </c>
      <c r="D1367" s="1430"/>
      <c r="E1367" s="1430"/>
      <c r="F1367" s="1430"/>
      <c r="G1367" s="1430"/>
      <c r="H1367" s="1430"/>
      <c r="I1367" s="1430"/>
      <c r="J1367" s="499" t="str">
        <f>Noty!J1367</f>
        <v>ukryj</v>
      </c>
      <c r="K1367" s="489"/>
    </row>
    <row r="1368" spans="1:14" s="200" customFormat="1" ht="13.6" customHeight="1" x14ac:dyDescent="0.25">
      <c r="A1368" s="508"/>
      <c r="B1368" s="520"/>
      <c r="C1368" s="566"/>
      <c r="J1368" s="499" t="str">
        <f>Noty!J1368</f>
        <v>ukryj</v>
      </c>
      <c r="K1368" s="489"/>
    </row>
    <row r="1369" spans="1:14" s="200" customFormat="1" ht="13.6" customHeight="1" x14ac:dyDescent="0.25">
      <c r="A1369" s="508"/>
      <c r="B1369" s="520"/>
      <c r="C1369" s="1430" t="s">
        <v>11295</v>
      </c>
      <c r="D1369" s="1430"/>
      <c r="E1369" s="1430"/>
      <c r="F1369" s="1430"/>
      <c r="G1369" s="1430"/>
      <c r="H1369" s="1430"/>
      <c r="I1369" s="1430"/>
      <c r="J1369" s="499" t="str">
        <f>Noty!J1369</f>
        <v>ukryj</v>
      </c>
      <c r="K1369" s="489"/>
    </row>
    <row r="1370" spans="1:14" s="200" customFormat="1" ht="13.6" customHeight="1" x14ac:dyDescent="0.25">
      <c r="A1370" s="508"/>
      <c r="B1370" s="520"/>
      <c r="C1370" s="566"/>
      <c r="J1370" s="499" t="str">
        <f>Noty!J1370</f>
        <v>ukryj</v>
      </c>
      <c r="K1370" s="489"/>
    </row>
    <row r="1371" spans="1:14" s="200" customFormat="1" ht="13.6" customHeight="1" x14ac:dyDescent="0.25">
      <c r="A1371" s="508"/>
      <c r="B1371" s="520"/>
      <c r="C1371" s="1430" t="s">
        <v>11296</v>
      </c>
      <c r="D1371" s="1430"/>
      <c r="E1371" s="1430"/>
      <c r="F1371" s="1430"/>
      <c r="G1371" s="1430"/>
      <c r="H1371" s="1430"/>
      <c r="I1371" s="1430"/>
      <c r="J1371" s="499" t="str">
        <f>Noty!J1371</f>
        <v>ukryj</v>
      </c>
      <c r="K1371" s="489"/>
    </row>
    <row r="1372" spans="1:14" s="200" customFormat="1" ht="13.6" customHeight="1" x14ac:dyDescent="0.25">
      <c r="A1372" s="508"/>
      <c r="B1372" s="520"/>
      <c r="C1372" s="566"/>
      <c r="J1372" s="499" t="str">
        <f>Noty!J1372</f>
        <v>ukryj</v>
      </c>
      <c r="K1372" s="489"/>
    </row>
    <row r="1373" spans="1:14" s="200" customFormat="1" ht="13.6" customHeight="1" x14ac:dyDescent="0.25">
      <c r="A1373" s="508"/>
      <c r="B1373" s="520"/>
      <c r="C1373" s="1430" t="s">
        <v>11297</v>
      </c>
      <c r="D1373" s="1430"/>
      <c r="E1373" s="1430"/>
      <c r="F1373" s="1430"/>
      <c r="G1373" s="1430"/>
      <c r="H1373" s="1430"/>
      <c r="I1373" s="1430"/>
      <c r="J1373" s="499" t="str">
        <f>Noty!J1373</f>
        <v>ukryj</v>
      </c>
      <c r="K1373" s="489"/>
    </row>
    <row r="1374" spans="1:14" s="200" customFormat="1" ht="13.6" customHeight="1" x14ac:dyDescent="0.25">
      <c r="A1374" s="508"/>
      <c r="B1374" s="520"/>
      <c r="C1374" s="566"/>
      <c r="J1374" s="499" t="str">
        <f>Noty!J1374</f>
        <v>ukryj</v>
      </c>
      <c r="K1374" s="489"/>
    </row>
    <row r="1375" spans="1:14" s="200" customFormat="1" ht="13.6" customHeight="1" x14ac:dyDescent="0.25">
      <c r="A1375" s="508"/>
      <c r="B1375" s="520"/>
      <c r="C1375" s="1430" t="s">
        <v>11298</v>
      </c>
      <c r="D1375" s="1430"/>
      <c r="E1375" s="1430"/>
      <c r="F1375" s="1430"/>
      <c r="G1375" s="1430"/>
      <c r="H1375" s="1430"/>
      <c r="I1375" s="1430"/>
      <c r="J1375" s="499" t="str">
        <f>Noty!J1375</f>
        <v>ukryj</v>
      </c>
      <c r="K1375" s="489"/>
    </row>
    <row r="1376" spans="1:14" s="200" customFormat="1" ht="13.6" customHeight="1" x14ac:dyDescent="0.25">
      <c r="A1376" s="508"/>
      <c r="B1376" s="520"/>
      <c r="C1376" s="566"/>
      <c r="J1376" s="499" t="str">
        <f>Noty!J1376</f>
        <v>ukryj</v>
      </c>
      <c r="K1376" s="489"/>
    </row>
    <row r="1377" spans="1:15" s="200" customFormat="1" ht="13.6" customHeight="1" x14ac:dyDescent="0.25">
      <c r="A1377" s="508"/>
      <c r="B1377" s="520"/>
      <c r="C1377" s="1430" t="s">
        <v>11299</v>
      </c>
      <c r="D1377" s="1430"/>
      <c r="E1377" s="1430"/>
      <c r="F1377" s="1430"/>
      <c r="G1377" s="1430"/>
      <c r="H1377" s="1430"/>
      <c r="I1377" s="1430"/>
      <c r="J1377" s="499" t="str">
        <f>Noty!J1377</f>
        <v>ukryj</v>
      </c>
      <c r="K1377" s="489"/>
    </row>
    <row r="1378" spans="1:15" s="200" customFormat="1" ht="13.6" customHeight="1" x14ac:dyDescent="0.25">
      <c r="A1378" s="508"/>
      <c r="B1378" s="520"/>
      <c r="C1378" s="969"/>
      <c r="J1378" s="499" t="str">
        <f>Noty!J1378</f>
        <v>ukryj</v>
      </c>
      <c r="K1378" s="489"/>
    </row>
    <row r="1379" spans="1:15" s="200" customFormat="1" ht="13.6" customHeight="1" thickBot="1" x14ac:dyDescent="0.3">
      <c r="A1379" s="508"/>
      <c r="B1379" s="520"/>
      <c r="C1379" s="567" t="s">
        <v>7756</v>
      </c>
      <c r="J1379" s="499" t="str">
        <f>Noty!J1379</f>
        <v>ukryj</v>
      </c>
      <c r="K1379" s="489"/>
    </row>
    <row r="1380" spans="1:15" s="200" customFormat="1" ht="13.6" customHeight="1" thickTop="1" thickBot="1" x14ac:dyDescent="0.3">
      <c r="A1380" s="508"/>
      <c r="B1380" s="520"/>
      <c r="C1380" s="1480" t="s">
        <v>11300</v>
      </c>
      <c r="D1380" s="1480"/>
      <c r="E1380" s="1480"/>
      <c r="F1380" s="1480"/>
      <c r="G1380" s="1480"/>
      <c r="H1380" s="1480"/>
      <c r="I1380" s="1480"/>
      <c r="J1380" s="499" t="str">
        <f>Noty!J1380</f>
        <v>odkryj</v>
      </c>
      <c r="K1380" s="585" t="str">
        <f>Noty!K1380</f>
        <v/>
      </c>
      <c r="L1380" s="372"/>
    </row>
    <row r="1381" spans="1:15" s="200" customFormat="1" ht="13.6" customHeight="1" thickTop="1" thickBot="1" x14ac:dyDescent="0.3">
      <c r="A1381" s="508"/>
      <c r="B1381" s="520"/>
      <c r="E1381" s="196"/>
      <c r="F1381" s="196"/>
      <c r="G1381" s="196"/>
      <c r="H1381" s="196"/>
      <c r="I1381" s="196"/>
      <c r="J1381" s="499" t="str">
        <f>Noty!J1381</f>
        <v>odkryj</v>
      </c>
      <c r="K1381" s="489"/>
    </row>
    <row r="1382" spans="1:15" s="200" customFormat="1" ht="13.6" customHeight="1" thickTop="1" thickBot="1" x14ac:dyDescent="0.35">
      <c r="A1382" s="1188">
        <f>IF(K1382="n/a",A1361,A1361+1)</f>
        <v>7</v>
      </c>
      <c r="B1382" s="1189"/>
      <c r="C1382" s="1415" t="s">
        <v>11301</v>
      </c>
      <c r="D1382" s="1415"/>
      <c r="E1382" s="1415"/>
      <c r="F1382" s="1415"/>
      <c r="G1382" s="1415"/>
      <c r="H1382" s="1415"/>
      <c r="I1382" s="1415"/>
      <c r="J1382" s="499" t="str">
        <f>Noty!J1382</f>
        <v>odkryj</v>
      </c>
      <c r="K1382" s="1137" t="str">
        <f>Noty!K1382</f>
        <v/>
      </c>
      <c r="L1382" s="1130" t="str">
        <f>A1382&amp;"."&amp;B1382</f>
        <v>7.</v>
      </c>
      <c r="N1382" s="1138" t="s">
        <v>9378</v>
      </c>
      <c r="O1382" s="200" t="str">
        <f>A1382&amp;"."&amp;B1382</f>
        <v>7.</v>
      </c>
    </row>
    <row r="1383" spans="1:15" s="200" customFormat="1" ht="13.6" customHeight="1" thickTop="1" thickBot="1" x14ac:dyDescent="0.3">
      <c r="A1383" s="508"/>
      <c r="B1383" s="520"/>
      <c r="E1383" s="196"/>
      <c r="F1383" s="196"/>
      <c r="G1383" s="196"/>
      <c r="H1383" s="196"/>
      <c r="I1383" s="196"/>
      <c r="J1383" s="499" t="str">
        <f>Noty!J1383</f>
        <v>odkryj</v>
      </c>
      <c r="K1383" s="489"/>
    </row>
    <row r="1384" spans="1:15" s="200" customFormat="1" ht="13.6" customHeight="1" thickTop="1" thickBot="1" x14ac:dyDescent="0.3">
      <c r="A1384" s="508"/>
      <c r="B1384" s="520"/>
      <c r="C1384" s="1455" t="s">
        <v>11302</v>
      </c>
      <c r="D1384" s="1455"/>
      <c r="E1384" s="1455"/>
      <c r="F1384" s="1455"/>
      <c r="G1384" s="1455"/>
      <c r="H1384" s="1455"/>
      <c r="I1384" s="1455"/>
      <c r="J1384" s="499" t="str">
        <f>Noty!J1384</f>
        <v>ukryj</v>
      </c>
      <c r="K1384" s="1137" t="str">
        <f>Noty!K1384</f>
        <v>n/a</v>
      </c>
    </row>
    <row r="1385" spans="1:15" s="200" customFormat="1" ht="13.6" customHeight="1" thickTop="1" x14ac:dyDescent="0.25">
      <c r="A1385" s="508"/>
      <c r="B1385" s="520"/>
      <c r="E1385" s="196"/>
      <c r="F1385" s="196"/>
      <c r="G1385" s="196"/>
      <c r="H1385" s="196"/>
      <c r="I1385" s="196"/>
      <c r="J1385" s="499" t="str">
        <f>Noty!J1385</f>
        <v>ukryj</v>
      </c>
      <c r="K1385" s="489"/>
    </row>
    <row r="1386" spans="1:15" s="200" customFormat="1" ht="13.6" customHeight="1" thickBot="1" x14ac:dyDescent="0.3">
      <c r="A1386" s="508"/>
      <c r="B1386" s="520"/>
      <c r="C1386" s="1455" t="s">
        <v>7933</v>
      </c>
      <c r="D1386" s="1455"/>
      <c r="E1386" s="1455"/>
      <c r="F1386" s="1455"/>
      <c r="G1386" s="1455"/>
      <c r="H1386" s="1455"/>
      <c r="I1386" s="1455"/>
      <c r="J1386" s="499" t="str">
        <f>Noty!J1386</f>
        <v>ukryj</v>
      </c>
      <c r="K1386" s="489"/>
    </row>
    <row r="1387" spans="1:15" s="200" customFormat="1" ht="13.6" customHeight="1" thickTop="1" thickBot="1" x14ac:dyDescent="0.3">
      <c r="A1387" s="508"/>
      <c r="B1387" s="520"/>
      <c r="C1387" s="1293" t="s">
        <v>11303</v>
      </c>
      <c r="D1387" s="1293"/>
      <c r="E1387" s="1293"/>
      <c r="F1387" s="1293"/>
      <c r="G1387" s="1293"/>
      <c r="H1387" s="1293"/>
      <c r="I1387" s="1293"/>
      <c r="J1387" s="499" t="str">
        <f>Noty!J1387</f>
        <v>odkryj</v>
      </c>
      <c r="K1387" s="1137" t="str">
        <f>Noty!K1387</f>
        <v/>
      </c>
    </row>
    <row r="1388" spans="1:15" s="200" customFormat="1" ht="13.6" customHeight="1" thickTop="1" thickBot="1" x14ac:dyDescent="0.3">
      <c r="A1388" s="508"/>
      <c r="B1388" s="520"/>
      <c r="E1388" s="196"/>
      <c r="F1388" s="196"/>
      <c r="G1388" s="196"/>
      <c r="H1388" s="196"/>
      <c r="I1388" s="196"/>
      <c r="J1388" s="499" t="str">
        <f>Noty!J1388</f>
        <v>odkryj</v>
      </c>
      <c r="K1388" s="489"/>
    </row>
    <row r="1389" spans="1:15" s="200" customFormat="1" ht="15.05" customHeight="1" thickTop="1" thickBot="1" x14ac:dyDescent="0.35">
      <c r="A1389" s="1180">
        <f>IF(K1389="n/a",A1382,A1382+1)</f>
        <v>8</v>
      </c>
      <c r="B1389" s="1182"/>
      <c r="C1389" s="1388" t="s">
        <v>11304</v>
      </c>
      <c r="D1389" s="1388"/>
      <c r="E1389" s="1388"/>
      <c r="F1389" s="1388"/>
      <c r="G1389" s="1388"/>
      <c r="H1389" s="1388"/>
      <c r="I1389" s="1388"/>
      <c r="J1389" s="499" t="str">
        <f>Noty!J1389</f>
        <v>odkryj</v>
      </c>
      <c r="K1389" s="585" t="str">
        <f>Noty!K1389</f>
        <v/>
      </c>
      <c r="L1389" s="200" t="str">
        <f>A1389&amp;"."&amp;B1389</f>
        <v>8.</v>
      </c>
      <c r="N1389" s="1101" t="s">
        <v>9378</v>
      </c>
    </row>
    <row r="1390" spans="1:15" s="200" customFormat="1" ht="13.6" customHeight="1" thickTop="1" thickBot="1" x14ac:dyDescent="0.3">
      <c r="A1390" s="508"/>
      <c r="B1390" s="520"/>
      <c r="C1390" s="218"/>
      <c r="D1390" s="218"/>
      <c r="J1390" s="499" t="str">
        <f>Noty!J1390</f>
        <v>odkryj</v>
      </c>
      <c r="K1390" s="489"/>
    </row>
    <row r="1391" spans="1:15" s="200" customFormat="1" ht="45.85" customHeight="1" thickTop="1" thickBot="1" x14ac:dyDescent="0.3">
      <c r="A1391" s="508"/>
      <c r="B1391" s="520"/>
      <c r="C1391" s="1481" t="s">
        <v>11305</v>
      </c>
      <c r="D1391" s="1481"/>
      <c r="E1391" s="1481"/>
      <c r="F1391" s="1481"/>
      <c r="G1391" s="1481"/>
      <c r="H1391" s="1481"/>
      <c r="I1391" s="1481"/>
      <c r="J1391" s="499" t="str">
        <f>Noty!J1391</f>
        <v>ukryj</v>
      </c>
      <c r="K1391" s="585" t="str">
        <f>Noty!K1391</f>
        <v>n/a</v>
      </c>
      <c r="L1391" s="372"/>
    </row>
    <row r="1392" spans="1:15" s="200" customFormat="1" ht="4.5999999999999996" customHeight="1" thickTop="1" x14ac:dyDescent="0.25">
      <c r="A1392" s="508"/>
      <c r="B1392" s="520"/>
      <c r="C1392" s="218"/>
      <c r="D1392" s="218"/>
      <c r="J1392" s="499" t="str">
        <f>Noty!J1392</f>
        <v>ukryj</v>
      </c>
      <c r="K1392" s="489"/>
    </row>
    <row r="1393" spans="1:14" s="200" customFormat="1" ht="13.6" customHeight="1" thickBot="1" x14ac:dyDescent="0.3">
      <c r="A1393" s="508"/>
      <c r="B1393" s="520"/>
      <c r="C1393" s="219" t="s">
        <v>7756</v>
      </c>
      <c r="D1393" s="218"/>
      <c r="J1393" s="499" t="str">
        <f>Noty!J1393</f>
        <v>ukryj</v>
      </c>
      <c r="K1393" s="489"/>
    </row>
    <row r="1394" spans="1:14" s="200" customFormat="1" ht="13.6" customHeight="1" thickTop="1" thickBot="1" x14ac:dyDescent="0.3">
      <c r="A1394" s="508"/>
      <c r="B1394" s="520"/>
      <c r="C1394" s="200" t="s">
        <v>11306</v>
      </c>
      <c r="D1394" s="218"/>
      <c r="J1394" s="499" t="str">
        <f>Noty!J1394</f>
        <v>odkryj</v>
      </c>
      <c r="K1394" s="585" t="str">
        <f>Noty!K1394</f>
        <v/>
      </c>
      <c r="L1394" s="176"/>
    </row>
    <row r="1395" spans="1:14" s="200" customFormat="1" ht="13.6" customHeight="1" thickTop="1" thickBot="1" x14ac:dyDescent="0.3">
      <c r="A1395" s="508"/>
      <c r="B1395" s="520"/>
      <c r="C1395" s="218"/>
      <c r="D1395" s="218"/>
      <c r="E1395" s="196"/>
      <c r="F1395" s="196"/>
      <c r="G1395" s="196"/>
      <c r="H1395" s="196"/>
      <c r="I1395" s="196"/>
      <c r="J1395" s="499" t="str">
        <f>Noty!J1395</f>
        <v>odkryj</v>
      </c>
      <c r="K1395" s="489"/>
    </row>
    <row r="1396" spans="1:14" s="200" customFormat="1" ht="15.75" customHeight="1" thickTop="1" thickBot="1" x14ac:dyDescent="0.35">
      <c r="A1396" s="1180">
        <f>IF(K1396="n/a",A1389,A1389+1)</f>
        <v>9</v>
      </c>
      <c r="B1396" s="1182"/>
      <c r="C1396" s="1388" t="s">
        <v>11307</v>
      </c>
      <c r="D1396" s="1388"/>
      <c r="E1396" s="1388"/>
      <c r="F1396" s="1388"/>
      <c r="G1396" s="1388"/>
      <c r="H1396" s="1388"/>
      <c r="I1396" s="1388"/>
      <c r="J1396" s="499" t="str">
        <f>Noty!J1396</f>
        <v>odkryj</v>
      </c>
      <c r="K1396" s="585" t="str">
        <f>Noty!K1396</f>
        <v/>
      </c>
      <c r="L1396" s="200" t="str">
        <f>A1396&amp;"."&amp;B1396</f>
        <v>9.</v>
      </c>
      <c r="N1396" s="1101" t="s">
        <v>9378</v>
      </c>
    </row>
    <row r="1397" spans="1:14" s="200" customFormat="1" ht="13.6" customHeight="1" thickTop="1" thickBot="1" x14ac:dyDescent="0.3">
      <c r="A1397" s="508"/>
      <c r="B1397" s="520"/>
      <c r="C1397" s="204"/>
      <c r="D1397" s="749"/>
      <c r="E1397" s="749"/>
      <c r="F1397" s="749"/>
      <c r="G1397" s="749"/>
      <c r="H1397" s="749"/>
      <c r="I1397" s="749"/>
      <c r="J1397" s="499" t="str">
        <f>Noty!J1397</f>
        <v>odkryj</v>
      </c>
      <c r="K1397" s="489"/>
    </row>
    <row r="1398" spans="1:14" s="200" customFormat="1" ht="29.3" customHeight="1" thickTop="1" thickBot="1" x14ac:dyDescent="0.3">
      <c r="A1398" s="508"/>
      <c r="B1398" s="520"/>
      <c r="C1398" s="1481" t="s">
        <v>11308</v>
      </c>
      <c r="D1398" s="1481"/>
      <c r="E1398" s="1481"/>
      <c r="F1398" s="1481"/>
      <c r="G1398" s="1481"/>
      <c r="H1398" s="1481"/>
      <c r="I1398" s="1481"/>
      <c r="J1398" s="499" t="str">
        <f>Noty!J1398</f>
        <v>ukryj</v>
      </c>
      <c r="K1398" s="585" t="str">
        <f>Noty!K1398</f>
        <v>n/a</v>
      </c>
      <c r="L1398" s="372"/>
    </row>
    <row r="1399" spans="1:14" s="200" customFormat="1" ht="4.5999999999999996" customHeight="1" thickTop="1" x14ac:dyDescent="0.25">
      <c r="A1399" s="508"/>
      <c r="B1399" s="520"/>
      <c r="C1399" s="218"/>
      <c r="D1399" s="218"/>
      <c r="J1399" s="499" t="str">
        <f>Noty!J1399</f>
        <v>ukryj</v>
      </c>
      <c r="K1399" s="489"/>
    </row>
    <row r="1400" spans="1:14" s="200" customFormat="1" ht="13.6" customHeight="1" thickBot="1" x14ac:dyDescent="0.3">
      <c r="A1400" s="508"/>
      <c r="B1400" s="520"/>
      <c r="C1400" s="219" t="s">
        <v>7756</v>
      </c>
      <c r="D1400" s="218"/>
      <c r="J1400" s="499" t="str">
        <f>Noty!J1400</f>
        <v>ukryj</v>
      </c>
      <c r="K1400" s="489"/>
    </row>
    <row r="1401" spans="1:14" s="200" customFormat="1" ht="29.95" customHeight="1" thickTop="1" thickBot="1" x14ac:dyDescent="0.3">
      <c r="A1401" s="508"/>
      <c r="B1401" s="520"/>
      <c r="C1401" s="200" t="s">
        <v>11309</v>
      </c>
      <c r="D1401" s="218"/>
      <c r="J1401" s="499" t="str">
        <f>Noty!J1401</f>
        <v>odkryj</v>
      </c>
      <c r="K1401" s="585" t="str">
        <f>Noty!K1401</f>
        <v/>
      </c>
      <c r="L1401" s="176"/>
    </row>
    <row r="1402" spans="1:14" s="200" customFormat="1" ht="13.6" customHeight="1" thickTop="1" thickBot="1" x14ac:dyDescent="0.3">
      <c r="A1402" s="508"/>
      <c r="B1402" s="520"/>
      <c r="C1402" s="218"/>
      <c r="D1402" s="218"/>
      <c r="J1402" s="499" t="str">
        <f>Noty!J1402</f>
        <v>odkryj</v>
      </c>
      <c r="K1402" s="489"/>
    </row>
    <row r="1403" spans="1:14" s="200" customFormat="1" ht="16.399999999999999" thickTop="1" thickBot="1" x14ac:dyDescent="0.35">
      <c r="A1403" s="1180">
        <f>IF(K1403="n/a",A1396,A1396+1)</f>
        <v>10</v>
      </c>
      <c r="B1403" s="1182"/>
      <c r="C1403" s="1388" t="s">
        <v>11310</v>
      </c>
      <c r="D1403" s="1388"/>
      <c r="E1403" s="1388"/>
      <c r="F1403" s="1388"/>
      <c r="G1403" s="1388"/>
      <c r="H1403" s="1388"/>
      <c r="I1403" s="1388"/>
      <c r="J1403" s="499" t="str">
        <f>Noty!J1403</f>
        <v>odkryj</v>
      </c>
      <c r="K1403" s="585" t="str">
        <f>Noty!K1403</f>
        <v/>
      </c>
      <c r="L1403" s="200" t="str">
        <f>A1403&amp;"."&amp;B1403</f>
        <v>10.</v>
      </c>
      <c r="N1403" s="1101" t="s">
        <v>9378</v>
      </c>
    </row>
    <row r="1404" spans="1:14" s="200" customFormat="1" ht="13.6" customHeight="1" thickTop="1" thickBot="1" x14ac:dyDescent="0.3">
      <c r="A1404" s="508"/>
      <c r="B1404" s="520"/>
      <c r="C1404" s="218"/>
      <c r="D1404" s="218"/>
      <c r="J1404" s="499" t="str">
        <f>Noty!J1404</f>
        <v>odkryj</v>
      </c>
      <c r="K1404" s="489"/>
    </row>
    <row r="1405" spans="1:14" s="200" customFormat="1" ht="42.05" customHeight="1" thickTop="1" thickBot="1" x14ac:dyDescent="0.3">
      <c r="A1405" s="508"/>
      <c r="B1405" s="520"/>
      <c r="C1405" s="1482" t="s">
        <v>11311</v>
      </c>
      <c r="D1405" s="1482"/>
      <c r="E1405" s="1482"/>
      <c r="F1405" s="1482"/>
      <c r="G1405" s="1482"/>
      <c r="H1405" s="1482"/>
      <c r="I1405" s="1482"/>
      <c r="J1405" s="499" t="str">
        <f>Noty!J1405</f>
        <v>ukryj</v>
      </c>
      <c r="K1405" s="585" t="str">
        <f>Noty!K1405</f>
        <v>n/a</v>
      </c>
      <c r="L1405" s="372"/>
    </row>
    <row r="1406" spans="1:14" s="200" customFormat="1" ht="6.75" customHeight="1" thickTop="1" x14ac:dyDescent="0.25">
      <c r="A1406" s="508"/>
      <c r="B1406" s="520"/>
      <c r="C1406" s="218"/>
      <c r="D1406" s="218"/>
      <c r="J1406" s="499" t="str">
        <f>Noty!J1406</f>
        <v>ukryj</v>
      </c>
      <c r="K1406" s="489"/>
    </row>
    <row r="1407" spans="1:14" s="200" customFormat="1" ht="13.6" customHeight="1" thickBot="1" x14ac:dyDescent="0.3">
      <c r="A1407" s="508"/>
      <c r="B1407" s="520"/>
      <c r="C1407" s="219" t="s">
        <v>7756</v>
      </c>
      <c r="D1407" s="218"/>
      <c r="J1407" s="499" t="str">
        <f>Noty!J1407</f>
        <v>ukryj</v>
      </c>
      <c r="K1407" s="489"/>
    </row>
    <row r="1408" spans="1:14" s="200" customFormat="1" ht="29.3" customHeight="1" thickTop="1" thickBot="1" x14ac:dyDescent="0.3">
      <c r="A1408" s="508"/>
      <c r="B1408" s="520"/>
      <c r="C1408" s="1483" t="s">
        <v>11312</v>
      </c>
      <c r="D1408" s="1483"/>
      <c r="E1408" s="1483"/>
      <c r="F1408" s="1483"/>
      <c r="G1408" s="1483"/>
      <c r="H1408" s="1483"/>
      <c r="I1408" s="1483"/>
      <c r="J1408" s="499" t="str">
        <f>Noty!J1408</f>
        <v>odkryj</v>
      </c>
      <c r="K1408" s="585" t="str">
        <f>Noty!K1408</f>
        <v/>
      </c>
      <c r="L1408" s="372"/>
    </row>
    <row r="1409" spans="1:14" s="200" customFormat="1" ht="13.6" customHeight="1" thickTop="1" thickBot="1" x14ac:dyDescent="0.3">
      <c r="A1409" s="508"/>
      <c r="B1409" s="520"/>
      <c r="C1409" s="218"/>
      <c r="D1409" s="218"/>
      <c r="J1409" s="499" t="str">
        <f>Noty!J1409</f>
        <v>odkryj</v>
      </c>
      <c r="K1409" s="489"/>
    </row>
    <row r="1410" spans="1:14" s="200" customFormat="1" ht="16.399999999999999" thickTop="1" thickBot="1" x14ac:dyDescent="0.35">
      <c r="A1410" s="1180">
        <f>IF(K1410="n/a",A1403,A1403+1)</f>
        <v>11</v>
      </c>
      <c r="B1410" s="1182"/>
      <c r="C1410" s="1388" t="s">
        <v>11313</v>
      </c>
      <c r="D1410" s="1388"/>
      <c r="E1410" s="1388"/>
      <c r="F1410" s="1388"/>
      <c r="G1410" s="1388"/>
      <c r="H1410" s="1388"/>
      <c r="I1410" s="1388"/>
      <c r="J1410" s="499" t="str">
        <f>Noty!J1410</f>
        <v>odkryj</v>
      </c>
      <c r="K1410" s="585" t="str">
        <f>Noty!K1410</f>
        <v/>
      </c>
      <c r="L1410" s="200" t="str">
        <f>A1410&amp;"."&amp;B1410</f>
        <v>11.</v>
      </c>
      <c r="N1410" s="1101" t="s">
        <v>9378</v>
      </c>
    </row>
    <row r="1411" spans="1:14" s="200" customFormat="1" ht="13.6" customHeight="1" thickTop="1" thickBot="1" x14ac:dyDescent="0.3">
      <c r="A1411" s="508"/>
      <c r="B1411" s="520"/>
      <c r="C1411" s="218"/>
      <c r="D1411" s="218"/>
      <c r="E1411" s="196"/>
      <c r="F1411" s="196"/>
      <c r="G1411" s="196"/>
      <c r="H1411" s="196"/>
      <c r="I1411" s="196"/>
      <c r="J1411" s="499" t="str">
        <f>Noty!J1411</f>
        <v>odkryj</v>
      </c>
      <c r="K1411" s="489"/>
    </row>
    <row r="1412" spans="1:14" s="200" customFormat="1" ht="29.3" customHeight="1" thickTop="1" thickBot="1" x14ac:dyDescent="0.3">
      <c r="A1412" s="508"/>
      <c r="B1412" s="520"/>
      <c r="C1412" s="202"/>
      <c r="D1412" s="202"/>
      <c r="E1412" s="196"/>
      <c r="F1412" s="196"/>
      <c r="G1412" s="251"/>
      <c r="H1412" s="999" t="str">
        <f>IF(Noty!H1412="","",Noty!H1412)</f>
        <v>01.01.2020 -31.12.2020</v>
      </c>
      <c r="I1412" s="999" t="str">
        <f>IF(Noty!I1412="","",Noty!I1412)</f>
        <v>01.01.2019 -31.12.2019</v>
      </c>
      <c r="J1412" s="499" t="str">
        <f>Noty!J1412</f>
        <v>ukryj</v>
      </c>
      <c r="K1412" s="585" t="str">
        <f>Noty!K1412</f>
        <v>n/a</v>
      </c>
      <c r="L1412" s="372"/>
    </row>
    <row r="1413" spans="1:14" s="200" customFormat="1" ht="15.05" customHeight="1" thickTop="1" x14ac:dyDescent="0.25">
      <c r="A1413" s="508"/>
      <c r="B1413" s="520"/>
      <c r="C1413" s="202" t="s">
        <v>11314</v>
      </c>
      <c r="D1413" s="202"/>
      <c r="E1413" s="202"/>
      <c r="F1413" s="202"/>
      <c r="G1413" s="610"/>
      <c r="H1413" s="1103" t="str">
        <f>IF(Noty!H1413="","",Noty!H1413)</f>
        <v/>
      </c>
      <c r="I1413" s="1103" t="str">
        <f>IF(Noty!I1413="","",Noty!I1413)</f>
        <v/>
      </c>
      <c r="J1413" s="499" t="str">
        <f>Noty!J1413</f>
        <v>ukryj</v>
      </c>
      <c r="K1413" s="489"/>
    </row>
    <row r="1414" spans="1:14" s="200" customFormat="1" x14ac:dyDescent="0.25">
      <c r="A1414" s="508"/>
      <c r="B1414" s="520"/>
      <c r="C1414" s="202" t="s">
        <v>11315</v>
      </c>
      <c r="D1414" s="750"/>
      <c r="E1414" s="750"/>
      <c r="F1414" s="750"/>
      <c r="G1414" s="1025"/>
      <c r="H1414" s="1103" t="str">
        <f>IF(Noty!H1414="","",Noty!H1414)</f>
        <v/>
      </c>
      <c r="I1414" s="1103" t="str">
        <f>IF(Noty!I1414="","",Noty!I1414)</f>
        <v/>
      </c>
      <c r="J1414" s="499" t="str">
        <f>Noty!J1414</f>
        <v>ukryj</v>
      </c>
      <c r="K1414" s="489"/>
    </row>
    <row r="1415" spans="1:14" s="200" customFormat="1" ht="13.6" customHeight="1" x14ac:dyDescent="0.25">
      <c r="A1415" s="508"/>
      <c r="B1415" s="520"/>
      <c r="C1415" s="202" t="s">
        <v>11316</v>
      </c>
      <c r="D1415" s="202"/>
      <c r="E1415" s="202"/>
      <c r="F1415" s="202"/>
      <c r="G1415" s="610"/>
      <c r="H1415" s="1103" t="str">
        <f>IF(Noty!H1415="","",Noty!H1415)</f>
        <v/>
      </c>
      <c r="I1415" s="1103" t="str">
        <f>IF(Noty!I1415="","",Noty!I1415)</f>
        <v/>
      </c>
      <c r="J1415" s="499" t="str">
        <f>Noty!J1415</f>
        <v>ukryj</v>
      </c>
      <c r="K1415" s="489"/>
      <c r="L1415" s="372"/>
    </row>
    <row r="1416" spans="1:14" s="200" customFormat="1" ht="13.6" customHeight="1" x14ac:dyDescent="0.25">
      <c r="A1416" s="508"/>
      <c r="B1416" s="520"/>
      <c r="C1416" s="202" t="s">
        <v>11317</v>
      </c>
      <c r="D1416" s="202"/>
      <c r="E1416" s="202"/>
      <c r="F1416" s="202"/>
      <c r="G1416" s="610"/>
      <c r="H1416" s="1103" t="str">
        <f>IF(Noty!H1416="","",Noty!H1416)</f>
        <v/>
      </c>
      <c r="I1416" s="1103" t="str">
        <f>IF(Noty!I1416="","",Noty!I1416)</f>
        <v/>
      </c>
      <c r="J1416" s="499" t="str">
        <f>Noty!J1416</f>
        <v>ukryj</v>
      </c>
      <c r="K1416" s="489"/>
      <c r="L1416" s="372"/>
    </row>
    <row r="1417" spans="1:14" s="200" customFormat="1" ht="13.6" customHeight="1" x14ac:dyDescent="0.25">
      <c r="A1417" s="508"/>
      <c r="B1417" s="520"/>
      <c r="C1417" s="220"/>
      <c r="D1417" s="202"/>
      <c r="E1417" s="202"/>
      <c r="F1417" s="202"/>
      <c r="G1417" s="610"/>
      <c r="H1417" s="734">
        <f>IF(Noty!H1417="","",Noty!H1417)</f>
        <v>0</v>
      </c>
      <c r="I1417" s="734">
        <f>IF(Noty!I1417="","",Noty!I1417)</f>
        <v>0</v>
      </c>
      <c r="J1417" s="499" t="str">
        <f>Noty!J1417</f>
        <v>ukryj</v>
      </c>
      <c r="K1417" s="489"/>
    </row>
    <row r="1418" spans="1:14" s="200" customFormat="1" ht="13.6" customHeight="1" x14ac:dyDescent="0.25">
      <c r="A1418" s="508"/>
      <c r="B1418" s="520"/>
      <c r="C1418" s="218"/>
      <c r="D1418" s="218"/>
      <c r="E1418" s="196"/>
      <c r="F1418" s="196"/>
      <c r="G1418" s="196"/>
      <c r="H1418" s="196"/>
      <c r="I1418" s="196"/>
      <c r="J1418" s="499" t="str">
        <f>Noty!J1418</f>
        <v>ukryj</v>
      </c>
      <c r="K1418" s="489"/>
    </row>
    <row r="1419" spans="1:14" s="200" customFormat="1" ht="13.6" customHeight="1" thickBot="1" x14ac:dyDescent="0.3">
      <c r="A1419" s="508"/>
      <c r="B1419" s="520"/>
      <c r="C1419" s="219" t="s">
        <v>7756</v>
      </c>
      <c r="D1419" s="218"/>
      <c r="E1419" s="196"/>
      <c r="F1419" s="196"/>
      <c r="G1419" s="196"/>
      <c r="H1419" s="196"/>
      <c r="I1419" s="196"/>
      <c r="J1419" s="499" t="str">
        <f>Noty!J1419</f>
        <v>ukryj</v>
      </c>
      <c r="K1419" s="489"/>
    </row>
    <row r="1420" spans="1:14" s="200" customFormat="1" ht="29.95" customHeight="1" thickTop="1" thickBot="1" x14ac:dyDescent="0.3">
      <c r="A1420" s="508"/>
      <c r="B1420" s="520"/>
      <c r="C1420" s="1483" t="s">
        <v>11318</v>
      </c>
      <c r="D1420" s="1483"/>
      <c r="E1420" s="1483"/>
      <c r="F1420" s="1483"/>
      <c r="G1420" s="1483"/>
      <c r="H1420" s="1483"/>
      <c r="I1420" s="1483"/>
      <c r="J1420" s="499" t="str">
        <f>Noty!J1420</f>
        <v>odkryj</v>
      </c>
      <c r="K1420" s="585" t="str">
        <f>Noty!K1420</f>
        <v/>
      </c>
      <c r="L1420" s="372"/>
    </row>
    <row r="1421" spans="1:14" s="200" customFormat="1" ht="14.25" customHeight="1" thickTop="1" thickBot="1" x14ac:dyDescent="0.3">
      <c r="A1421" s="508"/>
      <c r="B1421" s="520"/>
      <c r="C1421" s="218"/>
      <c r="D1421" s="218"/>
      <c r="E1421" s="196"/>
      <c r="F1421" s="196"/>
      <c r="G1421" s="196"/>
      <c r="H1421" s="196"/>
      <c r="I1421" s="196"/>
      <c r="J1421" s="499" t="str">
        <f>Noty!J1421</f>
        <v>odkryj</v>
      </c>
      <c r="K1421" s="489"/>
      <c r="L1421" s="596"/>
    </row>
    <row r="1422" spans="1:14" s="200" customFormat="1" ht="14.25" customHeight="1" thickTop="1" thickBot="1" x14ac:dyDescent="0.35">
      <c r="A1422" s="1180">
        <f>IF(K1422="n/a",A1410,A1410+1)</f>
        <v>12</v>
      </c>
      <c r="B1422" s="1182"/>
      <c r="C1422" s="1388" t="s">
        <v>11319</v>
      </c>
      <c r="D1422" s="1388"/>
      <c r="E1422" s="1388"/>
      <c r="F1422" s="1388"/>
      <c r="G1422" s="1388"/>
      <c r="H1422" s="1388"/>
      <c r="I1422" s="1388"/>
      <c r="J1422" s="499" t="str">
        <f>Noty!J1422</f>
        <v>odkryj</v>
      </c>
      <c r="K1422" s="585" t="str">
        <f>Noty!K1422</f>
        <v/>
      </c>
      <c r="L1422" s="200" t="str">
        <f>A1422&amp;"."&amp;B1422</f>
        <v>12.</v>
      </c>
      <c r="N1422" s="1101" t="s">
        <v>9378</v>
      </c>
    </row>
    <row r="1423" spans="1:14" s="200" customFormat="1" ht="10.5" customHeight="1" thickTop="1" thickBot="1" x14ac:dyDescent="0.3">
      <c r="A1423" s="508"/>
      <c r="B1423" s="520"/>
      <c r="C1423" s="204"/>
      <c r="D1423" s="204"/>
      <c r="E1423" s="196"/>
      <c r="F1423" s="196"/>
      <c r="G1423" s="196"/>
      <c r="H1423" s="196"/>
      <c r="I1423" s="196"/>
      <c r="J1423" s="499" t="str">
        <f>Noty!J1423</f>
        <v>odkryj</v>
      </c>
      <c r="K1423" s="489"/>
    </row>
    <row r="1424" spans="1:14" s="200" customFormat="1" ht="13.6" customHeight="1" thickTop="1" thickBot="1" x14ac:dyDescent="0.3">
      <c r="A1424" s="508"/>
      <c r="B1424" s="520"/>
      <c r="C1424" s="200" t="s">
        <v>11320</v>
      </c>
      <c r="E1424" s="196"/>
      <c r="F1424" s="196"/>
      <c r="G1424" s="196"/>
      <c r="H1424" s="196"/>
      <c r="I1424" s="196"/>
      <c r="J1424" s="499" t="str">
        <f>Noty!J1424</f>
        <v>ukryj</v>
      </c>
      <c r="K1424" s="585" t="str">
        <f>Noty!K1424</f>
        <v>n/a</v>
      </c>
    </row>
    <row r="1425" spans="1:14" s="200" customFormat="1" ht="13.6" customHeight="1" thickTop="1" x14ac:dyDescent="0.25">
      <c r="A1425" s="508"/>
      <c r="B1425" s="520"/>
      <c r="E1425" s="196"/>
      <c r="F1425" s="196"/>
      <c r="G1425" s="568" t="s">
        <v>11321</v>
      </c>
      <c r="H1425" s="568" t="s">
        <v>11322</v>
      </c>
      <c r="I1425" s="568" t="s">
        <v>9287</v>
      </c>
      <c r="J1425" s="499" t="str">
        <f>Noty!J1425</f>
        <v>ukryj</v>
      </c>
      <c r="K1425" s="489"/>
    </row>
    <row r="1426" spans="1:14" s="200" customFormat="1" ht="9" customHeight="1" x14ac:dyDescent="0.25">
      <c r="A1426" s="508"/>
      <c r="B1426" s="520"/>
      <c r="E1426" s="196"/>
      <c r="F1426" s="196"/>
      <c r="J1426" s="499" t="str">
        <f>Noty!J1426</f>
        <v>ukryj</v>
      </c>
      <c r="K1426" s="489"/>
    </row>
    <row r="1427" spans="1:14" s="200" customFormat="1" ht="13.6" customHeight="1" x14ac:dyDescent="0.25">
      <c r="A1427" s="508"/>
      <c r="B1427" s="520"/>
      <c r="C1427" s="200" t="s">
        <v>11323</v>
      </c>
      <c r="E1427" s="196"/>
      <c r="F1427" s="196"/>
      <c r="G1427" s="1103" t="str">
        <f>IF(Noty!G1427="","",Noty!G1427)</f>
        <v/>
      </c>
      <c r="H1427" s="1103" t="str">
        <f>IF(Noty!H1427="","",Noty!H1427)</f>
        <v/>
      </c>
      <c r="I1427" s="800">
        <f>IF(Noty!I1427="","",Noty!I1427)</f>
        <v>0</v>
      </c>
      <c r="J1427" s="499" t="str">
        <f>Noty!J1427</f>
        <v>ukryj</v>
      </c>
      <c r="K1427" s="489"/>
    </row>
    <row r="1428" spans="1:14" s="200" customFormat="1" ht="13.6" customHeight="1" x14ac:dyDescent="0.25">
      <c r="A1428" s="508"/>
      <c r="B1428" s="520"/>
      <c r="C1428" s="200" t="s">
        <v>11324</v>
      </c>
      <c r="E1428" s="196"/>
      <c r="F1428" s="196"/>
      <c r="G1428" s="1103" t="str">
        <f>IF(Noty!G1428="","",Noty!G1428)</f>
        <v/>
      </c>
      <c r="H1428" s="1103" t="str">
        <f>IF(Noty!H1428="","",Noty!H1428)</f>
        <v/>
      </c>
      <c r="I1428" s="800">
        <f>IF(Noty!I1428="","",Noty!I1428)</f>
        <v>0</v>
      </c>
      <c r="J1428" s="499" t="str">
        <f>Noty!J1428</f>
        <v>ukryj</v>
      </c>
      <c r="K1428" s="489"/>
    </row>
    <row r="1429" spans="1:14" s="200" customFormat="1" ht="13.6" customHeight="1" x14ac:dyDescent="0.25">
      <c r="A1429" s="508"/>
      <c r="B1429" s="520"/>
      <c r="E1429" s="196"/>
      <c r="F1429" s="196"/>
      <c r="G1429" s="803">
        <f>IF(Noty!G1429="","",Noty!G1429)</f>
        <v>0</v>
      </c>
      <c r="H1429" s="803">
        <f>IF(Noty!H1429="","",Noty!H1429)</f>
        <v>0</v>
      </c>
      <c r="I1429" s="803">
        <f>IF(Noty!I1429="","",Noty!I1429)</f>
        <v>0</v>
      </c>
      <c r="J1429" s="499" t="str">
        <f>Noty!J1429</f>
        <v>ukryj</v>
      </c>
      <c r="K1429" s="489"/>
    </row>
    <row r="1430" spans="1:14" s="200" customFormat="1" ht="13.6" customHeight="1" x14ac:dyDescent="0.25">
      <c r="A1430" s="508"/>
      <c r="B1430" s="520"/>
      <c r="E1430" s="196"/>
      <c r="F1430" s="196"/>
      <c r="G1430" s="196"/>
      <c r="H1430" s="196"/>
      <c r="I1430" s="196"/>
      <c r="J1430" s="499" t="str">
        <f>Noty!J1430</f>
        <v>ukryj</v>
      </c>
      <c r="K1430" s="489"/>
    </row>
    <row r="1431" spans="1:14" s="200" customFormat="1" ht="13.6" customHeight="1" x14ac:dyDescent="0.25">
      <c r="A1431" s="508"/>
      <c r="B1431" s="520"/>
      <c r="C1431" s="982" t="s">
        <v>11325</v>
      </c>
      <c r="D1431" s="9"/>
      <c r="E1431" s="251"/>
      <c r="F1431" s="251"/>
      <c r="G1431" s="251"/>
      <c r="H1431" s="251"/>
      <c r="I1431" s="251"/>
      <c r="J1431" s="499" t="str">
        <f>Noty!J1431</f>
        <v>ukryj</v>
      </c>
      <c r="K1431" s="489"/>
    </row>
    <row r="1432" spans="1:14" s="200" customFormat="1" ht="13.6" customHeight="1" thickBot="1" x14ac:dyDescent="0.3">
      <c r="A1432" s="508"/>
      <c r="B1432" s="520"/>
      <c r="C1432" s="605" t="s">
        <v>7756</v>
      </c>
      <c r="E1432" s="196"/>
      <c r="F1432" s="196"/>
      <c r="G1432" s="196"/>
      <c r="H1432" s="196"/>
      <c r="I1432" s="196"/>
      <c r="J1432" s="499" t="str">
        <f>Noty!J1432</f>
        <v>ukryj</v>
      </c>
      <c r="K1432" s="489"/>
    </row>
    <row r="1433" spans="1:14" s="200" customFormat="1" ht="13.6" customHeight="1" thickTop="1" thickBot="1" x14ac:dyDescent="0.3">
      <c r="A1433" s="508"/>
      <c r="B1433" s="520"/>
      <c r="C1433" s="606" t="s">
        <v>11326</v>
      </c>
      <c r="E1433" s="196"/>
      <c r="F1433" s="196"/>
      <c r="G1433" s="196"/>
      <c r="H1433" s="196"/>
      <c r="I1433" s="196"/>
      <c r="J1433" s="499" t="str">
        <f>Noty!J1433</f>
        <v>odkryj</v>
      </c>
      <c r="K1433" s="585" t="str">
        <f>Noty!K1433</f>
        <v/>
      </c>
    </row>
    <row r="1434" spans="1:14" s="200" customFormat="1" ht="13.6" customHeight="1" thickTop="1" thickBot="1" x14ac:dyDescent="0.3">
      <c r="A1434" s="508"/>
      <c r="B1434" s="520"/>
      <c r="E1434" s="196"/>
      <c r="F1434" s="196"/>
      <c r="G1434" s="196"/>
      <c r="H1434" s="196"/>
      <c r="I1434" s="196"/>
      <c r="J1434" s="499" t="str">
        <f>Noty!J1434</f>
        <v>odkryj</v>
      </c>
      <c r="K1434" s="489"/>
    </row>
    <row r="1435" spans="1:14" s="200" customFormat="1" ht="16.55" customHeight="1" thickTop="1" thickBot="1" x14ac:dyDescent="0.35">
      <c r="A1435" s="1180">
        <f>IF(K1435="n/a",A1422,A1422+1)</f>
        <v>13</v>
      </c>
      <c r="B1435" s="1182"/>
      <c r="C1435" s="1388" t="s">
        <v>11327</v>
      </c>
      <c r="D1435" s="1388"/>
      <c r="E1435" s="1388"/>
      <c r="F1435" s="1388"/>
      <c r="G1435" s="1388"/>
      <c r="H1435" s="1388"/>
      <c r="I1435" s="1388"/>
      <c r="J1435" s="499" t="str">
        <f>Noty!J1435</f>
        <v>odkryj</v>
      </c>
      <c r="K1435" s="585"/>
      <c r="L1435" s="200" t="str">
        <f>A1435&amp;"."&amp;B1435</f>
        <v>13.</v>
      </c>
      <c r="N1435" s="1101" t="s">
        <v>9378</v>
      </c>
    </row>
    <row r="1436" spans="1:14" s="200" customFormat="1" ht="13.6" customHeight="1" thickTop="1" thickBot="1" x14ac:dyDescent="0.3">
      <c r="A1436" s="508"/>
      <c r="B1436" s="520"/>
      <c r="E1436" s="196"/>
      <c r="F1436" s="196"/>
      <c r="G1436" s="196"/>
      <c r="H1436" s="196"/>
      <c r="I1436" s="196"/>
      <c r="J1436" s="499" t="str">
        <f>Noty!J1436</f>
        <v>odkryj</v>
      </c>
      <c r="K1436" s="489"/>
    </row>
    <row r="1437" spans="1:14" s="200" customFormat="1" ht="32.25" customHeight="1" thickTop="1" thickBot="1" x14ac:dyDescent="0.3">
      <c r="A1437" s="508"/>
      <c r="B1437" s="520"/>
      <c r="C1437" s="1434" t="str">
        <f>"There are no liabilities arising from pensions and similar benefits or liabilities incurred in connection with these pensions and liabilities or incurred as guarantees and warranties as at "&amp;DAY(Input!$R$7)&amp;" "&amp;Input!$S$7&amp;" "&amp;YEAR(Input!$R$7)&amp;" and " &amp; DAY(Input!$R$11)&amp;" "&amp;Input!$S$11&amp;" "&amp;YEAR(Input!$R$11)&amp;"."</f>
        <v>There are no liabilities arising from pensions and similar benefits or liabilities incurred in connection with these pensions and liabilities or incurred as guarantees and warranties as at 31 December 2020 and 31 December 2019.</v>
      </c>
      <c r="D1437" s="1434"/>
      <c r="E1437" s="1434"/>
      <c r="F1437" s="1434"/>
      <c r="G1437" s="1434"/>
      <c r="H1437" s="1434"/>
      <c r="I1437" s="1434"/>
      <c r="J1437" s="499" t="str">
        <f>Noty!J1437</f>
        <v>odkryj</v>
      </c>
      <c r="K1437" s="585" t="str">
        <f>Noty!K1437</f>
        <v/>
      </c>
    </row>
    <row r="1438" spans="1:14" s="200" customFormat="1" ht="13.6" customHeight="1" thickTop="1" x14ac:dyDescent="0.25">
      <c r="A1438" s="508"/>
      <c r="B1438" s="520"/>
      <c r="E1438" s="196"/>
      <c r="F1438" s="196"/>
      <c r="G1438" s="196"/>
      <c r="H1438" s="196"/>
      <c r="I1438" s="196"/>
      <c r="J1438" s="499" t="str">
        <f>Noty!J1438</f>
        <v>odkryj</v>
      </c>
      <c r="K1438" s="489"/>
    </row>
    <row r="1439" spans="1:14" s="200" customFormat="1" ht="26.2" customHeight="1" x14ac:dyDescent="0.25">
      <c r="A1439" s="508"/>
      <c r="B1439" s="520"/>
      <c r="C1439" s="1435" t="s">
        <v>11328</v>
      </c>
      <c r="D1439" s="1435"/>
      <c r="E1439" s="1435"/>
      <c r="F1439" s="1435"/>
      <c r="G1439" s="1435"/>
      <c r="H1439" s="1435"/>
      <c r="I1439" s="1435"/>
      <c r="J1439" s="499" t="str">
        <f>Noty!J1439</f>
        <v>odkryj</v>
      </c>
      <c r="K1439" s="489"/>
    </row>
    <row r="1440" spans="1:14" s="200" customFormat="1" ht="13.6" customHeight="1" thickBot="1" x14ac:dyDescent="0.3">
      <c r="A1440" s="508"/>
      <c r="B1440" s="520"/>
      <c r="E1440" s="196"/>
      <c r="F1440" s="196"/>
      <c r="G1440" s="196"/>
      <c r="H1440" s="196"/>
      <c r="I1440" s="196"/>
      <c r="J1440" s="499" t="str">
        <f>Noty!J1440</f>
        <v>odkryj</v>
      </c>
      <c r="K1440" s="489"/>
    </row>
    <row r="1441" spans="1:14" s="200" customFormat="1" ht="33.049999999999997" customHeight="1" thickTop="1" thickBot="1" x14ac:dyDescent="0.35">
      <c r="A1441" s="1183">
        <f>A1435</f>
        <v>13</v>
      </c>
      <c r="B1441" s="1184">
        <f>IF(K1441="n/a",0,1)</f>
        <v>0</v>
      </c>
      <c r="C1441" s="1282" t="s">
        <v>11329</v>
      </c>
      <c r="D1441" s="1282"/>
      <c r="E1441" s="1282"/>
      <c r="F1441" s="1282"/>
      <c r="G1441" s="1282"/>
      <c r="H1441" s="1282"/>
      <c r="I1441" s="1282"/>
      <c r="J1441" s="499" t="str">
        <f>Noty!J1441</f>
        <v>ukryj</v>
      </c>
      <c r="K1441" s="585" t="str">
        <f>IF(Input!D178="nie","n/a","")</f>
        <v>n/a</v>
      </c>
      <c r="L1441" s="188" t="str">
        <f>A1441&amp;"."&amp;B1441</f>
        <v>13.0</v>
      </c>
      <c r="N1441" s="1101" t="s">
        <v>9378</v>
      </c>
    </row>
    <row r="1442" spans="1:14" s="200" customFormat="1" ht="13.6" customHeight="1" thickTop="1" x14ac:dyDescent="0.25">
      <c r="A1442" s="508"/>
      <c r="B1442" s="520"/>
      <c r="C1442" s="195"/>
      <c r="D1442" s="195"/>
      <c r="E1442" s="196"/>
      <c r="F1442" s="196"/>
      <c r="G1442" s="196"/>
      <c r="H1442" s="196"/>
      <c r="I1442" s="191"/>
      <c r="J1442" s="499" t="str">
        <f>Noty!J1442</f>
        <v>ukryj</v>
      </c>
      <c r="K1442" s="489"/>
    </row>
    <row r="1443" spans="1:14" s="200" customFormat="1" ht="25.55" customHeight="1" x14ac:dyDescent="0.25">
      <c r="A1443" s="508"/>
      <c r="B1443" s="520"/>
      <c r="E1443" s="196"/>
      <c r="F1443" s="196"/>
      <c r="G1443" s="251"/>
      <c r="H1443" s="999" t="str">
        <f>IF(Noty!H1443="","",Noty!H1443)</f>
        <v>31.12.2020</v>
      </c>
      <c r="I1443" s="999" t="str">
        <f>IF(Noty!I1443="","",Noty!I1443)</f>
        <v>31.12.2019</v>
      </c>
      <c r="J1443" s="499" t="str">
        <f>Noty!J1443</f>
        <v>ukryj</v>
      </c>
      <c r="K1443" s="489"/>
    </row>
    <row r="1444" spans="1:14" s="200" customFormat="1" ht="13.6" customHeight="1" x14ac:dyDescent="0.25">
      <c r="A1444" s="508"/>
      <c r="B1444" s="520"/>
      <c r="C1444" s="202" t="s">
        <v>11330</v>
      </c>
      <c r="D1444" s="191"/>
      <c r="E1444" s="191"/>
      <c r="F1444" s="191"/>
      <c r="G1444" s="251"/>
      <c r="H1444" s="702" t="str">
        <f>IF(Noty!H1444="","",Noty!H1444)</f>
        <v/>
      </c>
      <c r="I1444" s="702" t="str">
        <f>IF(Noty!I1444="","",Noty!I1444)</f>
        <v/>
      </c>
      <c r="J1444" s="499" t="str">
        <f>Noty!J1444</f>
        <v>ukryj</v>
      </c>
      <c r="K1444" s="489"/>
    </row>
    <row r="1445" spans="1:14" s="200" customFormat="1" ht="13.6" customHeight="1" x14ac:dyDescent="0.25">
      <c r="A1445" s="508"/>
      <c r="B1445" s="520"/>
      <c r="C1445" s="202" t="s">
        <v>11331</v>
      </c>
      <c r="D1445" s="191"/>
      <c r="E1445" s="191"/>
      <c r="F1445" s="191"/>
      <c r="G1445" s="251"/>
      <c r="H1445" s="760" t="str">
        <f>IF(Noty!H1445="","",Noty!H1445)</f>
        <v/>
      </c>
      <c r="I1445" s="760" t="str">
        <f>IF(Noty!I1445="","",Noty!I1445)</f>
        <v/>
      </c>
      <c r="J1445" s="499" t="str">
        <f>Noty!J1445</f>
        <v>ukryj</v>
      </c>
      <c r="K1445" s="489"/>
    </row>
    <row r="1446" spans="1:14" s="200" customFormat="1" ht="13.6" customHeight="1" x14ac:dyDescent="0.25">
      <c r="A1446" s="508"/>
      <c r="B1446" s="520"/>
      <c r="C1446" s="202" t="s">
        <v>11332</v>
      </c>
      <c r="D1446" s="191"/>
      <c r="E1446" s="191"/>
      <c r="F1446" s="191"/>
      <c r="G1446" s="251"/>
      <c r="H1446" s="760" t="str">
        <f>IF(Noty!H1446="","",Noty!H1446)</f>
        <v/>
      </c>
      <c r="I1446" s="760" t="str">
        <f>IF(Noty!I1446="","",Noty!I1446)</f>
        <v/>
      </c>
      <c r="J1446" s="499" t="str">
        <f>Noty!J1446</f>
        <v>ukryj</v>
      </c>
      <c r="K1446" s="489"/>
    </row>
    <row r="1447" spans="1:14" s="200" customFormat="1" ht="13.6" customHeight="1" x14ac:dyDescent="0.25">
      <c r="A1447" s="508"/>
      <c r="B1447" s="520"/>
      <c r="C1447" s="841"/>
      <c r="D1447" s="841"/>
      <c r="E1447" s="841"/>
      <c r="F1447" s="202"/>
      <c r="G1447" s="251"/>
      <c r="H1447" s="619">
        <f>IF(Noty!H1447="","",Noty!H1447)</f>
        <v>0</v>
      </c>
      <c r="I1447" s="619">
        <f>IF(Noty!I1447="","",Noty!I1447)</f>
        <v>0</v>
      </c>
      <c r="J1447" s="499" t="str">
        <f>Noty!J1447</f>
        <v>ukryj</v>
      </c>
      <c r="K1447" s="489"/>
    </row>
    <row r="1448" spans="1:14" s="200" customFormat="1" ht="13.6" customHeight="1" thickBot="1" x14ac:dyDescent="0.3">
      <c r="A1448" s="508"/>
      <c r="B1448" s="520"/>
      <c r="C1448" s="841"/>
      <c r="D1448" s="841"/>
      <c r="E1448" s="841"/>
      <c r="F1448" s="202"/>
      <c r="G1448" s="196"/>
      <c r="H1448" s="191"/>
      <c r="I1448" s="191"/>
      <c r="J1448" s="499" t="str">
        <f>Noty!J1448</f>
        <v>ukryj</v>
      </c>
      <c r="K1448" s="489"/>
      <c r="L1448" s="372"/>
    </row>
    <row r="1449" spans="1:14" s="200" customFormat="1" ht="29.95" customHeight="1" thickTop="1" thickBot="1" x14ac:dyDescent="0.35">
      <c r="A1449" s="1183">
        <f>A1441</f>
        <v>13</v>
      </c>
      <c r="B1449" s="1184">
        <f>IF(K1449="n/a",B1441,B1441+1)</f>
        <v>0</v>
      </c>
      <c r="C1449" s="1282" t="s">
        <v>11333</v>
      </c>
      <c r="D1449" s="1282"/>
      <c r="E1449" s="1282"/>
      <c r="F1449" s="1282"/>
      <c r="G1449" s="1282"/>
      <c r="H1449" s="1282"/>
      <c r="I1449" s="1282"/>
      <c r="J1449" s="499" t="str">
        <f>Noty!J1449</f>
        <v>ukryj</v>
      </c>
      <c r="K1449" s="585" t="str">
        <f>IF(Input!D179="nie","n/a","")</f>
        <v>n/a</v>
      </c>
      <c r="L1449" s="188" t="str">
        <f>A1449&amp;"."&amp;B1449</f>
        <v>13.0</v>
      </c>
      <c r="N1449" s="1101" t="s">
        <v>9378</v>
      </c>
    </row>
    <row r="1450" spans="1:14" s="200" customFormat="1" ht="13.6" customHeight="1" thickTop="1" x14ac:dyDescent="0.25">
      <c r="A1450" s="508"/>
      <c r="B1450" s="520"/>
      <c r="C1450" s="195"/>
      <c r="D1450" s="195"/>
      <c r="E1450" s="196"/>
      <c r="F1450" s="196"/>
      <c r="G1450" s="196"/>
      <c r="H1450" s="196"/>
      <c r="I1450" s="191"/>
      <c r="J1450" s="499" t="str">
        <f>Noty!J1450</f>
        <v>ukryj</v>
      </c>
      <c r="K1450" s="489"/>
    </row>
    <row r="1451" spans="1:14" s="200" customFormat="1" ht="25.55" customHeight="1" x14ac:dyDescent="0.25">
      <c r="A1451" s="508"/>
      <c r="B1451" s="520"/>
      <c r="E1451" s="196"/>
      <c r="F1451" s="196"/>
      <c r="G1451" s="251"/>
      <c r="H1451" s="999" t="str">
        <f>IF(Noty!H1451="","",Noty!H1451)</f>
        <v>31.12.2020</v>
      </c>
      <c r="I1451" s="999" t="str">
        <f>IF(Noty!I1451="","",Noty!I1451)</f>
        <v>31.12.2019</v>
      </c>
      <c r="J1451" s="499" t="str">
        <f>Noty!J1451</f>
        <v>ukryj</v>
      </c>
      <c r="K1451" s="489"/>
    </row>
    <row r="1452" spans="1:14" s="200" customFormat="1" ht="13.6" customHeight="1" x14ac:dyDescent="0.25">
      <c r="A1452" s="508"/>
      <c r="B1452" s="520"/>
      <c r="C1452" s="202" t="s">
        <v>11330</v>
      </c>
      <c r="D1452" s="191"/>
      <c r="E1452" s="191"/>
      <c r="F1452" s="191"/>
      <c r="G1452" s="251"/>
      <c r="H1452" s="702" t="str">
        <f>IF(Noty!H1452="","",Noty!H1452)</f>
        <v/>
      </c>
      <c r="I1452" s="702" t="str">
        <f>IF(Noty!I1452="","",Noty!I1452)</f>
        <v/>
      </c>
      <c r="J1452" s="499" t="str">
        <f>Noty!J1452</f>
        <v>ukryj</v>
      </c>
      <c r="K1452" s="489"/>
    </row>
    <row r="1453" spans="1:14" s="200" customFormat="1" ht="13.6" customHeight="1" x14ac:dyDescent="0.25">
      <c r="A1453" s="508"/>
      <c r="B1453" s="520"/>
      <c r="C1453" s="202" t="s">
        <v>11331</v>
      </c>
      <c r="D1453" s="191"/>
      <c r="E1453" s="191"/>
      <c r="F1453" s="191"/>
      <c r="G1453" s="251"/>
      <c r="H1453" s="760" t="str">
        <f>IF(Noty!H1453="","",Noty!H1453)</f>
        <v/>
      </c>
      <c r="I1453" s="760" t="str">
        <f>IF(Noty!I1453="","",Noty!I1453)</f>
        <v/>
      </c>
      <c r="J1453" s="499" t="str">
        <f>Noty!J1453</f>
        <v>ukryj</v>
      </c>
      <c r="K1453" s="489"/>
    </row>
    <row r="1454" spans="1:14" s="200" customFormat="1" ht="13.6" customHeight="1" x14ac:dyDescent="0.25">
      <c r="A1454" s="508"/>
      <c r="B1454" s="520"/>
      <c r="C1454" s="202" t="s">
        <v>11332</v>
      </c>
      <c r="D1454" s="191"/>
      <c r="E1454" s="191"/>
      <c r="F1454" s="191"/>
      <c r="G1454" s="251"/>
      <c r="H1454" s="760" t="str">
        <f>IF(Noty!H1454="","",Noty!H1454)</f>
        <v/>
      </c>
      <c r="I1454" s="760" t="str">
        <f>IF(Noty!I1454="","",Noty!I1454)</f>
        <v/>
      </c>
      <c r="J1454" s="499" t="str">
        <f>Noty!J1454</f>
        <v>ukryj</v>
      </c>
      <c r="K1454" s="489"/>
    </row>
    <row r="1455" spans="1:14" s="200" customFormat="1" ht="13.6" customHeight="1" x14ac:dyDescent="0.25">
      <c r="A1455" s="508"/>
      <c r="B1455" s="520"/>
      <c r="C1455" s="841"/>
      <c r="D1455" s="841"/>
      <c r="E1455" s="841"/>
      <c r="F1455" s="202"/>
      <c r="G1455" s="251"/>
      <c r="H1455" s="619">
        <f>IF(Noty!H1455="","",Noty!H1455)</f>
        <v>0</v>
      </c>
      <c r="I1455" s="619">
        <f>IF(Noty!I1455="","",Noty!I1455)</f>
        <v>0</v>
      </c>
      <c r="J1455" s="499" t="str">
        <f>Noty!J1455</f>
        <v>ukryj</v>
      </c>
      <c r="K1455" s="489"/>
    </row>
    <row r="1456" spans="1:14" s="200" customFormat="1" ht="13.6" customHeight="1" thickBot="1" x14ac:dyDescent="0.3">
      <c r="A1456" s="508"/>
      <c r="B1456" s="520"/>
      <c r="C1456" s="841"/>
      <c r="D1456" s="841"/>
      <c r="E1456" s="841"/>
      <c r="F1456" s="202"/>
      <c r="G1456" s="196"/>
      <c r="H1456" s="191"/>
      <c r="I1456" s="191"/>
      <c r="J1456" s="499" t="str">
        <f>Noty!J1456</f>
        <v>ukryj</v>
      </c>
      <c r="K1456" s="489"/>
      <c r="L1456" s="372"/>
    </row>
    <row r="1457" spans="1:14" s="200" customFormat="1" ht="29.3" customHeight="1" thickTop="1" thickBot="1" x14ac:dyDescent="0.35">
      <c r="A1457" s="1183">
        <f>A1449</f>
        <v>13</v>
      </c>
      <c r="B1457" s="1184">
        <f>IF(K1457="n/a",B1449,B1449+1)</f>
        <v>0</v>
      </c>
      <c r="C1457" s="1282" t="s">
        <v>11334</v>
      </c>
      <c r="D1457" s="1282"/>
      <c r="E1457" s="1282"/>
      <c r="F1457" s="1282"/>
      <c r="G1457" s="1282"/>
      <c r="H1457" s="1282"/>
      <c r="I1457" s="1282"/>
      <c r="J1457" s="499" t="str">
        <f>Noty!J1457</f>
        <v>ukryj</v>
      </c>
      <c r="K1457" s="585" t="str">
        <f>IF(Input!D180="nie","n/a","")</f>
        <v>n/a</v>
      </c>
      <c r="L1457" s="188" t="str">
        <f>A1457&amp;"."&amp;B1457</f>
        <v>13.0</v>
      </c>
      <c r="N1457" s="1101" t="s">
        <v>9378</v>
      </c>
    </row>
    <row r="1458" spans="1:14" s="200" customFormat="1" ht="13.6" customHeight="1" thickTop="1" x14ac:dyDescent="0.25">
      <c r="A1458" s="508"/>
      <c r="B1458" s="520"/>
      <c r="C1458" s="195"/>
      <c r="D1458" s="195"/>
      <c r="E1458" s="196"/>
      <c r="F1458" s="196"/>
      <c r="G1458" s="196"/>
      <c r="H1458" s="196"/>
      <c r="I1458" s="191"/>
      <c r="J1458" s="499" t="str">
        <f>Noty!J1458</f>
        <v>ukryj</v>
      </c>
      <c r="K1458" s="489"/>
    </row>
    <row r="1459" spans="1:14" s="200" customFormat="1" ht="25.55" customHeight="1" x14ac:dyDescent="0.25">
      <c r="A1459" s="508"/>
      <c r="B1459" s="520"/>
      <c r="E1459" s="196"/>
      <c r="F1459" s="196"/>
      <c r="G1459" s="251"/>
      <c r="H1459" s="999" t="str">
        <f>IF(Noty!H1459="","",Noty!H1459)</f>
        <v>31.12.2020</v>
      </c>
      <c r="I1459" s="999" t="str">
        <f>IF(Noty!I1459="","",Noty!I1459)</f>
        <v>31.12.2019</v>
      </c>
      <c r="J1459" s="499" t="str">
        <f>Noty!J1459</f>
        <v>ukryj</v>
      </c>
      <c r="K1459" s="489"/>
    </row>
    <row r="1460" spans="1:14" s="200" customFormat="1" ht="13.6" customHeight="1" x14ac:dyDescent="0.25">
      <c r="A1460" s="508"/>
      <c r="B1460" s="520"/>
      <c r="C1460" s="202" t="s">
        <v>11330</v>
      </c>
      <c r="D1460" s="191"/>
      <c r="E1460" s="191"/>
      <c r="F1460" s="191"/>
      <c r="G1460" s="251"/>
      <c r="H1460" s="702" t="str">
        <f>IF(Noty!H1460="","",Noty!H1460)</f>
        <v/>
      </c>
      <c r="I1460" s="702" t="str">
        <f>IF(Noty!I1460="","",Noty!I1460)</f>
        <v/>
      </c>
      <c r="J1460" s="499" t="str">
        <f>Noty!J1460</f>
        <v>ukryj</v>
      </c>
      <c r="K1460" s="489"/>
    </row>
    <row r="1461" spans="1:14" s="200" customFormat="1" ht="13.6" customHeight="1" x14ac:dyDescent="0.25">
      <c r="A1461" s="508"/>
      <c r="B1461" s="520"/>
      <c r="C1461" s="202" t="s">
        <v>11331</v>
      </c>
      <c r="D1461" s="191"/>
      <c r="E1461" s="191"/>
      <c r="F1461" s="191"/>
      <c r="G1461" s="251"/>
      <c r="H1461" s="760" t="str">
        <f>IF(Noty!H1461="","",Noty!H1461)</f>
        <v/>
      </c>
      <c r="I1461" s="760" t="str">
        <f>IF(Noty!I1461="","",Noty!I1461)</f>
        <v/>
      </c>
      <c r="J1461" s="499" t="str">
        <f>Noty!J1461</f>
        <v>ukryj</v>
      </c>
      <c r="K1461" s="489"/>
    </row>
    <row r="1462" spans="1:14" s="200" customFormat="1" ht="13.6" customHeight="1" x14ac:dyDescent="0.25">
      <c r="A1462" s="508"/>
      <c r="B1462" s="520"/>
      <c r="C1462" s="202" t="s">
        <v>11332</v>
      </c>
      <c r="D1462" s="191"/>
      <c r="E1462" s="191"/>
      <c r="F1462" s="191"/>
      <c r="G1462" s="251"/>
      <c r="H1462" s="760" t="str">
        <f>IF(Noty!H1462="","",Noty!H1462)</f>
        <v/>
      </c>
      <c r="I1462" s="760" t="str">
        <f>IF(Noty!I1462="","",Noty!I1462)</f>
        <v/>
      </c>
      <c r="J1462" s="499" t="str">
        <f>Noty!J1462</f>
        <v>ukryj</v>
      </c>
      <c r="K1462" s="489"/>
    </row>
    <row r="1463" spans="1:14" s="200" customFormat="1" ht="13.6" customHeight="1" x14ac:dyDescent="0.25">
      <c r="A1463" s="508"/>
      <c r="B1463" s="520"/>
      <c r="C1463" s="841"/>
      <c r="D1463" s="841"/>
      <c r="E1463" s="841"/>
      <c r="F1463" s="202"/>
      <c r="G1463" s="251"/>
      <c r="H1463" s="619">
        <f>IF(Noty!H1463="","",Noty!H1463)</f>
        <v>0</v>
      </c>
      <c r="I1463" s="619">
        <f>IF(Noty!I1463="","",Noty!I1463)</f>
        <v>0</v>
      </c>
      <c r="J1463" s="499" t="str">
        <f>Noty!J1463</f>
        <v>ukryj</v>
      </c>
      <c r="K1463" s="489"/>
    </row>
    <row r="1464" spans="1:14" s="200" customFormat="1" ht="13.6" customHeight="1" thickBot="1" x14ac:dyDescent="0.3">
      <c r="A1464" s="508"/>
      <c r="B1464" s="520"/>
      <c r="C1464" s="841"/>
      <c r="D1464" s="841"/>
      <c r="E1464" s="841"/>
      <c r="F1464" s="202"/>
      <c r="G1464" s="196"/>
      <c r="H1464" s="191"/>
      <c r="I1464" s="191"/>
      <c r="J1464" s="499" t="str">
        <f>Noty!J1464</f>
        <v>ukryj</v>
      </c>
      <c r="K1464" s="489"/>
      <c r="L1464" s="372"/>
    </row>
    <row r="1465" spans="1:14" s="200" customFormat="1" ht="28.5" customHeight="1" thickTop="1" thickBot="1" x14ac:dyDescent="0.35">
      <c r="A1465" s="1183">
        <f>A1457</f>
        <v>13</v>
      </c>
      <c r="B1465" s="1184">
        <f>IF(K1465="n/a",B1457,B1457+1)</f>
        <v>0</v>
      </c>
      <c r="C1465" s="1282" t="s">
        <v>11335</v>
      </c>
      <c r="D1465" s="1282"/>
      <c r="E1465" s="1282"/>
      <c r="F1465" s="1282"/>
      <c r="G1465" s="1282"/>
      <c r="H1465" s="1282"/>
      <c r="I1465" s="1282"/>
      <c r="J1465" s="499" t="str">
        <f>Noty!J1465</f>
        <v>ukryj</v>
      </c>
      <c r="K1465" s="585" t="str">
        <f>IF(Input!D181="nie","n/a","")</f>
        <v>n/a</v>
      </c>
      <c r="L1465" s="188" t="str">
        <f>A1465&amp;"."&amp;B1465</f>
        <v>13.0</v>
      </c>
      <c r="N1465" s="1101" t="s">
        <v>9378</v>
      </c>
    </row>
    <row r="1466" spans="1:14" s="200" customFormat="1" ht="13.6" customHeight="1" thickTop="1" x14ac:dyDescent="0.25">
      <c r="A1466" s="508"/>
      <c r="B1466" s="520"/>
      <c r="C1466" s="195"/>
      <c r="D1466" s="195"/>
      <c r="E1466" s="196"/>
      <c r="F1466" s="196"/>
      <c r="G1466" s="196"/>
      <c r="H1466" s="196"/>
      <c r="I1466" s="191"/>
      <c r="J1466" s="499" t="str">
        <f>Noty!J1466</f>
        <v>ukryj</v>
      </c>
      <c r="K1466" s="489"/>
    </row>
    <row r="1467" spans="1:14" s="200" customFormat="1" ht="25.55" customHeight="1" x14ac:dyDescent="0.25">
      <c r="A1467" s="508"/>
      <c r="B1467" s="520"/>
      <c r="E1467" s="196"/>
      <c r="F1467" s="196"/>
      <c r="G1467" s="251"/>
      <c r="H1467" s="999" t="str">
        <f>IF(Noty!H1467="","",Noty!H1467)</f>
        <v>31.12.2020</v>
      </c>
      <c r="I1467" s="999" t="str">
        <f>IF(Noty!I1467="","",Noty!I1467)</f>
        <v>31.12.2019</v>
      </c>
      <c r="J1467" s="499" t="str">
        <f>Noty!J1467</f>
        <v>ukryj</v>
      </c>
      <c r="K1467" s="489"/>
    </row>
    <row r="1468" spans="1:14" s="200" customFormat="1" ht="13.6" customHeight="1" x14ac:dyDescent="0.25">
      <c r="A1468" s="508"/>
      <c r="B1468" s="520"/>
      <c r="C1468" s="202" t="s">
        <v>11330</v>
      </c>
      <c r="D1468" s="191"/>
      <c r="E1468" s="191"/>
      <c r="F1468" s="191"/>
      <c r="G1468" s="251"/>
      <c r="H1468" s="702" t="str">
        <f>IF(Noty!H1468="","",Noty!H1468)</f>
        <v/>
      </c>
      <c r="I1468" s="702" t="str">
        <f>IF(Noty!I1468="","",Noty!I1468)</f>
        <v/>
      </c>
      <c r="J1468" s="499" t="str">
        <f>Noty!J1468</f>
        <v>ukryj</v>
      </c>
      <c r="K1468" s="489"/>
    </row>
    <row r="1469" spans="1:14" s="200" customFormat="1" ht="13.6" customHeight="1" x14ac:dyDescent="0.25">
      <c r="A1469" s="508"/>
      <c r="B1469" s="520"/>
      <c r="C1469" s="202" t="s">
        <v>11331</v>
      </c>
      <c r="D1469" s="191"/>
      <c r="E1469" s="191"/>
      <c r="F1469" s="191"/>
      <c r="G1469" s="251"/>
      <c r="H1469" s="760" t="str">
        <f>IF(Noty!H1469="","",Noty!H1469)</f>
        <v/>
      </c>
      <c r="I1469" s="760" t="str">
        <f>IF(Noty!I1469="","",Noty!I1469)</f>
        <v/>
      </c>
      <c r="J1469" s="499" t="str">
        <f>Noty!J1469</f>
        <v>ukryj</v>
      </c>
      <c r="K1469" s="489"/>
    </row>
    <row r="1470" spans="1:14" s="200" customFormat="1" ht="13.6" customHeight="1" x14ac:dyDescent="0.25">
      <c r="A1470" s="508"/>
      <c r="B1470" s="520"/>
      <c r="C1470" s="202" t="s">
        <v>11332</v>
      </c>
      <c r="D1470" s="191"/>
      <c r="E1470" s="191"/>
      <c r="F1470" s="191"/>
      <c r="G1470" s="251"/>
      <c r="H1470" s="760" t="str">
        <f>IF(Noty!H1470="","",Noty!H1470)</f>
        <v/>
      </c>
      <c r="I1470" s="760" t="str">
        <f>IF(Noty!I1470="","",Noty!I1470)</f>
        <v/>
      </c>
      <c r="J1470" s="499" t="str">
        <f>Noty!J1470</f>
        <v>ukryj</v>
      </c>
      <c r="K1470" s="489"/>
    </row>
    <row r="1471" spans="1:14" s="200" customFormat="1" ht="13.6" customHeight="1" x14ac:dyDescent="0.25">
      <c r="A1471" s="508"/>
      <c r="B1471" s="520"/>
      <c r="C1471" s="841"/>
      <c r="D1471" s="841"/>
      <c r="E1471" s="841"/>
      <c r="F1471" s="202"/>
      <c r="G1471" s="251"/>
      <c r="H1471" s="619">
        <f>IF(Noty!H1471="","",Noty!H1471)</f>
        <v>0</v>
      </c>
      <c r="I1471" s="619">
        <f>IF(Noty!I1471="","",Noty!I1471)</f>
        <v>0</v>
      </c>
      <c r="J1471" s="499" t="str">
        <f>Noty!J1471</f>
        <v>ukryj</v>
      </c>
      <c r="K1471" s="489"/>
    </row>
    <row r="1472" spans="1:14" s="200" customFormat="1" ht="13.6" customHeight="1" thickBot="1" x14ac:dyDescent="0.3">
      <c r="A1472" s="508"/>
      <c r="B1472" s="520"/>
      <c r="C1472" s="841"/>
      <c r="D1472" s="841"/>
      <c r="E1472" s="841"/>
      <c r="F1472" s="202"/>
      <c r="G1472" s="196"/>
      <c r="H1472" s="191"/>
      <c r="I1472" s="191"/>
      <c r="J1472" s="499" t="str">
        <f>Noty!J1472</f>
        <v>ukryj</v>
      </c>
      <c r="K1472" s="489"/>
      <c r="L1472" s="372"/>
    </row>
    <row r="1473" spans="1:14" s="200" customFormat="1" ht="15.75" customHeight="1" thickTop="1" thickBot="1" x14ac:dyDescent="0.35">
      <c r="A1473" s="1180">
        <f>IF(K1473="n/a",A1435,A1435+1)</f>
        <v>14</v>
      </c>
      <c r="B1473" s="1182"/>
      <c r="C1473" s="1388" t="s">
        <v>11336</v>
      </c>
      <c r="D1473" s="1388"/>
      <c r="E1473" s="1388"/>
      <c r="F1473" s="1388"/>
      <c r="G1473" s="1388"/>
      <c r="H1473" s="1388"/>
      <c r="I1473" s="1388"/>
      <c r="J1473" s="499" t="str">
        <f>Noty!J1473</f>
        <v>odkryj</v>
      </c>
      <c r="K1473" s="585" t="str">
        <f>Noty!K1473</f>
        <v/>
      </c>
      <c r="L1473" s="200" t="str">
        <f>A1473&amp;"."&amp;B1473</f>
        <v>14.</v>
      </c>
      <c r="N1473" s="1101" t="s">
        <v>9378</v>
      </c>
    </row>
    <row r="1474" spans="1:14" s="200" customFormat="1" ht="13.6" customHeight="1" thickTop="1" x14ac:dyDescent="0.25">
      <c r="A1474" s="508"/>
      <c r="B1474" s="520"/>
      <c r="E1474" s="196"/>
      <c r="F1474" s="196"/>
      <c r="G1474" s="196"/>
      <c r="H1474" s="196"/>
      <c r="I1474" s="196"/>
      <c r="J1474" s="499" t="str">
        <f>Noty!J1474</f>
        <v>odkryj</v>
      </c>
      <c r="K1474" s="489"/>
    </row>
    <row r="1475" spans="1:14" s="200" customFormat="1" ht="13.6" customHeight="1" x14ac:dyDescent="0.25">
      <c r="A1475" s="508"/>
      <c r="B1475" s="520"/>
      <c r="C1475" s="221" t="s">
        <v>11337</v>
      </c>
      <c r="D1475" s="476"/>
      <c r="E1475" s="196"/>
      <c r="F1475" s="196"/>
      <c r="G1475" s="196"/>
      <c r="H1475" s="196"/>
      <c r="I1475" s="196"/>
      <c r="J1475" s="499" t="str">
        <f>Noty!J1475</f>
        <v>ukryj</v>
      </c>
      <c r="K1475" s="489"/>
      <c r="L1475" s="372"/>
    </row>
    <row r="1476" spans="1:14" s="200" customFormat="1" ht="13.6" customHeight="1" thickBot="1" x14ac:dyDescent="0.3">
      <c r="A1476" s="508"/>
      <c r="B1476" s="520"/>
      <c r="C1476" s="221"/>
      <c r="D1476" s="476"/>
      <c r="E1476" s="196"/>
      <c r="F1476" s="196"/>
      <c r="G1476" s="196"/>
      <c r="H1476" s="196"/>
      <c r="I1476" s="196"/>
      <c r="J1476" s="499" t="str">
        <f>Noty!J1476</f>
        <v>ukryj</v>
      </c>
      <c r="K1476" s="489"/>
    </row>
    <row r="1477" spans="1:14" s="200" customFormat="1" ht="15.05" customHeight="1" thickTop="1" thickBot="1" x14ac:dyDescent="0.3">
      <c r="A1477" s="508"/>
      <c r="B1477" s="520"/>
      <c r="C1477" s="222" t="s">
        <v>11338</v>
      </c>
      <c r="D1477" s="598"/>
      <c r="E1477" s="598"/>
      <c r="F1477" s="689" t="s">
        <v>11339</v>
      </c>
      <c r="G1477" s="689" t="s">
        <v>11340</v>
      </c>
      <c r="H1477" s="689" t="s">
        <v>11341</v>
      </c>
      <c r="I1477" s="598" t="s">
        <v>11134</v>
      </c>
      <c r="J1477" s="499" t="str">
        <f>Noty!J1477</f>
        <v>ukryj</v>
      </c>
      <c r="K1477" s="585" t="str">
        <f>Noty!K1477</f>
        <v>n/a</v>
      </c>
      <c r="L1477" s="372"/>
    </row>
    <row r="1478" spans="1:14" s="200" customFormat="1" ht="13.6" customHeight="1" thickTop="1" x14ac:dyDescent="0.25">
      <c r="A1478" s="508"/>
      <c r="B1478" s="520"/>
      <c r="C1478" s="221"/>
      <c r="D1478" s="476"/>
      <c r="E1478" s="476"/>
      <c r="F1478" s="196"/>
      <c r="G1478" s="196"/>
      <c r="H1478" s="196"/>
      <c r="I1478" s="196"/>
      <c r="J1478" s="499" t="str">
        <f>Noty!J1478</f>
        <v>ukryj</v>
      </c>
      <c r="K1478" s="489"/>
    </row>
    <row r="1479" spans="1:14" s="200" customFormat="1" ht="13.6" customHeight="1" x14ac:dyDescent="0.25">
      <c r="A1479" s="508"/>
      <c r="B1479" s="520"/>
      <c r="C1479" s="1504" t="str">
        <f>IF(Noty!C1479="","",Noty!C1479)</f>
        <v/>
      </c>
      <c r="D1479" s="1432"/>
      <c r="E1479" s="1432"/>
      <c r="F1479" s="1103" t="str">
        <f>IF(Noty!F1479="","",Noty!F1479)</f>
        <v/>
      </c>
      <c r="G1479" s="1103" t="str">
        <f>IF(Noty!G1479="","",Noty!G1479)</f>
        <v/>
      </c>
      <c r="H1479" s="1103" t="str">
        <f>IF(Noty!H1479="","",Noty!H1479)</f>
        <v/>
      </c>
      <c r="I1479" s="1103" t="str">
        <f>IF(Noty!I1479="","",Noty!I1479)</f>
        <v/>
      </c>
      <c r="J1479" s="499" t="str">
        <f>Noty!J1479</f>
        <v>ukryj</v>
      </c>
      <c r="K1479" s="489"/>
    </row>
    <row r="1480" spans="1:14" s="200" customFormat="1" ht="13.6" customHeight="1" x14ac:dyDescent="0.25">
      <c r="A1480" s="508"/>
      <c r="B1480" s="520"/>
      <c r="C1480" s="1504" t="str">
        <f>IF(Noty!C1480="","",Noty!C1480)</f>
        <v/>
      </c>
      <c r="D1480" s="1432"/>
      <c r="E1480" s="1432"/>
      <c r="F1480" s="1103" t="str">
        <f>IF(Noty!F1480="","",Noty!F1480)</f>
        <v/>
      </c>
      <c r="G1480" s="1103" t="str">
        <f>IF(Noty!G1480="","",Noty!G1480)</f>
        <v/>
      </c>
      <c r="H1480" s="1103" t="str">
        <f>IF(Noty!H1480="","",Noty!H1480)</f>
        <v/>
      </c>
      <c r="I1480" s="1103" t="str">
        <f>IF(Noty!I1480="","",Noty!I1480)</f>
        <v/>
      </c>
      <c r="J1480" s="499" t="str">
        <f>Noty!J1480</f>
        <v>ukryj</v>
      </c>
      <c r="K1480" s="489"/>
    </row>
    <row r="1481" spans="1:14" s="200" customFormat="1" ht="13.6" customHeight="1" x14ac:dyDescent="0.25">
      <c r="A1481" s="508"/>
      <c r="B1481" s="520"/>
      <c r="C1481" s="1504" t="str">
        <f>IF(Noty!C1481="","",Noty!C1481)</f>
        <v/>
      </c>
      <c r="D1481" s="1432"/>
      <c r="E1481" s="1432"/>
      <c r="F1481" s="1103" t="str">
        <f>IF(Noty!F1481="","",Noty!F1481)</f>
        <v/>
      </c>
      <c r="G1481" s="1103" t="str">
        <f>IF(Noty!G1481="","",Noty!G1481)</f>
        <v/>
      </c>
      <c r="H1481" s="1103" t="str">
        <f>IF(Noty!H1481="","",Noty!H1481)</f>
        <v/>
      </c>
      <c r="I1481" s="1103" t="str">
        <f>IF(Noty!I1481="","",Noty!I1481)</f>
        <v/>
      </c>
      <c r="J1481" s="499" t="str">
        <f>Noty!J1481</f>
        <v>ukryj</v>
      </c>
      <c r="K1481" s="489"/>
    </row>
    <row r="1482" spans="1:14" s="200" customFormat="1" ht="13.6" customHeight="1" x14ac:dyDescent="0.25">
      <c r="A1482" s="508"/>
      <c r="B1482" s="520"/>
      <c r="C1482" s="1504" t="str">
        <f>IF(Noty!C1482="","",Noty!C1482)</f>
        <v/>
      </c>
      <c r="D1482" s="1432"/>
      <c r="E1482" s="1432"/>
      <c r="F1482" s="1103" t="str">
        <f>IF(Noty!F1482="","",Noty!F1482)</f>
        <v/>
      </c>
      <c r="G1482" s="1103" t="str">
        <f>IF(Noty!G1482="","",Noty!G1482)</f>
        <v/>
      </c>
      <c r="H1482" s="1103" t="str">
        <f>IF(Noty!H1482="","",Noty!H1482)</f>
        <v/>
      </c>
      <c r="I1482" s="1103" t="str">
        <f>IF(Noty!I1482="","",Noty!I1482)</f>
        <v/>
      </c>
      <c r="J1482" s="499" t="str">
        <f>Noty!J1482</f>
        <v>ukryj</v>
      </c>
      <c r="K1482" s="489"/>
    </row>
    <row r="1483" spans="1:14" s="200" customFormat="1" ht="13.6" customHeight="1" x14ac:dyDescent="0.25">
      <c r="A1483" s="508"/>
      <c r="B1483" s="520"/>
      <c r="C1483" s="1504" t="str">
        <f>IF(Noty!C1483="","",Noty!C1483)</f>
        <v/>
      </c>
      <c r="D1483" s="1432"/>
      <c r="E1483" s="1432"/>
      <c r="F1483" s="1103" t="str">
        <f>IF(Noty!F1483="","",Noty!F1483)</f>
        <v/>
      </c>
      <c r="G1483" s="1103" t="str">
        <f>IF(Noty!G1483="","",Noty!G1483)</f>
        <v/>
      </c>
      <c r="H1483" s="1103" t="str">
        <f>IF(Noty!H1483="","",Noty!H1483)</f>
        <v/>
      </c>
      <c r="I1483" s="1103" t="str">
        <f>IF(Noty!I1483="","",Noty!I1483)</f>
        <v/>
      </c>
      <c r="J1483" s="499" t="str">
        <f>Noty!J1483</f>
        <v>ukryj</v>
      </c>
      <c r="K1483" s="489"/>
    </row>
    <row r="1484" spans="1:14" s="200" customFormat="1" ht="13.6" customHeight="1" x14ac:dyDescent="0.25">
      <c r="A1484" s="508"/>
      <c r="B1484" s="520"/>
      <c r="C1484" s="221"/>
      <c r="D1484" s="476"/>
      <c r="F1484" s="803">
        <f>IF(Noty!F1484="","",Noty!F1484)</f>
        <v>0</v>
      </c>
      <c r="G1484" s="803">
        <f>IF(Noty!G1484="","",Noty!G1484)</f>
        <v>0</v>
      </c>
      <c r="H1484" s="803">
        <f>IF(Noty!H1484="","",Noty!H1484)</f>
        <v>0</v>
      </c>
      <c r="I1484" s="803">
        <f>IF(Noty!I1484="","",Noty!I1484)</f>
        <v>0</v>
      </c>
      <c r="J1484" s="499" t="str">
        <f>Noty!J1484</f>
        <v>ukryj</v>
      </c>
      <c r="K1484" s="489"/>
    </row>
    <row r="1485" spans="1:14" s="200" customFormat="1" ht="13.6" customHeight="1" thickBot="1" x14ac:dyDescent="0.3">
      <c r="A1485" s="508"/>
      <c r="B1485" s="520"/>
      <c r="C1485" s="219" t="s">
        <v>7756</v>
      </c>
      <c r="D1485" s="476"/>
      <c r="E1485" s="196"/>
      <c r="F1485" s="196"/>
      <c r="G1485" s="196"/>
      <c r="H1485" s="196"/>
      <c r="I1485" s="196"/>
      <c r="J1485" s="499" t="str">
        <f>Noty!J1485</f>
        <v>ukryj</v>
      </c>
      <c r="K1485" s="489"/>
    </row>
    <row r="1486" spans="1:14" s="200" customFormat="1" ht="13.6" customHeight="1" thickTop="1" thickBot="1" x14ac:dyDescent="0.3">
      <c r="A1486" s="508"/>
      <c r="B1486" s="520"/>
      <c r="C1486" s="1433" t="s">
        <v>11342</v>
      </c>
      <c r="D1486" s="1433"/>
      <c r="E1486" s="1433"/>
      <c r="F1486" s="1433"/>
      <c r="G1486" s="1433"/>
      <c r="H1486" s="1433"/>
      <c r="I1486" s="1433"/>
      <c r="J1486" s="499" t="str">
        <f>Noty!J1486</f>
        <v>odkryj</v>
      </c>
      <c r="K1486" s="585" t="str">
        <f>Noty!K1486</f>
        <v/>
      </c>
      <c r="L1486" s="176"/>
    </row>
    <row r="1487" spans="1:14" s="200" customFormat="1" ht="13.6" customHeight="1" thickTop="1" thickBot="1" x14ac:dyDescent="0.3">
      <c r="A1487" s="508"/>
      <c r="B1487" s="520"/>
      <c r="E1487" s="196"/>
      <c r="F1487" s="196"/>
      <c r="G1487" s="196"/>
      <c r="H1487" s="196"/>
      <c r="I1487" s="196"/>
      <c r="J1487" s="499" t="str">
        <f>Noty!J1487</f>
        <v>odkryj</v>
      </c>
      <c r="K1487" s="489"/>
    </row>
    <row r="1488" spans="1:14" s="200" customFormat="1" ht="16.55" customHeight="1" thickTop="1" thickBot="1" x14ac:dyDescent="0.35">
      <c r="A1488" s="1180">
        <f>IF(K1488="n/a",A1473,A1473+1)</f>
        <v>15</v>
      </c>
      <c r="B1488" s="1182"/>
      <c r="C1488" s="1388" t="s">
        <v>11343</v>
      </c>
      <c r="D1488" s="1388"/>
      <c r="E1488" s="1388"/>
      <c r="F1488" s="1388"/>
      <c r="G1488" s="1388"/>
      <c r="H1488" s="1388"/>
      <c r="I1488" s="1388"/>
      <c r="J1488" s="499" t="str">
        <f>Noty!J1488</f>
        <v>odkryj</v>
      </c>
      <c r="K1488" s="585" t="str">
        <f>Noty!K1488</f>
        <v/>
      </c>
      <c r="L1488" s="200" t="str">
        <f>A1488&amp;"."&amp;B1488</f>
        <v>15.</v>
      </c>
      <c r="N1488" s="1101" t="s">
        <v>9378</v>
      </c>
    </row>
    <row r="1489" spans="1:14" s="200" customFormat="1" ht="13.6" customHeight="1" thickTop="1" thickBot="1" x14ac:dyDescent="0.3">
      <c r="A1489" s="508"/>
      <c r="B1489" s="520"/>
      <c r="C1489" s="218"/>
      <c r="D1489" s="218"/>
      <c r="E1489" s="196"/>
      <c r="F1489" s="196"/>
      <c r="G1489" s="196"/>
      <c r="H1489" s="196"/>
      <c r="I1489" s="196"/>
      <c r="J1489" s="499" t="str">
        <f>Noty!J1489</f>
        <v>odkryj</v>
      </c>
      <c r="K1489" s="489"/>
    </row>
    <row r="1490" spans="1:14" s="200" customFormat="1" ht="121.6" customHeight="1" thickTop="1" thickBot="1" x14ac:dyDescent="0.3">
      <c r="A1490" s="508"/>
      <c r="B1490" s="520"/>
      <c r="C1490" s="1437" t="s">
        <v>11344</v>
      </c>
      <c r="D1490" s="1437"/>
      <c r="E1490" s="1437"/>
      <c r="F1490" s="1437"/>
      <c r="G1490" s="1437"/>
      <c r="H1490" s="1437"/>
      <c r="I1490" s="1437"/>
      <c r="J1490" s="499" t="str">
        <f>Noty!J1490</f>
        <v>ukryj</v>
      </c>
      <c r="K1490" s="585" t="str">
        <f>Noty!K1490</f>
        <v>n/a</v>
      </c>
      <c r="L1490" s="372"/>
    </row>
    <row r="1491" spans="1:14" s="200" customFormat="1" ht="13.6" customHeight="1" thickTop="1" x14ac:dyDescent="0.25">
      <c r="A1491" s="508"/>
      <c r="B1491" s="520"/>
      <c r="C1491" s="218"/>
      <c r="D1491" s="218"/>
      <c r="E1491" s="196"/>
      <c r="F1491" s="196"/>
      <c r="G1491" s="196"/>
      <c r="H1491" s="196"/>
      <c r="I1491" s="196"/>
      <c r="J1491" s="499" t="str">
        <f>Noty!J1491</f>
        <v>ukryj</v>
      </c>
      <c r="K1491" s="489"/>
    </row>
    <row r="1492" spans="1:14" s="200" customFormat="1" ht="13.6" customHeight="1" thickBot="1" x14ac:dyDescent="0.3">
      <c r="A1492" s="508"/>
      <c r="B1492" s="520"/>
      <c r="C1492" s="219" t="s">
        <v>7756</v>
      </c>
      <c r="D1492" s="218"/>
      <c r="E1492" s="196"/>
      <c r="F1492" s="196"/>
      <c r="G1492" s="196"/>
      <c r="H1492" s="196"/>
      <c r="I1492" s="196"/>
      <c r="J1492" s="499" t="str">
        <f>Noty!J1492</f>
        <v>ukryj</v>
      </c>
      <c r="K1492" s="489"/>
    </row>
    <row r="1493" spans="1:14" s="200" customFormat="1" ht="13.6" customHeight="1" thickTop="1" thickBot="1" x14ac:dyDescent="0.3">
      <c r="A1493" s="508"/>
      <c r="B1493" s="520"/>
      <c r="C1493" s="1385" t="s">
        <v>11345</v>
      </c>
      <c r="D1493" s="1385"/>
      <c r="E1493" s="1385"/>
      <c r="F1493" s="1385"/>
      <c r="G1493" s="1385"/>
      <c r="H1493" s="1385"/>
      <c r="I1493" s="1385"/>
      <c r="J1493" s="499" t="str">
        <f>Noty!J1493</f>
        <v>odkryj</v>
      </c>
      <c r="K1493" s="585" t="str">
        <f>Noty!K1493</f>
        <v/>
      </c>
      <c r="L1493" s="372"/>
    </row>
    <row r="1494" spans="1:14" s="200" customFormat="1" ht="13.6" customHeight="1" thickTop="1" thickBot="1" x14ac:dyDescent="0.3">
      <c r="A1494" s="508"/>
      <c r="B1494" s="520"/>
      <c r="C1494" s="218"/>
      <c r="D1494" s="218"/>
      <c r="E1494" s="196"/>
      <c r="F1494" s="196"/>
      <c r="G1494" s="196"/>
      <c r="H1494" s="196"/>
      <c r="I1494" s="196"/>
      <c r="J1494" s="499" t="str">
        <f>Noty!J1494</f>
        <v>odkryj</v>
      </c>
      <c r="K1494" s="489"/>
    </row>
    <row r="1495" spans="1:14" s="200" customFormat="1" ht="13.6" customHeight="1" thickTop="1" thickBot="1" x14ac:dyDescent="0.35">
      <c r="A1495" s="1180">
        <f>IF(K1495="n/a",A1488,A1488+1)</f>
        <v>15</v>
      </c>
      <c r="B1495" s="1182"/>
      <c r="C1495" s="1388" t="s">
        <v>11346</v>
      </c>
      <c r="D1495" s="1388"/>
      <c r="E1495" s="1388"/>
      <c r="F1495" s="1388"/>
      <c r="G1495" s="1388"/>
      <c r="H1495" s="1388"/>
      <c r="I1495" s="1388"/>
      <c r="J1495" s="499" t="str">
        <f>Noty!J1495</f>
        <v>ukryj</v>
      </c>
      <c r="K1495" s="585" t="str">
        <f>Noty!K1495</f>
        <v>n/a</v>
      </c>
      <c r="L1495" s="200" t="str">
        <f>A1495&amp;"."&amp;B1495</f>
        <v>15.</v>
      </c>
      <c r="N1495" s="1101" t="s">
        <v>9378</v>
      </c>
    </row>
    <row r="1496" spans="1:14" s="200" customFormat="1" ht="13.6" customHeight="1" thickTop="1" x14ac:dyDescent="0.25">
      <c r="A1496" s="508"/>
      <c r="B1496" s="520"/>
      <c r="C1496" s="195"/>
      <c r="E1496" s="196"/>
      <c r="F1496" s="196"/>
      <c r="G1496" s="196"/>
      <c r="H1496" s="196"/>
      <c r="I1496" s="196"/>
      <c r="J1496" s="499" t="str">
        <f>Noty!J1496</f>
        <v>ukryj</v>
      </c>
      <c r="K1496" s="489"/>
    </row>
    <row r="1497" spans="1:14" s="200" customFormat="1" ht="29.3" customHeight="1" x14ac:dyDescent="0.25">
      <c r="A1497" s="508"/>
      <c r="B1497" s="520"/>
      <c r="C1497" s="1438" t="s">
        <v>11347</v>
      </c>
      <c r="D1497" s="1438"/>
      <c r="E1497" s="1438"/>
      <c r="F1497" s="1438"/>
      <c r="G1497" s="1438"/>
      <c r="H1497" s="1438"/>
      <c r="I1497" s="1438"/>
      <c r="J1497" s="499" t="str">
        <f>Noty!J1497</f>
        <v>ukryj</v>
      </c>
      <c r="K1497" s="489"/>
    </row>
    <row r="1498" spans="1:14" s="200" customFormat="1" ht="13.6" customHeight="1" x14ac:dyDescent="0.25">
      <c r="A1498" s="508"/>
      <c r="B1498" s="520"/>
      <c r="E1498" s="196"/>
      <c r="F1498" s="196"/>
      <c r="G1498" s="196"/>
      <c r="H1498" s="196"/>
      <c r="I1498" s="196"/>
      <c r="J1498" s="499" t="str">
        <f>Noty!J1498</f>
        <v>ukryj</v>
      </c>
      <c r="K1498" s="489"/>
    </row>
    <row r="1499" spans="1:14" s="200" customFormat="1" ht="63.85" customHeight="1" x14ac:dyDescent="0.25">
      <c r="A1499" s="508"/>
      <c r="B1499" s="520"/>
      <c r="C1499" s="1439" t="s">
        <v>11348</v>
      </c>
      <c r="D1499" s="1439"/>
      <c r="E1499" s="637" t="s">
        <v>11349</v>
      </c>
      <c r="F1499" s="1440" t="s">
        <v>11350</v>
      </c>
      <c r="G1499" s="1440"/>
      <c r="H1499" s="637" t="s">
        <v>11351</v>
      </c>
      <c r="I1499" s="637" t="s">
        <v>11352</v>
      </c>
      <c r="J1499" s="499" t="str">
        <f>Noty!J1499</f>
        <v>ukryj</v>
      </c>
      <c r="K1499" s="489"/>
    </row>
    <row r="1500" spans="1:14" s="200" customFormat="1" ht="13.6" customHeight="1" x14ac:dyDescent="0.25">
      <c r="A1500" s="508"/>
      <c r="B1500" s="520"/>
      <c r="C1500" s="1504" t="str">
        <f>IF(Noty!C1500="","",Noty!C1500)</f>
        <v/>
      </c>
      <c r="D1500" s="1432"/>
      <c r="E1500" s="1157" t="str">
        <f>IF(Noty!E1500="","",Noty!E1500)</f>
        <v/>
      </c>
      <c r="F1500" s="1507" t="str">
        <f>IF(Noty!F1500="","",Noty!F1500)</f>
        <v/>
      </c>
      <c r="G1500" s="1436"/>
      <c r="H1500" s="1157" t="str">
        <f>IF(Noty!H1500="","",Noty!H1500)</f>
        <v/>
      </c>
      <c r="I1500" s="1157" t="str">
        <f>IF(Noty!I1500="","",Noty!I1500)</f>
        <v/>
      </c>
      <c r="J1500" s="499" t="str">
        <f>Noty!J1500</f>
        <v>ukryj</v>
      </c>
      <c r="K1500" s="489"/>
    </row>
    <row r="1501" spans="1:14" s="200" customFormat="1" ht="13.6" customHeight="1" x14ac:dyDescent="0.25">
      <c r="A1501" s="508"/>
      <c r="B1501" s="520"/>
      <c r="C1501" s="1504" t="str">
        <f>IF(Noty!C1501="","",Noty!C1501)</f>
        <v/>
      </c>
      <c r="D1501" s="1432"/>
      <c r="E1501" s="1157" t="str">
        <f>IF(Noty!E1501="","",Noty!E1501)</f>
        <v/>
      </c>
      <c r="F1501" s="1507" t="str">
        <f>IF(Noty!F1501="","",Noty!F1501)</f>
        <v/>
      </c>
      <c r="G1501" s="1436"/>
      <c r="H1501" s="1157" t="str">
        <f>IF(Noty!H1501="","",Noty!H1501)</f>
        <v/>
      </c>
      <c r="I1501" s="1157" t="str">
        <f>IF(Noty!I1501="","",Noty!I1501)</f>
        <v/>
      </c>
      <c r="J1501" s="499" t="str">
        <f>Noty!J1501</f>
        <v>ukryj</v>
      </c>
      <c r="K1501" s="489"/>
    </row>
    <row r="1502" spans="1:14" s="200" customFormat="1" ht="13.6" customHeight="1" x14ac:dyDescent="0.25">
      <c r="A1502" s="508"/>
      <c r="B1502" s="520"/>
      <c r="C1502" s="1504" t="str">
        <f>IF(Noty!C1502="","",Noty!C1502)</f>
        <v/>
      </c>
      <c r="D1502" s="1432"/>
      <c r="E1502" s="1157" t="str">
        <f>IF(Noty!E1502="","",Noty!E1502)</f>
        <v/>
      </c>
      <c r="F1502" s="1507" t="str">
        <f>IF(Noty!F1502="","",Noty!F1502)</f>
        <v/>
      </c>
      <c r="G1502" s="1436"/>
      <c r="H1502" s="1157" t="str">
        <f>IF(Noty!H1502="","",Noty!H1502)</f>
        <v/>
      </c>
      <c r="I1502" s="1157" t="str">
        <f>IF(Noty!I1502="","",Noty!I1502)</f>
        <v/>
      </c>
      <c r="J1502" s="499" t="str">
        <f>Noty!J1502</f>
        <v>ukryj</v>
      </c>
      <c r="K1502" s="489"/>
    </row>
    <row r="1503" spans="1:14" s="200" customFormat="1" ht="13.6" customHeight="1" x14ac:dyDescent="0.25">
      <c r="A1503" s="508"/>
      <c r="B1503" s="520"/>
      <c r="C1503" s="1504" t="str">
        <f>IF(Noty!C1503="","",Noty!C1503)</f>
        <v/>
      </c>
      <c r="D1503" s="1432"/>
      <c r="E1503" s="1157" t="str">
        <f>IF(Noty!E1503="","",Noty!E1503)</f>
        <v/>
      </c>
      <c r="F1503" s="1507" t="str">
        <f>IF(Noty!F1503="","",Noty!F1503)</f>
        <v/>
      </c>
      <c r="G1503" s="1436"/>
      <c r="H1503" s="1157" t="str">
        <f>IF(Noty!H1503="","",Noty!H1503)</f>
        <v/>
      </c>
      <c r="I1503" s="1157" t="str">
        <f>IF(Noty!I1503="","",Noty!I1503)</f>
        <v/>
      </c>
      <c r="J1503" s="499" t="str">
        <f>Noty!J1503</f>
        <v>ukryj</v>
      </c>
      <c r="K1503" s="489"/>
    </row>
    <row r="1504" spans="1:14" s="200" customFormat="1" ht="13.6" customHeight="1" x14ac:dyDescent="0.25">
      <c r="A1504" s="508"/>
      <c r="B1504" s="520"/>
      <c r="C1504" s="1504" t="str">
        <f>IF(Noty!C1504="","",Noty!C1504)</f>
        <v/>
      </c>
      <c r="D1504" s="1432"/>
      <c r="E1504" s="1157" t="str">
        <f>IF(Noty!E1504="","",Noty!E1504)</f>
        <v/>
      </c>
      <c r="F1504" s="1507" t="str">
        <f>IF(Noty!F1504="","",Noty!F1504)</f>
        <v/>
      </c>
      <c r="G1504" s="1436"/>
      <c r="H1504" s="1157" t="str">
        <f>IF(Noty!H1504="","",Noty!H1504)</f>
        <v/>
      </c>
      <c r="I1504" s="1157" t="str">
        <f>IF(Noty!I1504="","",Noty!I1504)</f>
        <v/>
      </c>
      <c r="J1504" s="499" t="str">
        <f>Noty!J1504</f>
        <v>ukryj</v>
      </c>
      <c r="K1504" s="489"/>
    </row>
    <row r="1505" spans="1:14" s="200" customFormat="1" ht="13.6" customHeight="1" x14ac:dyDescent="0.25">
      <c r="A1505" s="508"/>
      <c r="B1505" s="520"/>
      <c r="C1505" s="1504" t="str">
        <f>IF(Noty!C1505="","",Noty!C1505)</f>
        <v/>
      </c>
      <c r="D1505" s="1432"/>
      <c r="E1505" s="1157" t="str">
        <f>IF(Noty!E1505="","",Noty!E1505)</f>
        <v/>
      </c>
      <c r="F1505" s="1508" t="str">
        <f>IF(Noty!F1505="","",Noty!F1505)</f>
        <v/>
      </c>
      <c r="G1505" s="1445"/>
      <c r="H1505" s="1157" t="str">
        <f>IF(Noty!H1505="","",Noty!H1505)</f>
        <v/>
      </c>
      <c r="I1505" s="1157" t="str">
        <f>IF(Noty!I1505="","",Noty!I1505)</f>
        <v/>
      </c>
      <c r="J1505" s="499" t="str">
        <f>Noty!J1505</f>
        <v>ukryj</v>
      </c>
      <c r="K1505" s="489"/>
    </row>
    <row r="1506" spans="1:14" s="200" customFormat="1" ht="13.6" customHeight="1" x14ac:dyDescent="0.25">
      <c r="A1506" s="508"/>
      <c r="B1506" s="520"/>
      <c r="D1506" s="183"/>
      <c r="E1506" s="836">
        <f>IF(Noty!E1506="","",Noty!E1506)</f>
        <v>0</v>
      </c>
      <c r="F1506" s="1446">
        <f>IF(Noty!F1506="","",Noty!F1506)</f>
        <v>0</v>
      </c>
      <c r="G1506" s="1446"/>
      <c r="H1506" s="836">
        <f>IF(Noty!H1506="","",Noty!H1506)</f>
        <v>0</v>
      </c>
      <c r="I1506" s="836">
        <f>IF(Noty!I1506="","",Noty!I1506)</f>
        <v>0</v>
      </c>
      <c r="J1506" s="499" t="str">
        <f>Noty!J1506</f>
        <v>ukryj</v>
      </c>
      <c r="K1506" s="489"/>
    </row>
    <row r="1507" spans="1:14" s="200" customFormat="1" ht="13.6" customHeight="1" thickBot="1" x14ac:dyDescent="0.3">
      <c r="A1507" s="508"/>
      <c r="B1507" s="520"/>
      <c r="E1507" s="196"/>
      <c r="F1507" s="196"/>
      <c r="G1507" s="196"/>
      <c r="H1507" s="196"/>
      <c r="I1507" s="196"/>
      <c r="J1507" s="499" t="str">
        <f>Noty!J1507</f>
        <v>ukryj</v>
      </c>
      <c r="K1507" s="489"/>
    </row>
    <row r="1508" spans="1:14" s="200" customFormat="1" ht="15.05" customHeight="1" thickTop="1" thickBot="1" x14ac:dyDescent="0.35">
      <c r="A1508" s="1180">
        <f>IF(K1508="n/a",A1495,A1495+1)</f>
        <v>16</v>
      </c>
      <c r="B1508" s="1182"/>
      <c r="C1508" s="1387" t="s">
        <v>11353</v>
      </c>
      <c r="D1508" s="1387"/>
      <c r="E1508" s="1387"/>
      <c r="F1508" s="1387"/>
      <c r="G1508" s="1387"/>
      <c r="H1508" s="1387"/>
      <c r="I1508" s="1387"/>
      <c r="J1508" s="499" t="str">
        <f>Noty!J1508</f>
        <v>odkryj</v>
      </c>
      <c r="K1508" s="585" t="str">
        <f>Noty!K1508</f>
        <v/>
      </c>
      <c r="L1508" s="200" t="str">
        <f>A1508&amp;"."&amp;B1508</f>
        <v>16.</v>
      </c>
      <c r="N1508" s="1101" t="s">
        <v>9378</v>
      </c>
    </row>
    <row r="1509" spans="1:14" s="200" customFormat="1" ht="13.6" customHeight="1" thickTop="1" thickBot="1" x14ac:dyDescent="0.3">
      <c r="A1509" s="513"/>
      <c r="B1509" s="523"/>
      <c r="C1509" s="502"/>
      <c r="D1509" s="503"/>
      <c r="E1509" s="503"/>
      <c r="F1509" s="503"/>
      <c r="G1509" s="503"/>
      <c r="H1509" s="503"/>
      <c r="I1509" s="503"/>
      <c r="J1509" s="499" t="str">
        <f>Noty!J1509</f>
        <v>odkryj</v>
      </c>
      <c r="K1509" s="489"/>
      <c r="L1509" s="243"/>
    </row>
    <row r="1510" spans="1:14" s="200" customFormat="1" ht="29.3" customHeight="1" thickTop="1" thickBot="1" x14ac:dyDescent="0.3">
      <c r="A1510" s="513"/>
      <c r="B1510" s="523"/>
      <c r="C1510" s="1441" t="s">
        <v>11354</v>
      </c>
      <c r="D1510" s="1441"/>
      <c r="E1510" s="1395" t="s">
        <v>11355</v>
      </c>
      <c r="F1510" s="1395"/>
      <c r="G1510" s="752" t="s">
        <v>11356</v>
      </c>
      <c r="H1510" s="503"/>
      <c r="I1510" s="503"/>
      <c r="J1510" s="499" t="str">
        <f>Noty!J1510</f>
        <v>ukryj</v>
      </c>
      <c r="K1510" s="585" t="str">
        <f>Noty!K1510</f>
        <v>n/a</v>
      </c>
      <c r="L1510" s="489"/>
    </row>
    <row r="1511" spans="1:14" s="200" customFormat="1" ht="13.75" thickTop="1" x14ac:dyDescent="0.25">
      <c r="A1511" s="508"/>
      <c r="B1511" s="520"/>
      <c r="C1511" s="1509" t="str">
        <f>IF(Noty!C1511="","",Noty!C1511)</f>
        <v/>
      </c>
      <c r="D1511" s="1442"/>
      <c r="E1511" s="1510" t="str">
        <f>IF(Noty!E1511="","",Noty!E1511)</f>
        <v/>
      </c>
      <c r="F1511" s="1443"/>
      <c r="G1511" s="1158" t="str">
        <f>IF(Noty!G1511="","",Noty!G1511)</f>
        <v/>
      </c>
      <c r="H1511" s="503"/>
      <c r="I1511" s="503"/>
      <c r="J1511" s="499" t="str">
        <f>Noty!J1511</f>
        <v>ukryj</v>
      </c>
      <c r="K1511" s="489"/>
      <c r="L1511" s="489"/>
    </row>
    <row r="1512" spans="1:14" s="200" customFormat="1" x14ac:dyDescent="0.25">
      <c r="A1512" s="508"/>
      <c r="B1512" s="520"/>
      <c r="C1512" s="1504" t="str">
        <f>IF(Noty!C1512="","",Noty!C1512)</f>
        <v/>
      </c>
      <c r="D1512" s="1432"/>
      <c r="E1512" s="1506" t="str">
        <f>IF(Noty!E1512="","",Noty!E1512)</f>
        <v/>
      </c>
      <c r="F1512" s="1444"/>
      <c r="G1512" s="1158" t="str">
        <f>IF(Noty!G1512="","",Noty!G1512)</f>
        <v/>
      </c>
      <c r="H1512" s="503"/>
      <c r="I1512" s="503"/>
      <c r="J1512" s="499" t="str">
        <f>Noty!J1512</f>
        <v>ukryj</v>
      </c>
      <c r="K1512" s="489"/>
      <c r="L1512" s="489"/>
    </row>
    <row r="1513" spans="1:14" s="200" customFormat="1" x14ac:dyDescent="0.25">
      <c r="A1513" s="508"/>
      <c r="B1513" s="520"/>
      <c r="C1513" s="1504" t="str">
        <f>IF(Noty!C1513="","",Noty!C1513)</f>
        <v/>
      </c>
      <c r="D1513" s="1432"/>
      <c r="E1513" s="1506" t="str">
        <f>IF(Noty!E1513="","",Noty!E1513)</f>
        <v/>
      </c>
      <c r="F1513" s="1444"/>
      <c r="G1513" s="1158" t="str">
        <f>IF(Noty!G1513="","",Noty!G1513)</f>
        <v/>
      </c>
      <c r="H1513" s="503"/>
      <c r="I1513" s="503"/>
      <c r="J1513" s="499" t="str">
        <f>Noty!J1513</f>
        <v>ukryj</v>
      </c>
      <c r="K1513" s="489"/>
      <c r="L1513" s="489"/>
    </row>
    <row r="1514" spans="1:14" s="489" customFormat="1" x14ac:dyDescent="0.25">
      <c r="D1514" s="581"/>
      <c r="E1514" s="581"/>
      <c r="F1514" s="581"/>
      <c r="G1514" s="581"/>
      <c r="H1514" s="581"/>
      <c r="I1514" s="581"/>
      <c r="J1514" s="499" t="str">
        <f>Noty!J1514</f>
        <v>ukryj</v>
      </c>
    </row>
    <row r="1515" spans="1:14" s="489" customFormat="1" ht="13.75" thickBot="1" x14ac:dyDescent="0.3">
      <c r="C1515" s="219" t="s">
        <v>7756</v>
      </c>
      <c r="D1515" s="218"/>
      <c r="E1515" s="196"/>
      <c r="F1515" s="196"/>
      <c r="G1515" s="196"/>
      <c r="H1515" s="196"/>
      <c r="I1515" s="196"/>
      <c r="J1515" s="499" t="str">
        <f>Noty!J1515</f>
        <v>ukryj</v>
      </c>
    </row>
    <row r="1516" spans="1:14" s="489" customFormat="1" ht="14.4" thickTop="1" thickBot="1" x14ac:dyDescent="0.3">
      <c r="A1516" s="508"/>
      <c r="B1516" s="520"/>
      <c r="C1516" s="1385" t="s">
        <v>11357</v>
      </c>
      <c r="D1516" s="1385"/>
      <c r="E1516" s="1385"/>
      <c r="F1516" s="1385"/>
      <c r="G1516" s="1385"/>
      <c r="H1516" s="1385"/>
      <c r="I1516" s="1385"/>
      <c r="J1516" s="499" t="str">
        <f>Noty!J1516</f>
        <v>odkryj</v>
      </c>
      <c r="K1516" s="585" t="str">
        <f>Noty!K1516</f>
        <v/>
      </c>
    </row>
    <row r="1517" spans="1:14" s="200" customFormat="1" ht="13.6" customHeight="1" thickTop="1" thickBot="1" x14ac:dyDescent="0.3">
      <c r="A1517" s="508"/>
      <c r="B1517" s="520"/>
      <c r="C1517" s="223"/>
      <c r="D1517" s="223"/>
      <c r="E1517" s="223"/>
      <c r="F1517" s="223"/>
      <c r="G1517" s="223"/>
      <c r="H1517" s="223"/>
      <c r="I1517" s="223"/>
      <c r="J1517" s="499" t="str">
        <f>Noty!J1517</f>
        <v>odkryj</v>
      </c>
      <c r="K1517" s="489"/>
      <c r="L1517" s="197"/>
    </row>
    <row r="1518" spans="1:14" s="200" customFormat="1" ht="15.05" customHeight="1" thickTop="1" thickBot="1" x14ac:dyDescent="0.35">
      <c r="A1518" s="1180">
        <f>IF(K1518="n/a",A1508,A1508+1)</f>
        <v>17</v>
      </c>
      <c r="B1518" s="1182"/>
      <c r="C1518" s="1388" t="s">
        <v>11358</v>
      </c>
      <c r="D1518" s="1388"/>
      <c r="E1518" s="1388"/>
      <c r="F1518" s="1388"/>
      <c r="G1518" s="1388"/>
      <c r="H1518" s="1388"/>
      <c r="I1518" s="1388"/>
      <c r="J1518" s="499" t="str">
        <f>Noty!J1518</f>
        <v>odkryj</v>
      </c>
      <c r="K1518" s="585" t="str">
        <f>Noty!K1518</f>
        <v/>
      </c>
      <c r="L1518" s="200" t="str">
        <f>A1518&amp;"."&amp;B1518</f>
        <v>17.</v>
      </c>
      <c r="N1518" s="1101" t="s">
        <v>9378</v>
      </c>
    </row>
    <row r="1519" spans="1:14" s="200" customFormat="1" ht="13.6" customHeight="1" thickTop="1" thickBot="1" x14ac:dyDescent="0.3">
      <c r="A1519" s="508"/>
      <c r="B1519" s="520"/>
      <c r="E1519" s="196"/>
      <c r="F1519" s="196"/>
      <c r="G1519" s="196"/>
      <c r="H1519" s="196"/>
      <c r="I1519" s="196"/>
      <c r="J1519" s="499" t="str">
        <f>Noty!J1519</f>
        <v>odkryj</v>
      </c>
      <c r="K1519" s="489"/>
    </row>
    <row r="1520" spans="1:14" s="200" customFormat="1" ht="26.2" customHeight="1" thickTop="1" thickBot="1" x14ac:dyDescent="0.3">
      <c r="A1520" s="508"/>
      <c r="B1520" s="520"/>
      <c r="C1520" s="1447" t="s">
        <v>11359</v>
      </c>
      <c r="D1520" s="1447"/>
      <c r="E1520" s="1447"/>
      <c r="F1520" s="1447"/>
      <c r="G1520" s="1447"/>
      <c r="H1520" s="1447"/>
      <c r="I1520" s="1447"/>
      <c r="J1520" s="499" t="str">
        <f>Noty!J1520</f>
        <v>ukryj</v>
      </c>
      <c r="K1520" s="585" t="str">
        <f>Noty!K1520</f>
        <v>n/a</v>
      </c>
      <c r="L1520" s="372"/>
    </row>
    <row r="1521" spans="1:11" s="200" customFormat="1" ht="13.6" customHeight="1" thickTop="1" x14ac:dyDescent="0.25">
      <c r="A1521" s="508"/>
      <c r="B1521" s="520"/>
      <c r="J1521" s="499" t="str">
        <f>Noty!J1521</f>
        <v>ukryj</v>
      </c>
      <c r="K1521" s="489"/>
    </row>
    <row r="1522" spans="1:11" s="200" customFormat="1" ht="13.6" customHeight="1" x14ac:dyDescent="0.25">
      <c r="A1522" s="517"/>
      <c r="B1522" s="531"/>
      <c r="C1522" s="1449" t="s">
        <v>11360</v>
      </c>
      <c r="D1522" s="1449"/>
      <c r="E1522" s="1449"/>
      <c r="F1522" s="1449"/>
      <c r="G1522" s="1449"/>
      <c r="H1522" s="1449"/>
      <c r="I1522" s="1449"/>
      <c r="J1522" s="499" t="str">
        <f>Noty!J1522</f>
        <v>ukryj</v>
      </c>
      <c r="K1522" s="489"/>
    </row>
    <row r="1523" spans="1:11" s="200" customFormat="1" ht="13.6" customHeight="1" x14ac:dyDescent="0.25">
      <c r="A1523" s="517"/>
      <c r="B1523" s="531"/>
      <c r="J1523" s="499" t="str">
        <f>Noty!J1523</f>
        <v>ukryj</v>
      </c>
      <c r="K1523" s="489"/>
    </row>
    <row r="1524" spans="1:11" s="200" customFormat="1" ht="29.95" customHeight="1" x14ac:dyDescent="0.25">
      <c r="A1524" s="517"/>
      <c r="B1524" s="531"/>
      <c r="C1524" s="1447" t="s">
        <v>11361</v>
      </c>
      <c r="D1524" s="1447"/>
      <c r="E1524" s="1447"/>
      <c r="F1524" s="1447"/>
      <c r="G1524" s="1447"/>
      <c r="H1524" s="1447"/>
      <c r="I1524" s="1447"/>
      <c r="J1524" s="499" t="str">
        <f>Noty!J1524</f>
        <v>ukryj</v>
      </c>
      <c r="K1524" s="489"/>
    </row>
    <row r="1525" spans="1:11" s="200" customFormat="1" ht="13.6" customHeight="1" x14ac:dyDescent="0.25">
      <c r="A1525" s="517"/>
      <c r="B1525" s="531"/>
      <c r="J1525" s="499" t="str">
        <f>Noty!J1525</f>
        <v>ukryj</v>
      </c>
      <c r="K1525" s="489"/>
    </row>
    <row r="1526" spans="1:11" s="200" customFormat="1" ht="28.5" customHeight="1" x14ac:dyDescent="0.25">
      <c r="A1526" s="517"/>
      <c r="B1526" s="531"/>
      <c r="C1526" s="1447" t="s">
        <v>11362</v>
      </c>
      <c r="D1526" s="1447"/>
      <c r="E1526" s="1447"/>
      <c r="F1526" s="1447"/>
      <c r="G1526" s="1447"/>
      <c r="H1526" s="1447"/>
      <c r="I1526" s="1447"/>
      <c r="J1526" s="499" t="str">
        <f>Noty!J1526</f>
        <v>ukryj</v>
      </c>
      <c r="K1526" s="489"/>
    </row>
    <row r="1527" spans="1:11" s="200" customFormat="1" ht="13.6" customHeight="1" x14ac:dyDescent="0.25">
      <c r="A1527" s="517"/>
      <c r="B1527" s="531"/>
      <c r="J1527" s="499" t="str">
        <f>Noty!J1527</f>
        <v>ukryj</v>
      </c>
      <c r="K1527" s="489"/>
    </row>
    <row r="1528" spans="1:11" s="200" customFormat="1" ht="41.25" customHeight="1" x14ac:dyDescent="0.25">
      <c r="A1528" s="517"/>
      <c r="B1528" s="531"/>
      <c r="C1528" s="1447" t="s">
        <v>11363</v>
      </c>
      <c r="D1528" s="1447"/>
      <c r="E1528" s="1447"/>
      <c r="F1528" s="1447"/>
      <c r="G1528" s="1447"/>
      <c r="H1528" s="1447"/>
      <c r="I1528" s="1447"/>
      <c r="J1528" s="499" t="str">
        <f>Noty!J1528</f>
        <v>ukryj</v>
      </c>
      <c r="K1528" s="489"/>
    </row>
    <row r="1529" spans="1:11" s="200" customFormat="1" ht="13.6" customHeight="1" x14ac:dyDescent="0.25">
      <c r="A1529" s="517"/>
      <c r="B1529" s="531"/>
      <c r="J1529" s="499" t="str">
        <f>Noty!J1529</f>
        <v>ukryj</v>
      </c>
      <c r="K1529" s="489"/>
    </row>
    <row r="1530" spans="1:11" s="200" customFormat="1" ht="13.6" customHeight="1" x14ac:dyDescent="0.25">
      <c r="A1530" s="517"/>
      <c r="B1530" s="531"/>
      <c r="C1530" s="1447" t="s">
        <v>11364</v>
      </c>
      <c r="D1530" s="1447"/>
      <c r="E1530" s="1447"/>
      <c r="F1530" s="1447"/>
      <c r="G1530" s="1447"/>
      <c r="H1530" s="1447"/>
      <c r="I1530" s="1447"/>
      <c r="J1530" s="499" t="str">
        <f>Noty!J1530</f>
        <v>ukryj</v>
      </c>
      <c r="K1530" s="489"/>
    </row>
    <row r="1531" spans="1:11" s="200" customFormat="1" ht="13.6" customHeight="1" x14ac:dyDescent="0.25">
      <c r="A1531" s="517"/>
      <c r="B1531" s="531"/>
      <c r="J1531" s="499" t="str">
        <f>Noty!J1531</f>
        <v>ukryj</v>
      </c>
      <c r="K1531" s="489"/>
    </row>
    <row r="1532" spans="1:11" s="200" customFormat="1" ht="15.05" customHeight="1" x14ac:dyDescent="0.25">
      <c r="A1532" s="517"/>
      <c r="B1532" s="531"/>
      <c r="C1532" s="1448" t="s">
        <v>11365</v>
      </c>
      <c r="D1532" s="1448"/>
      <c r="E1532" s="1448"/>
      <c r="F1532" s="1448"/>
      <c r="G1532" s="1448"/>
      <c r="H1532" s="1448"/>
      <c r="I1532" s="1448"/>
      <c r="J1532" s="499" t="str">
        <f>Noty!J1532</f>
        <v>ukryj</v>
      </c>
      <c r="K1532" s="489"/>
    </row>
    <row r="1533" spans="1:11" s="200" customFormat="1" ht="13.6" customHeight="1" x14ac:dyDescent="0.25">
      <c r="A1533" s="517"/>
      <c r="B1533" s="531"/>
      <c r="C1533" s="411"/>
      <c r="J1533" s="499" t="str">
        <f>Noty!J1533</f>
        <v>ukryj</v>
      </c>
      <c r="K1533" s="489"/>
    </row>
    <row r="1534" spans="1:11" s="200" customFormat="1" ht="13.6" customHeight="1" x14ac:dyDescent="0.25">
      <c r="A1534" s="517"/>
      <c r="B1534" s="531"/>
      <c r="C1534" s="1448" t="s">
        <v>11366</v>
      </c>
      <c r="D1534" s="1448"/>
      <c r="E1534" s="1448"/>
      <c r="F1534" s="1448"/>
      <c r="G1534" s="1448"/>
      <c r="H1534" s="1448"/>
      <c r="I1534" s="1448"/>
      <c r="J1534" s="499" t="str">
        <f>Noty!J1534</f>
        <v>ukryj</v>
      </c>
      <c r="K1534" s="489"/>
    </row>
    <row r="1535" spans="1:11" s="200" customFormat="1" ht="13.6" customHeight="1" x14ac:dyDescent="0.25">
      <c r="A1535" s="517"/>
      <c r="B1535" s="531"/>
      <c r="C1535" s="411"/>
      <c r="J1535" s="499" t="str">
        <f>Noty!J1535</f>
        <v>ukryj</v>
      </c>
      <c r="K1535" s="489"/>
    </row>
    <row r="1536" spans="1:11" s="200" customFormat="1" ht="13.6" customHeight="1" x14ac:dyDescent="0.25">
      <c r="A1536" s="517"/>
      <c r="B1536" s="531"/>
      <c r="C1536" s="1448" t="s">
        <v>11367</v>
      </c>
      <c r="D1536" s="1448"/>
      <c r="E1536" s="1448"/>
      <c r="F1536" s="1448"/>
      <c r="G1536" s="1448"/>
      <c r="H1536" s="1448"/>
      <c r="I1536" s="1448"/>
      <c r="J1536" s="499" t="str">
        <f>Noty!J1536</f>
        <v>ukryj</v>
      </c>
      <c r="K1536" s="489"/>
    </row>
    <row r="1537" spans="1:11" s="200" customFormat="1" ht="13.6" customHeight="1" x14ac:dyDescent="0.25">
      <c r="A1537" s="517"/>
      <c r="B1537" s="531"/>
      <c r="C1537" s="411"/>
      <c r="J1537" s="499" t="str">
        <f>Noty!J1537</f>
        <v>ukryj</v>
      </c>
      <c r="K1537" s="489"/>
    </row>
    <row r="1538" spans="1:11" s="200" customFormat="1" ht="13.6" customHeight="1" x14ac:dyDescent="0.25">
      <c r="A1538" s="517"/>
      <c r="B1538" s="531"/>
      <c r="C1538" s="1448" t="s">
        <v>11368</v>
      </c>
      <c r="D1538" s="1448"/>
      <c r="E1538" s="1448"/>
      <c r="F1538" s="1448"/>
      <c r="G1538" s="1448"/>
      <c r="H1538" s="1448"/>
      <c r="I1538" s="1448"/>
      <c r="J1538" s="499" t="str">
        <f>Noty!J1538</f>
        <v>ukryj</v>
      </c>
      <c r="K1538" s="489"/>
    </row>
    <row r="1539" spans="1:11" s="200" customFormat="1" ht="13.6" customHeight="1" x14ac:dyDescent="0.25">
      <c r="A1539" s="517"/>
      <c r="B1539" s="531"/>
      <c r="C1539" s="411"/>
      <c r="J1539" s="499" t="str">
        <f>Noty!J1539</f>
        <v>ukryj</v>
      </c>
      <c r="K1539" s="489"/>
    </row>
    <row r="1540" spans="1:11" s="200" customFormat="1" ht="13.6" customHeight="1" x14ac:dyDescent="0.25">
      <c r="A1540" s="517"/>
      <c r="B1540" s="531"/>
      <c r="C1540" s="1451" t="s">
        <v>11369</v>
      </c>
      <c r="D1540" s="1451"/>
      <c r="E1540" s="1451"/>
      <c r="F1540" s="1451"/>
      <c r="G1540" s="1451"/>
      <c r="H1540" s="1451"/>
      <c r="I1540" s="1451"/>
      <c r="J1540" s="499" t="str">
        <f>Noty!J1540</f>
        <v>ukryj</v>
      </c>
      <c r="K1540" s="489"/>
    </row>
    <row r="1541" spans="1:11" s="200" customFormat="1" ht="13.6" customHeight="1" x14ac:dyDescent="0.25">
      <c r="A1541" s="508"/>
      <c r="B1541" s="520"/>
      <c r="E1541" s="196"/>
      <c r="F1541" s="196"/>
      <c r="G1541" s="196"/>
      <c r="H1541" s="196"/>
      <c r="I1541" s="196"/>
      <c r="J1541" s="499" t="str">
        <f>Noty!J1541</f>
        <v>ukryj</v>
      </c>
      <c r="K1541" s="489"/>
    </row>
    <row r="1542" spans="1:11" s="226" customFormat="1" ht="28.5" customHeight="1" x14ac:dyDescent="0.25">
      <c r="A1542" s="837"/>
      <c r="B1542" s="228"/>
      <c r="C1542" s="1452" t="s">
        <v>11370</v>
      </c>
      <c r="D1542" s="1452"/>
      <c r="E1542" s="1452"/>
      <c r="F1542" s="1440" t="s">
        <v>11371</v>
      </c>
      <c r="G1542" s="1440"/>
      <c r="H1542" s="1440" t="s">
        <v>11372</v>
      </c>
      <c r="I1542" s="1440"/>
      <c r="J1542" s="499" t="str">
        <f>Noty!J1542</f>
        <v>ukryj</v>
      </c>
      <c r="K1542" s="489"/>
    </row>
    <row r="1543" spans="1:11" s="226" customFormat="1" ht="15.05" customHeight="1" x14ac:dyDescent="0.25">
      <c r="A1543" s="837"/>
      <c r="B1543" s="228"/>
      <c r="C1543" s="1505" t="str">
        <f>IF(Noty!C1543="","",Noty!C1543)</f>
        <v/>
      </c>
      <c r="D1543" s="1398"/>
      <c r="E1543" s="1398"/>
      <c r="F1543" s="1514" t="str">
        <f>IF(Noty!F1543="","",Noty!F1543)</f>
        <v/>
      </c>
      <c r="G1543" s="1450"/>
      <c r="H1543" s="1514" t="str">
        <f>IF(Noty!H1543="","",Noty!H1543)</f>
        <v/>
      </c>
      <c r="I1543" s="1450"/>
      <c r="J1543" s="499" t="str">
        <f>Noty!J1543</f>
        <v>ukryj</v>
      </c>
      <c r="K1543" s="489"/>
    </row>
    <row r="1544" spans="1:11" s="228" customFormat="1" ht="15.05" customHeight="1" x14ac:dyDescent="0.25">
      <c r="A1544" s="155"/>
      <c r="C1544" s="1505" t="str">
        <f>IF(Noty!C1544="","",Noty!C1544)</f>
        <v/>
      </c>
      <c r="D1544" s="1398"/>
      <c r="E1544" s="1398"/>
      <c r="F1544" s="1514" t="str">
        <f>IF(Noty!F1544="","",Noty!F1544)</f>
        <v/>
      </c>
      <c r="G1544" s="1450"/>
      <c r="H1544" s="1514" t="str">
        <f>IF(Noty!H1544="","",Noty!H1544)</f>
        <v/>
      </c>
      <c r="I1544" s="1450"/>
      <c r="J1544" s="499" t="str">
        <f>Noty!J1544</f>
        <v>ukryj</v>
      </c>
      <c r="K1544" s="489"/>
    </row>
    <row r="1545" spans="1:11" s="228" customFormat="1" ht="15.05" customHeight="1" x14ac:dyDescent="0.25">
      <c r="A1545" s="155"/>
      <c r="C1545" s="1505" t="str">
        <f>IF(Noty!C1545="","",Noty!C1545)</f>
        <v/>
      </c>
      <c r="D1545" s="1398"/>
      <c r="E1545" s="1398"/>
      <c r="F1545" s="1514" t="str">
        <f>IF(Noty!F1545="","",Noty!F1545)</f>
        <v/>
      </c>
      <c r="G1545" s="1450"/>
      <c r="H1545" s="1514" t="str">
        <f>IF(Noty!H1545="","",Noty!H1545)</f>
        <v/>
      </c>
      <c r="I1545" s="1450"/>
      <c r="J1545" s="499" t="str">
        <f>Noty!J1545</f>
        <v>ukryj</v>
      </c>
      <c r="K1545" s="489"/>
    </row>
    <row r="1546" spans="1:11" s="228" customFormat="1" ht="15.05" customHeight="1" x14ac:dyDescent="0.25">
      <c r="A1546" s="155"/>
      <c r="C1546" s="1505" t="str">
        <f>IF(Noty!C1546="","",Noty!C1546)</f>
        <v/>
      </c>
      <c r="D1546" s="1398"/>
      <c r="E1546" s="1398"/>
      <c r="F1546" s="1514" t="str">
        <f>IF(Noty!F1546="","",Noty!F1546)</f>
        <v/>
      </c>
      <c r="G1546" s="1450"/>
      <c r="H1546" s="1514" t="str">
        <f>IF(Noty!H1546="","",Noty!H1546)</f>
        <v/>
      </c>
      <c r="I1546" s="1450"/>
      <c r="J1546" s="499" t="str">
        <f>Noty!J1546</f>
        <v>ukryj</v>
      </c>
      <c r="K1546" s="489"/>
    </row>
    <row r="1547" spans="1:11" s="228" customFormat="1" ht="15.05" customHeight="1" x14ac:dyDescent="0.25">
      <c r="A1547" s="155"/>
      <c r="C1547" s="1505" t="str">
        <f>IF(Noty!C1547="","",Noty!C1547)</f>
        <v/>
      </c>
      <c r="D1547" s="1398"/>
      <c r="E1547" s="1398"/>
      <c r="F1547" s="1514" t="str">
        <f>IF(Noty!F1547="","",Noty!F1547)</f>
        <v/>
      </c>
      <c r="G1547" s="1450"/>
      <c r="H1547" s="1514" t="str">
        <f>IF(Noty!H1547="","",Noty!H1547)</f>
        <v/>
      </c>
      <c r="I1547" s="1450"/>
      <c r="J1547" s="499" t="str">
        <f>Noty!J1547</f>
        <v>ukryj</v>
      </c>
      <c r="K1547" s="489"/>
    </row>
    <row r="1548" spans="1:11" s="228" customFormat="1" ht="15.05" customHeight="1" x14ac:dyDescent="0.25">
      <c r="A1548" s="155"/>
      <c r="C1548" s="1505" t="str">
        <f>IF(Noty!C1548="","",Noty!C1548)</f>
        <v/>
      </c>
      <c r="D1548" s="1398"/>
      <c r="E1548" s="1398"/>
      <c r="F1548" s="1514" t="str">
        <f>IF(Noty!F1548="","",Noty!F1548)</f>
        <v/>
      </c>
      <c r="G1548" s="1450"/>
      <c r="H1548" s="1514" t="str">
        <f>IF(Noty!H1548="","",Noty!H1548)</f>
        <v/>
      </c>
      <c r="I1548" s="1450"/>
      <c r="J1548" s="499" t="str">
        <f>Noty!J1548</f>
        <v>ukryj</v>
      </c>
      <c r="K1548" s="489"/>
    </row>
    <row r="1549" spans="1:11" s="228" customFormat="1" ht="15.05" customHeight="1" x14ac:dyDescent="0.25">
      <c r="A1549" s="155"/>
      <c r="C1549" s="155"/>
      <c r="D1549" s="634"/>
      <c r="E1549" s="634"/>
      <c r="F1549" s="673"/>
      <c r="G1549" s="673"/>
      <c r="H1549" s="673"/>
      <c r="I1549" s="634"/>
      <c r="J1549" s="499" t="str">
        <f>Noty!J1549</f>
        <v>ukryj</v>
      </c>
      <c r="K1549" s="489"/>
    </row>
    <row r="1550" spans="1:11" s="228" customFormat="1" ht="46.5" customHeight="1" x14ac:dyDescent="0.25">
      <c r="A1550" s="1452"/>
      <c r="C1550" s="1452" t="s">
        <v>11373</v>
      </c>
      <c r="D1550" s="1452"/>
      <c r="E1550" s="1452"/>
      <c r="F1550" s="1440" t="s">
        <v>11374</v>
      </c>
      <c r="G1550" s="1440"/>
      <c r="H1550" s="1440" t="s">
        <v>11375</v>
      </c>
      <c r="I1550" s="1440"/>
      <c r="J1550" s="499" t="str">
        <f>Noty!J1550</f>
        <v>ukryj</v>
      </c>
      <c r="K1550" s="489"/>
    </row>
    <row r="1551" spans="1:11" s="228" customFormat="1" x14ac:dyDescent="0.25">
      <c r="A1551" s="1452"/>
      <c r="C1551" s="1452"/>
      <c r="D1551" s="1452"/>
      <c r="E1551" s="1452"/>
      <c r="F1551" s="637" t="s">
        <v>11376</v>
      </c>
      <c r="G1551" s="637" t="s">
        <v>11377</v>
      </c>
      <c r="H1551" s="637" t="s">
        <v>11376</v>
      </c>
      <c r="I1551" s="637" t="s">
        <v>11377</v>
      </c>
      <c r="J1551" s="499" t="str">
        <f>Noty!J1551</f>
        <v>ukryj</v>
      </c>
      <c r="K1551" s="489"/>
    </row>
    <row r="1552" spans="1:11" s="228" customFormat="1" ht="15.05" customHeight="1" x14ac:dyDescent="0.25">
      <c r="A1552" s="837"/>
      <c r="C1552" s="1505" t="str">
        <f>IF(Noty!C1552="","",Noty!C1552)</f>
        <v/>
      </c>
      <c r="D1552" s="1398"/>
      <c r="E1552" s="1398"/>
      <c r="F1552" s="1103" t="str">
        <f>IF(Noty!F1552="","",Noty!F1552)</f>
        <v/>
      </c>
      <c r="G1552" s="1103" t="str">
        <f>IF(Noty!G1552="","",Noty!G1552)</f>
        <v/>
      </c>
      <c r="H1552" s="1103" t="str">
        <f>IF(Noty!H1552="","",Noty!H1552)</f>
        <v/>
      </c>
      <c r="I1552" s="1103" t="str">
        <f>IF(Noty!I1552="","",Noty!I1552)</f>
        <v/>
      </c>
      <c r="J1552" s="499" t="str">
        <f>Noty!J1552</f>
        <v>ukryj</v>
      </c>
      <c r="K1552" s="489"/>
    </row>
    <row r="1553" spans="1:11" s="228" customFormat="1" ht="15.05" customHeight="1" x14ac:dyDescent="0.25">
      <c r="A1553" s="155"/>
      <c r="C1553" s="1505" t="str">
        <f>IF(Noty!C1553="","",Noty!C1553)</f>
        <v/>
      </c>
      <c r="D1553" s="1398"/>
      <c r="E1553" s="1398"/>
      <c r="F1553" s="1103" t="str">
        <f>IF(Noty!F1553="","",Noty!F1553)</f>
        <v/>
      </c>
      <c r="G1553" s="1103" t="str">
        <f>IF(Noty!G1553="","",Noty!G1553)</f>
        <v/>
      </c>
      <c r="H1553" s="1103" t="str">
        <f>IF(Noty!H1553="","",Noty!H1553)</f>
        <v/>
      </c>
      <c r="I1553" s="1103" t="str">
        <f>IF(Noty!I1553="","",Noty!I1553)</f>
        <v/>
      </c>
      <c r="J1553" s="499" t="str">
        <f>Noty!J1553</f>
        <v>ukryj</v>
      </c>
      <c r="K1553" s="489"/>
    </row>
    <row r="1554" spans="1:11" s="228" customFormat="1" ht="15.05" customHeight="1" x14ac:dyDescent="0.25">
      <c r="A1554" s="155"/>
      <c r="C1554" s="1505" t="str">
        <f>IF(Noty!C1554="","",Noty!C1554)</f>
        <v/>
      </c>
      <c r="D1554" s="1398"/>
      <c r="E1554" s="1398"/>
      <c r="F1554" s="1103" t="str">
        <f>IF(Noty!F1554="","",Noty!F1554)</f>
        <v/>
      </c>
      <c r="G1554" s="1103" t="str">
        <f>IF(Noty!G1554="","",Noty!G1554)</f>
        <v/>
      </c>
      <c r="H1554" s="1103" t="str">
        <f>IF(Noty!H1554="","",Noty!H1554)</f>
        <v/>
      </c>
      <c r="I1554" s="1103" t="str">
        <f>IF(Noty!I1554="","",Noty!I1554)</f>
        <v/>
      </c>
      <c r="J1554" s="499" t="str">
        <f>Noty!J1554</f>
        <v>ukryj</v>
      </c>
      <c r="K1554" s="489"/>
    </row>
    <row r="1555" spans="1:11" s="228" customFormat="1" ht="15.05" customHeight="1" x14ac:dyDescent="0.25">
      <c r="A1555" s="155"/>
      <c r="C1555" s="1505" t="str">
        <f>IF(Noty!C1555="","",Noty!C1555)</f>
        <v/>
      </c>
      <c r="D1555" s="1398"/>
      <c r="E1555" s="1398"/>
      <c r="F1555" s="1103" t="str">
        <f>IF(Noty!F1555="","",Noty!F1555)</f>
        <v/>
      </c>
      <c r="G1555" s="1103" t="str">
        <f>IF(Noty!G1555="","",Noty!G1555)</f>
        <v/>
      </c>
      <c r="H1555" s="1103" t="str">
        <f>IF(Noty!H1555="","",Noty!H1555)</f>
        <v/>
      </c>
      <c r="I1555" s="1103" t="str">
        <f>IF(Noty!I1555="","",Noty!I1555)</f>
        <v/>
      </c>
      <c r="J1555" s="499" t="str">
        <f>Noty!J1555</f>
        <v>ukryj</v>
      </c>
      <c r="K1555" s="489"/>
    </row>
    <row r="1556" spans="1:11" s="228" customFormat="1" ht="15.05" customHeight="1" x14ac:dyDescent="0.25">
      <c r="A1556" s="155"/>
      <c r="C1556" s="1505" t="str">
        <f>IF(Noty!C1556="","",Noty!C1556)</f>
        <v/>
      </c>
      <c r="D1556" s="1398"/>
      <c r="E1556" s="1398"/>
      <c r="F1556" s="1103" t="str">
        <f>IF(Noty!F1556="","",Noty!F1556)</f>
        <v/>
      </c>
      <c r="G1556" s="1103" t="str">
        <f>IF(Noty!G1556="","",Noty!G1556)</f>
        <v/>
      </c>
      <c r="H1556" s="1103" t="str">
        <f>IF(Noty!H1556="","",Noty!H1556)</f>
        <v/>
      </c>
      <c r="I1556" s="1103" t="str">
        <f>IF(Noty!I1556="","",Noty!I1556)</f>
        <v/>
      </c>
      <c r="J1556" s="499" t="str">
        <f>Noty!J1556</f>
        <v>ukryj</v>
      </c>
      <c r="K1556" s="489"/>
    </row>
    <row r="1557" spans="1:11" s="228" customFormat="1" ht="15.05" customHeight="1" x14ac:dyDescent="0.25">
      <c r="A1557" s="155"/>
      <c r="C1557" s="1505" t="str">
        <f>IF(Noty!C1557="","",Noty!C1557)</f>
        <v/>
      </c>
      <c r="D1557" s="1398"/>
      <c r="E1557" s="1398"/>
      <c r="F1557" s="1103" t="str">
        <f>IF(Noty!F1557="","",Noty!F1557)</f>
        <v/>
      </c>
      <c r="G1557" s="1103" t="str">
        <f>IF(Noty!G1557="","",Noty!G1557)</f>
        <v/>
      </c>
      <c r="H1557" s="1103" t="str">
        <f>IF(Noty!H1557="","",Noty!H1557)</f>
        <v/>
      </c>
      <c r="I1557" s="1103" t="str">
        <f>IF(Noty!I1557="","",Noty!I1557)</f>
        <v/>
      </c>
      <c r="J1557" s="499" t="str">
        <f>Noty!J1557</f>
        <v>ukryj</v>
      </c>
      <c r="K1557" s="489"/>
    </row>
    <row r="1558" spans="1:11" s="228" customFormat="1" ht="15.05" customHeight="1" x14ac:dyDescent="0.25">
      <c r="A1558" s="155"/>
      <c r="C1558" s="155"/>
      <c r="D1558" s="634"/>
      <c r="E1558" s="634"/>
      <c r="F1558" s="754"/>
      <c r="G1558" s="754"/>
      <c r="H1558" s="754"/>
      <c r="I1558" s="754"/>
      <c r="J1558" s="499" t="str">
        <f>Noty!J1558</f>
        <v>ukryj</v>
      </c>
      <c r="K1558" s="489"/>
    </row>
    <row r="1559" spans="1:11" s="228" customFormat="1" ht="13.6" customHeight="1" x14ac:dyDescent="0.25">
      <c r="A1559" s="1452"/>
      <c r="B1559" s="1452"/>
      <c r="C1559" s="1452" t="s">
        <v>11373</v>
      </c>
      <c r="D1559" s="1452"/>
      <c r="E1559" s="1452"/>
      <c r="F1559" s="1440" t="s">
        <v>11378</v>
      </c>
      <c r="G1559" s="1440"/>
      <c r="H1559" s="1440" t="s">
        <v>8287</v>
      </c>
      <c r="I1559" s="1440"/>
      <c r="J1559" s="499" t="str">
        <f>Noty!J1559</f>
        <v>ukryj</v>
      </c>
      <c r="K1559" s="489"/>
    </row>
    <row r="1560" spans="1:11" s="228" customFormat="1" x14ac:dyDescent="0.25">
      <c r="A1560" s="1452"/>
      <c r="B1560" s="1452"/>
      <c r="C1560" s="1452"/>
      <c r="D1560" s="1452"/>
      <c r="E1560" s="1452"/>
      <c r="F1560" s="637" t="s">
        <v>11376</v>
      </c>
      <c r="G1560" s="637" t="s">
        <v>11377</v>
      </c>
      <c r="H1560" s="637" t="s">
        <v>11376</v>
      </c>
      <c r="I1560" s="637" t="s">
        <v>11377</v>
      </c>
      <c r="J1560" s="499" t="str">
        <f>Noty!J1560</f>
        <v>ukryj</v>
      </c>
      <c r="K1560" s="489"/>
    </row>
    <row r="1561" spans="1:11" s="228" customFormat="1" ht="15.05" customHeight="1" x14ac:dyDescent="0.25">
      <c r="A1561" s="837"/>
      <c r="B1561" s="837"/>
      <c r="C1561" s="1505" t="str">
        <f>IF(Noty!C1561="","",Noty!C1561)</f>
        <v/>
      </c>
      <c r="D1561" s="1398"/>
      <c r="E1561" s="1398"/>
      <c r="F1561" s="1103" t="str">
        <f>IF(Noty!F1561="","",Noty!F1561)</f>
        <v/>
      </c>
      <c r="G1561" s="1103" t="str">
        <f>IF(Noty!G1561="","",Noty!G1561)</f>
        <v/>
      </c>
      <c r="H1561" s="1103" t="str">
        <f>IF(Noty!H1561="","",Noty!H1561)</f>
        <v/>
      </c>
      <c r="I1561" s="1103" t="str">
        <f>IF(Noty!I1561="","",Noty!I1561)</f>
        <v/>
      </c>
      <c r="J1561" s="499" t="str">
        <f>Noty!J1561</f>
        <v>ukryj</v>
      </c>
      <c r="K1561" s="489"/>
    </row>
    <row r="1562" spans="1:11" s="228" customFormat="1" ht="15.05" customHeight="1" x14ac:dyDescent="0.25">
      <c r="A1562" s="155"/>
      <c r="B1562" s="155"/>
      <c r="C1562" s="1505" t="str">
        <f>IF(Noty!C1562="","",Noty!C1562)</f>
        <v/>
      </c>
      <c r="D1562" s="1398"/>
      <c r="E1562" s="1398"/>
      <c r="F1562" s="1103" t="str">
        <f>IF(Noty!F1562="","",Noty!F1562)</f>
        <v/>
      </c>
      <c r="G1562" s="1103" t="str">
        <f>IF(Noty!G1562="","",Noty!G1562)</f>
        <v/>
      </c>
      <c r="H1562" s="1103" t="str">
        <f>IF(Noty!H1562="","",Noty!H1562)</f>
        <v/>
      </c>
      <c r="I1562" s="1103" t="str">
        <f>IF(Noty!I1562="","",Noty!I1562)</f>
        <v/>
      </c>
      <c r="J1562" s="499" t="str">
        <f>Noty!J1562</f>
        <v>ukryj</v>
      </c>
      <c r="K1562" s="489"/>
    </row>
    <row r="1563" spans="1:11" s="228" customFormat="1" ht="15.05" customHeight="1" x14ac:dyDescent="0.25">
      <c r="A1563" s="155"/>
      <c r="B1563" s="155"/>
      <c r="C1563" s="1505" t="str">
        <f>IF(Noty!C1563="","",Noty!C1563)</f>
        <v/>
      </c>
      <c r="D1563" s="1398"/>
      <c r="E1563" s="1398"/>
      <c r="F1563" s="1103" t="str">
        <f>IF(Noty!F1563="","",Noty!F1563)</f>
        <v/>
      </c>
      <c r="G1563" s="1103" t="str">
        <f>IF(Noty!G1563="","",Noty!G1563)</f>
        <v/>
      </c>
      <c r="H1563" s="1103" t="str">
        <f>IF(Noty!H1563="","",Noty!H1563)</f>
        <v/>
      </c>
      <c r="I1563" s="1103" t="str">
        <f>IF(Noty!I1563="","",Noty!I1563)</f>
        <v/>
      </c>
      <c r="J1563" s="499" t="str">
        <f>Noty!J1563</f>
        <v>ukryj</v>
      </c>
      <c r="K1563" s="489"/>
    </row>
    <row r="1564" spans="1:11" s="228" customFormat="1" ht="15.05" customHeight="1" x14ac:dyDescent="0.25">
      <c r="A1564" s="155"/>
      <c r="B1564" s="155"/>
      <c r="C1564" s="1505" t="str">
        <f>IF(Noty!C1564="","",Noty!C1564)</f>
        <v/>
      </c>
      <c r="D1564" s="1398"/>
      <c r="E1564" s="1398"/>
      <c r="F1564" s="1103" t="str">
        <f>IF(Noty!F1564="","",Noty!F1564)</f>
        <v/>
      </c>
      <c r="G1564" s="1103" t="str">
        <f>IF(Noty!G1564="","",Noty!G1564)</f>
        <v/>
      </c>
      <c r="H1564" s="1103" t="str">
        <f>IF(Noty!H1564="","",Noty!H1564)</f>
        <v/>
      </c>
      <c r="I1564" s="1103" t="str">
        <f>IF(Noty!I1564="","",Noty!I1564)</f>
        <v/>
      </c>
      <c r="J1564" s="499" t="str">
        <f>Noty!J1564</f>
        <v>ukryj</v>
      </c>
      <c r="K1564" s="489"/>
    </row>
    <row r="1565" spans="1:11" s="228" customFormat="1" ht="15.05" customHeight="1" x14ac:dyDescent="0.25">
      <c r="A1565" s="155"/>
      <c r="B1565" s="155"/>
      <c r="C1565" s="1505" t="str">
        <f>IF(Noty!C1565="","",Noty!C1565)</f>
        <v/>
      </c>
      <c r="D1565" s="1398"/>
      <c r="E1565" s="1398"/>
      <c r="F1565" s="1103" t="str">
        <f>IF(Noty!F1565="","",Noty!F1565)</f>
        <v/>
      </c>
      <c r="G1565" s="1103" t="str">
        <f>IF(Noty!G1565="","",Noty!G1565)</f>
        <v/>
      </c>
      <c r="H1565" s="1103" t="str">
        <f>IF(Noty!H1565="","",Noty!H1565)</f>
        <v/>
      </c>
      <c r="I1565" s="1103" t="str">
        <f>IF(Noty!I1565="","",Noty!I1565)</f>
        <v/>
      </c>
      <c r="J1565" s="499" t="str">
        <f>Noty!J1565</f>
        <v>ukryj</v>
      </c>
      <c r="K1565" s="489"/>
    </row>
    <row r="1566" spans="1:11" s="228" customFormat="1" ht="15.05" customHeight="1" x14ac:dyDescent="0.25">
      <c r="A1566" s="155"/>
      <c r="B1566" s="155"/>
      <c r="C1566" s="1505" t="str">
        <f>IF(Noty!C1566="","",Noty!C1566)</f>
        <v/>
      </c>
      <c r="D1566" s="1398"/>
      <c r="E1566" s="1398"/>
      <c r="F1566" s="1103" t="str">
        <f>IF(Noty!F1566="","",Noty!F1566)</f>
        <v/>
      </c>
      <c r="G1566" s="1103" t="str">
        <f>IF(Noty!G1566="","",Noty!G1566)</f>
        <v/>
      </c>
      <c r="H1566" s="1103" t="str">
        <f>IF(Noty!H1566="","",Noty!H1566)</f>
        <v/>
      </c>
      <c r="I1566" s="1103" t="str">
        <f>IF(Noty!I1566="","",Noty!I1566)</f>
        <v/>
      </c>
      <c r="J1566" s="499" t="str">
        <f>Noty!J1566</f>
        <v>ukryj</v>
      </c>
      <c r="K1566" s="489"/>
    </row>
    <row r="1567" spans="1:11" s="228" customFormat="1" ht="15.05" customHeight="1" x14ac:dyDescent="0.25">
      <c r="A1567" s="155"/>
      <c r="B1567" s="155"/>
      <c r="C1567" s="155"/>
      <c r="D1567" s="634"/>
      <c r="E1567" s="634"/>
      <c r="F1567" s="673"/>
      <c r="G1567" s="673"/>
      <c r="H1567" s="673"/>
      <c r="I1567" s="673"/>
      <c r="J1567" s="499" t="str">
        <f>Noty!J1567</f>
        <v>ukryj</v>
      </c>
      <c r="K1567" s="489"/>
    </row>
    <row r="1568" spans="1:11" s="228" customFormat="1" ht="13.6" customHeight="1" x14ac:dyDescent="0.25">
      <c r="A1568" s="1452"/>
      <c r="B1568" s="1452"/>
      <c r="C1568" s="1452" t="s">
        <v>11373</v>
      </c>
      <c r="D1568" s="1452"/>
      <c r="E1568" s="1452"/>
      <c r="F1568" s="1440" t="s">
        <v>11379</v>
      </c>
      <c r="G1568" s="1440"/>
      <c r="H1568" s="1440" t="s">
        <v>11380</v>
      </c>
      <c r="I1568" s="1440"/>
      <c r="J1568" s="499" t="str">
        <f>Noty!J1568</f>
        <v>ukryj</v>
      </c>
      <c r="K1568" s="489"/>
    </row>
    <row r="1569" spans="1:11" s="228" customFormat="1" x14ac:dyDescent="0.25">
      <c r="A1569" s="1452"/>
      <c r="B1569" s="1452"/>
      <c r="C1569" s="1452"/>
      <c r="D1569" s="1452"/>
      <c r="E1569" s="1452"/>
      <c r="F1569" s="637" t="s">
        <v>11376</v>
      </c>
      <c r="G1569" s="637" t="s">
        <v>11377</v>
      </c>
      <c r="H1569" s="637" t="s">
        <v>11376</v>
      </c>
      <c r="I1569" s="637" t="s">
        <v>11377</v>
      </c>
      <c r="J1569" s="499" t="str">
        <f>Noty!J1569</f>
        <v>ukryj</v>
      </c>
      <c r="K1569" s="489"/>
    </row>
    <row r="1570" spans="1:11" s="228" customFormat="1" ht="15.05" customHeight="1" x14ac:dyDescent="0.25">
      <c r="A1570" s="837"/>
      <c r="B1570" s="837"/>
      <c r="C1570" s="1505" t="str">
        <f>IF(Noty!C1570="","",Noty!C1570)</f>
        <v/>
      </c>
      <c r="D1570" s="1398"/>
      <c r="E1570" s="1398"/>
      <c r="F1570" s="1103" t="str">
        <f>IF(Noty!F1570="","",Noty!F1570)</f>
        <v/>
      </c>
      <c r="G1570" s="1103" t="str">
        <f>IF(Noty!G1570="","",Noty!G1570)</f>
        <v/>
      </c>
      <c r="H1570" s="1103" t="str">
        <f>IF(Noty!H1570="","",Noty!H1570)</f>
        <v/>
      </c>
      <c r="I1570" s="1103" t="str">
        <f>IF(Noty!I1570="","",Noty!I1570)</f>
        <v/>
      </c>
      <c r="J1570" s="499" t="str">
        <f>Noty!J1570</f>
        <v>ukryj</v>
      </c>
      <c r="K1570" s="489"/>
    </row>
    <row r="1571" spans="1:11" s="228" customFormat="1" ht="15.05" customHeight="1" x14ac:dyDescent="0.25">
      <c r="A1571" s="155"/>
      <c r="B1571" s="155"/>
      <c r="C1571" s="1505" t="str">
        <f>IF(Noty!C1571="","",Noty!C1571)</f>
        <v/>
      </c>
      <c r="D1571" s="1398"/>
      <c r="E1571" s="1398"/>
      <c r="F1571" s="1103" t="str">
        <f>IF(Noty!F1571="","",Noty!F1571)</f>
        <v/>
      </c>
      <c r="G1571" s="1103" t="str">
        <f>IF(Noty!G1571="","",Noty!G1571)</f>
        <v/>
      </c>
      <c r="H1571" s="1103" t="str">
        <f>IF(Noty!H1571="","",Noty!H1571)</f>
        <v/>
      </c>
      <c r="I1571" s="1103" t="str">
        <f>IF(Noty!I1571="","",Noty!I1571)</f>
        <v/>
      </c>
      <c r="J1571" s="499" t="str">
        <f>Noty!J1571</f>
        <v>ukryj</v>
      </c>
      <c r="K1571" s="489"/>
    </row>
    <row r="1572" spans="1:11" s="228" customFormat="1" ht="15.05" customHeight="1" x14ac:dyDescent="0.25">
      <c r="A1572" s="155"/>
      <c r="B1572" s="155"/>
      <c r="C1572" s="1505" t="str">
        <f>IF(Noty!C1572="","",Noty!C1572)</f>
        <v/>
      </c>
      <c r="D1572" s="1398"/>
      <c r="E1572" s="1398"/>
      <c r="F1572" s="1103" t="str">
        <f>IF(Noty!F1572="","",Noty!F1572)</f>
        <v/>
      </c>
      <c r="G1572" s="1103" t="str">
        <f>IF(Noty!G1572="","",Noty!G1572)</f>
        <v/>
      </c>
      <c r="H1572" s="1103" t="str">
        <f>IF(Noty!H1572="","",Noty!H1572)</f>
        <v/>
      </c>
      <c r="I1572" s="1103" t="str">
        <f>IF(Noty!I1572="","",Noty!I1572)</f>
        <v/>
      </c>
      <c r="J1572" s="499" t="str">
        <f>Noty!J1572</f>
        <v>ukryj</v>
      </c>
      <c r="K1572" s="489"/>
    </row>
    <row r="1573" spans="1:11" s="228" customFormat="1" ht="15.05" customHeight="1" x14ac:dyDescent="0.25">
      <c r="A1573" s="155"/>
      <c r="B1573" s="155"/>
      <c r="C1573" s="1505" t="str">
        <f>IF(Noty!C1573="","",Noty!C1573)</f>
        <v/>
      </c>
      <c r="D1573" s="1398"/>
      <c r="E1573" s="1398"/>
      <c r="F1573" s="1103" t="str">
        <f>IF(Noty!F1573="","",Noty!F1573)</f>
        <v/>
      </c>
      <c r="G1573" s="1103" t="str">
        <f>IF(Noty!G1573="","",Noty!G1573)</f>
        <v/>
      </c>
      <c r="H1573" s="1103" t="str">
        <f>IF(Noty!H1573="","",Noty!H1573)</f>
        <v/>
      </c>
      <c r="I1573" s="1103" t="str">
        <f>IF(Noty!I1573="","",Noty!I1573)</f>
        <v/>
      </c>
      <c r="J1573" s="499" t="str">
        <f>Noty!J1573</f>
        <v>ukryj</v>
      </c>
      <c r="K1573" s="489"/>
    </row>
    <row r="1574" spans="1:11" s="228" customFormat="1" ht="15.05" customHeight="1" x14ac:dyDescent="0.25">
      <c r="A1574" s="155"/>
      <c r="B1574" s="155"/>
      <c r="C1574" s="1505" t="str">
        <f>IF(Noty!C1574="","",Noty!C1574)</f>
        <v/>
      </c>
      <c r="D1574" s="1398"/>
      <c r="E1574" s="1398"/>
      <c r="F1574" s="1103" t="str">
        <f>IF(Noty!F1574="","",Noty!F1574)</f>
        <v/>
      </c>
      <c r="G1574" s="1103" t="str">
        <f>IF(Noty!G1574="","",Noty!G1574)</f>
        <v/>
      </c>
      <c r="H1574" s="1103" t="str">
        <f>IF(Noty!H1574="","",Noty!H1574)</f>
        <v/>
      </c>
      <c r="I1574" s="1103" t="str">
        <f>IF(Noty!I1574="","",Noty!I1574)</f>
        <v/>
      </c>
      <c r="J1574" s="499" t="str">
        <f>Noty!J1574</f>
        <v>ukryj</v>
      </c>
      <c r="K1574" s="489"/>
    </row>
    <row r="1575" spans="1:11" s="228" customFormat="1" ht="15.05" customHeight="1" x14ac:dyDescent="0.25">
      <c r="A1575" s="155"/>
      <c r="B1575" s="155"/>
      <c r="C1575" s="1505" t="str">
        <f>IF(Noty!C1575="","",Noty!C1575)</f>
        <v/>
      </c>
      <c r="D1575" s="1398"/>
      <c r="E1575" s="1398"/>
      <c r="F1575" s="1103" t="str">
        <f>IF(Noty!F1575="","",Noty!F1575)</f>
        <v/>
      </c>
      <c r="G1575" s="1103" t="str">
        <f>IF(Noty!G1575="","",Noty!G1575)</f>
        <v/>
      </c>
      <c r="H1575" s="1103" t="str">
        <f>IF(Noty!H1575="","",Noty!H1575)</f>
        <v/>
      </c>
      <c r="I1575" s="1103" t="str">
        <f>IF(Noty!I1575="","",Noty!I1575)</f>
        <v/>
      </c>
      <c r="J1575" s="499" t="str">
        <f>Noty!J1575</f>
        <v>ukryj</v>
      </c>
      <c r="K1575" s="489"/>
    </row>
    <row r="1576" spans="1:11" s="228" customFormat="1" ht="15.05" customHeight="1" x14ac:dyDescent="0.25">
      <c r="A1576" s="155"/>
      <c r="B1576" s="155"/>
      <c r="C1576" s="155"/>
      <c r="D1576" s="634"/>
      <c r="E1576" s="634"/>
      <c r="F1576" s="673"/>
      <c r="G1576" s="673"/>
      <c r="H1576" s="673"/>
      <c r="I1576" s="673"/>
      <c r="J1576" s="499" t="str">
        <f>Noty!J1576</f>
        <v>ukryj</v>
      </c>
      <c r="K1576" s="489"/>
    </row>
    <row r="1577" spans="1:11" s="228" customFormat="1" ht="13.6" customHeight="1" x14ac:dyDescent="0.25">
      <c r="A1577" s="1452"/>
      <c r="B1577" s="1452"/>
      <c r="C1577" s="1452" t="s">
        <v>11373</v>
      </c>
      <c r="D1577" s="1452"/>
      <c r="E1577" s="1452"/>
      <c r="F1577" s="1440" t="s">
        <v>10986</v>
      </c>
      <c r="G1577" s="1440"/>
      <c r="H1577" s="1440" t="s">
        <v>10987</v>
      </c>
      <c r="I1577" s="1440"/>
      <c r="J1577" s="499" t="str">
        <f>Noty!J1577</f>
        <v>ukryj</v>
      </c>
      <c r="K1577" s="489"/>
    </row>
    <row r="1578" spans="1:11" s="228" customFormat="1" x14ac:dyDescent="0.25">
      <c r="A1578" s="1452"/>
      <c r="B1578" s="1452"/>
      <c r="C1578" s="1452"/>
      <c r="D1578" s="1452"/>
      <c r="E1578" s="1452"/>
      <c r="F1578" s="637" t="s">
        <v>11376</v>
      </c>
      <c r="G1578" s="637" t="s">
        <v>11377</v>
      </c>
      <c r="H1578" s="637" t="s">
        <v>11376</v>
      </c>
      <c r="I1578" s="637" t="s">
        <v>11377</v>
      </c>
      <c r="J1578" s="499" t="str">
        <f>Noty!J1578</f>
        <v>ukryj</v>
      </c>
      <c r="K1578" s="489"/>
    </row>
    <row r="1579" spans="1:11" s="228" customFormat="1" ht="15.05" customHeight="1" x14ac:dyDescent="0.25">
      <c r="A1579" s="837"/>
      <c r="B1579" s="837"/>
      <c r="C1579" s="1505" t="str">
        <f>IF(Noty!C1579="","",Noty!C1579)</f>
        <v/>
      </c>
      <c r="D1579" s="1398"/>
      <c r="E1579" s="1398"/>
      <c r="F1579" s="1103" t="str">
        <f>IF(Noty!F1579="","",Noty!F1579)</f>
        <v/>
      </c>
      <c r="G1579" s="1103" t="str">
        <f>IF(Noty!G1579="","",Noty!G1579)</f>
        <v/>
      </c>
      <c r="H1579" s="1103" t="str">
        <f>IF(Noty!H1579="","",Noty!H1579)</f>
        <v/>
      </c>
      <c r="I1579" s="1103" t="str">
        <f>IF(Noty!I1579="","",Noty!I1579)</f>
        <v/>
      </c>
      <c r="J1579" s="499" t="str">
        <f>Noty!J1579</f>
        <v>ukryj</v>
      </c>
      <c r="K1579" s="489"/>
    </row>
    <row r="1580" spans="1:11" s="228" customFormat="1" ht="15.05" customHeight="1" x14ac:dyDescent="0.25">
      <c r="A1580" s="155"/>
      <c r="B1580" s="155"/>
      <c r="C1580" s="1505" t="str">
        <f>IF(Noty!C1580="","",Noty!C1580)</f>
        <v/>
      </c>
      <c r="D1580" s="1398"/>
      <c r="E1580" s="1398"/>
      <c r="F1580" s="1103" t="str">
        <f>IF(Noty!F1580="","",Noty!F1580)</f>
        <v/>
      </c>
      <c r="G1580" s="1103" t="str">
        <f>IF(Noty!G1580="","",Noty!G1580)</f>
        <v/>
      </c>
      <c r="H1580" s="1103" t="str">
        <f>IF(Noty!H1580="","",Noty!H1580)</f>
        <v/>
      </c>
      <c r="I1580" s="1103" t="str">
        <f>IF(Noty!I1580="","",Noty!I1580)</f>
        <v/>
      </c>
      <c r="J1580" s="499" t="str">
        <f>Noty!J1580</f>
        <v>ukryj</v>
      </c>
      <c r="K1580" s="489"/>
    </row>
    <row r="1581" spans="1:11" s="228" customFormat="1" ht="15.05" customHeight="1" x14ac:dyDescent="0.25">
      <c r="A1581" s="155"/>
      <c r="B1581" s="155"/>
      <c r="C1581" s="1505" t="str">
        <f>IF(Noty!C1581="","",Noty!C1581)</f>
        <v/>
      </c>
      <c r="D1581" s="1398"/>
      <c r="E1581" s="1398"/>
      <c r="F1581" s="1103" t="str">
        <f>IF(Noty!F1581="","",Noty!F1581)</f>
        <v/>
      </c>
      <c r="G1581" s="1103" t="str">
        <f>IF(Noty!G1581="","",Noty!G1581)</f>
        <v/>
      </c>
      <c r="H1581" s="1103" t="str">
        <f>IF(Noty!H1581="","",Noty!H1581)</f>
        <v/>
      </c>
      <c r="I1581" s="1103" t="str">
        <f>IF(Noty!I1581="","",Noty!I1581)</f>
        <v/>
      </c>
      <c r="J1581" s="499" t="str">
        <f>Noty!J1581</f>
        <v>ukryj</v>
      </c>
      <c r="K1581" s="489"/>
    </row>
    <row r="1582" spans="1:11" s="228" customFormat="1" ht="15.05" customHeight="1" x14ac:dyDescent="0.25">
      <c r="A1582" s="155"/>
      <c r="B1582" s="155"/>
      <c r="C1582" s="1505" t="str">
        <f>IF(Noty!C1582="","",Noty!C1582)</f>
        <v/>
      </c>
      <c r="D1582" s="1398"/>
      <c r="E1582" s="1398"/>
      <c r="F1582" s="1103" t="str">
        <f>IF(Noty!F1582="","",Noty!F1582)</f>
        <v/>
      </c>
      <c r="G1582" s="1103" t="str">
        <f>IF(Noty!G1582="","",Noty!G1582)</f>
        <v/>
      </c>
      <c r="H1582" s="1103" t="str">
        <f>IF(Noty!H1582="","",Noty!H1582)</f>
        <v/>
      </c>
      <c r="I1582" s="1103" t="str">
        <f>IF(Noty!I1582="","",Noty!I1582)</f>
        <v/>
      </c>
      <c r="J1582" s="499" t="str">
        <f>Noty!J1582</f>
        <v>ukryj</v>
      </c>
      <c r="K1582" s="489"/>
    </row>
    <row r="1583" spans="1:11" s="228" customFormat="1" ht="15.05" customHeight="1" x14ac:dyDescent="0.25">
      <c r="A1583" s="155"/>
      <c r="B1583" s="155"/>
      <c r="C1583" s="1505" t="str">
        <f>IF(Noty!C1583="","",Noty!C1583)</f>
        <v/>
      </c>
      <c r="D1583" s="1398"/>
      <c r="E1583" s="1398"/>
      <c r="F1583" s="1103" t="str">
        <f>IF(Noty!F1583="","",Noty!F1583)</f>
        <v/>
      </c>
      <c r="G1583" s="1103" t="str">
        <f>IF(Noty!G1583="","",Noty!G1583)</f>
        <v/>
      </c>
      <c r="H1583" s="1103" t="str">
        <f>IF(Noty!H1583="","",Noty!H1583)</f>
        <v/>
      </c>
      <c r="I1583" s="1103" t="str">
        <f>IF(Noty!I1583="","",Noty!I1583)</f>
        <v/>
      </c>
      <c r="J1583" s="499" t="str">
        <f>Noty!J1583</f>
        <v>ukryj</v>
      </c>
      <c r="K1583" s="489"/>
    </row>
    <row r="1584" spans="1:11" s="228" customFormat="1" ht="15.05" customHeight="1" x14ac:dyDescent="0.25">
      <c r="A1584" s="155"/>
      <c r="B1584" s="155"/>
      <c r="C1584" s="1505" t="str">
        <f>IF(Noty!C1584="","",Noty!C1584)</f>
        <v/>
      </c>
      <c r="D1584" s="1398"/>
      <c r="E1584" s="1398"/>
      <c r="F1584" s="1103" t="str">
        <f>IF(Noty!F1584="","",Noty!F1584)</f>
        <v/>
      </c>
      <c r="G1584" s="1103" t="str">
        <f>IF(Noty!G1584="","",Noty!G1584)</f>
        <v/>
      </c>
      <c r="H1584" s="1103" t="str">
        <f>IF(Noty!H1584="","",Noty!H1584)</f>
        <v/>
      </c>
      <c r="I1584" s="1103" t="str">
        <f>IF(Noty!I1584="","",Noty!I1584)</f>
        <v/>
      </c>
      <c r="J1584" s="499" t="str">
        <f>Noty!J1584</f>
        <v>ukryj</v>
      </c>
      <c r="K1584" s="489"/>
    </row>
    <row r="1585" spans="1:12" s="228" customFormat="1" ht="15.05" customHeight="1" x14ac:dyDescent="0.25">
      <c r="A1585" s="155"/>
      <c r="B1585" s="155"/>
      <c r="C1585" s="229"/>
      <c r="D1585" s="634"/>
      <c r="E1585" s="634"/>
      <c r="F1585" s="755"/>
      <c r="G1585" s="755"/>
      <c r="H1585" s="755"/>
      <c r="I1585" s="581"/>
      <c r="J1585" s="499" t="str">
        <f>Noty!J1585</f>
        <v>ukryj</v>
      </c>
      <c r="K1585" s="489"/>
    </row>
    <row r="1586" spans="1:12" s="228" customFormat="1" ht="13.6" customHeight="1" x14ac:dyDescent="0.25">
      <c r="A1586" s="1452"/>
      <c r="B1586" s="1452"/>
      <c r="C1586" s="1452" t="s">
        <v>11373</v>
      </c>
      <c r="D1586" s="1452"/>
      <c r="E1586" s="1452"/>
      <c r="F1586" s="1440" t="s">
        <v>11381</v>
      </c>
      <c r="G1586" s="1440"/>
      <c r="H1586" s="1440" t="s">
        <v>11382</v>
      </c>
      <c r="I1586" s="1440"/>
      <c r="J1586" s="499" t="str">
        <f>Noty!J1586</f>
        <v>ukryj</v>
      </c>
      <c r="K1586" s="489"/>
    </row>
    <row r="1587" spans="1:12" s="228" customFormat="1" x14ac:dyDescent="0.25">
      <c r="A1587" s="1452"/>
      <c r="B1587" s="1452"/>
      <c r="C1587" s="1452"/>
      <c r="D1587" s="1452"/>
      <c r="E1587" s="1452"/>
      <c r="F1587" s="637" t="s">
        <v>11376</v>
      </c>
      <c r="G1587" s="637" t="s">
        <v>11377</v>
      </c>
      <c r="H1587" s="637" t="s">
        <v>11376</v>
      </c>
      <c r="I1587" s="637" t="s">
        <v>11377</v>
      </c>
      <c r="J1587" s="499" t="str">
        <f>Noty!J1587</f>
        <v>ukryj</v>
      </c>
      <c r="K1587" s="489"/>
    </row>
    <row r="1588" spans="1:12" s="228" customFormat="1" ht="15.05" customHeight="1" x14ac:dyDescent="0.25">
      <c r="A1588" s="837"/>
      <c r="B1588" s="837"/>
      <c r="C1588" s="1505" t="str">
        <f>IF(Noty!C1588="","",Noty!C1588)</f>
        <v/>
      </c>
      <c r="D1588" s="1398"/>
      <c r="E1588" s="1398"/>
      <c r="F1588" s="1103" t="str">
        <f>IF(Noty!F1588="","",Noty!F1588)</f>
        <v/>
      </c>
      <c r="G1588" s="1103" t="str">
        <f>IF(Noty!G1588="","",Noty!G1588)</f>
        <v/>
      </c>
      <c r="H1588" s="1103" t="str">
        <f>IF(Noty!H1588="","",Noty!H1588)</f>
        <v/>
      </c>
      <c r="I1588" s="1103" t="str">
        <f>IF(Noty!I1588="","",Noty!I1588)</f>
        <v/>
      </c>
      <c r="J1588" s="499" t="str">
        <f>Noty!J1588</f>
        <v>ukryj</v>
      </c>
      <c r="K1588" s="489"/>
    </row>
    <row r="1589" spans="1:12" s="228" customFormat="1" ht="15.05" customHeight="1" x14ac:dyDescent="0.25">
      <c r="A1589" s="155"/>
      <c r="B1589" s="155"/>
      <c r="C1589" s="1505" t="str">
        <f>IF(Noty!C1589="","",Noty!C1589)</f>
        <v/>
      </c>
      <c r="D1589" s="1398"/>
      <c r="E1589" s="1398"/>
      <c r="F1589" s="1103" t="str">
        <f>IF(Noty!F1589="","",Noty!F1589)</f>
        <v/>
      </c>
      <c r="G1589" s="1103" t="str">
        <f>IF(Noty!G1589="","",Noty!G1589)</f>
        <v/>
      </c>
      <c r="H1589" s="1103" t="str">
        <f>IF(Noty!H1589="","",Noty!H1589)</f>
        <v/>
      </c>
      <c r="I1589" s="1103" t="str">
        <f>IF(Noty!I1589="","",Noty!I1589)</f>
        <v/>
      </c>
      <c r="J1589" s="499" t="str">
        <f>Noty!J1589</f>
        <v>ukryj</v>
      </c>
      <c r="K1589" s="489"/>
    </row>
    <row r="1590" spans="1:12" s="228" customFormat="1" ht="15.05" customHeight="1" x14ac:dyDescent="0.25">
      <c r="A1590" s="155"/>
      <c r="B1590" s="155"/>
      <c r="C1590" s="1505" t="str">
        <f>IF(Noty!C1590="","",Noty!C1590)</f>
        <v/>
      </c>
      <c r="D1590" s="1398"/>
      <c r="E1590" s="1398"/>
      <c r="F1590" s="1103" t="str">
        <f>IF(Noty!F1590="","",Noty!F1590)</f>
        <v/>
      </c>
      <c r="G1590" s="1103" t="str">
        <f>IF(Noty!G1590="","",Noty!G1590)</f>
        <v/>
      </c>
      <c r="H1590" s="1103" t="str">
        <f>IF(Noty!H1590="","",Noty!H1590)</f>
        <v/>
      </c>
      <c r="I1590" s="1103" t="str">
        <f>IF(Noty!I1590="","",Noty!I1590)</f>
        <v/>
      </c>
      <c r="J1590" s="499" t="str">
        <f>Noty!J1590</f>
        <v>ukryj</v>
      </c>
      <c r="K1590" s="489"/>
    </row>
    <row r="1591" spans="1:12" s="228" customFormat="1" ht="15.05" customHeight="1" x14ac:dyDescent="0.25">
      <c r="A1591" s="155"/>
      <c r="B1591" s="155"/>
      <c r="C1591" s="1505" t="str">
        <f>IF(Noty!C1591="","",Noty!C1591)</f>
        <v/>
      </c>
      <c r="D1591" s="1398"/>
      <c r="E1591" s="1398"/>
      <c r="F1591" s="1103" t="str">
        <f>IF(Noty!F1591="","",Noty!F1591)</f>
        <v/>
      </c>
      <c r="G1591" s="1103" t="str">
        <f>IF(Noty!G1591="","",Noty!G1591)</f>
        <v/>
      </c>
      <c r="H1591" s="1103" t="str">
        <f>IF(Noty!H1591="","",Noty!H1591)</f>
        <v/>
      </c>
      <c r="I1591" s="1103" t="str">
        <f>IF(Noty!I1591="","",Noty!I1591)</f>
        <v/>
      </c>
      <c r="J1591" s="499" t="str">
        <f>Noty!J1591</f>
        <v>ukryj</v>
      </c>
      <c r="K1591" s="489"/>
    </row>
    <row r="1592" spans="1:12" s="228" customFormat="1" ht="15.05" customHeight="1" x14ac:dyDescent="0.25">
      <c r="A1592" s="155"/>
      <c r="B1592" s="155"/>
      <c r="C1592" s="1505" t="str">
        <f>IF(Noty!C1592="","",Noty!C1592)</f>
        <v/>
      </c>
      <c r="D1592" s="1398"/>
      <c r="E1592" s="1398"/>
      <c r="F1592" s="1103" t="str">
        <f>IF(Noty!F1592="","",Noty!F1592)</f>
        <v/>
      </c>
      <c r="G1592" s="1103" t="str">
        <f>IF(Noty!G1592="","",Noty!G1592)</f>
        <v/>
      </c>
      <c r="H1592" s="1103" t="str">
        <f>IF(Noty!H1592="","",Noty!H1592)</f>
        <v/>
      </c>
      <c r="I1592" s="1103" t="str">
        <f>IF(Noty!I1592="","",Noty!I1592)</f>
        <v/>
      </c>
      <c r="J1592" s="499" t="str">
        <f>Noty!J1592</f>
        <v>ukryj</v>
      </c>
      <c r="K1592" s="489"/>
    </row>
    <row r="1593" spans="1:12" s="228" customFormat="1" ht="15.05" customHeight="1" x14ac:dyDescent="0.25">
      <c r="A1593" s="155"/>
      <c r="B1593" s="155"/>
      <c r="C1593" s="1505" t="str">
        <f>IF(Noty!C1593="","",Noty!C1593)</f>
        <v/>
      </c>
      <c r="D1593" s="1398"/>
      <c r="E1593" s="1398"/>
      <c r="F1593" s="1103" t="str">
        <f>IF(Noty!F1593="","",Noty!F1593)</f>
        <v/>
      </c>
      <c r="G1593" s="1103" t="str">
        <f>IF(Noty!G1593="","",Noty!G1593)</f>
        <v/>
      </c>
      <c r="H1593" s="1103" t="str">
        <f>IF(Noty!H1593="","",Noty!H1593)</f>
        <v/>
      </c>
      <c r="I1593" s="1103" t="str">
        <f>IF(Noty!I1593="","",Noty!I1593)</f>
        <v/>
      </c>
      <c r="J1593" s="499" t="str">
        <f>Noty!J1593</f>
        <v>ukryj</v>
      </c>
      <c r="K1593" s="489"/>
    </row>
    <row r="1594" spans="1:12" s="228" customFormat="1" ht="15.05" customHeight="1" thickBot="1" x14ac:dyDescent="0.3">
      <c r="A1594" s="155"/>
      <c r="B1594" s="155"/>
      <c r="C1594" s="569" t="s">
        <v>7756</v>
      </c>
      <c r="D1594" s="756"/>
      <c r="E1594" s="757"/>
      <c r="F1594" s="673"/>
      <c r="G1594" s="673"/>
      <c r="H1594" s="673"/>
      <c r="I1594" s="634"/>
      <c r="J1594" s="499" t="str">
        <f>Noty!J1594</f>
        <v>ukryj</v>
      </c>
      <c r="K1594" s="489"/>
    </row>
    <row r="1595" spans="1:12" s="228" customFormat="1" ht="25.55" customHeight="1" thickTop="1" thickBot="1" x14ac:dyDescent="0.3">
      <c r="A1595" s="155"/>
      <c r="B1595" s="155"/>
      <c r="C1595" s="1483" t="s">
        <v>11383</v>
      </c>
      <c r="D1595" s="1483"/>
      <c r="E1595" s="1483"/>
      <c r="F1595" s="1483"/>
      <c r="G1595" s="1483"/>
      <c r="H1595" s="1483"/>
      <c r="I1595" s="1483"/>
      <c r="J1595" s="499" t="str">
        <f>Noty!J1595</f>
        <v>odkryj</v>
      </c>
      <c r="K1595" s="585" t="str">
        <f>Noty!K1595</f>
        <v/>
      </c>
      <c r="L1595" s="372"/>
    </row>
    <row r="1596" spans="1:12" s="228" customFormat="1" ht="13.75" thickTop="1" x14ac:dyDescent="0.25">
      <c r="A1596" s="155"/>
      <c r="B1596" s="155"/>
      <c r="C1596" s="155"/>
      <c r="D1596" s="673"/>
      <c r="E1596" s="673"/>
      <c r="F1596" s="673"/>
      <c r="G1596" s="673"/>
      <c r="H1596" s="673"/>
      <c r="I1596" s="634"/>
      <c r="J1596" s="499" t="str">
        <f>Noty!J1596</f>
        <v>odkryj</v>
      </c>
      <c r="K1596" s="489"/>
    </row>
    <row r="1597" spans="1:12" s="228" customFormat="1" ht="28.5" customHeight="1" x14ac:dyDescent="0.25">
      <c r="A1597" s="155"/>
      <c r="B1597" s="155"/>
      <c r="C1597" s="1422" t="s">
        <v>11384</v>
      </c>
      <c r="D1597" s="1422"/>
      <c r="E1597" s="1422"/>
      <c r="F1597" s="1422"/>
      <c r="G1597" s="1422"/>
      <c r="H1597" s="1422"/>
      <c r="I1597" s="1422"/>
      <c r="J1597" s="499" t="str">
        <f>Noty!J1597</f>
        <v>odkryj</v>
      </c>
      <c r="K1597" s="489"/>
    </row>
    <row r="1598" spans="1:12" s="228" customFormat="1" x14ac:dyDescent="0.25">
      <c r="A1598" s="155"/>
      <c r="B1598" s="155"/>
      <c r="C1598" s="155"/>
      <c r="D1598" s="673"/>
      <c r="E1598" s="673"/>
      <c r="F1598" s="673"/>
      <c r="G1598" s="673"/>
      <c r="H1598" s="673"/>
      <c r="I1598" s="634"/>
      <c r="J1598" s="499" t="str">
        <f>Noty!J1598</f>
        <v>odkryj</v>
      </c>
      <c r="K1598" s="489"/>
    </row>
    <row r="1599" spans="1:12" s="228" customFormat="1" ht="33.049999999999997" customHeight="1" x14ac:dyDescent="0.25">
      <c r="A1599" s="155"/>
      <c r="B1599" s="155"/>
      <c r="C1599" s="1486" t="s">
        <v>11385</v>
      </c>
      <c r="D1599" s="1486"/>
      <c r="E1599" s="1486"/>
      <c r="F1599" s="1486"/>
      <c r="G1599" s="1486"/>
      <c r="H1599" s="1486"/>
      <c r="I1599" s="1486"/>
      <c r="J1599" s="499" t="str">
        <f>Noty!J1599</f>
        <v>odkryj</v>
      </c>
      <c r="K1599" s="489"/>
    </row>
    <row r="1600" spans="1:12" s="228" customFormat="1" ht="15.05" customHeight="1" thickBot="1" x14ac:dyDescent="0.3">
      <c r="A1600" s="155"/>
      <c r="B1600" s="155"/>
      <c r="C1600" s="227"/>
      <c r="D1600" s="736"/>
      <c r="E1600" s="736"/>
      <c r="F1600" s="736"/>
      <c r="G1600" s="736"/>
      <c r="H1600" s="736"/>
      <c r="I1600" s="634"/>
      <c r="J1600" s="499" t="str">
        <f>Noty!J1600</f>
        <v>odkryj</v>
      </c>
      <c r="K1600" s="489"/>
      <c r="L1600" s="230"/>
    </row>
    <row r="1601" spans="1:14" s="200" customFormat="1" ht="15.05" customHeight="1" thickTop="1" thickBot="1" x14ac:dyDescent="0.35">
      <c r="A1601" s="1180">
        <f>IF(K1601="n/a",A1518,A1518+1)</f>
        <v>18</v>
      </c>
      <c r="B1601" s="1182"/>
      <c r="C1601" s="1388" t="s">
        <v>11386</v>
      </c>
      <c r="D1601" s="1388"/>
      <c r="E1601" s="1388"/>
      <c r="F1601" s="1388"/>
      <c r="G1601" s="1388"/>
      <c r="H1601" s="1388"/>
      <c r="I1601" s="1388"/>
      <c r="J1601" s="499" t="str">
        <f>Noty!J1601</f>
        <v>odkryj</v>
      </c>
      <c r="K1601" s="585" t="str">
        <f>Noty!K1601</f>
        <v/>
      </c>
      <c r="L1601" s="200" t="str">
        <f>A1601&amp;"."&amp;B1601</f>
        <v>18.</v>
      </c>
      <c r="N1601" s="1101" t="s">
        <v>9378</v>
      </c>
    </row>
    <row r="1602" spans="1:14" s="200" customFormat="1" ht="13.6" customHeight="1" thickTop="1" thickBot="1" x14ac:dyDescent="0.3">
      <c r="A1602" s="508"/>
      <c r="B1602" s="520"/>
      <c r="C1602" s="231"/>
      <c r="D1602" s="231"/>
      <c r="E1602" s="196"/>
      <c r="F1602" s="196"/>
      <c r="G1602" s="196"/>
      <c r="H1602" s="196"/>
      <c r="I1602" s="196"/>
      <c r="J1602" s="499" t="str">
        <f>Noty!J1602</f>
        <v>odkryj</v>
      </c>
      <c r="K1602" s="489"/>
    </row>
    <row r="1603" spans="1:14" s="200" customFormat="1" ht="13.6" customHeight="1" thickTop="1" thickBot="1" x14ac:dyDescent="0.3">
      <c r="A1603" s="508"/>
      <c r="B1603" s="520"/>
      <c r="C1603" s="233" t="s">
        <v>11088</v>
      </c>
      <c r="D1603" s="758"/>
      <c r="G1603" s="9"/>
      <c r="H1603" s="999" t="str">
        <f>IF(Noty!H1603="","",Noty!H1603)</f>
        <v>31.12.2020</v>
      </c>
      <c r="I1603" s="1000" t="str">
        <f>IF(Noty!I1603="","",Noty!I1603)</f>
        <v>31.12.2019</v>
      </c>
      <c r="J1603" s="499" t="str">
        <f>Noty!J1603</f>
        <v>ukryj</v>
      </c>
      <c r="K1603" s="585" t="str">
        <f>Noty!K1603</f>
        <v>n/a</v>
      </c>
      <c r="L1603" s="176"/>
    </row>
    <row r="1604" spans="1:14" s="200" customFormat="1" ht="13.6" customHeight="1" thickTop="1" x14ac:dyDescent="0.25">
      <c r="A1604" s="508"/>
      <c r="B1604" s="520"/>
      <c r="C1604" s="232"/>
      <c r="H1604" s="759"/>
      <c r="I1604" s="759"/>
      <c r="J1604" s="499" t="str">
        <f>Noty!J1604</f>
        <v>ukryj</v>
      </c>
      <c r="K1604" s="489"/>
    </row>
    <row r="1605" spans="1:14" s="200" customFormat="1" ht="13.6" customHeight="1" x14ac:dyDescent="0.25">
      <c r="A1605" s="508"/>
      <c r="B1605" s="520"/>
      <c r="C1605" s="233" t="s">
        <v>11387</v>
      </c>
      <c r="H1605" s="709"/>
      <c r="I1605" s="709"/>
      <c r="J1605" s="499" t="str">
        <f>Noty!J1605</f>
        <v>ukryj</v>
      </c>
      <c r="K1605" s="489"/>
    </row>
    <row r="1606" spans="1:14" s="200" customFormat="1" ht="13.6" customHeight="1" x14ac:dyDescent="0.25">
      <c r="A1606" s="508"/>
      <c r="B1606" s="520"/>
      <c r="C1606" s="234" t="s">
        <v>11388</v>
      </c>
      <c r="J1606" s="499" t="str">
        <f>Noty!J1606</f>
        <v>ukryj</v>
      </c>
      <c r="K1606" s="489"/>
    </row>
    <row r="1607" spans="1:14" s="200" customFormat="1" ht="13.6" customHeight="1" x14ac:dyDescent="0.25">
      <c r="A1607" s="508"/>
      <c r="B1607" s="520"/>
      <c r="C1607" s="235" t="s">
        <v>11389</v>
      </c>
      <c r="G1607" s="9"/>
      <c r="H1607" s="1141" t="str">
        <f>IF(Noty!H1607="","",Noty!H1607)</f>
        <v/>
      </c>
      <c r="I1607" s="1141" t="str">
        <f>IF(Noty!I1607="","",Noty!I1607)</f>
        <v/>
      </c>
      <c r="J1607" s="499" t="str">
        <f>Noty!J1607</f>
        <v>ukryj</v>
      </c>
      <c r="K1607" s="489"/>
    </row>
    <row r="1608" spans="1:14" s="200" customFormat="1" ht="13.6" customHeight="1" x14ac:dyDescent="0.25">
      <c r="A1608" s="508"/>
      <c r="B1608" s="520"/>
      <c r="C1608" s="235" t="s">
        <v>11390</v>
      </c>
      <c r="G1608" s="9"/>
      <c r="H1608" s="1141" t="str">
        <f>IF(Noty!H1608="","",Noty!H1608)</f>
        <v/>
      </c>
      <c r="I1608" s="1141" t="str">
        <f>IF(Noty!I1608="","",Noty!I1608)</f>
        <v/>
      </c>
      <c r="J1608" s="499" t="str">
        <f>Noty!J1608</f>
        <v>ukryj</v>
      </c>
      <c r="K1608" s="489"/>
    </row>
    <row r="1609" spans="1:14" s="200" customFormat="1" ht="13.6" customHeight="1" x14ac:dyDescent="0.25">
      <c r="A1609" s="508"/>
      <c r="B1609" s="520"/>
      <c r="C1609" s="235" t="s">
        <v>8406</v>
      </c>
      <c r="G1609" s="9"/>
      <c r="H1609" s="1141" t="str">
        <f>IF(Noty!H1609="","",Noty!H1609)</f>
        <v/>
      </c>
      <c r="I1609" s="1141" t="str">
        <f>IF(Noty!I1609="","",Noty!I1609)</f>
        <v/>
      </c>
      <c r="J1609" s="499" t="str">
        <f>Noty!J1609</f>
        <v>ukryj</v>
      </c>
      <c r="K1609" s="489"/>
    </row>
    <row r="1610" spans="1:14" s="200" customFormat="1" ht="13.6" customHeight="1" x14ac:dyDescent="0.25">
      <c r="A1610" s="508"/>
      <c r="B1610" s="520"/>
      <c r="C1610" s="235" t="s">
        <v>11391</v>
      </c>
      <c r="G1610" s="9"/>
      <c r="H1610" s="1141" t="str">
        <f>IF(Noty!H1610="","",Noty!H1610)</f>
        <v/>
      </c>
      <c r="I1610" s="1141" t="str">
        <f>IF(Noty!I1610="","",Noty!I1610)</f>
        <v/>
      </c>
      <c r="J1610" s="499" t="str">
        <f>Noty!J1610</f>
        <v>ukryj</v>
      </c>
      <c r="K1610" s="489"/>
    </row>
    <row r="1611" spans="1:14" s="200" customFormat="1" ht="13.6" customHeight="1" x14ac:dyDescent="0.25">
      <c r="A1611" s="508"/>
      <c r="B1611" s="520"/>
      <c r="C1611" s="235" t="s">
        <v>11392</v>
      </c>
      <c r="G1611" s="9"/>
      <c r="H1611" s="1141" t="str">
        <f>IF(Noty!H1611="","",Noty!H1611)</f>
        <v/>
      </c>
      <c r="I1611" s="1141" t="str">
        <f>IF(Noty!I1611="","",Noty!I1611)</f>
        <v/>
      </c>
      <c r="J1611" s="499" t="str">
        <f>Noty!J1611</f>
        <v>ukryj</v>
      </c>
      <c r="K1611" s="489"/>
    </row>
    <row r="1612" spans="1:14" s="200" customFormat="1" ht="13.6" customHeight="1" x14ac:dyDescent="0.25">
      <c r="A1612" s="508"/>
      <c r="B1612" s="520"/>
      <c r="C1612" s="235" t="s">
        <v>8162</v>
      </c>
      <c r="G1612" s="9"/>
      <c r="H1612" s="1141" t="str">
        <f>IF(Noty!H1612="","",Noty!H1612)</f>
        <v/>
      </c>
      <c r="I1612" s="1141" t="str">
        <f>IF(Noty!I1612="","",Noty!I1612)</f>
        <v/>
      </c>
      <c r="J1612" s="499" t="str">
        <f>Noty!J1612</f>
        <v>ukryj</v>
      </c>
      <c r="K1612" s="489"/>
    </row>
    <row r="1613" spans="1:14" s="200" customFormat="1" ht="13.6" customHeight="1" x14ac:dyDescent="0.25">
      <c r="A1613" s="508"/>
      <c r="B1613" s="520"/>
      <c r="C1613" s="405"/>
      <c r="G1613" s="9"/>
      <c r="H1613" s="734">
        <f>IF(Noty!H1613="","",Noty!H1613)</f>
        <v>0</v>
      </c>
      <c r="I1613" s="734">
        <f>IF(Noty!I1613="","",Noty!I1613)</f>
        <v>0</v>
      </c>
      <c r="J1613" s="499" t="str">
        <f>Noty!J1613</f>
        <v>ukryj</v>
      </c>
      <c r="K1613" s="489"/>
    </row>
    <row r="1614" spans="1:14" s="200" customFormat="1" ht="13.6" customHeight="1" x14ac:dyDescent="0.25">
      <c r="A1614" s="508"/>
      <c r="B1614" s="520"/>
      <c r="C1614" s="234" t="s">
        <v>11393</v>
      </c>
      <c r="J1614" s="499" t="str">
        <f>Noty!J1614</f>
        <v>ukryj</v>
      </c>
      <c r="K1614" s="489"/>
    </row>
    <row r="1615" spans="1:14" s="200" customFormat="1" ht="13.6" customHeight="1" x14ac:dyDescent="0.25">
      <c r="A1615" s="508"/>
      <c r="B1615" s="520"/>
      <c r="C1615" s="235" t="s">
        <v>11389</v>
      </c>
      <c r="G1615" s="9"/>
      <c r="H1615" s="1141" t="str">
        <f>IF(Noty!H1615="","",Noty!H1615)</f>
        <v/>
      </c>
      <c r="I1615" s="1141" t="str">
        <f>IF(Noty!I1615="","",Noty!I1615)</f>
        <v/>
      </c>
      <c r="J1615" s="499" t="str">
        <f>Noty!J1615</f>
        <v>ukryj</v>
      </c>
      <c r="K1615" s="489"/>
    </row>
    <row r="1616" spans="1:14" s="200" customFormat="1" ht="13.6" customHeight="1" x14ac:dyDescent="0.25">
      <c r="A1616" s="508"/>
      <c r="B1616" s="520"/>
      <c r="C1616" s="235" t="s">
        <v>11390</v>
      </c>
      <c r="G1616" s="9"/>
      <c r="H1616" s="1141" t="str">
        <f>IF(Noty!H1616="","",Noty!H1616)</f>
        <v/>
      </c>
      <c r="I1616" s="1141" t="str">
        <f>IF(Noty!I1616="","",Noty!I1616)</f>
        <v/>
      </c>
      <c r="J1616" s="499" t="str">
        <f>Noty!J1616</f>
        <v>ukryj</v>
      </c>
      <c r="K1616" s="489"/>
    </row>
    <row r="1617" spans="1:11" s="200" customFormat="1" ht="13.6" customHeight="1" x14ac:dyDescent="0.25">
      <c r="A1617" s="508"/>
      <c r="B1617" s="520"/>
      <c r="C1617" s="235" t="s">
        <v>8406</v>
      </c>
      <c r="G1617" s="9"/>
      <c r="H1617" s="1141" t="str">
        <f>IF(Noty!H1617="","",Noty!H1617)</f>
        <v/>
      </c>
      <c r="I1617" s="1141" t="str">
        <f>IF(Noty!I1617="","",Noty!I1617)</f>
        <v/>
      </c>
      <c r="J1617" s="499" t="str">
        <f>Noty!J1617</f>
        <v>ukryj</v>
      </c>
      <c r="K1617" s="489"/>
    </row>
    <row r="1618" spans="1:11" s="200" customFormat="1" ht="13.6" customHeight="1" x14ac:dyDescent="0.25">
      <c r="A1618" s="508"/>
      <c r="B1618" s="520"/>
      <c r="C1618" s="235" t="s">
        <v>11391</v>
      </c>
      <c r="G1618" s="9"/>
      <c r="H1618" s="1141" t="str">
        <f>IF(Noty!H1618="","",Noty!H1618)</f>
        <v/>
      </c>
      <c r="I1618" s="1141" t="str">
        <f>IF(Noty!I1618="","",Noty!I1618)</f>
        <v/>
      </c>
      <c r="J1618" s="499" t="str">
        <f>Noty!J1618</f>
        <v>ukryj</v>
      </c>
      <c r="K1618" s="489"/>
    </row>
    <row r="1619" spans="1:11" s="200" customFormat="1" ht="13.6" customHeight="1" x14ac:dyDescent="0.25">
      <c r="A1619" s="508"/>
      <c r="B1619" s="520"/>
      <c r="C1619" s="235" t="s">
        <v>11392</v>
      </c>
      <c r="G1619" s="9"/>
      <c r="H1619" s="1141" t="str">
        <f>IF(Noty!H1619="","",Noty!H1619)</f>
        <v/>
      </c>
      <c r="I1619" s="1141" t="str">
        <f>IF(Noty!I1619="","",Noty!I1619)</f>
        <v/>
      </c>
      <c r="J1619" s="499" t="str">
        <f>Noty!J1619</f>
        <v>ukryj</v>
      </c>
      <c r="K1619" s="489"/>
    </row>
    <row r="1620" spans="1:11" s="200" customFormat="1" ht="13.6" customHeight="1" x14ac:dyDescent="0.25">
      <c r="A1620" s="508"/>
      <c r="B1620" s="520"/>
      <c r="C1620" s="235" t="s">
        <v>8162</v>
      </c>
      <c r="G1620" s="9"/>
      <c r="H1620" s="1141" t="str">
        <f>IF(Noty!H1620="","",Noty!H1620)</f>
        <v/>
      </c>
      <c r="I1620" s="1141" t="str">
        <f>IF(Noty!I1620="","",Noty!I1620)</f>
        <v/>
      </c>
      <c r="J1620" s="499" t="str">
        <f>Noty!J1620</f>
        <v>ukryj</v>
      </c>
      <c r="K1620" s="489"/>
    </row>
    <row r="1621" spans="1:11" s="200" customFormat="1" ht="13.6" customHeight="1" x14ac:dyDescent="0.25">
      <c r="A1621" s="508"/>
      <c r="B1621" s="520"/>
      <c r="C1621" s="236"/>
      <c r="D1621" s="196"/>
      <c r="F1621" s="196"/>
      <c r="G1621" s="251"/>
      <c r="H1621" s="734">
        <f>IF(Noty!H1621="","",Noty!H1621)</f>
        <v>0</v>
      </c>
      <c r="I1621" s="734">
        <f>IF(Noty!I1621="","",Noty!I1621)</f>
        <v>0</v>
      </c>
      <c r="J1621" s="499" t="str">
        <f>Noty!J1621</f>
        <v>ukryj</v>
      </c>
      <c r="K1621" s="489"/>
    </row>
    <row r="1622" spans="1:11" s="200" customFormat="1" ht="13.6" customHeight="1" x14ac:dyDescent="0.25">
      <c r="A1622" s="508"/>
      <c r="B1622" s="520"/>
      <c r="C1622" s="234" t="s">
        <v>11394</v>
      </c>
      <c r="H1622" s="544"/>
      <c r="I1622" s="544"/>
      <c r="J1622" s="499" t="str">
        <f>Noty!J1622</f>
        <v>ukryj</v>
      </c>
      <c r="K1622" s="489"/>
    </row>
    <row r="1623" spans="1:11" s="200" customFormat="1" ht="13.6" customHeight="1" x14ac:dyDescent="0.25">
      <c r="A1623" s="508"/>
      <c r="B1623" s="520"/>
      <c r="C1623" s="235" t="s">
        <v>11389</v>
      </c>
      <c r="G1623" s="9"/>
      <c r="H1623" s="1141" t="str">
        <f>IF(Noty!H1623="","",Noty!H1623)</f>
        <v/>
      </c>
      <c r="I1623" s="1141" t="str">
        <f>IF(Noty!I1623="","",Noty!I1623)</f>
        <v/>
      </c>
      <c r="J1623" s="499" t="str">
        <f>Noty!J1623</f>
        <v>ukryj</v>
      </c>
      <c r="K1623" s="489"/>
    </row>
    <row r="1624" spans="1:11" s="200" customFormat="1" ht="13.6" customHeight="1" x14ac:dyDescent="0.25">
      <c r="A1624" s="508"/>
      <c r="B1624" s="520"/>
      <c r="C1624" s="235" t="s">
        <v>11390</v>
      </c>
      <c r="G1624" s="9"/>
      <c r="H1624" s="1141" t="str">
        <f>IF(Noty!H1624="","",Noty!H1624)</f>
        <v/>
      </c>
      <c r="I1624" s="1141" t="str">
        <f>IF(Noty!I1624="","",Noty!I1624)</f>
        <v/>
      </c>
      <c r="J1624" s="499" t="str">
        <f>Noty!J1624</f>
        <v>ukryj</v>
      </c>
      <c r="K1624" s="489"/>
    </row>
    <row r="1625" spans="1:11" s="200" customFormat="1" ht="13.6" customHeight="1" x14ac:dyDescent="0.25">
      <c r="A1625" s="508"/>
      <c r="B1625" s="520"/>
      <c r="C1625" s="235" t="s">
        <v>8406</v>
      </c>
      <c r="G1625" s="9"/>
      <c r="H1625" s="1141" t="str">
        <f>IF(Noty!H1625="","",Noty!H1625)</f>
        <v/>
      </c>
      <c r="I1625" s="1141" t="str">
        <f>IF(Noty!I1625="","",Noty!I1625)</f>
        <v/>
      </c>
      <c r="J1625" s="499" t="str">
        <f>Noty!J1625</f>
        <v>ukryj</v>
      </c>
      <c r="K1625" s="489"/>
    </row>
    <row r="1626" spans="1:11" s="200" customFormat="1" ht="13.6" customHeight="1" x14ac:dyDescent="0.25">
      <c r="A1626" s="508"/>
      <c r="B1626" s="520"/>
      <c r="C1626" s="235" t="s">
        <v>11391</v>
      </c>
      <c r="G1626" s="9"/>
      <c r="H1626" s="1141" t="str">
        <f>IF(Noty!H1626="","",Noty!H1626)</f>
        <v/>
      </c>
      <c r="I1626" s="1141" t="str">
        <f>IF(Noty!I1626="","",Noty!I1626)</f>
        <v/>
      </c>
      <c r="J1626" s="499" t="str">
        <f>Noty!J1626</f>
        <v>ukryj</v>
      </c>
      <c r="K1626" s="489"/>
    </row>
    <row r="1627" spans="1:11" s="200" customFormat="1" ht="13.6" customHeight="1" x14ac:dyDescent="0.25">
      <c r="A1627" s="508"/>
      <c r="B1627" s="520"/>
      <c r="C1627" s="235" t="s">
        <v>11392</v>
      </c>
      <c r="G1627" s="9"/>
      <c r="H1627" s="1141" t="str">
        <f>IF(Noty!H1627="","",Noty!H1627)</f>
        <v/>
      </c>
      <c r="I1627" s="1141" t="str">
        <f>IF(Noty!I1627="","",Noty!I1627)</f>
        <v/>
      </c>
      <c r="J1627" s="499" t="str">
        <f>Noty!J1627</f>
        <v>ukryj</v>
      </c>
      <c r="K1627" s="489"/>
    </row>
    <row r="1628" spans="1:11" s="200" customFormat="1" ht="13.6" customHeight="1" x14ac:dyDescent="0.25">
      <c r="A1628" s="508"/>
      <c r="B1628" s="520"/>
      <c r="C1628" s="235" t="s">
        <v>8162</v>
      </c>
      <c r="G1628" s="9"/>
      <c r="H1628" s="1141" t="str">
        <f>IF(Noty!H1628="","",Noty!H1628)</f>
        <v/>
      </c>
      <c r="I1628" s="1141" t="str">
        <f>IF(Noty!I1628="","",Noty!I1628)</f>
        <v/>
      </c>
      <c r="J1628" s="499" t="str">
        <f>Noty!J1628</f>
        <v>ukryj</v>
      </c>
      <c r="K1628" s="489"/>
    </row>
    <row r="1629" spans="1:11" s="200" customFormat="1" ht="13.6" customHeight="1" x14ac:dyDescent="0.25">
      <c r="A1629" s="508"/>
      <c r="B1629" s="520"/>
      <c r="C1629" s="231"/>
      <c r="D1629" s="196"/>
      <c r="F1629" s="196"/>
      <c r="G1629" s="251"/>
      <c r="H1629" s="734">
        <f>IF(Noty!H1629="","",Noty!H1629)</f>
        <v>0</v>
      </c>
      <c r="I1629" s="734">
        <f>IF(Noty!I1629="","",Noty!I1629)</f>
        <v>0</v>
      </c>
      <c r="J1629" s="499" t="str">
        <f>Noty!J1629</f>
        <v>ukryj</v>
      </c>
      <c r="K1629" s="489"/>
    </row>
    <row r="1630" spans="1:11" s="200" customFormat="1" ht="13.6" customHeight="1" x14ac:dyDescent="0.25">
      <c r="A1630" s="508"/>
      <c r="B1630" s="520"/>
      <c r="C1630" s="231"/>
      <c r="D1630" s="196"/>
      <c r="F1630" s="196"/>
      <c r="G1630" s="196"/>
      <c r="H1630" s="549"/>
      <c r="I1630" s="549"/>
      <c r="J1630" s="499" t="str">
        <f>Noty!J1630</f>
        <v>ukryj</v>
      </c>
      <c r="K1630" s="489"/>
    </row>
    <row r="1631" spans="1:11" s="200" customFormat="1" ht="13.6" customHeight="1" x14ac:dyDescent="0.25">
      <c r="A1631" s="508"/>
      <c r="B1631" s="520"/>
      <c r="C1631" s="233"/>
      <c r="D1631" s="196"/>
      <c r="F1631" s="196"/>
      <c r="G1631" s="251"/>
      <c r="H1631" s="803">
        <f>IF(Noty!H1631="","",Noty!H1631)</f>
        <v>0</v>
      </c>
      <c r="I1631" s="803">
        <f>IF(Noty!I1631="","",Noty!I1631)</f>
        <v>0</v>
      </c>
      <c r="J1631" s="499" t="str">
        <f>Noty!J1631</f>
        <v>ukryj</v>
      </c>
      <c r="K1631" s="489"/>
    </row>
    <row r="1632" spans="1:11" s="200" customFormat="1" ht="13.6" customHeight="1" x14ac:dyDescent="0.25">
      <c r="A1632" s="508"/>
      <c r="B1632" s="520"/>
      <c r="C1632" s="231"/>
      <c r="E1632" s="196"/>
      <c r="F1632" s="196"/>
      <c r="G1632" s="196"/>
      <c r="H1632" s="191"/>
      <c r="J1632" s="499" t="str">
        <f>Noty!J1632</f>
        <v>ukryj</v>
      </c>
      <c r="K1632" s="489"/>
    </row>
    <row r="1633" spans="1:14" s="200" customFormat="1" ht="13.6" customHeight="1" thickBot="1" x14ac:dyDescent="0.3">
      <c r="A1633" s="508"/>
      <c r="B1633" s="520"/>
      <c r="C1633" s="219" t="s">
        <v>7756</v>
      </c>
      <c r="E1633" s="196"/>
      <c r="F1633" s="196"/>
      <c r="G1633" s="196"/>
      <c r="H1633" s="191"/>
      <c r="J1633" s="499" t="str">
        <f>Noty!J1633</f>
        <v>ukryj</v>
      </c>
      <c r="K1633" s="489"/>
    </row>
    <row r="1634" spans="1:14" s="200" customFormat="1" ht="13.6" customHeight="1" thickTop="1" thickBot="1" x14ac:dyDescent="0.3">
      <c r="A1634" s="508"/>
      <c r="B1634" s="520"/>
      <c r="C1634" s="1433" t="s">
        <v>11395</v>
      </c>
      <c r="D1634" s="1433"/>
      <c r="E1634" s="1433"/>
      <c r="F1634" s="1433"/>
      <c r="G1634" s="1433"/>
      <c r="H1634" s="1433"/>
      <c r="I1634" s="1433"/>
      <c r="J1634" s="499" t="str">
        <f>Noty!J1634</f>
        <v>odkryj</v>
      </c>
      <c r="K1634" s="585" t="str">
        <f>Noty!K1634</f>
        <v/>
      </c>
    </row>
    <row r="1635" spans="1:14" s="200" customFormat="1" ht="13.6" customHeight="1" thickTop="1" x14ac:dyDescent="0.25">
      <c r="A1635" s="508"/>
      <c r="B1635" s="520"/>
      <c r="C1635" s="238"/>
      <c r="E1635" s="196"/>
      <c r="F1635" s="196"/>
      <c r="G1635" s="196"/>
      <c r="H1635" s="196"/>
      <c r="I1635" s="196"/>
      <c r="J1635" s="499" t="str">
        <f>Noty!J1635</f>
        <v>odkryj</v>
      </c>
      <c r="K1635" s="489"/>
    </row>
    <row r="1636" spans="1:14" s="200" customFormat="1" ht="13.6" customHeight="1" x14ac:dyDescent="0.25">
      <c r="A1636" s="508"/>
      <c r="B1636" s="520"/>
      <c r="C1636" s="1382" t="s">
        <v>11396</v>
      </c>
      <c r="D1636" s="1382"/>
      <c r="E1636" s="1382"/>
      <c r="F1636" s="1382"/>
      <c r="G1636" s="1382"/>
      <c r="H1636" s="1382"/>
      <c r="I1636" s="1382"/>
      <c r="J1636" s="499" t="str">
        <f>Noty!J1636</f>
        <v>ukryj</v>
      </c>
      <c r="K1636" s="489"/>
    </row>
    <row r="1637" spans="1:14" s="200" customFormat="1" ht="13.6" customHeight="1" x14ac:dyDescent="0.25">
      <c r="A1637" s="508"/>
      <c r="B1637" s="520"/>
      <c r="C1637" s="1484" t="s">
        <v>11397</v>
      </c>
      <c r="D1637" s="1484"/>
      <c r="E1637" s="1484"/>
      <c r="F1637" s="1484"/>
      <c r="G1637" s="1484"/>
      <c r="H1637" s="1484"/>
      <c r="I1637" s="1484"/>
      <c r="J1637" s="499" t="str">
        <f>Noty!J1637</f>
        <v>ukryj</v>
      </c>
      <c r="K1637" s="489"/>
    </row>
    <row r="1638" spans="1:14" s="200" customFormat="1" ht="13.6" customHeight="1" x14ac:dyDescent="0.25">
      <c r="A1638" s="508"/>
      <c r="B1638" s="520"/>
      <c r="C1638" s="1484" t="s">
        <v>11398</v>
      </c>
      <c r="D1638" s="1484"/>
      <c r="E1638" s="1484"/>
      <c r="F1638" s="1484"/>
      <c r="G1638" s="1484"/>
      <c r="H1638" s="1484"/>
      <c r="I1638" s="1484"/>
      <c r="J1638" s="499" t="str">
        <f>Noty!J1638</f>
        <v>ukryj</v>
      </c>
      <c r="K1638" s="489"/>
    </row>
    <row r="1639" spans="1:14" s="200" customFormat="1" ht="13.6" customHeight="1" x14ac:dyDescent="0.25">
      <c r="A1639" s="508"/>
      <c r="B1639" s="520"/>
      <c r="C1639" s="1484" t="s">
        <v>11399</v>
      </c>
      <c r="D1639" s="1484"/>
      <c r="E1639" s="1484"/>
      <c r="F1639" s="1484"/>
      <c r="G1639" s="1484"/>
      <c r="H1639" s="1484"/>
      <c r="I1639" s="1484"/>
      <c r="J1639" s="499" t="str">
        <f>Noty!J1639</f>
        <v>ukryj</v>
      </c>
      <c r="K1639" s="489"/>
    </row>
    <row r="1640" spans="1:14" s="200" customFormat="1" ht="13.6" customHeight="1" x14ac:dyDescent="0.25">
      <c r="A1640" s="508"/>
      <c r="B1640" s="520"/>
      <c r="C1640" s="1484" t="s">
        <v>11400</v>
      </c>
      <c r="D1640" s="1484"/>
      <c r="E1640" s="1484"/>
      <c r="F1640" s="1484"/>
      <c r="G1640" s="1484"/>
      <c r="H1640" s="1484"/>
      <c r="I1640" s="1484"/>
      <c r="J1640" s="499" t="str">
        <f>Noty!J1640</f>
        <v>ukryj</v>
      </c>
      <c r="K1640" s="489"/>
    </row>
    <row r="1641" spans="1:14" s="200" customFormat="1" ht="13.6" customHeight="1" x14ac:dyDescent="0.25">
      <c r="A1641" s="508"/>
      <c r="B1641" s="520"/>
      <c r="C1641" s="1484" t="s">
        <v>11401</v>
      </c>
      <c r="D1641" s="1484"/>
      <c r="E1641" s="1484"/>
      <c r="F1641" s="1484"/>
      <c r="G1641" s="1484"/>
      <c r="H1641" s="1484"/>
      <c r="I1641" s="1484"/>
      <c r="J1641" s="499" t="str">
        <f>Noty!J1641</f>
        <v>ukryj</v>
      </c>
      <c r="K1641" s="489"/>
    </row>
    <row r="1642" spans="1:14" s="200" customFormat="1" ht="13.6" customHeight="1" x14ac:dyDescent="0.25">
      <c r="A1642" s="508"/>
      <c r="B1642" s="520"/>
      <c r="C1642" s="1485" t="s">
        <v>11402</v>
      </c>
      <c r="D1642" s="1485"/>
      <c r="E1642" s="1485"/>
      <c r="F1642" s="1485"/>
      <c r="G1642" s="1485"/>
      <c r="H1642" s="1485"/>
      <c r="I1642" s="1485"/>
      <c r="J1642" s="499" t="str">
        <f>Noty!J1642</f>
        <v>ukryj</v>
      </c>
      <c r="K1642" s="489"/>
    </row>
    <row r="1643" spans="1:14" s="200" customFormat="1" ht="13.6" customHeight="1" thickBot="1" x14ac:dyDescent="0.3">
      <c r="A1643" s="508"/>
      <c r="B1643" s="520"/>
      <c r="C1643" s="225"/>
      <c r="D1643" s="224"/>
      <c r="E1643" s="196"/>
      <c r="F1643" s="196"/>
      <c r="G1643" s="196"/>
      <c r="H1643" s="196"/>
      <c r="I1643" s="196"/>
      <c r="J1643" s="499" t="str">
        <f>Noty!J1643</f>
        <v>ukryj</v>
      </c>
      <c r="K1643" s="489"/>
    </row>
    <row r="1644" spans="1:14" s="200" customFormat="1" ht="15.75" customHeight="1" thickTop="1" thickBot="1" x14ac:dyDescent="0.35">
      <c r="A1644" s="1180">
        <f>IF(K1644="n/a",A1601,A1601+1)</f>
        <v>19</v>
      </c>
      <c r="B1644" s="1182"/>
      <c r="C1644" s="1388" t="s">
        <v>11403</v>
      </c>
      <c r="D1644" s="1388"/>
      <c r="E1644" s="1388"/>
      <c r="F1644" s="1388"/>
      <c r="G1644" s="1388"/>
      <c r="H1644" s="1388"/>
      <c r="I1644" s="1388"/>
      <c r="J1644" s="499" t="str">
        <f>Noty!J1644</f>
        <v>odkryj</v>
      </c>
      <c r="K1644" s="585" t="str">
        <f>Noty!K1644</f>
        <v/>
      </c>
      <c r="L1644" s="200" t="str">
        <f>A1644&amp;"."&amp;B1644</f>
        <v>19.</v>
      </c>
      <c r="N1644" s="1101" t="s">
        <v>9378</v>
      </c>
    </row>
    <row r="1645" spans="1:14" s="200" customFormat="1" ht="13.6" customHeight="1" thickTop="1" thickBot="1" x14ac:dyDescent="0.3">
      <c r="A1645" s="508"/>
      <c r="B1645" s="520"/>
      <c r="C1645" s="231"/>
      <c r="D1645" s="231"/>
      <c r="E1645" s="196"/>
      <c r="F1645" s="196"/>
      <c r="G1645" s="196"/>
      <c r="H1645" s="196"/>
      <c r="I1645" s="196"/>
      <c r="J1645" s="499" t="str">
        <f>Noty!J1645</f>
        <v>odkryj</v>
      </c>
      <c r="K1645" s="489"/>
    </row>
    <row r="1646" spans="1:14" s="200" customFormat="1" ht="29.3" customHeight="1" thickTop="1" thickBot="1" x14ac:dyDescent="0.3">
      <c r="A1646" s="508"/>
      <c r="B1646" s="520"/>
      <c r="C1646" s="1447" t="s">
        <v>11404</v>
      </c>
      <c r="D1646" s="1447"/>
      <c r="E1646" s="1447"/>
      <c r="F1646" s="1447"/>
      <c r="G1646" s="1447"/>
      <c r="H1646" s="1447"/>
      <c r="I1646" s="1447"/>
      <c r="J1646" s="499" t="str">
        <f>Noty!J1646</f>
        <v>ukryj</v>
      </c>
      <c r="K1646" s="585" t="str">
        <f>Noty!K1646</f>
        <v>n/a</v>
      </c>
      <c r="L1646" s="372"/>
    </row>
    <row r="1647" spans="1:14" s="200" customFormat="1" ht="13.6" customHeight="1" thickTop="1" x14ac:dyDescent="0.25">
      <c r="A1647" s="508"/>
      <c r="B1647" s="520"/>
      <c r="C1647" s="204"/>
      <c r="D1647" s="204"/>
      <c r="J1647" s="499" t="str">
        <f>Noty!J1647</f>
        <v>ukryj</v>
      </c>
      <c r="K1647" s="489"/>
    </row>
    <row r="1648" spans="1:14" s="200" customFormat="1" ht="13.6" customHeight="1" thickBot="1" x14ac:dyDescent="0.3">
      <c r="A1648" s="508"/>
      <c r="B1648" s="520"/>
      <c r="C1648" s="219" t="s">
        <v>7756</v>
      </c>
      <c r="D1648" s="634"/>
      <c r="E1648" s="673"/>
      <c r="F1648" s="673"/>
      <c r="G1648" s="673"/>
      <c r="H1648" s="673"/>
      <c r="I1648" s="634"/>
      <c r="J1648" s="499" t="str">
        <f>Noty!J1648</f>
        <v>ukryj</v>
      </c>
      <c r="K1648" s="489"/>
    </row>
    <row r="1649" spans="1:14" s="200" customFormat="1" ht="15.05" customHeight="1" thickTop="1" thickBot="1" x14ac:dyDescent="0.3">
      <c r="A1649" s="508"/>
      <c r="B1649" s="520"/>
      <c r="C1649" s="1385" t="s">
        <v>11405</v>
      </c>
      <c r="D1649" s="1385"/>
      <c r="E1649" s="1385"/>
      <c r="F1649" s="1385"/>
      <c r="G1649" s="1385"/>
      <c r="H1649" s="1385"/>
      <c r="I1649" s="1385"/>
      <c r="J1649" s="499" t="str">
        <f>Noty!J1649</f>
        <v>odkryj</v>
      </c>
      <c r="K1649" s="585" t="str">
        <f>Noty!K1649</f>
        <v/>
      </c>
      <c r="L1649" s="372"/>
    </row>
    <row r="1650" spans="1:14" s="200" customFormat="1" ht="14.4" thickTop="1" thickBot="1" x14ac:dyDescent="0.3">
      <c r="A1650" s="508"/>
      <c r="B1650" s="520"/>
      <c r="C1650" s="195"/>
      <c r="D1650" s="195"/>
      <c r="E1650" s="196"/>
      <c r="F1650" s="196"/>
      <c r="G1650" s="196"/>
      <c r="H1650" s="196"/>
      <c r="I1650" s="196"/>
      <c r="J1650" s="499" t="str">
        <f>Noty!J1650</f>
        <v>odkryj</v>
      </c>
      <c r="K1650" s="489"/>
    </row>
    <row r="1651" spans="1:14" s="200" customFormat="1" ht="16.399999999999999" thickTop="1" thickBot="1" x14ac:dyDescent="0.35">
      <c r="A1651" s="1180">
        <f>IF(K1651="n/a",A1644,A1644+1)</f>
        <v>19</v>
      </c>
      <c r="B1651" s="1182"/>
      <c r="C1651" s="1388" t="s">
        <v>7761</v>
      </c>
      <c r="D1651" s="1388"/>
      <c r="E1651" s="1388"/>
      <c r="F1651" s="1388"/>
      <c r="G1651" s="1388"/>
      <c r="H1651" s="1388"/>
      <c r="I1651" s="1388"/>
      <c r="J1651" s="499" t="str">
        <f>Noty!J1651</f>
        <v>ukryj</v>
      </c>
      <c r="K1651" s="585" t="str">
        <f>Noty!K1651</f>
        <v>n/a</v>
      </c>
      <c r="L1651" s="200" t="str">
        <f>A1651&amp;"."&amp;B1651</f>
        <v>19.</v>
      </c>
      <c r="N1651" s="1101" t="s">
        <v>9378</v>
      </c>
    </row>
    <row r="1652" spans="1:14" s="200" customFormat="1" ht="13.75" thickTop="1" x14ac:dyDescent="0.25">
      <c r="A1652" s="508"/>
      <c r="B1652" s="520"/>
      <c r="C1652" s="231"/>
      <c r="D1652" s="231"/>
      <c r="E1652" s="196"/>
      <c r="F1652" s="196"/>
      <c r="G1652" s="196"/>
      <c r="H1652" s="196"/>
      <c r="I1652" s="196"/>
      <c r="J1652" s="499" t="str">
        <f>Noty!J1652</f>
        <v>ukryj</v>
      </c>
      <c r="K1652" s="489"/>
    </row>
    <row r="1653" spans="1:14" s="200" customFormat="1" ht="13.6" customHeight="1" x14ac:dyDescent="0.25">
      <c r="A1653" s="508"/>
      <c r="B1653" s="520"/>
      <c r="C1653" s="1430" t="s">
        <v>11406</v>
      </c>
      <c r="D1653" s="1430"/>
      <c r="E1653" s="1430"/>
      <c r="F1653" s="1430"/>
      <c r="G1653" s="1430"/>
      <c r="H1653" s="1430"/>
      <c r="I1653" s="1430"/>
      <c r="J1653" s="499" t="str">
        <f>Noty!J1653</f>
        <v>ukryj</v>
      </c>
      <c r="K1653" s="489"/>
      <c r="L1653" s="372"/>
    </row>
    <row r="1654" spans="1:14" s="200" customFormat="1" ht="13.6" customHeight="1" x14ac:dyDescent="0.25">
      <c r="A1654" s="508"/>
      <c r="B1654" s="520"/>
      <c r="C1654" s="567"/>
      <c r="D1654" s="204"/>
      <c r="J1654" s="499" t="str">
        <f>Noty!J1654</f>
        <v>ukryj</v>
      </c>
      <c r="K1654" s="489"/>
    </row>
    <row r="1655" spans="1:14" s="217" customFormat="1" ht="13.6" customHeight="1" x14ac:dyDescent="0.25">
      <c r="A1655" s="518"/>
      <c r="B1655" s="532"/>
      <c r="C1655" s="1449" t="s">
        <v>11407</v>
      </c>
      <c r="D1655" s="1449"/>
      <c r="E1655" s="1449"/>
      <c r="F1655" s="1449"/>
      <c r="G1655" s="1449"/>
      <c r="H1655" s="1449"/>
      <c r="I1655" s="1449"/>
      <c r="J1655" s="499" t="str">
        <f>Noty!J1655</f>
        <v>ukryj</v>
      </c>
      <c r="K1655" s="489"/>
    </row>
    <row r="1656" spans="1:14" s="217" customFormat="1" ht="13.6" customHeight="1" x14ac:dyDescent="0.25">
      <c r="A1656" s="518"/>
      <c r="B1656" s="532"/>
      <c r="D1656" s="200"/>
      <c r="E1656" s="200"/>
      <c r="F1656" s="200"/>
      <c r="G1656" s="200"/>
      <c r="H1656" s="200"/>
      <c r="I1656" s="200"/>
      <c r="J1656" s="499" t="str">
        <f>Noty!J1656</f>
        <v>ukryj</v>
      </c>
      <c r="K1656" s="489"/>
    </row>
    <row r="1657" spans="1:14" s="217" customFormat="1" ht="13.6" customHeight="1" x14ac:dyDescent="0.25">
      <c r="A1657" s="518"/>
      <c r="B1657" s="532"/>
      <c r="C1657" s="1449" t="s">
        <v>11408</v>
      </c>
      <c r="D1657" s="1449"/>
      <c r="E1657" s="1449"/>
      <c r="F1657" s="1449"/>
      <c r="G1657" s="1449"/>
      <c r="H1657" s="1449"/>
      <c r="I1657" s="1449"/>
      <c r="J1657" s="499" t="str">
        <f>Noty!J1657</f>
        <v>ukryj</v>
      </c>
      <c r="K1657" s="489"/>
    </row>
    <row r="1658" spans="1:14" s="217" customFormat="1" ht="13.6" customHeight="1" x14ac:dyDescent="0.25">
      <c r="A1658" s="518"/>
      <c r="B1658" s="532"/>
      <c r="C1658" s="1449" t="s">
        <v>11409</v>
      </c>
      <c r="D1658" s="1449"/>
      <c r="E1658" s="1449"/>
      <c r="F1658" s="1449"/>
      <c r="G1658" s="1449"/>
      <c r="H1658" s="1449"/>
      <c r="I1658" s="1449"/>
      <c r="J1658" s="499" t="str">
        <f>Noty!J1658</f>
        <v>ukryj</v>
      </c>
      <c r="K1658" s="489"/>
    </row>
    <row r="1659" spans="1:14" s="217" customFormat="1" ht="28.5" customHeight="1" x14ac:dyDescent="0.25">
      <c r="A1659" s="518"/>
      <c r="C1659" s="1454" t="s">
        <v>11410</v>
      </c>
      <c r="D1659" s="1454"/>
      <c r="E1659" s="1454"/>
      <c r="F1659" s="1454"/>
      <c r="G1659" s="1454"/>
      <c r="H1659" s="1454"/>
      <c r="I1659" s="1454"/>
      <c r="J1659" s="499" t="str">
        <f>Noty!J1659</f>
        <v>ukryj</v>
      </c>
      <c r="K1659" s="489"/>
    </row>
    <row r="1660" spans="1:14" s="200" customFormat="1" ht="13.6" customHeight="1" x14ac:dyDescent="0.25">
      <c r="A1660" s="508"/>
      <c r="B1660" s="533"/>
      <c r="C1660" s="217"/>
      <c r="J1660" s="499" t="str">
        <f>Noty!J1660</f>
        <v>ukryj</v>
      </c>
      <c r="K1660" s="489"/>
    </row>
    <row r="1661" spans="1:14" s="200" customFormat="1" ht="13.6" customHeight="1" x14ac:dyDescent="0.25">
      <c r="A1661" s="508"/>
      <c r="B1661" s="520"/>
      <c r="C1661" s="1449" t="s">
        <v>11411</v>
      </c>
      <c r="D1661" s="1449"/>
      <c r="E1661" s="1449"/>
      <c r="F1661" s="1449"/>
      <c r="G1661" s="1449"/>
      <c r="H1661" s="1449"/>
      <c r="I1661" s="1449"/>
      <c r="J1661" s="499" t="str">
        <f>Noty!J1661</f>
        <v>ukryj</v>
      </c>
      <c r="K1661" s="489"/>
    </row>
    <row r="1662" spans="1:14" s="200" customFormat="1" ht="13.6" customHeight="1" x14ac:dyDescent="0.25">
      <c r="A1662" s="508"/>
      <c r="B1662" s="533"/>
      <c r="C1662" s="239"/>
      <c r="D1662" s="757"/>
      <c r="E1662" s="757"/>
      <c r="F1662" s="757"/>
      <c r="G1662" s="757"/>
      <c r="H1662" s="757"/>
      <c r="I1662" s="757"/>
      <c r="J1662" s="499" t="str">
        <f>Noty!J1662</f>
        <v>ukryj</v>
      </c>
      <c r="K1662" s="489"/>
    </row>
    <row r="1663" spans="1:14" s="200" customFormat="1" ht="13.6" customHeight="1" x14ac:dyDescent="0.25">
      <c r="A1663" s="508"/>
      <c r="B1663" s="520"/>
      <c r="C1663" s="1449" t="s">
        <v>11412</v>
      </c>
      <c r="D1663" s="1449"/>
      <c r="E1663" s="1449"/>
      <c r="F1663" s="1449"/>
      <c r="G1663" s="1449"/>
      <c r="H1663" s="1449"/>
      <c r="I1663" s="1449"/>
      <c r="J1663" s="499" t="str">
        <f>Noty!J1663</f>
        <v>ukryj</v>
      </c>
      <c r="K1663" s="489"/>
    </row>
    <row r="1664" spans="1:14" s="200" customFormat="1" ht="15.75" customHeight="1" x14ac:dyDescent="0.25">
      <c r="A1664" s="508"/>
      <c r="B1664" s="520"/>
      <c r="C1664" s="1449" t="s">
        <v>11413</v>
      </c>
      <c r="D1664" s="1449"/>
      <c r="E1664" s="1449"/>
      <c r="F1664" s="1449"/>
      <c r="G1664" s="1449"/>
      <c r="H1664" s="1449"/>
      <c r="I1664" s="1449"/>
      <c r="J1664" s="499" t="str">
        <f>Noty!J1664</f>
        <v>ukryj</v>
      </c>
      <c r="K1664" s="489"/>
    </row>
    <row r="1665" spans="1:15" s="200" customFormat="1" ht="31.6" customHeight="1" x14ac:dyDescent="0.25">
      <c r="A1665" s="508"/>
      <c r="B1665" s="520"/>
      <c r="C1665" s="1447" t="s">
        <v>11414</v>
      </c>
      <c r="D1665" s="1447"/>
      <c r="E1665" s="1447"/>
      <c r="F1665" s="1447"/>
      <c r="G1665" s="1447"/>
      <c r="H1665" s="1447"/>
      <c r="I1665" s="1447"/>
      <c r="J1665" s="499" t="str">
        <f>Noty!J1665</f>
        <v>ukryj</v>
      </c>
      <c r="K1665" s="489"/>
    </row>
    <row r="1666" spans="1:15" s="200" customFormat="1" ht="13.6" customHeight="1" thickBot="1" x14ac:dyDescent="0.3">
      <c r="A1666" s="508"/>
      <c r="B1666" s="533"/>
      <c r="J1666" s="499" t="str">
        <f>Noty!J1666</f>
        <v>ukryj</v>
      </c>
      <c r="K1666" s="489"/>
    </row>
    <row r="1667" spans="1:15" s="200" customFormat="1" ht="13.6" customHeight="1" thickTop="1" thickBot="1" x14ac:dyDescent="0.35">
      <c r="A1667" s="1180">
        <f>IF(K1667="n/a",A1651,A1651+1)</f>
        <v>20</v>
      </c>
      <c r="B1667" s="1182"/>
      <c r="C1667" s="1388" t="s">
        <v>11415</v>
      </c>
      <c r="D1667" s="1388"/>
      <c r="E1667" s="1388"/>
      <c r="F1667" s="1388"/>
      <c r="G1667" s="1388"/>
      <c r="H1667" s="1388"/>
      <c r="I1667" s="1388"/>
      <c r="J1667" s="499" t="str">
        <f>Noty!J1667</f>
        <v>odkryj</v>
      </c>
      <c r="K1667" s="585" t="str">
        <f>Noty!K1667</f>
        <v/>
      </c>
      <c r="L1667" s="200" t="str">
        <f>A1667&amp;"."&amp;B1667</f>
        <v>20.</v>
      </c>
      <c r="N1667" s="1101" t="s">
        <v>9378</v>
      </c>
    </row>
    <row r="1668" spans="1:15" s="200" customFormat="1" ht="13.6" customHeight="1" thickTop="1" thickBot="1" x14ac:dyDescent="0.3">
      <c r="A1668" s="508"/>
      <c r="B1668" s="520"/>
      <c r="C1668" s="204"/>
      <c r="D1668" s="634"/>
      <c r="E1668" s="634"/>
      <c r="F1668" s="634"/>
      <c r="G1668" s="634"/>
      <c r="H1668" s="634"/>
      <c r="I1668" s="634"/>
      <c r="J1668" s="499" t="str">
        <f>Noty!J1668</f>
        <v>odkryj</v>
      </c>
      <c r="K1668" s="489"/>
    </row>
    <row r="1669" spans="1:15" s="200" customFormat="1" ht="55.5" customHeight="1" thickTop="1" thickBot="1" x14ac:dyDescent="0.3">
      <c r="A1669" s="508"/>
      <c r="B1669" s="520"/>
      <c r="C1669" s="1453" t="s">
        <v>11416</v>
      </c>
      <c r="D1669" s="1453"/>
      <c r="E1669" s="1453"/>
      <c r="F1669" s="1453"/>
      <c r="G1669" s="1453"/>
      <c r="H1669" s="1453"/>
      <c r="I1669" s="1453"/>
      <c r="J1669" s="499" t="str">
        <f>Noty!J1669</f>
        <v>ukryj</v>
      </c>
      <c r="K1669" s="585" t="str">
        <f>Noty!K1669</f>
        <v>n/a</v>
      </c>
      <c r="L1669" s="372"/>
    </row>
    <row r="1670" spans="1:15" s="200" customFormat="1" ht="31.6" customHeight="1" thickTop="1" x14ac:dyDescent="0.25">
      <c r="A1670" s="508"/>
      <c r="B1670" s="520"/>
      <c r="C1670" s="1453" t="s">
        <v>11417</v>
      </c>
      <c r="D1670" s="1453"/>
      <c r="E1670" s="1453"/>
      <c r="F1670" s="1453"/>
      <c r="G1670" s="1453"/>
      <c r="H1670" s="1453"/>
      <c r="I1670" s="1453"/>
      <c r="J1670" s="499" t="str">
        <f>Noty!J1670</f>
        <v>ukryj</v>
      </c>
      <c r="K1670" s="489"/>
    </row>
    <row r="1671" spans="1:15" s="200" customFormat="1" ht="13.6" customHeight="1" x14ac:dyDescent="0.25">
      <c r="A1671" s="508"/>
      <c r="B1671" s="520"/>
      <c r="C1671" s="204"/>
      <c r="D1671" s="204"/>
      <c r="J1671" s="499" t="str">
        <f>Noty!J1671</f>
        <v>ukryj</v>
      </c>
      <c r="K1671" s="489"/>
    </row>
    <row r="1672" spans="1:15" s="200" customFormat="1" ht="13.6" customHeight="1" thickBot="1" x14ac:dyDescent="0.3">
      <c r="A1672" s="508"/>
      <c r="B1672" s="520"/>
      <c r="C1672" s="219" t="s">
        <v>7756</v>
      </c>
      <c r="D1672" s="204"/>
      <c r="J1672" s="499" t="str">
        <f>Noty!J1672</f>
        <v>ukryj</v>
      </c>
      <c r="K1672" s="489"/>
    </row>
    <row r="1673" spans="1:15" s="200" customFormat="1" ht="13.6" customHeight="1" thickTop="1" thickBot="1" x14ac:dyDescent="0.3">
      <c r="A1673" s="508"/>
      <c r="B1673" s="520"/>
      <c r="C1673" s="1433" t="s">
        <v>11418</v>
      </c>
      <c r="D1673" s="1433"/>
      <c r="E1673" s="1433"/>
      <c r="F1673" s="1433"/>
      <c r="G1673" s="1433"/>
      <c r="H1673" s="1433"/>
      <c r="I1673" s="1433"/>
      <c r="J1673" s="499" t="str">
        <f>Noty!J1673</f>
        <v>odkryj</v>
      </c>
      <c r="K1673" s="585" t="str">
        <f>Noty!K1673</f>
        <v/>
      </c>
      <c r="L1673" s="372"/>
    </row>
    <row r="1674" spans="1:15" s="200" customFormat="1" ht="14.4" thickTop="1" thickBot="1" x14ac:dyDescent="0.3">
      <c r="A1674" s="508"/>
      <c r="B1674" s="520"/>
      <c r="C1674" s="195"/>
      <c r="D1674" s="195"/>
      <c r="E1674" s="196"/>
      <c r="F1674" s="196"/>
      <c r="G1674" s="196"/>
      <c r="H1674" s="196"/>
      <c r="I1674" s="196"/>
      <c r="J1674" s="499" t="str">
        <f>Noty!J1674</f>
        <v>odkryj</v>
      </c>
      <c r="K1674" s="489"/>
    </row>
    <row r="1675" spans="1:15" s="200" customFormat="1" ht="16.399999999999999" thickTop="1" thickBot="1" x14ac:dyDescent="0.35">
      <c r="A1675" s="1188">
        <f>IF(K1675="n/a",A1667,A1667+1)</f>
        <v>21</v>
      </c>
      <c r="B1675" s="1189"/>
      <c r="C1675" s="1415" t="s">
        <v>11419</v>
      </c>
      <c r="D1675" s="1415"/>
      <c r="E1675" s="1415"/>
      <c r="F1675" s="1415"/>
      <c r="G1675" s="1415"/>
      <c r="H1675" s="1415"/>
      <c r="I1675" s="1415"/>
      <c r="J1675" s="499" t="str">
        <f>Noty!J1675</f>
        <v>odkryj</v>
      </c>
      <c r="K1675" s="1109" t="str">
        <f>Noty!K1675</f>
        <v/>
      </c>
      <c r="L1675" s="1130" t="str">
        <f>A1675&amp;"."&amp;B1675</f>
        <v>21.</v>
      </c>
      <c r="N1675" s="1138" t="s">
        <v>9378</v>
      </c>
      <c r="O1675" s="200" t="str">
        <f>A1675&amp;"."&amp;B1675</f>
        <v>21.</v>
      </c>
    </row>
    <row r="1676" spans="1:15" s="200" customFormat="1" ht="14.4" thickTop="1" thickBot="1" x14ac:dyDescent="0.3">
      <c r="A1676" s="508"/>
      <c r="B1676" s="520"/>
      <c r="C1676" s="195"/>
      <c r="D1676" s="195"/>
      <c r="E1676" s="196"/>
      <c r="F1676" s="196"/>
      <c r="G1676" s="196"/>
      <c r="H1676" s="196"/>
      <c r="I1676" s="196"/>
      <c r="J1676" s="499" t="str">
        <f>Noty!J1676</f>
        <v>odkryj</v>
      </c>
      <c r="K1676" s="489"/>
    </row>
    <row r="1677" spans="1:15" s="200" customFormat="1" ht="42.75" customHeight="1" thickTop="1" thickBot="1" x14ac:dyDescent="0.3">
      <c r="A1677" s="508"/>
      <c r="B1677" s="520"/>
      <c r="C1677" s="1455" t="s">
        <v>11420</v>
      </c>
      <c r="D1677" s="1455"/>
      <c r="E1677" s="1455"/>
      <c r="F1677" s="1455"/>
      <c r="G1677" s="1455"/>
      <c r="H1677" s="1455"/>
      <c r="I1677" s="1455"/>
      <c r="J1677" s="499" t="str">
        <f>Noty!J1677</f>
        <v>ukryj</v>
      </c>
      <c r="K1677" s="1109" t="str">
        <f>Noty!K1677</f>
        <v>n/a</v>
      </c>
    </row>
    <row r="1678" spans="1:15" s="200" customFormat="1" ht="13.75" thickTop="1" x14ac:dyDescent="0.25">
      <c r="A1678" s="508"/>
      <c r="B1678" s="520"/>
      <c r="C1678" s="195"/>
      <c r="D1678" s="195"/>
      <c r="E1678" s="196"/>
      <c r="F1678" s="196"/>
      <c r="G1678" s="196"/>
      <c r="H1678" s="196"/>
      <c r="I1678" s="196"/>
      <c r="J1678" s="499" t="str">
        <f>Noty!J1678</f>
        <v>ukryj</v>
      </c>
      <c r="K1678" s="489"/>
    </row>
    <row r="1679" spans="1:15" s="200" customFormat="1" ht="13.75" thickBot="1" x14ac:dyDescent="0.3">
      <c r="A1679" s="508"/>
      <c r="B1679" s="520"/>
      <c r="C1679" s="1455" t="s">
        <v>7756</v>
      </c>
      <c r="D1679" s="1455"/>
      <c r="E1679" s="1455"/>
      <c r="F1679" s="1455"/>
      <c r="G1679" s="1455"/>
      <c r="H1679" s="1455"/>
      <c r="I1679" s="1455"/>
      <c r="J1679" s="499" t="str">
        <f>Noty!J1679</f>
        <v>ukryj</v>
      </c>
      <c r="K1679" s="489"/>
    </row>
    <row r="1680" spans="1:15" s="200" customFormat="1" ht="15.05" customHeight="1" thickTop="1" thickBot="1" x14ac:dyDescent="0.3">
      <c r="A1680" s="508"/>
      <c r="B1680" s="520"/>
      <c r="C1680" s="1456" t="s">
        <v>11421</v>
      </c>
      <c r="D1680" s="1456"/>
      <c r="E1680" s="1456"/>
      <c r="F1680" s="1456"/>
      <c r="G1680" s="1456"/>
      <c r="H1680" s="1456"/>
      <c r="I1680" s="1456"/>
      <c r="J1680" s="499" t="str">
        <f>Noty!J1680</f>
        <v>odkryj</v>
      </c>
      <c r="K1680" s="1109" t="str">
        <f>Noty!K1680</f>
        <v/>
      </c>
    </row>
    <row r="1681" spans="1:15" s="200" customFormat="1" ht="14.4" thickTop="1" thickBot="1" x14ac:dyDescent="0.3">
      <c r="A1681" s="508"/>
      <c r="B1681" s="520"/>
      <c r="C1681" s="195"/>
      <c r="D1681" s="195"/>
      <c r="E1681" s="196"/>
      <c r="F1681" s="196"/>
      <c r="G1681" s="196"/>
      <c r="H1681" s="196"/>
      <c r="I1681" s="196"/>
      <c r="J1681" s="499" t="str">
        <f>Noty!J1681</f>
        <v>odkryj</v>
      </c>
      <c r="K1681" s="489"/>
    </row>
    <row r="1682" spans="1:15" s="200" customFormat="1" ht="16.399999999999999" thickTop="1" thickBot="1" x14ac:dyDescent="0.35">
      <c r="A1682" s="1180">
        <f>IF(K1682="n/a",A1675,A1675+1)</f>
        <v>21</v>
      </c>
      <c r="B1682" s="1182"/>
      <c r="C1682" s="1388" t="s">
        <v>7777</v>
      </c>
      <c r="D1682" s="1388"/>
      <c r="E1682" s="1388"/>
      <c r="F1682" s="1388"/>
      <c r="G1682" s="1388"/>
      <c r="H1682" s="1388"/>
      <c r="I1682" s="1388"/>
      <c r="J1682" s="499" t="str">
        <f>Noty!J1682</f>
        <v>ukryj</v>
      </c>
      <c r="K1682" s="585" t="str">
        <f>IF(Input!D192="nie","n/a","")</f>
        <v>n/a</v>
      </c>
      <c r="L1682" s="200" t="str">
        <f>A1682&amp;"."&amp;B1682</f>
        <v>21.</v>
      </c>
      <c r="N1682" s="1101" t="s">
        <v>9378</v>
      </c>
    </row>
    <row r="1683" spans="1:15" s="200" customFormat="1" ht="13.75" thickTop="1" x14ac:dyDescent="0.25">
      <c r="A1683" s="508"/>
      <c r="B1683" s="520"/>
      <c r="C1683" s="231"/>
      <c r="D1683" s="231"/>
      <c r="J1683" s="499" t="str">
        <f>Noty!J1683</f>
        <v>ukryj</v>
      </c>
      <c r="K1683" s="489"/>
    </row>
    <row r="1684" spans="1:15" s="200" customFormat="1" ht="27.85" customHeight="1" x14ac:dyDescent="0.25">
      <c r="A1684" s="508"/>
      <c r="B1684" s="520"/>
      <c r="C1684" s="1447" t="s">
        <v>11422</v>
      </c>
      <c r="D1684" s="1447"/>
      <c r="E1684" s="1447"/>
      <c r="F1684" s="1447"/>
      <c r="G1684" s="1447"/>
      <c r="H1684" s="1447"/>
      <c r="I1684" s="1447"/>
      <c r="J1684" s="499" t="str">
        <f>Noty!J1684</f>
        <v>ukryj</v>
      </c>
      <c r="K1684" s="489"/>
    </row>
    <row r="1685" spans="1:15" s="200" customFormat="1" ht="13.75" thickBot="1" x14ac:dyDescent="0.3">
      <c r="A1685" s="508"/>
      <c r="B1685" s="520"/>
      <c r="C1685" s="570"/>
      <c r="J1685" s="499" t="str">
        <f>Noty!J1685</f>
        <v>ukryj</v>
      </c>
      <c r="K1685" s="489"/>
    </row>
    <row r="1686" spans="1:15" s="200" customFormat="1" ht="16.399999999999999" thickTop="1" thickBot="1" x14ac:dyDescent="0.35">
      <c r="A1686" s="508">
        <f>IF(K1686="n/a",A1682,A1682+1)</f>
        <v>22</v>
      </c>
      <c r="B1686" s="520"/>
      <c r="C1686" s="1200" t="s">
        <v>11330</v>
      </c>
      <c r="J1686" s="499" t="str">
        <f>Noty!J1686</f>
        <v>odkryj</v>
      </c>
      <c r="K1686" s="1109" t="str">
        <f>Noty!K1686</f>
        <v/>
      </c>
      <c r="L1686" s="1130" t="str">
        <f>A1686&amp;"."&amp;B1686</f>
        <v>22.</v>
      </c>
      <c r="N1686" s="1202" t="s">
        <v>9378</v>
      </c>
      <c r="O1686" s="200" t="str">
        <f>A1686&amp;"."&amp;B1686</f>
        <v>22.</v>
      </c>
    </row>
    <row r="1687" spans="1:15" s="200" customFormat="1" ht="13.75" thickTop="1" x14ac:dyDescent="0.25">
      <c r="A1687" s="508"/>
      <c r="B1687" s="520"/>
      <c r="C1687" s="570"/>
      <c r="J1687" s="499" t="str">
        <f>Noty!J1687</f>
        <v>odkryj</v>
      </c>
      <c r="K1687" s="489"/>
    </row>
    <row r="1688" spans="1:15" s="200" customFormat="1" x14ac:dyDescent="0.25">
      <c r="A1688" s="508"/>
      <c r="B1688" s="520"/>
      <c r="C1688" s="1293" t="s">
        <v>11423</v>
      </c>
      <c r="D1688" s="1293"/>
      <c r="E1688" s="1293"/>
      <c r="F1688" s="1293"/>
      <c r="G1688" s="1293"/>
      <c r="H1688" s="1293"/>
      <c r="I1688" s="1293"/>
      <c r="J1688" s="499" t="str">
        <f>Noty!J1688</f>
        <v>odkryj</v>
      </c>
      <c r="K1688" s="489"/>
    </row>
    <row r="1689" spans="1:15" s="200" customFormat="1" x14ac:dyDescent="0.25">
      <c r="A1689" s="508"/>
      <c r="B1689" s="520"/>
      <c r="C1689" s="1294" t="str">
        <f>"-"&amp;IF(Input!D61="","",Input!D61&amp;" - "&amp;Input!C61&amp;IF(Noty!C1690="",".",","))</f>
        <v>-test - Chairman of the Board of Directors,</v>
      </c>
      <c r="D1689" s="1294"/>
      <c r="E1689" s="1294"/>
      <c r="F1689" s="1294"/>
      <c r="G1689" s="1294"/>
      <c r="H1689" s="1294"/>
      <c r="I1689" s="1294"/>
      <c r="J1689" s="499" t="str">
        <f>Noty!J1689</f>
        <v>odkryj</v>
      </c>
      <c r="K1689" s="489"/>
    </row>
    <row r="1690" spans="1:15" s="200" customFormat="1" x14ac:dyDescent="0.25">
      <c r="A1690" s="508"/>
      <c r="B1690" s="520"/>
      <c r="C1690" s="1294" t="str">
        <f>"-"&amp;IF(Input!D62="","",Input!D62&amp;" - "&amp;Input!C62&amp;IF(Noty!C1691="",".",","))</f>
        <v>-test1 - Member of the Board of Directors,</v>
      </c>
      <c r="D1690" s="1294"/>
      <c r="E1690" s="1294"/>
      <c r="F1690" s="1294"/>
      <c r="G1690" s="1294"/>
      <c r="H1690" s="1294"/>
      <c r="I1690" s="1294"/>
      <c r="J1690" s="499" t="str">
        <f>Noty!J1690</f>
        <v>odkryj</v>
      </c>
      <c r="K1690" s="489"/>
    </row>
    <row r="1691" spans="1:15" s="200" customFormat="1" x14ac:dyDescent="0.25">
      <c r="A1691" s="508"/>
      <c r="B1691" s="520"/>
      <c r="C1691" s="1294" t="str">
        <f>"-"&amp;IF(Input!D63="","",Input!D63&amp;" - "&amp;Input!C63&amp;IF(Noty!C1692="",".",","))</f>
        <v>-tst2 - Member of the Board of Directors,</v>
      </c>
      <c r="D1691" s="1294"/>
      <c r="E1691" s="1294"/>
      <c r="F1691" s="1294"/>
      <c r="G1691" s="1294"/>
      <c r="H1691" s="1294"/>
      <c r="I1691" s="1294"/>
      <c r="J1691" s="499" t="str">
        <f>Noty!J1691</f>
        <v>odkryj</v>
      </c>
      <c r="K1691" s="489"/>
    </row>
    <row r="1692" spans="1:15" s="200" customFormat="1" x14ac:dyDescent="0.25">
      <c r="A1692" s="508"/>
      <c r="B1692" s="520"/>
      <c r="C1692" s="1294" t="str">
        <f>"-"&amp;IF(Input!D64="","",Input!D64&amp;" - "&amp;Input!C64&amp;IF(Noty!C1693="",".",","))</f>
        <v>-</v>
      </c>
      <c r="D1692" s="1294"/>
      <c r="E1692" s="1294"/>
      <c r="F1692" s="1294"/>
      <c r="G1692" s="1294"/>
      <c r="H1692" s="1294"/>
      <c r="I1692" s="1294"/>
      <c r="J1692" s="499" t="str">
        <f>Noty!J1692</f>
        <v>ukryj</v>
      </c>
      <c r="K1692" s="489"/>
    </row>
    <row r="1693" spans="1:15" s="200" customFormat="1" x14ac:dyDescent="0.25">
      <c r="A1693" s="508"/>
      <c r="B1693" s="520"/>
      <c r="C1693" s="1294" t="str">
        <f>"-"&amp;IF(Input!D65="","",Input!D65&amp;" - "&amp;Input!C65&amp;IF(Noty!C1694="",".",","))</f>
        <v>-</v>
      </c>
      <c r="D1693" s="1294"/>
      <c r="E1693" s="1294"/>
      <c r="F1693" s="1294"/>
      <c r="G1693" s="1294"/>
      <c r="H1693" s="1294"/>
      <c r="I1693" s="1294"/>
      <c r="J1693" s="499" t="str">
        <f>Noty!J1693</f>
        <v>ukryj</v>
      </c>
      <c r="K1693" s="489"/>
    </row>
    <row r="1694" spans="1:15" s="200" customFormat="1" x14ac:dyDescent="0.25">
      <c r="A1694" s="508"/>
      <c r="B1694" s="520"/>
      <c r="C1694" s="1294" t="str">
        <f>"-"&amp;IF(Input!D66="","",Input!D66&amp;" - "&amp;Input!C66&amp;IF(Noty!C1695="",".",","))</f>
        <v>-</v>
      </c>
      <c r="D1694" s="1294"/>
      <c r="E1694" s="1294"/>
      <c r="F1694" s="1294"/>
      <c r="G1694" s="1294"/>
      <c r="H1694" s="1294"/>
      <c r="I1694" s="1294"/>
      <c r="J1694" s="499" t="str">
        <f>Noty!J1694</f>
        <v>ukryj</v>
      </c>
      <c r="K1694" s="489"/>
    </row>
    <row r="1695" spans="1:15" s="200" customFormat="1" ht="13.75" thickBot="1" x14ac:dyDescent="0.3">
      <c r="A1695" s="508"/>
      <c r="B1695" s="520"/>
      <c r="C1695" s="570"/>
      <c r="J1695" s="499" t="str">
        <f>Noty!J1695</f>
        <v>ukryj</v>
      </c>
      <c r="K1695" s="489"/>
    </row>
    <row r="1696" spans="1:15" s="200" customFormat="1" ht="14.4" thickTop="1" thickBot="1" x14ac:dyDescent="0.3">
      <c r="A1696" s="508"/>
      <c r="B1696" s="520"/>
      <c r="C1696" s="1293" t="s">
        <v>11424</v>
      </c>
      <c r="D1696" s="1293"/>
      <c r="E1696" s="1293"/>
      <c r="F1696" s="1293"/>
      <c r="G1696" s="1293"/>
      <c r="H1696" s="1293"/>
      <c r="I1696" s="1293"/>
      <c r="J1696" s="499" t="str">
        <f>Noty!J1696</f>
        <v>ukryj</v>
      </c>
      <c r="K1696" s="1109" t="str">
        <f>Noty!K1696</f>
        <v>n/a</v>
      </c>
    </row>
    <row r="1697" spans="1:15" s="200" customFormat="1" ht="13.75" thickTop="1" x14ac:dyDescent="0.25">
      <c r="A1697" s="508"/>
      <c r="B1697" s="520"/>
      <c r="C1697" s="1292"/>
      <c r="D1697" s="1292"/>
      <c r="E1697" s="1292"/>
      <c r="F1697" s="1292"/>
      <c r="G1697" s="1292"/>
      <c r="H1697" s="1292"/>
      <c r="I1697" s="1292"/>
      <c r="J1697" s="499" t="str">
        <f>Noty!J1697</f>
        <v>ukryj</v>
      </c>
      <c r="K1697" s="489"/>
    </row>
    <row r="1698" spans="1:15" s="200" customFormat="1" x14ac:dyDescent="0.25">
      <c r="A1698" s="508"/>
      <c r="B1698" s="520"/>
      <c r="C1698" s="1292"/>
      <c r="D1698" s="1292"/>
      <c r="E1698" s="1292"/>
      <c r="F1698" s="1292"/>
      <c r="G1698" s="1292"/>
      <c r="H1698" s="1292"/>
      <c r="I1698" s="1292"/>
      <c r="J1698" s="499" t="str">
        <f>Noty!J1698</f>
        <v>ukryj</v>
      </c>
      <c r="K1698" s="489"/>
    </row>
    <row r="1699" spans="1:15" s="200" customFormat="1" x14ac:dyDescent="0.25">
      <c r="A1699" s="508"/>
      <c r="B1699" s="520"/>
      <c r="C1699" s="1292"/>
      <c r="D1699" s="1292"/>
      <c r="E1699" s="1292"/>
      <c r="F1699" s="1292"/>
      <c r="G1699" s="1292"/>
      <c r="H1699" s="1292"/>
      <c r="I1699" s="1292"/>
      <c r="J1699" s="499" t="str">
        <f>Noty!J1699</f>
        <v>ukryj</v>
      </c>
      <c r="K1699" s="489"/>
    </row>
    <row r="1700" spans="1:15" s="200" customFormat="1" x14ac:dyDescent="0.25">
      <c r="A1700" s="508"/>
      <c r="B1700" s="520"/>
      <c r="C1700" s="1292"/>
      <c r="D1700" s="1292"/>
      <c r="E1700" s="1292"/>
      <c r="F1700" s="1292"/>
      <c r="G1700" s="1292"/>
      <c r="H1700" s="1292"/>
      <c r="I1700" s="1292"/>
      <c r="J1700" s="499" t="str">
        <f>Noty!J1700</f>
        <v>ukryj</v>
      </c>
      <c r="K1700" s="489"/>
    </row>
    <row r="1701" spans="1:15" s="200" customFormat="1" x14ac:dyDescent="0.25">
      <c r="A1701" s="508"/>
      <c r="B1701" s="520"/>
      <c r="C1701" s="1292"/>
      <c r="D1701" s="1292"/>
      <c r="E1701" s="1292"/>
      <c r="F1701" s="1292"/>
      <c r="G1701" s="1292"/>
      <c r="H1701" s="1292"/>
      <c r="I1701" s="1292"/>
      <c r="J1701" s="499" t="str">
        <f>Noty!J1701</f>
        <v>ukryj</v>
      </c>
      <c r="K1701" s="489"/>
    </row>
    <row r="1702" spans="1:15" s="200" customFormat="1" ht="13.75" thickBot="1" x14ac:dyDescent="0.3">
      <c r="A1702" s="508"/>
      <c r="B1702" s="520"/>
      <c r="C1702" s="1292"/>
      <c r="D1702" s="1292"/>
      <c r="E1702" s="1292"/>
      <c r="F1702" s="1292"/>
      <c r="G1702" s="1292"/>
      <c r="H1702" s="1292"/>
      <c r="I1702" s="1292"/>
      <c r="J1702" s="499" t="str">
        <f>Noty!J1702</f>
        <v>ukryj</v>
      </c>
      <c r="K1702" s="489"/>
    </row>
    <row r="1703" spans="1:15" s="200" customFormat="1" ht="14.4" thickTop="1" thickBot="1" x14ac:dyDescent="0.3">
      <c r="A1703" s="508"/>
      <c r="B1703" s="520"/>
      <c r="C1703" s="1293" t="s">
        <v>11425</v>
      </c>
      <c r="D1703" s="1293"/>
      <c r="E1703" s="1293"/>
      <c r="F1703" s="1293"/>
      <c r="G1703" s="1293"/>
      <c r="H1703" s="1293"/>
      <c r="I1703" s="1293"/>
      <c r="J1703" s="499" t="str">
        <f>Noty!J1703</f>
        <v>odkryj</v>
      </c>
      <c r="K1703" s="1109" t="str">
        <f>Noty!K1703</f>
        <v/>
      </c>
    </row>
    <row r="1704" spans="1:15" s="200" customFormat="1" ht="14.4" thickTop="1" thickBot="1" x14ac:dyDescent="0.3">
      <c r="A1704" s="508"/>
      <c r="B1704" s="520"/>
      <c r="C1704" s="570"/>
      <c r="J1704" s="499" t="str">
        <f>Noty!J1704</f>
        <v>odkryj</v>
      </c>
      <c r="K1704" s="489"/>
    </row>
    <row r="1705" spans="1:15" s="200" customFormat="1" ht="16.399999999999999" thickTop="1" thickBot="1" x14ac:dyDescent="0.35">
      <c r="A1705" s="508">
        <f>IF(K1705="n/a",A1686,A1686+1)</f>
        <v>23</v>
      </c>
      <c r="B1705" s="520"/>
      <c r="C1705" s="1200" t="s">
        <v>11330</v>
      </c>
      <c r="J1705" s="499" t="str">
        <f>Noty!J1705</f>
        <v>odkryj</v>
      </c>
      <c r="K1705" s="1109" t="str">
        <f>Noty!K1705</f>
        <v/>
      </c>
      <c r="L1705" s="1130" t="str">
        <f>A1705&amp;"."&amp;B1705</f>
        <v>23.</v>
      </c>
      <c r="N1705" s="1202" t="s">
        <v>9378</v>
      </c>
      <c r="O1705" s="200" t="str">
        <f>A1705&amp;"."&amp;B1705</f>
        <v>23.</v>
      </c>
    </row>
    <row r="1706" spans="1:15" s="200" customFormat="1" ht="13.75" thickTop="1" x14ac:dyDescent="0.25">
      <c r="A1706" s="508"/>
      <c r="B1706" s="520"/>
      <c r="C1706" s="570"/>
      <c r="J1706" s="499" t="str">
        <f>Noty!J1706</f>
        <v>odkryj</v>
      </c>
      <c r="K1706" s="489"/>
    </row>
    <row r="1707" spans="1:15" s="200" customFormat="1" x14ac:dyDescent="0.25">
      <c r="A1707" s="508"/>
      <c r="B1707" s="520"/>
      <c r="C1707" s="1293" t="s">
        <v>11423</v>
      </c>
      <c r="D1707" s="1293"/>
      <c r="E1707" s="1293"/>
      <c r="F1707" s="1293"/>
      <c r="G1707" s="1293"/>
      <c r="H1707" s="1293"/>
      <c r="I1707" s="1293"/>
      <c r="J1707" s="499" t="str">
        <f>Noty!J1707</f>
        <v>odkryj</v>
      </c>
      <c r="K1707" s="489"/>
    </row>
    <row r="1708" spans="1:15" s="200" customFormat="1" x14ac:dyDescent="0.25">
      <c r="A1708" s="508"/>
      <c r="B1708" s="520"/>
      <c r="C1708" s="1294" t="str">
        <f>"-"&amp;IF(Input!D61="","",Input!D61&amp;" - "&amp;Input!C61&amp;IF(Noty!C1709="",".",","))</f>
        <v>-test - Chairman of the Board of Directors,</v>
      </c>
      <c r="D1708" s="1294"/>
      <c r="E1708" s="1294"/>
      <c r="F1708" s="1294"/>
      <c r="G1708" s="1294"/>
      <c r="H1708" s="1294"/>
      <c r="I1708" s="1294"/>
      <c r="J1708" s="499" t="str">
        <f>Noty!J1708</f>
        <v>odkryj</v>
      </c>
      <c r="K1708" s="489"/>
    </row>
    <row r="1709" spans="1:15" s="200" customFormat="1" x14ac:dyDescent="0.25">
      <c r="A1709" s="508"/>
      <c r="B1709" s="520"/>
      <c r="C1709" s="1294" t="str">
        <f>"-"&amp;IF(Input!D62="","",Input!D62&amp;" - "&amp;Input!C62&amp;IF(Noty!C1710="",".",","))</f>
        <v>-test1 - Member of the Board of Directors,</v>
      </c>
      <c r="D1709" s="1294"/>
      <c r="E1709" s="1294"/>
      <c r="F1709" s="1294"/>
      <c r="G1709" s="1294"/>
      <c r="H1709" s="1294"/>
      <c r="I1709" s="1294"/>
      <c r="J1709" s="499" t="str">
        <f>Noty!J1709</f>
        <v>odkryj</v>
      </c>
      <c r="K1709" s="489"/>
    </row>
    <row r="1710" spans="1:15" s="200" customFormat="1" x14ac:dyDescent="0.25">
      <c r="A1710" s="508"/>
      <c r="B1710" s="520"/>
      <c r="C1710" s="1294" t="str">
        <f>"-"&amp;IF(Input!D63="","",Input!D63&amp;" - "&amp;Input!C63&amp;IF(Noty!C1711="",".",","))</f>
        <v>-tst2 - Member of the Board of Directors,</v>
      </c>
      <c r="D1710" s="1294"/>
      <c r="E1710" s="1294"/>
      <c r="F1710" s="1294"/>
      <c r="G1710" s="1294"/>
      <c r="H1710" s="1294"/>
      <c r="I1710" s="1294"/>
      <c r="J1710" s="499" t="str">
        <f>Noty!J1710</f>
        <v>odkryj</v>
      </c>
      <c r="K1710" s="489"/>
    </row>
    <row r="1711" spans="1:15" s="200" customFormat="1" x14ac:dyDescent="0.25">
      <c r="A1711" s="508"/>
      <c r="B1711" s="520"/>
      <c r="C1711" s="1294" t="str">
        <f>"-"&amp;IF(Input!D64="","",Input!D64&amp;" - "&amp;Input!C64&amp;IF(Noty!C1712="",".",","))</f>
        <v>-</v>
      </c>
      <c r="D1711" s="1294"/>
      <c r="E1711" s="1294"/>
      <c r="F1711" s="1294"/>
      <c r="G1711" s="1294"/>
      <c r="H1711" s="1294"/>
      <c r="I1711" s="1294"/>
      <c r="J1711" s="499" t="str">
        <f>Noty!J1711</f>
        <v>odkryj</v>
      </c>
      <c r="K1711" s="489"/>
    </row>
    <row r="1712" spans="1:15" s="200" customFormat="1" x14ac:dyDescent="0.25">
      <c r="A1712" s="508"/>
      <c r="B1712" s="520"/>
      <c r="C1712" s="1294" t="str">
        <f>"-"&amp;IF(Input!D65="","",Input!D65&amp;" - "&amp;Input!C65&amp;IF(Noty!C1713="",".",","))</f>
        <v>-</v>
      </c>
      <c r="D1712" s="1294"/>
      <c r="E1712" s="1294"/>
      <c r="F1712" s="1294"/>
      <c r="G1712" s="1294"/>
      <c r="H1712" s="1294"/>
      <c r="I1712" s="1294"/>
      <c r="J1712" s="499" t="str">
        <f>Noty!J1712</f>
        <v>odkryj</v>
      </c>
      <c r="K1712" s="489"/>
    </row>
    <row r="1713" spans="1:15" s="200" customFormat="1" x14ac:dyDescent="0.25">
      <c r="A1713" s="508"/>
      <c r="B1713" s="520"/>
      <c r="C1713" s="1294" t="str">
        <f>"-"&amp;IF(Input!D66="","",Input!D66&amp;" - "&amp;Input!C66&amp;IF(Noty!C1714="",".",","))</f>
        <v>-</v>
      </c>
      <c r="D1713" s="1294"/>
      <c r="E1713" s="1294"/>
      <c r="F1713" s="1294"/>
      <c r="G1713" s="1294"/>
      <c r="H1713" s="1294"/>
      <c r="I1713" s="1294"/>
      <c r="J1713" s="499" t="str">
        <f>Noty!J1713</f>
        <v>odkryj</v>
      </c>
      <c r="K1713" s="489"/>
    </row>
    <row r="1714" spans="1:15" s="200" customFormat="1" ht="13.75" thickBot="1" x14ac:dyDescent="0.3">
      <c r="A1714" s="508"/>
      <c r="B1714" s="520"/>
      <c r="C1714" s="570"/>
      <c r="J1714" s="499" t="str">
        <f>Noty!J1714</f>
        <v>odkryj</v>
      </c>
      <c r="K1714" s="489"/>
    </row>
    <row r="1715" spans="1:15" s="200" customFormat="1" ht="14.4" thickTop="1" thickBot="1" x14ac:dyDescent="0.3">
      <c r="A1715" s="508"/>
      <c r="B1715" s="520"/>
      <c r="C1715" s="1293" t="s">
        <v>11424</v>
      </c>
      <c r="D1715" s="1293"/>
      <c r="E1715" s="1293"/>
      <c r="F1715" s="1293"/>
      <c r="G1715" s="1293"/>
      <c r="H1715" s="1293"/>
      <c r="I1715" s="1293"/>
      <c r="J1715" s="499" t="str">
        <f>Noty!J1715</f>
        <v>ukryj</v>
      </c>
      <c r="K1715" s="1109" t="str">
        <f>Noty!K1715</f>
        <v>n/a</v>
      </c>
    </row>
    <row r="1716" spans="1:15" s="200" customFormat="1" ht="13.75" thickTop="1" x14ac:dyDescent="0.25">
      <c r="A1716" s="508"/>
      <c r="B1716" s="520"/>
      <c r="C1716" s="1292"/>
      <c r="D1716" s="1292"/>
      <c r="E1716" s="1292"/>
      <c r="F1716" s="1292"/>
      <c r="G1716" s="1292"/>
      <c r="H1716" s="1292"/>
      <c r="I1716" s="1292"/>
      <c r="J1716" s="499" t="str">
        <f>Noty!J1716</f>
        <v>ukryj</v>
      </c>
      <c r="K1716" s="489"/>
    </row>
    <row r="1717" spans="1:15" s="200" customFormat="1" x14ac:dyDescent="0.25">
      <c r="A1717" s="508"/>
      <c r="B1717" s="520"/>
      <c r="C1717" s="1292"/>
      <c r="D1717" s="1292"/>
      <c r="E1717" s="1292"/>
      <c r="F1717" s="1292"/>
      <c r="G1717" s="1292"/>
      <c r="H1717" s="1292"/>
      <c r="I1717" s="1292"/>
      <c r="J1717" s="499" t="str">
        <f>Noty!J1717</f>
        <v>ukryj</v>
      </c>
      <c r="K1717" s="489"/>
    </row>
    <row r="1718" spans="1:15" s="200" customFormat="1" x14ac:dyDescent="0.25">
      <c r="A1718" s="508"/>
      <c r="B1718" s="520"/>
      <c r="C1718" s="1292"/>
      <c r="D1718" s="1292"/>
      <c r="E1718" s="1292"/>
      <c r="F1718" s="1292"/>
      <c r="G1718" s="1292"/>
      <c r="H1718" s="1292"/>
      <c r="I1718" s="1292"/>
      <c r="J1718" s="499" t="str">
        <f>Noty!J1718</f>
        <v>ukryj</v>
      </c>
      <c r="K1718" s="489"/>
    </row>
    <row r="1719" spans="1:15" s="200" customFormat="1" x14ac:dyDescent="0.25">
      <c r="A1719" s="508"/>
      <c r="B1719" s="520"/>
      <c r="C1719" s="1292"/>
      <c r="D1719" s="1292"/>
      <c r="E1719" s="1292"/>
      <c r="F1719" s="1292"/>
      <c r="G1719" s="1292"/>
      <c r="H1719" s="1292"/>
      <c r="I1719" s="1292"/>
      <c r="J1719" s="499" t="str">
        <f>Noty!J1719</f>
        <v>ukryj</v>
      </c>
      <c r="K1719" s="489"/>
    </row>
    <row r="1720" spans="1:15" s="200" customFormat="1" x14ac:dyDescent="0.25">
      <c r="A1720" s="508"/>
      <c r="B1720" s="520"/>
      <c r="C1720" s="1292"/>
      <c r="D1720" s="1292"/>
      <c r="E1720" s="1292"/>
      <c r="F1720" s="1292"/>
      <c r="G1720" s="1292"/>
      <c r="H1720" s="1292"/>
      <c r="I1720" s="1292"/>
      <c r="J1720" s="499" t="str">
        <f>Noty!J1720</f>
        <v>ukryj</v>
      </c>
      <c r="K1720" s="489"/>
    </row>
    <row r="1721" spans="1:15" s="200" customFormat="1" ht="13.75" thickBot="1" x14ac:dyDescent="0.3">
      <c r="A1721" s="508"/>
      <c r="B1721" s="520"/>
      <c r="C1721" s="1292"/>
      <c r="D1721" s="1292"/>
      <c r="E1721" s="1292"/>
      <c r="F1721" s="1292"/>
      <c r="G1721" s="1292"/>
      <c r="H1721" s="1292"/>
      <c r="I1721" s="1292"/>
      <c r="J1721" s="499" t="str">
        <f>Noty!J1721</f>
        <v>ukryj</v>
      </c>
      <c r="K1721" s="489"/>
    </row>
    <row r="1722" spans="1:15" s="200" customFormat="1" ht="14.4" thickTop="1" thickBot="1" x14ac:dyDescent="0.3">
      <c r="A1722" s="508"/>
      <c r="B1722" s="520"/>
      <c r="C1722" s="1293" t="s">
        <v>11425</v>
      </c>
      <c r="D1722" s="1293"/>
      <c r="E1722" s="1293"/>
      <c r="F1722" s="1293"/>
      <c r="G1722" s="1293"/>
      <c r="H1722" s="1293"/>
      <c r="I1722" s="1293"/>
      <c r="J1722" s="499" t="str">
        <f>Noty!J1722</f>
        <v>odkryj</v>
      </c>
      <c r="K1722" s="1109" t="str">
        <f>Noty!K1722</f>
        <v/>
      </c>
    </row>
    <row r="1723" spans="1:15" s="200" customFormat="1" ht="14.4" thickTop="1" thickBot="1" x14ac:dyDescent="0.3">
      <c r="A1723" s="508"/>
      <c r="B1723" s="520"/>
      <c r="C1723" s="570"/>
      <c r="J1723" s="499" t="str">
        <f>Noty!J1723</f>
        <v>odkryj</v>
      </c>
      <c r="K1723" s="489"/>
    </row>
    <row r="1724" spans="1:15" s="200" customFormat="1" ht="16.399999999999999" thickTop="1" thickBot="1" x14ac:dyDescent="0.35">
      <c r="A1724" s="508">
        <f>IF(K1724="n/a",A1705,A1705+1)</f>
        <v>24</v>
      </c>
      <c r="B1724" s="520">
        <v>0</v>
      </c>
      <c r="C1724" s="1200" t="s">
        <v>11330</v>
      </c>
      <c r="J1724" s="499" t="str">
        <f>Noty!J1724</f>
        <v>odkryj</v>
      </c>
      <c r="K1724" s="1109" t="str">
        <f>Noty!K1724</f>
        <v/>
      </c>
      <c r="L1724" s="1130" t="str">
        <f>A1724&amp;"."&amp;B1724</f>
        <v>24.0</v>
      </c>
      <c r="N1724" s="1138" t="s">
        <v>9378</v>
      </c>
      <c r="O1724" s="200" t="str">
        <f>A1724&amp;"."&amp;B1724</f>
        <v>24.0</v>
      </c>
    </row>
    <row r="1725" spans="1:15" s="200" customFormat="1" ht="13.75" thickTop="1" x14ac:dyDescent="0.25">
      <c r="A1725" s="508"/>
      <c r="B1725" s="520">
        <v>1</v>
      </c>
      <c r="C1725" s="570"/>
      <c r="J1725" s="499" t="str">
        <f>Noty!J1725</f>
        <v>odkryj</v>
      </c>
      <c r="K1725" s="489"/>
    </row>
    <row r="1726" spans="1:15" s="200" customFormat="1" x14ac:dyDescent="0.25">
      <c r="A1726" s="508"/>
      <c r="B1726" s="520">
        <v>2</v>
      </c>
      <c r="C1726" s="1293" t="s">
        <v>11423</v>
      </c>
      <c r="D1726" s="1293"/>
      <c r="E1726" s="1293"/>
      <c r="F1726" s="1293"/>
      <c r="G1726" s="1293"/>
      <c r="H1726" s="1293"/>
      <c r="I1726" s="1293"/>
      <c r="J1726" s="499" t="str">
        <f>Noty!J1726</f>
        <v>odkryj</v>
      </c>
      <c r="K1726" s="489"/>
    </row>
    <row r="1727" spans="1:15" s="200" customFormat="1" x14ac:dyDescent="0.25">
      <c r="A1727" s="508"/>
      <c r="B1727" s="520">
        <v>3</v>
      </c>
      <c r="C1727" s="1294" t="str">
        <f>"-"&amp;IF(Input!D61="","",Input!D61&amp;" - "&amp;Input!C61&amp;IF(Noty!C1728="",".",","))</f>
        <v>-test - Chairman of the Board of Directors,</v>
      </c>
      <c r="D1727" s="1294"/>
      <c r="E1727" s="1294"/>
      <c r="F1727" s="1294"/>
      <c r="G1727" s="1294"/>
      <c r="H1727" s="1294"/>
      <c r="I1727" s="1294"/>
      <c r="J1727" s="499" t="str">
        <f>Noty!J1727</f>
        <v>odkryj</v>
      </c>
      <c r="K1727" s="489"/>
    </row>
    <row r="1728" spans="1:15" s="200" customFormat="1" x14ac:dyDescent="0.25">
      <c r="A1728" s="508"/>
      <c r="B1728" s="520">
        <v>4</v>
      </c>
      <c r="C1728" s="1294" t="str">
        <f>"-"&amp;IF(Input!D62="","",Input!D62&amp;" - "&amp;Input!C62&amp;IF(Noty!C1729="",".",","))</f>
        <v>-test1 - Member of the Board of Directors,</v>
      </c>
      <c r="D1728" s="1294"/>
      <c r="E1728" s="1294"/>
      <c r="F1728" s="1294"/>
      <c r="G1728" s="1294"/>
      <c r="H1728" s="1294"/>
      <c r="I1728" s="1294"/>
      <c r="J1728" s="499" t="str">
        <f>Noty!J1728</f>
        <v>odkryj</v>
      </c>
      <c r="K1728" s="489"/>
    </row>
    <row r="1729" spans="1:14" s="200" customFormat="1" x14ac:dyDescent="0.25">
      <c r="A1729" s="508"/>
      <c r="B1729" s="520">
        <v>5</v>
      </c>
      <c r="C1729" s="1294" t="str">
        <f>"-"&amp;IF(Input!D63="","",Input!D63&amp;" - "&amp;Input!C63&amp;IF(Noty!C1730="",".",","))</f>
        <v>-tst2 - Member of the Board of Directors,</v>
      </c>
      <c r="D1729" s="1294"/>
      <c r="E1729" s="1294"/>
      <c r="F1729" s="1294"/>
      <c r="G1729" s="1294"/>
      <c r="H1729" s="1294"/>
      <c r="I1729" s="1294"/>
      <c r="J1729" s="499" t="str">
        <f>Noty!J1729</f>
        <v>odkryj</v>
      </c>
      <c r="K1729" s="489"/>
    </row>
    <row r="1730" spans="1:14" s="200" customFormat="1" x14ac:dyDescent="0.25">
      <c r="A1730" s="508"/>
      <c r="B1730" s="520">
        <v>6</v>
      </c>
      <c r="C1730" s="1294" t="str">
        <f>"-"&amp;IF(Input!D64="","",Input!D64&amp;" - "&amp;Input!C64&amp;IF(Noty!C1731="",".",","))</f>
        <v>-</v>
      </c>
      <c r="D1730" s="1294"/>
      <c r="E1730" s="1294"/>
      <c r="F1730" s="1294"/>
      <c r="G1730" s="1294"/>
      <c r="H1730" s="1294"/>
      <c r="I1730" s="1294"/>
      <c r="J1730" s="499" t="str">
        <f>Noty!J1730</f>
        <v>odkryj</v>
      </c>
      <c r="K1730" s="489"/>
    </row>
    <row r="1731" spans="1:14" s="200" customFormat="1" x14ac:dyDescent="0.25">
      <c r="A1731" s="508"/>
      <c r="B1731" s="520">
        <v>7</v>
      </c>
      <c r="C1731" s="1294" t="str">
        <f>"-"&amp;IF(Input!D65="","",Input!D65&amp;" - "&amp;Input!C65&amp;IF(Noty!C1732="",".",","))</f>
        <v>-</v>
      </c>
      <c r="D1731" s="1294"/>
      <c r="E1731" s="1294"/>
      <c r="F1731" s="1294"/>
      <c r="G1731" s="1294"/>
      <c r="H1731" s="1294"/>
      <c r="I1731" s="1294"/>
      <c r="J1731" s="499" t="str">
        <f>Noty!J1731</f>
        <v>odkryj</v>
      </c>
      <c r="K1731" s="489"/>
    </row>
    <row r="1732" spans="1:14" s="200" customFormat="1" x14ac:dyDescent="0.25">
      <c r="A1732" s="508"/>
      <c r="B1732" s="520">
        <v>8</v>
      </c>
      <c r="C1732" s="1294" t="str">
        <f>"-"&amp;IF(Input!D66="","",Input!D66&amp;" - "&amp;Input!C66&amp;IF(Noty!C1733="",".",","))</f>
        <v>-</v>
      </c>
      <c r="D1732" s="1294"/>
      <c r="E1732" s="1294"/>
      <c r="F1732" s="1294"/>
      <c r="G1732" s="1294"/>
      <c r="H1732" s="1294"/>
      <c r="I1732" s="1294"/>
      <c r="J1732" s="499" t="str">
        <f>Noty!J1732</f>
        <v>odkryj</v>
      </c>
      <c r="K1732" s="489"/>
    </row>
    <row r="1733" spans="1:14" s="200" customFormat="1" ht="13.75" thickBot="1" x14ac:dyDescent="0.3">
      <c r="A1733" s="508"/>
      <c r="B1733" s="520">
        <v>9</v>
      </c>
      <c r="C1733" s="570"/>
      <c r="J1733" s="499" t="str">
        <f>Noty!J1733</f>
        <v>odkryj</v>
      </c>
      <c r="K1733" s="489"/>
    </row>
    <row r="1734" spans="1:14" s="200" customFormat="1" ht="14.4" thickTop="1" thickBot="1" x14ac:dyDescent="0.3">
      <c r="A1734" s="508"/>
      <c r="B1734" s="520">
        <v>10</v>
      </c>
      <c r="C1734" s="1293" t="s">
        <v>11424</v>
      </c>
      <c r="D1734" s="1293"/>
      <c r="E1734" s="1293"/>
      <c r="F1734" s="1293"/>
      <c r="G1734" s="1293"/>
      <c r="H1734" s="1293"/>
      <c r="I1734" s="1293"/>
      <c r="J1734" s="499" t="str">
        <f>Noty!J1734</f>
        <v>ukryj</v>
      </c>
      <c r="K1734" s="1109">
        <f>Noty!K1726</f>
        <v>0</v>
      </c>
    </row>
    <row r="1735" spans="1:14" s="200" customFormat="1" ht="13.75" thickTop="1" x14ac:dyDescent="0.25">
      <c r="A1735" s="508"/>
      <c r="B1735" s="520">
        <v>11</v>
      </c>
      <c r="C1735" s="1292"/>
      <c r="D1735" s="1292"/>
      <c r="E1735" s="1292"/>
      <c r="F1735" s="1292"/>
      <c r="G1735" s="1292"/>
      <c r="H1735" s="1292"/>
      <c r="I1735" s="1292"/>
      <c r="J1735" s="499" t="str">
        <f>Noty!J1736</f>
        <v>ukryj</v>
      </c>
      <c r="K1735" s="489"/>
    </row>
    <row r="1736" spans="1:14" s="200" customFormat="1" x14ac:dyDescent="0.25">
      <c r="A1736" s="508"/>
      <c r="B1736" s="520">
        <v>12</v>
      </c>
      <c r="C1736" s="1292"/>
      <c r="D1736" s="1292"/>
      <c r="E1736" s="1292"/>
      <c r="F1736" s="1292"/>
      <c r="G1736" s="1292"/>
      <c r="H1736" s="1292"/>
      <c r="I1736" s="1292"/>
      <c r="J1736" s="499"/>
      <c r="K1736" s="489"/>
    </row>
    <row r="1737" spans="1:14" s="200" customFormat="1" x14ac:dyDescent="0.25">
      <c r="A1737" s="508"/>
      <c r="B1737" s="520">
        <v>13</v>
      </c>
      <c r="C1737" s="1292"/>
      <c r="D1737" s="1292"/>
      <c r="E1737" s="1292"/>
      <c r="F1737" s="1292"/>
      <c r="G1737" s="1292"/>
      <c r="H1737" s="1292"/>
      <c r="I1737" s="1292"/>
      <c r="J1737" s="499" t="str">
        <f>Noty!J1737</f>
        <v>ukryj</v>
      </c>
      <c r="K1737" s="489"/>
    </row>
    <row r="1738" spans="1:14" s="200" customFormat="1" x14ac:dyDescent="0.25">
      <c r="A1738" s="508"/>
      <c r="B1738" s="520">
        <v>14</v>
      </c>
      <c r="C1738" s="1292"/>
      <c r="D1738" s="1292"/>
      <c r="E1738" s="1292"/>
      <c r="F1738" s="1292"/>
      <c r="G1738" s="1292"/>
      <c r="H1738" s="1292"/>
      <c r="I1738" s="1292"/>
      <c r="J1738" s="499" t="str">
        <f>Noty!J1738</f>
        <v>ukryj</v>
      </c>
      <c r="K1738" s="489"/>
    </row>
    <row r="1739" spans="1:14" s="200" customFormat="1" x14ac:dyDescent="0.25">
      <c r="A1739" s="508"/>
      <c r="B1739" s="520">
        <v>15</v>
      </c>
      <c r="C1739" s="1292"/>
      <c r="D1739" s="1292"/>
      <c r="E1739" s="1292"/>
      <c r="F1739" s="1292"/>
      <c r="G1739" s="1292"/>
      <c r="H1739" s="1292"/>
      <c r="I1739" s="1292"/>
      <c r="J1739" s="499" t="str">
        <f>Noty!J1739</f>
        <v>ukryj</v>
      </c>
      <c r="K1739" s="489"/>
    </row>
    <row r="1740" spans="1:14" s="200" customFormat="1" ht="13.75" thickBot="1" x14ac:dyDescent="0.3">
      <c r="A1740" s="508"/>
      <c r="B1740" s="520">
        <v>16</v>
      </c>
      <c r="C1740" s="1292"/>
      <c r="D1740" s="1292"/>
      <c r="E1740" s="1292"/>
      <c r="F1740" s="1292"/>
      <c r="G1740" s="1292"/>
      <c r="H1740" s="1292"/>
      <c r="I1740" s="1292"/>
      <c r="J1740" s="499" t="str">
        <f>Noty!J1740</f>
        <v>ukryj</v>
      </c>
      <c r="K1740" s="489"/>
    </row>
    <row r="1741" spans="1:14" s="200" customFormat="1" ht="14.4" thickTop="1" thickBot="1" x14ac:dyDescent="0.3">
      <c r="A1741" s="508"/>
      <c r="B1741" s="520"/>
      <c r="C1741" s="1293" t="s">
        <v>11425</v>
      </c>
      <c r="D1741" s="1293"/>
      <c r="E1741" s="1293"/>
      <c r="F1741" s="1293"/>
      <c r="G1741" s="1293"/>
      <c r="H1741" s="1293"/>
      <c r="I1741" s="1293"/>
      <c r="J1741" s="499" t="str">
        <f>Noty!J1741</f>
        <v>odkryj</v>
      </c>
      <c r="K1741" s="1109">
        <f>Noty!K1729</f>
        <v>0</v>
      </c>
    </row>
    <row r="1742" spans="1:14" s="200" customFormat="1" ht="13.75" thickTop="1" x14ac:dyDescent="0.25">
      <c r="A1742" s="508"/>
      <c r="B1742" s="520"/>
      <c r="C1742" s="570"/>
      <c r="J1742" s="499" t="str">
        <f>Noty!J1742</f>
        <v>odkryj</v>
      </c>
      <c r="K1742" s="489"/>
    </row>
    <row r="1743" spans="1:14" s="200" customFormat="1" ht="15.05" x14ac:dyDescent="0.3">
      <c r="A1743" s="1180">
        <f>IF(K1743="n/a",A1724,A1724+1)</f>
        <v>25</v>
      </c>
      <c r="B1743" s="1182"/>
      <c r="C1743" s="1388" t="s">
        <v>11426</v>
      </c>
      <c r="D1743" s="1388"/>
      <c r="E1743" s="1388"/>
      <c r="F1743" s="1388"/>
      <c r="G1743" s="1388"/>
      <c r="H1743" s="1388"/>
      <c r="I1743" s="1388"/>
      <c r="J1743" s="499" t="str">
        <f>Noty!J1743</f>
        <v>odkryj</v>
      </c>
      <c r="K1743" s="489"/>
      <c r="L1743" s="200" t="str">
        <f>A1743&amp;"."&amp;B1743</f>
        <v>25.</v>
      </c>
      <c r="N1743" s="1101" t="s">
        <v>9378</v>
      </c>
    </row>
    <row r="1744" spans="1:14" s="200" customFormat="1" x14ac:dyDescent="0.25">
      <c r="A1744" s="508"/>
      <c r="B1744" s="520"/>
      <c r="C1744" s="195"/>
      <c r="D1744" s="195"/>
      <c r="E1744" s="196"/>
      <c r="F1744" s="196"/>
      <c r="G1744" s="196"/>
      <c r="H1744" s="196"/>
      <c r="I1744" s="196"/>
      <c r="J1744" s="499" t="str">
        <f>Noty!J1744</f>
        <v>odkryj</v>
      </c>
      <c r="K1744" s="489"/>
    </row>
    <row r="1745" spans="1:100" s="200" customFormat="1" x14ac:dyDescent="0.25">
      <c r="A1745" s="519" t="s">
        <v>3330</v>
      </c>
      <c r="B1745" s="257" t="str">
        <f>oświadczenie!B22</f>
        <v>test</v>
      </c>
      <c r="C1745" s="257"/>
      <c r="D1745" s="195"/>
      <c r="E1745" s="196"/>
      <c r="F1745" s="196"/>
      <c r="G1745" s="202"/>
      <c r="H1745" s="202"/>
      <c r="I1745" s="245"/>
      <c r="J1745" s="499" t="str">
        <f>Noty!J1745</f>
        <v>odkryj</v>
      </c>
      <c r="K1745" s="197"/>
      <c r="N1745" s="387"/>
    </row>
    <row r="1746" spans="1:100" s="200" customFormat="1" x14ac:dyDescent="0.25">
      <c r="A1746" s="257"/>
      <c r="B1746" s="257" t="str">
        <f>oświadczenie!B23</f>
        <v>Chairman of the Board of Directors</v>
      </c>
      <c r="C1746" s="257"/>
      <c r="D1746" s="195"/>
      <c r="E1746" s="196"/>
      <c r="F1746" s="196"/>
      <c r="G1746" s="749"/>
      <c r="H1746" s="749"/>
      <c r="I1746" s="749"/>
      <c r="J1746" s="499" t="str">
        <f>Noty!J1746</f>
        <v>odkryj</v>
      </c>
      <c r="K1746" s="197"/>
      <c r="N1746" s="387"/>
    </row>
    <row r="1747" spans="1:100" s="200" customFormat="1" x14ac:dyDescent="0.25">
      <c r="A1747" s="257"/>
      <c r="B1747" s="257"/>
      <c r="C1747" s="257"/>
      <c r="D1747" s="195"/>
      <c r="E1747" s="196"/>
      <c r="F1747" s="196"/>
      <c r="G1747" s="749"/>
      <c r="H1747" s="749"/>
      <c r="I1747" s="749"/>
      <c r="J1747" s="499" t="str">
        <f>Noty!J1747</f>
        <v>odkryj</v>
      </c>
      <c r="K1747" s="197"/>
      <c r="N1747" s="387"/>
    </row>
    <row r="1748" spans="1:100" s="200" customFormat="1" x14ac:dyDescent="0.25">
      <c r="A1748" s="257"/>
      <c r="B1748" s="257" t="str">
        <f>oświadczenie!B27</f>
        <v>test1</v>
      </c>
      <c r="C1748" s="257"/>
      <c r="D1748" s="195"/>
      <c r="E1748" s="196"/>
      <c r="F1748" s="196"/>
      <c r="G1748" s="196"/>
      <c r="H1748" s="196"/>
      <c r="I1748" s="196"/>
      <c r="J1748" s="499" t="str">
        <f>Noty!J1748</f>
        <v>odkryj</v>
      </c>
      <c r="K1748" s="197"/>
      <c r="N1748" s="387"/>
    </row>
    <row r="1749" spans="1:100" s="200" customFormat="1" x14ac:dyDescent="0.25">
      <c r="A1749" s="257"/>
      <c r="B1749" s="257" t="str">
        <f>oświadczenie!B28</f>
        <v>Member of the Board of Directors</v>
      </c>
      <c r="C1749" s="257"/>
      <c r="D1749" s="195"/>
      <c r="E1749" s="196"/>
      <c r="F1749" s="196"/>
      <c r="G1749" s="196"/>
      <c r="H1749" s="196"/>
      <c r="I1749" s="196"/>
      <c r="J1749" s="499" t="str">
        <f>Noty!J1749</f>
        <v>odkryj</v>
      </c>
      <c r="K1749" s="197"/>
      <c r="N1749" s="387"/>
    </row>
    <row r="1750" spans="1:100" s="447" customFormat="1" x14ac:dyDescent="0.25">
      <c r="A1750" s="257"/>
      <c r="B1750" s="257"/>
      <c r="C1750" s="257"/>
      <c r="D1750" s="195"/>
      <c r="E1750" s="196"/>
      <c r="F1750" s="196"/>
      <c r="G1750" s="196"/>
      <c r="H1750" s="196"/>
      <c r="I1750" s="196"/>
      <c r="J1750" s="499" t="str">
        <f>Noty!J1750</f>
        <v>odkryj</v>
      </c>
      <c r="K1750" s="197"/>
      <c r="L1750" s="200"/>
      <c r="M1750" s="200"/>
      <c r="N1750" s="475"/>
    </row>
    <row r="1751" spans="1:100" s="447" customFormat="1" x14ac:dyDescent="0.25">
      <c r="A1751" s="244"/>
      <c r="B1751" s="257" t="str">
        <f>oświadczenie!B32</f>
        <v>tst2</v>
      </c>
      <c r="C1751" s="840"/>
      <c r="D1751" s="195"/>
      <c r="E1751" s="196"/>
      <c r="F1751" s="196"/>
      <c r="G1751" s="196"/>
      <c r="H1751" s="196"/>
      <c r="I1751" s="196"/>
      <c r="J1751" s="499" t="str">
        <f>Noty!J1751</f>
        <v>odkryj</v>
      </c>
      <c r="K1751" s="197"/>
      <c r="L1751" s="200"/>
      <c r="M1751" s="200"/>
      <c r="N1751" s="475"/>
    </row>
    <row r="1752" spans="1:100" s="447" customFormat="1" x14ac:dyDescent="0.25">
      <c r="A1752" s="244"/>
      <c r="B1752" s="257" t="str">
        <f>oświadczenie!B33</f>
        <v>Member of the Board of Directors</v>
      </c>
      <c r="C1752" s="257"/>
      <c r="D1752" s="195"/>
      <c r="E1752" s="196"/>
      <c r="F1752" s="196"/>
      <c r="G1752" s="196"/>
      <c r="H1752" s="196"/>
      <c r="I1752" s="196"/>
      <c r="J1752" s="499" t="str">
        <f>Noty!J1752</f>
        <v>odkryj</v>
      </c>
      <c r="K1752" s="197"/>
      <c r="L1752" s="200"/>
      <c r="M1752" s="200"/>
      <c r="N1752" s="475"/>
    </row>
    <row r="1753" spans="1:100" s="447" customFormat="1" x14ac:dyDescent="0.25">
      <c r="A1753" s="244"/>
      <c r="B1753" s="257"/>
      <c r="C1753" s="257"/>
      <c r="D1753" s="195"/>
      <c r="E1753" s="196"/>
      <c r="F1753" s="196"/>
      <c r="G1753" s="196"/>
      <c r="H1753" s="196"/>
      <c r="I1753" s="196"/>
      <c r="J1753" s="499" t="str">
        <f>Noty!J1753</f>
        <v>odkryj</v>
      </c>
      <c r="K1753" s="489"/>
      <c r="L1753" s="200"/>
    </row>
    <row r="1754" spans="1:100" s="200" customFormat="1" x14ac:dyDescent="0.25">
      <c r="A1754" s="519"/>
      <c r="B1754" s="257" t="str">
        <f>oświadczenie!B37</f>
        <v/>
      </c>
      <c r="C1754" s="257"/>
      <c r="D1754" s="195"/>
      <c r="E1754" s="196"/>
      <c r="F1754" s="196"/>
      <c r="G1754" s="581"/>
      <c r="H1754" s="581"/>
      <c r="I1754" s="581"/>
      <c r="J1754" s="499" t="str">
        <f>Noty!J1754</f>
        <v>odkryj</v>
      </c>
      <c r="K1754" s="489"/>
      <c r="L1754" s="489"/>
      <c r="M1754" s="489"/>
      <c r="N1754" s="489"/>
      <c r="O1754" s="489"/>
      <c r="P1754" s="489"/>
      <c r="Q1754" s="489" t="s">
        <v>11196</v>
      </c>
      <c r="R1754" s="489"/>
      <c r="S1754" s="489"/>
      <c r="T1754" s="489"/>
      <c r="U1754" s="489"/>
      <c r="V1754" s="489"/>
      <c r="W1754" s="489"/>
      <c r="X1754" s="489"/>
      <c r="Y1754" s="489"/>
      <c r="Z1754" s="489"/>
      <c r="AA1754" s="489"/>
      <c r="AB1754" s="489"/>
      <c r="AC1754" s="489"/>
      <c r="AD1754" s="489"/>
      <c r="AE1754" s="489"/>
      <c r="AF1754" s="489"/>
      <c r="AG1754" s="489"/>
      <c r="AH1754" s="489"/>
      <c r="AI1754" s="489"/>
      <c r="AJ1754" s="489"/>
      <c r="AK1754" s="489"/>
      <c r="AL1754" s="489"/>
      <c r="AM1754" s="489"/>
      <c r="AN1754" s="489"/>
      <c r="AO1754" s="489"/>
      <c r="AP1754" s="489"/>
      <c r="AQ1754" s="489"/>
      <c r="AR1754" s="489"/>
      <c r="AS1754" s="489"/>
      <c r="AT1754" s="489"/>
      <c r="AU1754" s="489"/>
      <c r="AV1754" s="489"/>
      <c r="AW1754" s="489"/>
      <c r="AX1754" s="489"/>
      <c r="AY1754" s="489"/>
      <c r="AZ1754" s="489"/>
      <c r="BA1754" s="489"/>
      <c r="BB1754" s="489"/>
      <c r="BC1754" s="489"/>
      <c r="BD1754" s="489"/>
      <c r="BE1754" s="489"/>
      <c r="BF1754" s="489"/>
      <c r="BG1754" s="489"/>
      <c r="BH1754" s="489"/>
      <c r="BI1754" s="489"/>
      <c r="BJ1754" s="489"/>
      <c r="BK1754" s="489"/>
      <c r="BL1754" s="489"/>
      <c r="BM1754" s="489"/>
      <c r="BN1754" s="489"/>
      <c r="BO1754" s="489"/>
      <c r="BP1754" s="489"/>
      <c r="BQ1754" s="489"/>
      <c r="BR1754" s="489"/>
      <c r="BS1754" s="489"/>
      <c r="BT1754" s="489"/>
      <c r="BU1754" s="489"/>
      <c r="BV1754" s="489"/>
      <c r="BW1754" s="489"/>
      <c r="BX1754" s="489"/>
      <c r="BY1754" s="489"/>
      <c r="BZ1754" s="489"/>
      <c r="CA1754" s="489"/>
      <c r="CB1754" s="489"/>
      <c r="CC1754" s="489"/>
      <c r="CD1754" s="489"/>
      <c r="CE1754" s="489"/>
      <c r="CF1754" s="489"/>
      <c r="CG1754" s="489"/>
      <c r="CH1754" s="489"/>
      <c r="CI1754" s="489"/>
      <c r="CJ1754" s="489"/>
      <c r="CK1754" s="489"/>
      <c r="CL1754" s="489"/>
      <c r="CM1754" s="489"/>
      <c r="CN1754" s="489"/>
      <c r="CO1754" s="489"/>
      <c r="CP1754" s="489"/>
      <c r="CQ1754" s="489"/>
      <c r="CR1754" s="489"/>
      <c r="CS1754" s="489"/>
      <c r="CT1754" s="489"/>
      <c r="CU1754" s="489"/>
      <c r="CV1754" s="489"/>
    </row>
    <row r="1755" spans="1:100" s="200" customFormat="1" x14ac:dyDescent="0.25">
      <c r="A1755" s="257"/>
      <c r="B1755" s="257" t="str">
        <f>oświadczenie!B38</f>
        <v>Member of the Board of Directors</v>
      </c>
      <c r="C1755" s="257"/>
      <c r="D1755" s="195"/>
      <c r="E1755" s="196"/>
      <c r="F1755" s="196"/>
      <c r="G1755" s="581"/>
      <c r="H1755" s="581"/>
      <c r="I1755" s="581"/>
      <c r="J1755" s="499" t="str">
        <f>Noty!J1755</f>
        <v>odkryj</v>
      </c>
      <c r="K1755" s="489"/>
      <c r="L1755" s="489"/>
      <c r="M1755" s="489"/>
      <c r="N1755" s="489"/>
      <c r="O1755" s="489"/>
      <c r="P1755" s="489"/>
      <c r="Q1755" s="489" t="s">
        <v>11196</v>
      </c>
      <c r="R1755" s="489"/>
      <c r="S1755" s="489"/>
      <c r="T1755" s="489"/>
      <c r="U1755" s="489"/>
      <c r="V1755" s="489"/>
      <c r="W1755" s="489"/>
      <c r="X1755" s="489"/>
      <c r="Y1755" s="489"/>
      <c r="Z1755" s="489"/>
      <c r="AA1755" s="489"/>
      <c r="AB1755" s="489"/>
      <c r="AC1755" s="489"/>
      <c r="AD1755" s="489"/>
      <c r="AE1755" s="489"/>
      <c r="AF1755" s="489"/>
      <c r="AG1755" s="489"/>
      <c r="AH1755" s="489"/>
      <c r="AI1755" s="489"/>
      <c r="AJ1755" s="489"/>
      <c r="AK1755" s="489"/>
      <c r="AL1755" s="489"/>
      <c r="AM1755" s="489"/>
      <c r="AN1755" s="489"/>
      <c r="AO1755" s="489"/>
      <c r="AP1755" s="489"/>
      <c r="AQ1755" s="489"/>
      <c r="AR1755" s="489"/>
      <c r="AS1755" s="489"/>
      <c r="AT1755" s="489"/>
      <c r="AU1755" s="489"/>
      <c r="AV1755" s="489"/>
      <c r="AW1755" s="489"/>
      <c r="AX1755" s="489"/>
      <c r="AY1755" s="489"/>
      <c r="AZ1755" s="489"/>
      <c r="BA1755" s="489"/>
      <c r="BB1755" s="489"/>
      <c r="BC1755" s="489"/>
      <c r="BD1755" s="489"/>
      <c r="BE1755" s="489"/>
      <c r="BF1755" s="489"/>
      <c r="BG1755" s="489"/>
      <c r="BH1755" s="489"/>
      <c r="BI1755" s="489"/>
      <c r="BJ1755" s="489"/>
      <c r="BK1755" s="489"/>
      <c r="BL1755" s="489"/>
      <c r="BM1755" s="489"/>
      <c r="BN1755" s="489"/>
      <c r="BO1755" s="489"/>
      <c r="BP1755" s="489"/>
      <c r="BQ1755" s="489"/>
      <c r="BR1755" s="489"/>
      <c r="BS1755" s="489"/>
      <c r="BT1755" s="489"/>
      <c r="BU1755" s="489"/>
      <c r="BV1755" s="489"/>
      <c r="BW1755" s="489"/>
      <c r="BX1755" s="489"/>
      <c r="BY1755" s="489"/>
      <c r="BZ1755" s="489"/>
      <c r="CA1755" s="489"/>
      <c r="CB1755" s="489"/>
      <c r="CC1755" s="489"/>
      <c r="CD1755" s="489"/>
      <c r="CE1755" s="489"/>
      <c r="CF1755" s="489"/>
      <c r="CG1755" s="489"/>
      <c r="CH1755" s="489"/>
      <c r="CI1755" s="489"/>
      <c r="CJ1755" s="489"/>
      <c r="CK1755" s="489"/>
      <c r="CL1755" s="489"/>
      <c r="CM1755" s="489"/>
      <c r="CN1755" s="489"/>
      <c r="CO1755" s="489"/>
      <c r="CP1755" s="489"/>
      <c r="CQ1755" s="489"/>
      <c r="CR1755" s="489"/>
      <c r="CS1755" s="489"/>
      <c r="CT1755" s="489"/>
      <c r="CU1755" s="489"/>
      <c r="CV1755" s="489"/>
    </row>
    <row r="1756" spans="1:100" s="200" customFormat="1" x14ac:dyDescent="0.25">
      <c r="A1756" s="257"/>
      <c r="B1756" s="257"/>
      <c r="C1756" s="257"/>
      <c r="D1756" s="195"/>
      <c r="E1756" s="196"/>
      <c r="F1756" s="196"/>
      <c r="G1756" s="581"/>
      <c r="H1756" s="581"/>
      <c r="I1756" s="581"/>
      <c r="J1756" s="499" t="str">
        <f>Noty!J1756</f>
        <v>odkryj</v>
      </c>
      <c r="K1756" s="489"/>
      <c r="L1756" s="489"/>
      <c r="M1756" s="489"/>
      <c r="N1756" s="489"/>
      <c r="O1756" s="489"/>
      <c r="P1756" s="489"/>
      <c r="Q1756" s="489" t="s">
        <v>11196</v>
      </c>
      <c r="R1756" s="489"/>
      <c r="S1756" s="489"/>
      <c r="T1756" s="489"/>
      <c r="U1756" s="489"/>
      <c r="V1756" s="489"/>
      <c r="W1756" s="489"/>
      <c r="X1756" s="489"/>
      <c r="Y1756" s="489"/>
      <c r="Z1756" s="489"/>
      <c r="AA1756" s="489"/>
      <c r="AB1756" s="489"/>
      <c r="AC1756" s="489"/>
      <c r="AD1756" s="489"/>
      <c r="AE1756" s="489"/>
      <c r="AF1756" s="489"/>
      <c r="AG1756" s="489"/>
      <c r="AH1756" s="489"/>
      <c r="AI1756" s="489"/>
      <c r="AJ1756" s="489"/>
      <c r="AK1756" s="489"/>
      <c r="AL1756" s="489"/>
      <c r="AM1756" s="489"/>
      <c r="AN1756" s="489"/>
      <c r="AO1756" s="489"/>
      <c r="AP1756" s="489"/>
      <c r="AQ1756" s="489"/>
      <c r="AR1756" s="489"/>
      <c r="AS1756" s="489"/>
      <c r="AT1756" s="489"/>
      <c r="AU1756" s="489"/>
      <c r="AV1756" s="489"/>
      <c r="AW1756" s="489"/>
      <c r="AX1756" s="489"/>
      <c r="AY1756" s="489"/>
      <c r="AZ1756" s="489"/>
      <c r="BA1756" s="489"/>
      <c r="BB1756" s="489"/>
      <c r="BC1756" s="489"/>
      <c r="BD1756" s="489"/>
      <c r="BE1756" s="489"/>
      <c r="BF1756" s="489"/>
      <c r="BG1756" s="489"/>
      <c r="BH1756" s="489"/>
      <c r="BI1756" s="489"/>
      <c r="BJ1756" s="489"/>
      <c r="BK1756" s="489"/>
      <c r="BL1756" s="489"/>
      <c r="BM1756" s="489"/>
      <c r="BN1756" s="489"/>
      <c r="BO1756" s="489"/>
      <c r="BP1756" s="489"/>
      <c r="BQ1756" s="489"/>
      <c r="BR1756" s="489"/>
      <c r="BS1756" s="489"/>
      <c r="BT1756" s="489"/>
      <c r="BU1756" s="489"/>
      <c r="BV1756" s="489"/>
      <c r="BW1756" s="489"/>
      <c r="BX1756" s="489"/>
      <c r="BY1756" s="489"/>
      <c r="BZ1756" s="489"/>
      <c r="CA1756" s="489"/>
      <c r="CB1756" s="489"/>
      <c r="CC1756" s="489"/>
      <c r="CD1756" s="489"/>
      <c r="CE1756" s="489"/>
      <c r="CF1756" s="489"/>
      <c r="CG1756" s="489"/>
      <c r="CH1756" s="489"/>
      <c r="CI1756" s="489"/>
      <c r="CJ1756" s="489"/>
      <c r="CK1756" s="489"/>
      <c r="CL1756" s="489"/>
      <c r="CM1756" s="489"/>
      <c r="CN1756" s="489"/>
      <c r="CO1756" s="489"/>
      <c r="CP1756" s="489"/>
      <c r="CQ1756" s="489"/>
      <c r="CR1756" s="489"/>
      <c r="CS1756" s="489"/>
      <c r="CT1756" s="489"/>
      <c r="CU1756" s="489"/>
      <c r="CV1756" s="489"/>
    </row>
    <row r="1757" spans="1:100" s="200" customFormat="1" x14ac:dyDescent="0.25">
      <c r="A1757" s="257"/>
      <c r="B1757" s="257" t="str">
        <f>oświadczenie!B42</f>
        <v/>
      </c>
      <c r="C1757" s="257"/>
      <c r="D1757" s="195"/>
      <c r="E1757" s="196"/>
      <c r="F1757" s="196"/>
      <c r="G1757" s="196"/>
      <c r="H1757" s="196"/>
      <c r="I1757" s="196"/>
      <c r="J1757" s="499" t="str">
        <f>Noty!J1757</f>
        <v>odkryj</v>
      </c>
      <c r="K1757" s="489"/>
      <c r="L1757" s="489"/>
      <c r="M1757" s="489"/>
      <c r="N1757" s="489"/>
      <c r="O1757" s="489"/>
      <c r="P1757" s="489"/>
      <c r="Q1757" s="489" t="s">
        <v>11196</v>
      </c>
      <c r="R1757" s="489"/>
      <c r="S1757" s="489"/>
      <c r="T1757" s="489"/>
      <c r="U1757" s="489"/>
      <c r="V1757" s="489"/>
      <c r="W1757" s="489"/>
      <c r="X1757" s="489"/>
      <c r="Y1757" s="489"/>
      <c r="Z1757" s="489"/>
      <c r="AA1757" s="489"/>
      <c r="AB1757" s="489"/>
      <c r="AC1757" s="489"/>
      <c r="AD1757" s="489"/>
      <c r="AE1757" s="489"/>
      <c r="AF1757" s="489"/>
      <c r="AG1757" s="489"/>
      <c r="AH1757" s="489"/>
      <c r="AI1757" s="489"/>
      <c r="AJ1757" s="489"/>
      <c r="AK1757" s="489"/>
      <c r="AL1757" s="489"/>
      <c r="AM1757" s="489"/>
      <c r="AN1757" s="489"/>
      <c r="AO1757" s="489"/>
      <c r="AP1757" s="489"/>
      <c r="AQ1757" s="489"/>
      <c r="AR1757" s="489"/>
      <c r="AS1757" s="489"/>
      <c r="AT1757" s="489"/>
      <c r="AU1757" s="489"/>
      <c r="AV1757" s="489"/>
      <c r="AW1757" s="489"/>
      <c r="AX1757" s="489"/>
      <c r="AY1757" s="489"/>
      <c r="AZ1757" s="489"/>
      <c r="BA1757" s="489"/>
      <c r="BB1757" s="489"/>
      <c r="BC1757" s="489"/>
      <c r="BD1757" s="489"/>
      <c r="BE1757" s="489"/>
      <c r="BF1757" s="489"/>
      <c r="BG1757" s="489"/>
      <c r="BH1757" s="489"/>
      <c r="BI1757" s="489"/>
      <c r="BJ1757" s="489"/>
      <c r="BK1757" s="489"/>
      <c r="BL1757" s="489"/>
      <c r="BM1757" s="489"/>
      <c r="BN1757" s="489"/>
      <c r="BO1757" s="489"/>
      <c r="BP1757" s="489"/>
      <c r="BQ1757" s="489"/>
      <c r="BR1757" s="489"/>
      <c r="BS1757" s="489"/>
      <c r="BT1757" s="489"/>
      <c r="BU1757" s="489"/>
      <c r="BV1757" s="489"/>
      <c r="BW1757" s="489"/>
      <c r="BX1757" s="489"/>
      <c r="BY1757" s="489"/>
      <c r="BZ1757" s="489"/>
      <c r="CA1757" s="489"/>
      <c r="CB1757" s="489"/>
      <c r="CC1757" s="489"/>
      <c r="CD1757" s="489"/>
      <c r="CE1757" s="489"/>
      <c r="CF1757" s="489"/>
      <c r="CG1757" s="489"/>
      <c r="CH1757" s="489"/>
      <c r="CI1757" s="489"/>
      <c r="CJ1757" s="489"/>
      <c r="CK1757" s="489"/>
      <c r="CL1757" s="489"/>
      <c r="CM1757" s="489"/>
      <c r="CN1757" s="489"/>
      <c r="CO1757" s="489"/>
      <c r="CP1757" s="489"/>
      <c r="CQ1757" s="489"/>
      <c r="CR1757" s="489"/>
      <c r="CS1757" s="489"/>
      <c r="CT1757" s="489"/>
      <c r="CU1757" s="489"/>
      <c r="CV1757" s="489"/>
    </row>
    <row r="1758" spans="1:100" s="200" customFormat="1" x14ac:dyDescent="0.25">
      <c r="A1758" s="257"/>
      <c r="B1758" s="257" t="str">
        <f>oświadczenie!B43</f>
        <v>Member of the Board of Directors</v>
      </c>
      <c r="C1758" s="257"/>
      <c r="D1758" s="195"/>
      <c r="E1758" s="196"/>
      <c r="F1758" s="196"/>
      <c r="G1758" s="196"/>
      <c r="H1758" s="196"/>
      <c r="I1758" s="196"/>
      <c r="J1758" s="499" t="str">
        <f>Noty!J1758</f>
        <v>odkryj</v>
      </c>
      <c r="K1758" s="489"/>
      <c r="L1758" s="489"/>
      <c r="M1758" s="489"/>
      <c r="N1758" s="489"/>
      <c r="O1758" s="489"/>
      <c r="P1758" s="489"/>
      <c r="Q1758" s="489" t="s">
        <v>11196</v>
      </c>
      <c r="R1758" s="489"/>
      <c r="S1758" s="489"/>
      <c r="T1758" s="489"/>
      <c r="U1758" s="489"/>
      <c r="V1758" s="489"/>
      <c r="W1758" s="489"/>
      <c r="X1758" s="489"/>
      <c r="Y1758" s="489"/>
      <c r="Z1758" s="489"/>
      <c r="AA1758" s="489"/>
      <c r="AB1758" s="489"/>
      <c r="AC1758" s="489"/>
      <c r="AD1758" s="489"/>
      <c r="AE1758" s="489"/>
      <c r="AF1758" s="489"/>
      <c r="AG1758" s="489"/>
      <c r="AH1758" s="489"/>
      <c r="AI1758" s="489"/>
      <c r="AJ1758" s="489"/>
      <c r="AK1758" s="489"/>
      <c r="AL1758" s="489"/>
      <c r="AM1758" s="489"/>
      <c r="AN1758" s="489"/>
      <c r="AO1758" s="489"/>
      <c r="AP1758" s="489"/>
      <c r="AQ1758" s="489"/>
      <c r="AR1758" s="489"/>
      <c r="AS1758" s="489"/>
      <c r="AT1758" s="489"/>
      <c r="AU1758" s="489"/>
      <c r="AV1758" s="489"/>
      <c r="AW1758" s="489"/>
      <c r="AX1758" s="489"/>
      <c r="AY1758" s="489"/>
      <c r="AZ1758" s="489"/>
      <c r="BA1758" s="489"/>
      <c r="BB1758" s="489"/>
      <c r="BC1758" s="489"/>
      <c r="BD1758" s="489"/>
      <c r="BE1758" s="489"/>
      <c r="BF1758" s="489"/>
      <c r="BG1758" s="489"/>
      <c r="BH1758" s="489"/>
      <c r="BI1758" s="489"/>
      <c r="BJ1758" s="489"/>
      <c r="BK1758" s="489"/>
      <c r="BL1758" s="489"/>
      <c r="BM1758" s="489"/>
      <c r="BN1758" s="489"/>
      <c r="BO1758" s="489"/>
      <c r="BP1758" s="489"/>
      <c r="BQ1758" s="489"/>
      <c r="BR1758" s="489"/>
      <c r="BS1758" s="489"/>
      <c r="BT1758" s="489"/>
      <c r="BU1758" s="489"/>
      <c r="BV1758" s="489"/>
      <c r="BW1758" s="489"/>
      <c r="BX1758" s="489"/>
      <c r="BY1758" s="489"/>
      <c r="BZ1758" s="489"/>
      <c r="CA1758" s="489"/>
      <c r="CB1758" s="489"/>
      <c r="CC1758" s="489"/>
      <c r="CD1758" s="489"/>
      <c r="CE1758" s="489"/>
      <c r="CF1758" s="489"/>
      <c r="CG1758" s="489"/>
      <c r="CH1758" s="489"/>
      <c r="CI1758" s="489"/>
      <c r="CJ1758" s="489"/>
      <c r="CK1758" s="489"/>
      <c r="CL1758" s="489"/>
      <c r="CM1758" s="489"/>
      <c r="CN1758" s="489"/>
      <c r="CO1758" s="489"/>
      <c r="CP1758" s="489"/>
      <c r="CQ1758" s="489"/>
      <c r="CR1758" s="489"/>
      <c r="CS1758" s="489"/>
      <c r="CT1758" s="489"/>
      <c r="CU1758" s="489"/>
      <c r="CV1758" s="489"/>
    </row>
    <row r="1759" spans="1:100" s="447" customFormat="1" x14ac:dyDescent="0.25">
      <c r="A1759" s="257"/>
      <c r="B1759" s="257"/>
      <c r="C1759" s="257"/>
      <c r="D1759" s="195"/>
      <c r="E1759" s="196"/>
      <c r="F1759" s="196"/>
      <c r="G1759" s="196"/>
      <c r="H1759" s="196"/>
      <c r="I1759" s="196"/>
      <c r="J1759" s="499" t="str">
        <f>Noty!J1759</f>
        <v>odkryj</v>
      </c>
      <c r="K1759" s="489"/>
      <c r="L1759" s="489"/>
      <c r="M1759" s="489"/>
      <c r="N1759" s="489"/>
      <c r="O1759" s="489"/>
      <c r="P1759" s="489"/>
      <c r="Q1759" s="489" t="s">
        <v>11196</v>
      </c>
      <c r="R1759" s="489"/>
      <c r="S1759" s="489"/>
      <c r="T1759" s="489"/>
      <c r="U1759" s="489"/>
      <c r="V1759" s="489"/>
      <c r="W1759" s="489"/>
      <c r="X1759" s="489"/>
      <c r="Y1759" s="489"/>
      <c r="Z1759" s="489"/>
      <c r="AA1759" s="489"/>
      <c r="AB1759" s="489"/>
      <c r="AC1759" s="489"/>
      <c r="AD1759" s="489"/>
      <c r="AE1759" s="489"/>
      <c r="AF1759" s="489"/>
      <c r="AG1759" s="489"/>
      <c r="AH1759" s="489"/>
      <c r="AI1759" s="489"/>
      <c r="AJ1759" s="489"/>
      <c r="AK1759" s="489"/>
      <c r="AL1759" s="489"/>
      <c r="AM1759" s="489"/>
      <c r="AN1759" s="489"/>
      <c r="AO1759" s="489"/>
      <c r="AP1759" s="489"/>
      <c r="AQ1759" s="489"/>
      <c r="AR1759" s="489"/>
      <c r="AS1759" s="489"/>
      <c r="AT1759" s="489"/>
      <c r="AU1759" s="489"/>
      <c r="AV1759" s="489"/>
      <c r="AW1759" s="489"/>
      <c r="AX1759" s="489"/>
      <c r="AY1759" s="489"/>
      <c r="AZ1759" s="489"/>
      <c r="BA1759" s="489"/>
      <c r="BB1759" s="489"/>
      <c r="BC1759" s="489"/>
      <c r="BD1759" s="489"/>
      <c r="BE1759" s="489"/>
      <c r="BF1759" s="489"/>
      <c r="BG1759" s="489"/>
      <c r="BH1759" s="489"/>
      <c r="BI1759" s="489"/>
      <c r="BJ1759" s="489"/>
      <c r="BK1759" s="489"/>
      <c r="BL1759" s="489"/>
      <c r="BM1759" s="489"/>
      <c r="BN1759" s="489"/>
      <c r="BO1759" s="489"/>
      <c r="BP1759" s="489"/>
      <c r="BQ1759" s="489"/>
      <c r="BR1759" s="489"/>
      <c r="BS1759" s="489"/>
      <c r="BT1759" s="489"/>
      <c r="BU1759" s="489"/>
      <c r="BV1759" s="489"/>
      <c r="BW1759" s="489"/>
      <c r="BX1759" s="489"/>
      <c r="BY1759" s="489"/>
      <c r="BZ1759" s="489"/>
      <c r="CA1759" s="489"/>
      <c r="CB1759" s="489"/>
      <c r="CC1759" s="489"/>
      <c r="CD1759" s="489"/>
      <c r="CE1759" s="489"/>
      <c r="CF1759" s="489"/>
      <c r="CG1759" s="489"/>
      <c r="CH1759" s="489"/>
      <c r="CI1759" s="489"/>
      <c r="CJ1759" s="489"/>
      <c r="CK1759" s="489"/>
      <c r="CL1759" s="489"/>
      <c r="CM1759" s="489"/>
      <c r="CN1759" s="489"/>
      <c r="CO1759" s="489"/>
      <c r="CP1759" s="489"/>
      <c r="CQ1759" s="489"/>
      <c r="CR1759" s="489"/>
      <c r="CS1759" s="489"/>
      <c r="CT1759" s="489"/>
      <c r="CU1759" s="489"/>
      <c r="CV1759" s="489"/>
    </row>
    <row r="1760" spans="1:100" s="447" customFormat="1" x14ac:dyDescent="0.25">
      <c r="A1760" s="244"/>
      <c r="B1760" s="257" t="str">
        <f>oświadczenie!B47</f>
        <v/>
      </c>
      <c r="C1760" s="840"/>
      <c r="D1760" s="195"/>
      <c r="E1760" s="196"/>
      <c r="F1760" s="196"/>
      <c r="G1760" s="196"/>
      <c r="H1760" s="196"/>
      <c r="I1760" s="196"/>
      <c r="J1760" s="499" t="str">
        <f>Noty!J1760</f>
        <v>odkryj</v>
      </c>
      <c r="K1760" s="489"/>
      <c r="L1760" s="489"/>
      <c r="M1760" s="489"/>
      <c r="N1760" s="489"/>
      <c r="O1760" s="489"/>
      <c r="P1760" s="489"/>
      <c r="Q1760" s="489" t="s">
        <v>11196</v>
      </c>
      <c r="R1760" s="489"/>
      <c r="S1760" s="489"/>
      <c r="T1760" s="489"/>
      <c r="U1760" s="489"/>
      <c r="V1760" s="489"/>
      <c r="W1760" s="489"/>
      <c r="X1760" s="489"/>
      <c r="Y1760" s="489"/>
      <c r="Z1760" s="489"/>
      <c r="AA1760" s="489"/>
      <c r="AB1760" s="489"/>
      <c r="AC1760" s="489"/>
      <c r="AD1760" s="489"/>
      <c r="AE1760" s="489"/>
      <c r="AF1760" s="489"/>
      <c r="AG1760" s="489"/>
      <c r="AH1760" s="489"/>
      <c r="AI1760" s="489"/>
      <c r="AJ1760" s="489"/>
      <c r="AK1760" s="489"/>
      <c r="AL1760" s="489"/>
      <c r="AM1760" s="489"/>
      <c r="AN1760" s="489"/>
      <c r="AO1760" s="489"/>
      <c r="AP1760" s="489"/>
      <c r="AQ1760" s="489"/>
      <c r="AR1760" s="489"/>
      <c r="AS1760" s="489"/>
      <c r="AT1760" s="489"/>
      <c r="AU1760" s="489"/>
      <c r="AV1760" s="489"/>
      <c r="AW1760" s="489"/>
      <c r="AX1760" s="489"/>
      <c r="AY1760" s="489"/>
      <c r="AZ1760" s="489"/>
      <c r="BA1760" s="489"/>
      <c r="BB1760" s="489"/>
      <c r="BC1760" s="489"/>
      <c r="BD1760" s="489"/>
      <c r="BE1760" s="489"/>
      <c r="BF1760" s="489"/>
      <c r="BG1760" s="489"/>
      <c r="BH1760" s="489"/>
      <c r="BI1760" s="489"/>
      <c r="BJ1760" s="489"/>
      <c r="BK1760" s="489"/>
      <c r="BL1760" s="489"/>
      <c r="BM1760" s="489"/>
      <c r="BN1760" s="489"/>
      <c r="BO1760" s="489"/>
      <c r="BP1760" s="489"/>
      <c r="BQ1760" s="489"/>
      <c r="BR1760" s="489"/>
      <c r="BS1760" s="489"/>
      <c r="BT1760" s="489"/>
      <c r="BU1760" s="489"/>
      <c r="BV1760" s="489"/>
      <c r="BW1760" s="489"/>
      <c r="BX1760" s="489"/>
      <c r="BY1760" s="489"/>
      <c r="BZ1760" s="489"/>
      <c r="CA1760" s="489"/>
      <c r="CB1760" s="489"/>
      <c r="CC1760" s="489"/>
      <c r="CD1760" s="489"/>
      <c r="CE1760" s="489"/>
      <c r="CF1760" s="489"/>
      <c r="CG1760" s="489"/>
      <c r="CH1760" s="489"/>
      <c r="CI1760" s="489"/>
      <c r="CJ1760" s="489"/>
      <c r="CK1760" s="489"/>
      <c r="CL1760" s="489"/>
      <c r="CM1760" s="489"/>
      <c r="CN1760" s="489"/>
      <c r="CO1760" s="489"/>
      <c r="CP1760" s="489"/>
      <c r="CQ1760" s="489"/>
      <c r="CR1760" s="489"/>
      <c r="CS1760" s="489"/>
      <c r="CT1760" s="489"/>
      <c r="CU1760" s="489"/>
      <c r="CV1760" s="489"/>
    </row>
    <row r="1761" spans="1:100" s="447" customFormat="1" x14ac:dyDescent="0.25">
      <c r="A1761" s="244"/>
      <c r="B1761" s="257" t="str">
        <f>oświadczenie!B48</f>
        <v>Member of the Board of Directors</v>
      </c>
      <c r="C1761" s="257"/>
      <c r="D1761" s="195"/>
      <c r="E1761" s="196"/>
      <c r="F1761" s="196"/>
      <c r="G1761" s="196"/>
      <c r="H1761" s="196"/>
      <c r="I1761" s="196"/>
      <c r="J1761" s="499" t="str">
        <f>Noty!J1761</f>
        <v>odkryj</v>
      </c>
      <c r="K1761" s="489"/>
      <c r="L1761" s="489"/>
      <c r="M1761" s="489"/>
      <c r="N1761" s="489"/>
      <c r="O1761" s="489"/>
      <c r="P1761" s="489"/>
      <c r="Q1761" s="489" t="s">
        <v>11196</v>
      </c>
      <c r="R1761" s="489"/>
      <c r="S1761" s="489"/>
      <c r="T1761" s="489"/>
      <c r="U1761" s="489"/>
      <c r="V1761" s="489"/>
      <c r="W1761" s="489"/>
      <c r="X1761" s="489"/>
      <c r="Y1761" s="489"/>
      <c r="Z1761" s="489"/>
      <c r="AA1761" s="489"/>
      <c r="AB1761" s="489"/>
      <c r="AC1761" s="489"/>
      <c r="AD1761" s="489"/>
      <c r="AE1761" s="489"/>
      <c r="AF1761" s="489"/>
      <c r="AG1761" s="489"/>
      <c r="AH1761" s="489"/>
      <c r="AI1761" s="489"/>
      <c r="AJ1761" s="489"/>
      <c r="AK1761" s="489"/>
      <c r="AL1761" s="489"/>
      <c r="AM1761" s="489"/>
      <c r="AN1761" s="489"/>
      <c r="AO1761" s="489"/>
      <c r="AP1761" s="489"/>
      <c r="AQ1761" s="489"/>
      <c r="AR1761" s="489"/>
      <c r="AS1761" s="489"/>
      <c r="AT1761" s="489"/>
      <c r="AU1761" s="489"/>
      <c r="AV1761" s="489"/>
      <c r="AW1761" s="489"/>
      <c r="AX1761" s="489"/>
      <c r="AY1761" s="489"/>
      <c r="AZ1761" s="489"/>
      <c r="BA1761" s="489"/>
      <c r="BB1761" s="489"/>
      <c r="BC1761" s="489"/>
      <c r="BD1761" s="489"/>
      <c r="BE1761" s="489"/>
      <c r="BF1761" s="489"/>
      <c r="BG1761" s="489"/>
      <c r="BH1761" s="489"/>
      <c r="BI1761" s="489"/>
      <c r="BJ1761" s="489"/>
      <c r="BK1761" s="489"/>
      <c r="BL1761" s="489"/>
      <c r="BM1761" s="489"/>
      <c r="BN1761" s="489"/>
      <c r="BO1761" s="489"/>
      <c r="BP1761" s="489"/>
      <c r="BQ1761" s="489"/>
      <c r="BR1761" s="489"/>
      <c r="BS1761" s="489"/>
      <c r="BT1761" s="489"/>
      <c r="BU1761" s="489"/>
      <c r="BV1761" s="489"/>
      <c r="BW1761" s="489"/>
      <c r="BX1761" s="489"/>
      <c r="BY1761" s="489"/>
      <c r="BZ1761" s="489"/>
      <c r="CA1761" s="489"/>
      <c r="CB1761" s="489"/>
      <c r="CC1761" s="489"/>
      <c r="CD1761" s="489"/>
      <c r="CE1761" s="489"/>
      <c r="CF1761" s="489"/>
      <c r="CG1761" s="489"/>
      <c r="CH1761" s="489"/>
      <c r="CI1761" s="489"/>
      <c r="CJ1761" s="489"/>
      <c r="CK1761" s="489"/>
      <c r="CL1761" s="489"/>
      <c r="CM1761" s="489"/>
      <c r="CN1761" s="489"/>
      <c r="CO1761" s="489"/>
      <c r="CP1761" s="489"/>
      <c r="CQ1761" s="489"/>
      <c r="CR1761" s="489"/>
      <c r="CS1761" s="489"/>
      <c r="CT1761" s="489"/>
      <c r="CU1761" s="489"/>
      <c r="CV1761" s="489"/>
    </row>
    <row r="1762" spans="1:100" s="447" customFormat="1" x14ac:dyDescent="0.25">
      <c r="A1762" s="244"/>
      <c r="B1762" s="257"/>
      <c r="C1762" s="257"/>
      <c r="D1762" s="195"/>
      <c r="E1762" s="196"/>
      <c r="F1762" s="196"/>
      <c r="G1762" s="196"/>
      <c r="H1762" s="196"/>
      <c r="I1762" s="196"/>
      <c r="J1762" s="499" t="str">
        <f>Noty!J1762</f>
        <v>odkryj</v>
      </c>
      <c r="K1762" s="489"/>
      <c r="L1762" s="489"/>
      <c r="M1762" s="489"/>
      <c r="N1762" s="489"/>
      <c r="O1762" s="489"/>
      <c r="P1762" s="489"/>
      <c r="Q1762" s="489" t="s">
        <v>11196</v>
      </c>
      <c r="R1762" s="489"/>
      <c r="S1762" s="489"/>
      <c r="T1762" s="489"/>
      <c r="U1762" s="489"/>
      <c r="V1762" s="489"/>
      <c r="W1762" s="489"/>
      <c r="X1762" s="489"/>
      <c r="Y1762" s="489"/>
      <c r="Z1762" s="489"/>
      <c r="AA1762" s="489"/>
      <c r="AB1762" s="489"/>
      <c r="AC1762" s="489"/>
      <c r="AD1762" s="489"/>
      <c r="AE1762" s="489"/>
      <c r="AF1762" s="489"/>
      <c r="AG1762" s="489"/>
      <c r="AH1762" s="489"/>
      <c r="AI1762" s="489"/>
      <c r="AJ1762" s="489"/>
      <c r="AK1762" s="489"/>
      <c r="AL1762" s="489"/>
      <c r="AM1762" s="489"/>
      <c r="AN1762" s="489"/>
      <c r="AO1762" s="489"/>
      <c r="AP1762" s="489"/>
      <c r="AQ1762" s="489"/>
      <c r="AR1762" s="489"/>
      <c r="AS1762" s="489"/>
      <c r="AT1762" s="489"/>
      <c r="AU1762" s="489"/>
      <c r="AV1762" s="489"/>
      <c r="AW1762" s="489"/>
      <c r="AX1762" s="489"/>
      <c r="AY1762" s="489"/>
      <c r="AZ1762" s="489"/>
      <c r="BA1762" s="489"/>
      <c r="BB1762" s="489"/>
      <c r="BC1762" s="489"/>
      <c r="BD1762" s="489"/>
      <c r="BE1762" s="489"/>
      <c r="BF1762" s="489"/>
      <c r="BG1762" s="489"/>
      <c r="BH1762" s="489"/>
      <c r="BI1762" s="489"/>
      <c r="BJ1762" s="489"/>
      <c r="BK1762" s="489"/>
      <c r="BL1762" s="489"/>
      <c r="BM1762" s="489"/>
      <c r="BN1762" s="489"/>
      <c r="BO1762" s="489"/>
      <c r="BP1762" s="489"/>
      <c r="BQ1762" s="489"/>
      <c r="BR1762" s="489"/>
      <c r="BS1762" s="489"/>
      <c r="BT1762" s="489"/>
      <c r="BU1762" s="489"/>
      <c r="BV1762" s="489"/>
      <c r="BW1762" s="489"/>
      <c r="BX1762" s="489"/>
      <c r="BY1762" s="489"/>
      <c r="BZ1762" s="489"/>
      <c r="CA1762" s="489"/>
      <c r="CB1762" s="489"/>
      <c r="CC1762" s="489"/>
      <c r="CD1762" s="489"/>
      <c r="CE1762" s="489"/>
      <c r="CF1762" s="489"/>
      <c r="CG1762" s="489"/>
      <c r="CH1762" s="489"/>
      <c r="CI1762" s="489"/>
      <c r="CJ1762" s="489"/>
      <c r="CK1762" s="489"/>
      <c r="CL1762" s="489"/>
      <c r="CM1762" s="489"/>
      <c r="CN1762" s="489"/>
      <c r="CO1762" s="489"/>
      <c r="CP1762" s="489"/>
      <c r="CQ1762" s="489"/>
      <c r="CR1762" s="489"/>
      <c r="CS1762" s="489"/>
      <c r="CT1762" s="489"/>
      <c r="CU1762" s="489"/>
      <c r="CV1762" s="489"/>
    </row>
    <row r="1763" spans="1:100" s="447" customFormat="1" x14ac:dyDescent="0.25">
      <c r="A1763" s="244"/>
      <c r="B1763" s="257">
        <f>Input!D70</f>
        <v>0</v>
      </c>
      <c r="C1763" s="257"/>
      <c r="D1763" s="195"/>
      <c r="E1763" s="196"/>
      <c r="F1763" s="196"/>
      <c r="G1763" s="196"/>
      <c r="H1763" s="196"/>
      <c r="I1763" s="196"/>
      <c r="J1763" s="499" t="str">
        <f>Noty!J1763</f>
        <v>odkryj</v>
      </c>
      <c r="K1763" s="489"/>
      <c r="L1763" s="489"/>
      <c r="M1763" s="489"/>
      <c r="N1763" s="489"/>
      <c r="O1763" s="489"/>
      <c r="P1763" s="489"/>
      <c r="Q1763" s="489"/>
      <c r="R1763" s="489"/>
      <c r="S1763" s="489"/>
      <c r="T1763" s="489"/>
      <c r="U1763" s="489"/>
      <c r="V1763" s="489"/>
      <c r="W1763" s="489"/>
      <c r="X1763" s="489"/>
      <c r="Y1763" s="489"/>
      <c r="Z1763" s="489"/>
      <c r="AA1763" s="489"/>
      <c r="AB1763" s="489"/>
      <c r="AC1763" s="489"/>
      <c r="AD1763" s="489"/>
      <c r="AE1763" s="489"/>
      <c r="AF1763" s="489"/>
      <c r="AG1763" s="489"/>
      <c r="AH1763" s="489"/>
      <c r="AI1763" s="489"/>
      <c r="AJ1763" s="489"/>
      <c r="AK1763" s="489"/>
      <c r="AL1763" s="489"/>
      <c r="AM1763" s="489"/>
      <c r="AN1763" s="489"/>
      <c r="AO1763" s="489"/>
      <c r="AP1763" s="489"/>
      <c r="AQ1763" s="489"/>
      <c r="AR1763" s="489"/>
      <c r="AS1763" s="489"/>
      <c r="AT1763" s="489"/>
      <c r="AU1763" s="489"/>
      <c r="AV1763" s="489"/>
      <c r="AW1763" s="489"/>
      <c r="AX1763" s="489"/>
      <c r="AY1763" s="489"/>
      <c r="AZ1763" s="489"/>
      <c r="BA1763" s="489"/>
      <c r="BB1763" s="489"/>
      <c r="BC1763" s="489"/>
      <c r="BD1763" s="489"/>
      <c r="BE1763" s="489"/>
      <c r="BF1763" s="489"/>
      <c r="BG1763" s="489"/>
      <c r="BH1763" s="489"/>
      <c r="BI1763" s="489"/>
      <c r="BJ1763" s="489"/>
      <c r="BK1763" s="489"/>
      <c r="BL1763" s="489"/>
      <c r="BM1763" s="489"/>
      <c r="BN1763" s="489"/>
      <c r="BO1763" s="489"/>
      <c r="BP1763" s="489"/>
      <c r="BQ1763" s="489"/>
      <c r="BR1763" s="489"/>
      <c r="BS1763" s="489"/>
      <c r="BT1763" s="489"/>
      <c r="BU1763" s="489"/>
      <c r="BV1763" s="489"/>
      <c r="BW1763" s="489"/>
      <c r="BX1763" s="489"/>
      <c r="BY1763" s="489"/>
      <c r="BZ1763" s="489"/>
      <c r="CA1763" s="489"/>
      <c r="CB1763" s="489"/>
      <c r="CC1763" s="489"/>
      <c r="CD1763" s="489"/>
      <c r="CE1763" s="489"/>
      <c r="CF1763" s="489"/>
      <c r="CG1763" s="489"/>
      <c r="CH1763" s="489"/>
      <c r="CI1763" s="489"/>
      <c r="CJ1763" s="489"/>
      <c r="CK1763" s="489"/>
      <c r="CL1763" s="489"/>
      <c r="CM1763" s="489"/>
      <c r="CN1763" s="489"/>
      <c r="CO1763" s="489"/>
      <c r="CP1763" s="489"/>
      <c r="CQ1763" s="489"/>
      <c r="CR1763" s="489"/>
      <c r="CS1763" s="489"/>
      <c r="CT1763" s="489"/>
      <c r="CU1763" s="489"/>
      <c r="CV1763" s="489"/>
    </row>
    <row r="1764" spans="1:100" s="447" customFormat="1" x14ac:dyDescent="0.25">
      <c r="A1764" s="244"/>
      <c r="B1764" s="257" t="str">
        <f>Input!C70</f>
        <v>Entity responsible for keeping accounting books</v>
      </c>
      <c r="C1764" s="257"/>
      <c r="D1764" s="195"/>
      <c r="E1764" s="196"/>
      <c r="F1764" s="196"/>
      <c r="G1764" s="196"/>
      <c r="H1764" s="196"/>
      <c r="I1764" s="196"/>
      <c r="J1764" s="499" t="str">
        <f>Noty!J1764</f>
        <v>odkryj</v>
      </c>
      <c r="K1764" s="489"/>
      <c r="L1764" s="489"/>
      <c r="M1764" s="489"/>
      <c r="N1764" s="489"/>
      <c r="O1764" s="489"/>
      <c r="P1764" s="489"/>
      <c r="Q1764" s="489"/>
      <c r="R1764" s="489"/>
      <c r="S1764" s="489"/>
      <c r="T1764" s="489"/>
      <c r="U1764" s="489"/>
      <c r="V1764" s="489"/>
      <c r="W1764" s="489"/>
      <c r="X1764" s="489"/>
      <c r="Y1764" s="489"/>
      <c r="Z1764" s="489"/>
      <c r="AA1764" s="489"/>
      <c r="AB1764" s="489"/>
      <c r="AC1764" s="489"/>
      <c r="AD1764" s="489"/>
      <c r="AE1764" s="489"/>
      <c r="AF1764" s="489"/>
      <c r="AG1764" s="489"/>
      <c r="AH1764" s="489"/>
      <c r="AI1764" s="489"/>
      <c r="AJ1764" s="489"/>
      <c r="AK1764" s="489"/>
      <c r="AL1764" s="489"/>
      <c r="AM1764" s="489"/>
      <c r="AN1764" s="489"/>
      <c r="AO1764" s="489"/>
      <c r="AP1764" s="489"/>
      <c r="AQ1764" s="489"/>
      <c r="AR1764" s="489"/>
      <c r="AS1764" s="489"/>
      <c r="AT1764" s="489"/>
      <c r="AU1764" s="489"/>
      <c r="AV1764" s="489"/>
      <c r="AW1764" s="489"/>
      <c r="AX1764" s="489"/>
      <c r="AY1764" s="489"/>
      <c r="AZ1764" s="489"/>
      <c r="BA1764" s="489"/>
      <c r="BB1764" s="489"/>
      <c r="BC1764" s="489"/>
      <c r="BD1764" s="489"/>
      <c r="BE1764" s="489"/>
      <c r="BF1764" s="489"/>
      <c r="BG1764" s="489"/>
      <c r="BH1764" s="489"/>
      <c r="BI1764" s="489"/>
      <c r="BJ1764" s="489"/>
      <c r="BK1764" s="489"/>
      <c r="BL1764" s="489"/>
      <c r="BM1764" s="489"/>
      <c r="BN1764" s="489"/>
      <c r="BO1764" s="489"/>
      <c r="BP1764" s="489"/>
      <c r="BQ1764" s="489"/>
      <c r="BR1764" s="489"/>
      <c r="BS1764" s="489"/>
      <c r="BT1764" s="489"/>
      <c r="BU1764" s="489"/>
      <c r="BV1764" s="489"/>
      <c r="BW1764" s="489"/>
      <c r="BX1764" s="489"/>
      <c r="BY1764" s="489"/>
      <c r="BZ1764" s="489"/>
      <c r="CA1764" s="489"/>
      <c r="CB1764" s="489"/>
      <c r="CC1764" s="489"/>
      <c r="CD1764" s="489"/>
      <c r="CE1764" s="489"/>
      <c r="CF1764" s="489"/>
      <c r="CG1764" s="489"/>
      <c r="CH1764" s="489"/>
      <c r="CI1764" s="489"/>
      <c r="CJ1764" s="489"/>
      <c r="CK1764" s="489"/>
      <c r="CL1764" s="489"/>
      <c r="CM1764" s="489"/>
      <c r="CN1764" s="489"/>
      <c r="CO1764" s="489"/>
      <c r="CP1764" s="489"/>
      <c r="CQ1764" s="489"/>
      <c r="CR1764" s="489"/>
      <c r="CS1764" s="489"/>
      <c r="CT1764" s="489"/>
      <c r="CU1764" s="489"/>
      <c r="CV1764" s="489"/>
    </row>
    <row r="1765" spans="1:100" s="447" customFormat="1" x14ac:dyDescent="0.25">
      <c r="A1765" s="244"/>
      <c r="B1765" s="257"/>
      <c r="C1765" s="257"/>
      <c r="D1765" s="195"/>
      <c r="E1765" s="196"/>
      <c r="F1765" s="196"/>
      <c r="G1765" s="196"/>
      <c r="H1765" s="196"/>
      <c r="I1765" s="196"/>
      <c r="J1765" s="499" t="str">
        <f>Noty!J1765</f>
        <v>odkryj</v>
      </c>
      <c r="K1765" s="489"/>
      <c r="L1765" s="489"/>
      <c r="M1765" s="489"/>
      <c r="N1765" s="489"/>
      <c r="O1765" s="489"/>
      <c r="P1765" s="489"/>
      <c r="Q1765" s="489" t="s">
        <v>11196</v>
      </c>
      <c r="R1765" s="489"/>
      <c r="S1765" s="489"/>
      <c r="T1765" s="489"/>
      <c r="U1765" s="489"/>
      <c r="V1765" s="489"/>
      <c r="W1765" s="489"/>
      <c r="X1765" s="489"/>
      <c r="Y1765" s="489"/>
      <c r="Z1765" s="489"/>
      <c r="AA1765" s="489"/>
      <c r="AB1765" s="489"/>
      <c r="AC1765" s="489"/>
      <c r="AD1765" s="489"/>
      <c r="AE1765" s="489"/>
      <c r="AF1765" s="489"/>
      <c r="AG1765" s="489"/>
      <c r="AH1765" s="489"/>
      <c r="AI1765" s="489"/>
      <c r="AJ1765" s="489"/>
      <c r="AK1765" s="489"/>
      <c r="AL1765" s="489"/>
      <c r="AM1765" s="489"/>
      <c r="AN1765" s="489"/>
      <c r="AO1765" s="489"/>
      <c r="AP1765" s="489"/>
      <c r="AQ1765" s="489"/>
      <c r="AR1765" s="489"/>
      <c r="AS1765" s="489"/>
      <c r="AT1765" s="489"/>
      <c r="AU1765" s="489"/>
      <c r="AV1765" s="489"/>
      <c r="AW1765" s="489"/>
      <c r="AX1765" s="489"/>
      <c r="AY1765" s="489"/>
      <c r="AZ1765" s="489"/>
      <c r="BA1765" s="489"/>
      <c r="BB1765" s="489"/>
      <c r="BC1765" s="489"/>
      <c r="BD1765" s="489"/>
      <c r="BE1765" s="489"/>
      <c r="BF1765" s="489"/>
      <c r="BG1765" s="489"/>
      <c r="BH1765" s="489"/>
      <c r="BI1765" s="489"/>
      <c r="BJ1765" s="489"/>
      <c r="BK1765" s="489"/>
      <c r="BL1765" s="489"/>
      <c r="BM1765" s="489"/>
      <c r="BN1765" s="489"/>
      <c r="BO1765" s="489"/>
      <c r="BP1765" s="489"/>
      <c r="BQ1765" s="489"/>
      <c r="BR1765" s="489"/>
      <c r="BS1765" s="489"/>
      <c r="BT1765" s="489"/>
      <c r="BU1765" s="489"/>
      <c r="BV1765" s="489"/>
      <c r="BW1765" s="489"/>
      <c r="BX1765" s="489"/>
      <c r="BY1765" s="489"/>
      <c r="BZ1765" s="489"/>
      <c r="CA1765" s="489"/>
      <c r="CB1765" s="489"/>
      <c r="CC1765" s="489"/>
      <c r="CD1765" s="489"/>
      <c r="CE1765" s="489"/>
      <c r="CF1765" s="489"/>
      <c r="CG1765" s="489"/>
      <c r="CH1765" s="489"/>
      <c r="CI1765" s="489"/>
      <c r="CJ1765" s="489"/>
      <c r="CK1765" s="489"/>
      <c r="CL1765" s="489"/>
      <c r="CM1765" s="489"/>
      <c r="CN1765" s="489"/>
      <c r="CO1765" s="489"/>
      <c r="CP1765" s="489"/>
      <c r="CQ1765" s="489"/>
      <c r="CR1765" s="489"/>
      <c r="CS1765" s="489"/>
      <c r="CT1765" s="489"/>
      <c r="CU1765" s="489"/>
      <c r="CV1765" s="489"/>
    </row>
    <row r="1766" spans="1:100" s="447" customFormat="1" x14ac:dyDescent="0.25">
      <c r="A1766" s="257"/>
      <c r="B1766" s="971"/>
      <c r="C1766" s="370"/>
      <c r="D1766" s="195"/>
      <c r="E1766" s="196"/>
      <c r="F1766" s="196"/>
      <c r="G1766" s="196"/>
      <c r="H1766" s="196"/>
      <c r="I1766" s="196"/>
      <c r="J1766" s="971"/>
      <c r="K1766" s="489"/>
      <c r="L1766" s="200"/>
      <c r="N1766" s="460"/>
    </row>
    <row r="1767" spans="1:100" x14ac:dyDescent="0.25">
      <c r="A1767" s="597" t="s">
        <v>3330</v>
      </c>
      <c r="J1767" s="971"/>
      <c r="L1767" s="519" t="s">
        <v>3330</v>
      </c>
    </row>
    <row r="1768" spans="1:100" x14ac:dyDescent="0.25">
      <c r="B1768" s="520"/>
    </row>
    <row r="1770" spans="1:100" ht="14.25" hidden="1" customHeight="1" x14ac:dyDescent="0.25"/>
    <row r="1771" spans="1:100" x14ac:dyDescent="0.25"/>
    <row r="1772" spans="1:100" x14ac:dyDescent="0.25"/>
    <row r="1773" spans="1:100" x14ac:dyDescent="0.25"/>
    <row r="1774" spans="1:100" x14ac:dyDescent="0.25"/>
    <row r="1775" spans="1:100" x14ac:dyDescent="0.25"/>
    <row r="1776" spans="1:100" x14ac:dyDescent="0.25"/>
    <row r="1777" x14ac:dyDescent="0.25"/>
    <row r="1778" x14ac:dyDescent="0.25"/>
    <row r="1779" x14ac:dyDescent="0.25"/>
    <row r="1780" x14ac:dyDescent="0.25"/>
    <row r="1781" x14ac:dyDescent="0.25"/>
    <row r="1782" x14ac:dyDescent="0.25"/>
    <row r="1783" x14ac:dyDescent="0.25"/>
    <row r="1784" x14ac:dyDescent="0.25"/>
    <row r="1785" x14ac:dyDescent="0.25"/>
    <row r="1786" x14ac:dyDescent="0.25"/>
    <row r="1787" x14ac:dyDescent="0.25"/>
    <row r="1788" x14ac:dyDescent="0.25"/>
    <row r="1789" x14ac:dyDescent="0.25"/>
    <row r="1790" x14ac:dyDescent="0.25"/>
    <row r="1791" x14ac:dyDescent="0.25"/>
    <row r="1792" x14ac:dyDescent="0.25"/>
    <row r="1793" x14ac:dyDescent="0.25"/>
    <row r="1794" x14ac:dyDescent="0.25"/>
    <row r="1795" x14ac:dyDescent="0.25"/>
    <row r="1796" x14ac:dyDescent="0.25"/>
    <row r="1797" x14ac:dyDescent="0.25"/>
    <row r="1798" x14ac:dyDescent="0.25"/>
    <row r="1799" x14ac:dyDescent="0.25"/>
    <row r="1800" x14ac:dyDescent="0.25"/>
    <row r="1801" x14ac:dyDescent="0.25"/>
    <row r="1802" x14ac:dyDescent="0.25"/>
    <row r="1803" x14ac:dyDescent="0.25"/>
    <row r="1804" x14ac:dyDescent="0.25"/>
    <row r="1805" x14ac:dyDescent="0.25"/>
    <row r="1806" x14ac:dyDescent="0.25"/>
    <row r="1807" x14ac:dyDescent="0.25"/>
    <row r="1808" x14ac:dyDescent="0.25"/>
    <row r="1809" x14ac:dyDescent="0.25"/>
    <row r="1810" x14ac:dyDescent="0.25"/>
    <row r="1811" x14ac:dyDescent="0.25"/>
    <row r="1812" x14ac:dyDescent="0.25"/>
    <row r="1813" x14ac:dyDescent="0.25"/>
    <row r="1814" x14ac:dyDescent="0.25"/>
    <row r="1815" x14ac:dyDescent="0.25"/>
    <row r="1816" x14ac:dyDescent="0.25"/>
    <row r="1817" x14ac:dyDescent="0.25"/>
    <row r="1818" x14ac:dyDescent="0.25"/>
    <row r="1819" x14ac:dyDescent="0.25"/>
    <row r="1820" x14ac:dyDescent="0.25"/>
    <row r="1821" x14ac:dyDescent="0.25"/>
    <row r="1822" x14ac:dyDescent="0.25"/>
    <row r="1823" x14ac:dyDescent="0.25"/>
    <row r="1824" x14ac:dyDescent="0.25"/>
    <row r="1825" x14ac:dyDescent="0.25"/>
    <row r="1826" x14ac:dyDescent="0.25"/>
    <row r="1827" x14ac:dyDescent="0.25"/>
    <row r="1828" x14ac:dyDescent="0.25"/>
    <row r="1829" x14ac:dyDescent="0.25"/>
    <row r="1830" x14ac:dyDescent="0.25"/>
    <row r="1831" x14ac:dyDescent="0.25"/>
    <row r="1832" x14ac:dyDescent="0.25"/>
    <row r="1833" x14ac:dyDescent="0.25"/>
    <row r="1834" x14ac:dyDescent="0.25"/>
    <row r="1835" x14ac:dyDescent="0.25"/>
    <row r="1836" x14ac:dyDescent="0.25"/>
    <row r="1837" x14ac:dyDescent="0.25"/>
    <row r="1838" x14ac:dyDescent="0.25"/>
    <row r="1839" x14ac:dyDescent="0.25"/>
    <row r="1840" x14ac:dyDescent="0.25"/>
    <row r="1841" x14ac:dyDescent="0.25"/>
    <row r="1842" x14ac:dyDescent="0.25"/>
    <row r="1843" x14ac:dyDescent="0.25"/>
    <row r="1844" x14ac:dyDescent="0.25"/>
    <row r="1845" x14ac:dyDescent="0.25"/>
    <row r="1846" x14ac:dyDescent="0.25"/>
    <row r="1847" x14ac:dyDescent="0.25"/>
    <row r="1848" x14ac:dyDescent="0.25"/>
    <row r="1849" x14ac:dyDescent="0.25"/>
    <row r="1850" x14ac:dyDescent="0.25"/>
    <row r="1851" x14ac:dyDescent="0.25"/>
    <row r="1852" x14ac:dyDescent="0.25"/>
    <row r="1853" x14ac:dyDescent="0.25"/>
    <row r="1854" x14ac:dyDescent="0.25"/>
    <row r="1855" x14ac:dyDescent="0.25"/>
    <row r="1856" x14ac:dyDescent="0.25"/>
    <row r="1857" x14ac:dyDescent="0.25"/>
    <row r="1858" x14ac:dyDescent="0.25"/>
    <row r="1859" x14ac:dyDescent="0.25"/>
    <row r="1860" x14ac:dyDescent="0.25"/>
    <row r="1861" x14ac:dyDescent="0.25"/>
    <row r="1862" x14ac:dyDescent="0.25"/>
    <row r="1863" x14ac:dyDescent="0.25"/>
    <row r="1864" x14ac:dyDescent="0.25"/>
    <row r="1865" x14ac:dyDescent="0.25"/>
    <row r="1866" x14ac:dyDescent="0.25"/>
    <row r="1867" x14ac:dyDescent="0.25"/>
    <row r="1868" x14ac:dyDescent="0.25"/>
    <row r="1869" x14ac:dyDescent="0.25"/>
    <row r="1870" x14ac:dyDescent="0.25"/>
    <row r="1871" x14ac:dyDescent="0.25"/>
    <row r="1872" x14ac:dyDescent="0.25"/>
    <row r="1873" x14ac:dyDescent="0.25"/>
    <row r="1874" x14ac:dyDescent="0.25"/>
    <row r="1875" x14ac:dyDescent="0.25"/>
    <row r="1876" x14ac:dyDescent="0.25"/>
    <row r="1877" x14ac:dyDescent="0.25"/>
    <row r="1878" x14ac:dyDescent="0.25"/>
    <row r="1879" x14ac:dyDescent="0.25"/>
    <row r="1880" x14ac:dyDescent="0.25"/>
    <row r="1881" x14ac:dyDescent="0.25"/>
    <row r="1882" x14ac:dyDescent="0.25"/>
    <row r="1883" x14ac:dyDescent="0.25"/>
    <row r="1884" x14ac:dyDescent="0.25"/>
    <row r="1885" x14ac:dyDescent="0.25"/>
    <row r="1886" x14ac:dyDescent="0.25"/>
    <row r="1887" x14ac:dyDescent="0.25"/>
    <row r="1888" x14ac:dyDescent="0.25"/>
    <row r="1889" x14ac:dyDescent="0.25"/>
    <row r="1890" x14ac:dyDescent="0.25"/>
    <row r="1891" x14ac:dyDescent="0.25"/>
    <row r="1892" x14ac:dyDescent="0.25"/>
    <row r="1893" x14ac:dyDescent="0.25"/>
    <row r="1894" x14ac:dyDescent="0.25"/>
    <row r="1895" x14ac:dyDescent="0.25"/>
    <row r="1896" x14ac:dyDescent="0.25"/>
    <row r="1897" x14ac:dyDescent="0.25"/>
    <row r="1898" x14ac:dyDescent="0.25"/>
    <row r="1899" x14ac:dyDescent="0.25"/>
    <row r="1900" x14ac:dyDescent="0.25"/>
    <row r="1901" x14ac:dyDescent="0.25"/>
    <row r="1902" x14ac:dyDescent="0.25"/>
    <row r="1903" x14ac:dyDescent="0.25"/>
    <row r="1904" x14ac:dyDescent="0.25"/>
    <row r="1905" x14ac:dyDescent="0.25"/>
    <row r="1906" x14ac:dyDescent="0.25"/>
    <row r="1907" x14ac:dyDescent="0.25"/>
    <row r="1908" x14ac:dyDescent="0.25"/>
    <row r="1909" x14ac:dyDescent="0.25"/>
    <row r="1910" x14ac:dyDescent="0.25"/>
    <row r="1911" x14ac:dyDescent="0.25"/>
    <row r="1912" x14ac:dyDescent="0.25"/>
    <row r="1913" x14ac:dyDescent="0.25"/>
    <row r="1914" x14ac:dyDescent="0.25"/>
    <row r="1915" x14ac:dyDescent="0.25"/>
    <row r="1916" x14ac:dyDescent="0.25"/>
    <row r="1917" x14ac:dyDescent="0.25"/>
    <row r="1918" x14ac:dyDescent="0.25"/>
    <row r="1919" x14ac:dyDescent="0.25"/>
    <row r="1920" x14ac:dyDescent="0.25"/>
    <row r="1921" x14ac:dyDescent="0.25"/>
    <row r="1922" x14ac:dyDescent="0.25"/>
    <row r="1923" x14ac:dyDescent="0.25"/>
    <row r="1924" x14ac:dyDescent="0.25"/>
    <row r="1925" x14ac:dyDescent="0.25"/>
    <row r="1926" x14ac:dyDescent="0.25"/>
    <row r="1927" x14ac:dyDescent="0.25"/>
    <row r="1928" x14ac:dyDescent="0.25"/>
    <row r="1929" x14ac:dyDescent="0.25"/>
    <row r="1930" x14ac:dyDescent="0.25"/>
    <row r="1931" x14ac:dyDescent="0.25"/>
  </sheetData>
  <sheetProtection formatCells="0" formatColumns="0" formatRows="0" sort="0" autoFilter="0"/>
  <protectedRanges>
    <protectedRange sqref="A3" name="Range1_7"/>
    <protectedRange sqref="M132 H133:I133 H139:I139 H147:I147 H156:I156 H60:I60 H72:I72" name="Range1"/>
    <protectedRange sqref="E237:F237 E255:F255" name="Range1_2"/>
    <protectedRange sqref="I237 I255" name="Range1_4"/>
    <protectedRange sqref="C232" name="Range1_5"/>
    <protectedRange sqref="C295:E295" name="Range1_6"/>
    <protectedRange sqref="B382" name="Range1_4_1"/>
    <protectedRange sqref="B424 B438 B448 B509 B535 B589 B629 B639 B681 B694 B707 B716 B780 B798 B809 B847 B872 B889 B931 B553 B1441 B1449 B1457 B1465" name="Range1_1"/>
    <protectedRange sqref="H392:H394 A390:F421 I390:I394 G390:H391 G421:H421 H405:I407 H418:H420 I418:I421 H435:I435" name="Range1_1_1"/>
    <protectedRange sqref="B465 B564 B619 B668 B770 B794" name="Range1_3"/>
    <protectedRange sqref="A463" name="Range1_2_1"/>
    <protectedRange sqref="A562 A609 A613 A617 A655 A792 A768 A748:A766" name="Range1_2_1_1"/>
    <protectedRange sqref="A820" name="Range1_2_2"/>
    <protectedRange sqref="A915" name="Range1_2_3"/>
    <protectedRange sqref="B1108 B1018 B1089 B1131 B1183 B1260" name="Range1_8"/>
  </protectedRanges>
  <autoFilter ref="J2:J1767" xr:uid="{00000000-0009-0000-0000-000014000000}"/>
  <mergeCells count="948">
    <mergeCell ref="C1720:I1720"/>
    <mergeCell ref="C1721:I1721"/>
    <mergeCell ref="C1722:I1722"/>
    <mergeCell ref="C1709:I1709"/>
    <mergeCell ref="C1710:I1710"/>
    <mergeCell ref="C1711:I1711"/>
    <mergeCell ref="C1712:I1712"/>
    <mergeCell ref="C1713:I1713"/>
    <mergeCell ref="C1715:I1715"/>
    <mergeCell ref="C1716:I1716"/>
    <mergeCell ref="C1717:I1717"/>
    <mergeCell ref="C1718:I1718"/>
    <mergeCell ref="H898:I898"/>
    <mergeCell ref="C900:I900"/>
    <mergeCell ref="F904:G904"/>
    <mergeCell ref="C1675:I1675"/>
    <mergeCell ref="C1682:I1682"/>
    <mergeCell ref="C1743:I1743"/>
    <mergeCell ref="C1726:I1726"/>
    <mergeCell ref="C1727:I1727"/>
    <mergeCell ref="C1728:I1728"/>
    <mergeCell ref="C1729:I1729"/>
    <mergeCell ref="C1730:I1730"/>
    <mergeCell ref="C1731:I1731"/>
    <mergeCell ref="C1732:I1732"/>
    <mergeCell ref="C1734:I1734"/>
    <mergeCell ref="C1735:I1735"/>
    <mergeCell ref="C1736:I1736"/>
    <mergeCell ref="C1737:I1737"/>
    <mergeCell ref="C1738:I1738"/>
    <mergeCell ref="C1739:I1739"/>
    <mergeCell ref="C1740:I1740"/>
    <mergeCell ref="C1741:I1741"/>
    <mergeCell ref="C1707:I1707"/>
    <mergeCell ref="C1708:I1708"/>
    <mergeCell ref="C1719:I1719"/>
    <mergeCell ref="C768:I768"/>
    <mergeCell ref="C770:I770"/>
    <mergeCell ref="H661:I661"/>
    <mergeCell ref="D661:E661"/>
    <mergeCell ref="F661:G661"/>
    <mergeCell ref="H657:I657"/>
    <mergeCell ref="F657:G657"/>
    <mergeCell ref="D664:E664"/>
    <mergeCell ref="D666:E666"/>
    <mergeCell ref="D659:E659"/>
    <mergeCell ref="D660:E660"/>
    <mergeCell ref="F660:G660"/>
    <mergeCell ref="D657:E657"/>
    <mergeCell ref="C711:D711"/>
    <mergeCell ref="C712:D712"/>
    <mergeCell ref="C743:E743"/>
    <mergeCell ref="C668:I668"/>
    <mergeCell ref="C694:I694"/>
    <mergeCell ref="C707:I707"/>
    <mergeCell ref="C509:I509"/>
    <mergeCell ref="C535:I535"/>
    <mergeCell ref="C551:I551"/>
    <mergeCell ref="C553:I553"/>
    <mergeCell ref="C562:I562"/>
    <mergeCell ref="C564:I564"/>
    <mergeCell ref="C589:I589"/>
    <mergeCell ref="C599:I599"/>
    <mergeCell ref="C609:I609"/>
    <mergeCell ref="C583:I583"/>
    <mergeCell ref="C585:G585"/>
    <mergeCell ref="C587:I587"/>
    <mergeCell ref="C604:D604"/>
    <mergeCell ref="C605:E605"/>
    <mergeCell ref="C606:D606"/>
    <mergeCell ref="C547:D547"/>
    <mergeCell ref="C602:E602"/>
    <mergeCell ref="C568:E568"/>
    <mergeCell ref="C581:I581"/>
    <mergeCell ref="C511:D511"/>
    <mergeCell ref="C512:E512"/>
    <mergeCell ref="C519:F519"/>
    <mergeCell ref="C537:D537"/>
    <mergeCell ref="C538:D538"/>
    <mergeCell ref="G443:H443"/>
    <mergeCell ref="G444:H444"/>
    <mergeCell ref="C436:F436"/>
    <mergeCell ref="D376:E376"/>
    <mergeCell ref="C409:F409"/>
    <mergeCell ref="C410:F410"/>
    <mergeCell ref="G440:H440"/>
    <mergeCell ref="C378:C379"/>
    <mergeCell ref="H429:I429"/>
    <mergeCell ref="H379:I379"/>
    <mergeCell ref="C216:I216"/>
    <mergeCell ref="C219:E219"/>
    <mergeCell ref="C228:E228"/>
    <mergeCell ref="C229:D229"/>
    <mergeCell ref="C350:I350"/>
    <mergeCell ref="C366:I366"/>
    <mergeCell ref="C382:I382"/>
    <mergeCell ref="C390:I390"/>
    <mergeCell ref="C422:I422"/>
    <mergeCell ref="H372:I372"/>
    <mergeCell ref="H345:I345"/>
    <mergeCell ref="D345:E345"/>
    <mergeCell ref="C344:C345"/>
    <mergeCell ref="D346:E346"/>
    <mergeCell ref="C400:F400"/>
    <mergeCell ref="C401:F401"/>
    <mergeCell ref="C411:F411"/>
    <mergeCell ref="C412:F412"/>
    <mergeCell ref="C413:F413"/>
    <mergeCell ref="C414:F414"/>
    <mergeCell ref="C415:F415"/>
    <mergeCell ref="C416:F416"/>
    <mergeCell ref="C417:F417"/>
    <mergeCell ref="D329:E329"/>
    <mergeCell ref="C6:I6"/>
    <mergeCell ref="C8:I8"/>
    <mergeCell ref="C59:I59"/>
    <mergeCell ref="C66:I66"/>
    <mergeCell ref="C70:I70"/>
    <mergeCell ref="C77:I77"/>
    <mergeCell ref="C79:I79"/>
    <mergeCell ref="C131:I131"/>
    <mergeCell ref="C145:I145"/>
    <mergeCell ref="C63:H63"/>
    <mergeCell ref="C64:D64"/>
    <mergeCell ref="E64:I64"/>
    <mergeCell ref="C143:I143"/>
    <mergeCell ref="D10:E10"/>
    <mergeCell ref="D13:E13"/>
    <mergeCell ref="D14:E14"/>
    <mergeCell ref="D15:E15"/>
    <mergeCell ref="D16:E16"/>
    <mergeCell ref="D17:E17"/>
    <mergeCell ref="D18:E18"/>
    <mergeCell ref="D19:E19"/>
    <mergeCell ref="D20:E20"/>
    <mergeCell ref="D56:E56"/>
    <mergeCell ref="D41:E41"/>
    <mergeCell ref="C1673:I1673"/>
    <mergeCell ref="C1638:I1638"/>
    <mergeCell ref="C1639:I1639"/>
    <mergeCell ref="C1640:I1640"/>
    <mergeCell ref="C1641:I1641"/>
    <mergeCell ref="C1642:I1642"/>
    <mergeCell ref="C1649:I1649"/>
    <mergeCell ref="C1653:I1653"/>
    <mergeCell ref="C1655:I1655"/>
    <mergeCell ref="C1657:I1657"/>
    <mergeCell ref="C1659:I1659"/>
    <mergeCell ref="C1651:I1651"/>
    <mergeCell ref="C1667:I1667"/>
    <mergeCell ref="C1644:I1644"/>
    <mergeCell ref="C1664:I1664"/>
    <mergeCell ref="C1661:I1661"/>
    <mergeCell ref="C1663:I1663"/>
    <mergeCell ref="C1601:I1601"/>
    <mergeCell ref="C1582:E1582"/>
    <mergeCell ref="C1570:E1570"/>
    <mergeCell ref="C1571:E1571"/>
    <mergeCell ref="C1583:E1583"/>
    <mergeCell ref="C1597:I1597"/>
    <mergeCell ref="C1590:E1590"/>
    <mergeCell ref="C1634:I1634"/>
    <mergeCell ref="C1636:I1636"/>
    <mergeCell ref="C1579:E1579"/>
    <mergeCell ref="C1580:E1580"/>
    <mergeCell ref="C1581:E1581"/>
    <mergeCell ref="C1591:E1591"/>
    <mergeCell ref="C1592:E1592"/>
    <mergeCell ref="C1593:E1593"/>
    <mergeCell ref="C1575:E1575"/>
    <mergeCell ref="C1595:I1595"/>
    <mergeCell ref="C1584:E1584"/>
    <mergeCell ref="C1588:E1588"/>
    <mergeCell ref="C1589:E1589"/>
    <mergeCell ref="F1586:G1586"/>
    <mergeCell ref="H1586:I1586"/>
    <mergeCell ref="F1577:G1577"/>
    <mergeCell ref="H1577:I1577"/>
    <mergeCell ref="C1637:I1637"/>
    <mergeCell ref="C1586:E1587"/>
    <mergeCell ref="C1501:D1501"/>
    <mergeCell ref="A1550:A1551"/>
    <mergeCell ref="A1559:A1560"/>
    <mergeCell ref="A1568:A1569"/>
    <mergeCell ref="A1577:A1578"/>
    <mergeCell ref="A1586:A1587"/>
    <mergeCell ref="C1658:I1658"/>
    <mergeCell ref="F1550:G1550"/>
    <mergeCell ref="H1550:I1550"/>
    <mergeCell ref="C1550:E1551"/>
    <mergeCell ref="H1559:I1559"/>
    <mergeCell ref="C1540:I1540"/>
    <mergeCell ref="C1532:I1532"/>
    <mergeCell ref="C1518:I1518"/>
    <mergeCell ref="C1534:I1534"/>
    <mergeCell ref="C1502:D1502"/>
    <mergeCell ref="F1543:G1543"/>
    <mergeCell ref="F1544:G1544"/>
    <mergeCell ref="C1547:E1547"/>
    <mergeCell ref="F1545:G1545"/>
    <mergeCell ref="F1542:G1542"/>
    <mergeCell ref="C1542:E1542"/>
    <mergeCell ref="C1572:E1572"/>
    <mergeCell ref="C1573:E1573"/>
    <mergeCell ref="C1574:E1574"/>
    <mergeCell ref="C1577:E1578"/>
    <mergeCell ref="F1546:G1546"/>
    <mergeCell ref="F1547:G1547"/>
    <mergeCell ref="F1548:G1548"/>
    <mergeCell ref="C1548:E1548"/>
    <mergeCell ref="H1548:I1548"/>
    <mergeCell ref="C1565:E1565"/>
    <mergeCell ref="F1559:G1559"/>
    <mergeCell ref="C1559:E1560"/>
    <mergeCell ref="C1563:E1563"/>
    <mergeCell ref="C1564:E1564"/>
    <mergeCell ref="H1568:I1568"/>
    <mergeCell ref="C1495:I1495"/>
    <mergeCell ref="C1536:I1536"/>
    <mergeCell ref="C1504:D1504"/>
    <mergeCell ref="C1505:D1505"/>
    <mergeCell ref="F1501:G1501"/>
    <mergeCell ref="C1499:D1499"/>
    <mergeCell ref="C1486:I1486"/>
    <mergeCell ref="C1479:E1479"/>
    <mergeCell ref="C1480:E1480"/>
    <mergeCell ref="C1481:E1481"/>
    <mergeCell ref="C1482:E1482"/>
    <mergeCell ref="C1490:I1490"/>
    <mergeCell ref="C1488:I1488"/>
    <mergeCell ref="H1544:I1544"/>
    <mergeCell ref="H1545:I1545"/>
    <mergeCell ref="H1546:I1546"/>
    <mergeCell ref="H1547:I1547"/>
    <mergeCell ref="H1543:I1543"/>
    <mergeCell ref="C1544:E1544"/>
    <mergeCell ref="C1538:I1538"/>
    <mergeCell ref="C1510:D1510"/>
    <mergeCell ref="C1545:E1545"/>
    <mergeCell ref="C1546:E1546"/>
    <mergeCell ref="C1284:I1284"/>
    <mergeCell ref="C1300:I1300"/>
    <mergeCell ref="C1279:I1279"/>
    <mergeCell ref="C1305:F1305"/>
    <mergeCell ref="C1356:F1356"/>
    <mergeCell ref="C1306:F1306"/>
    <mergeCell ref="C1307:F1307"/>
    <mergeCell ref="C1311:F1311"/>
    <mergeCell ref="C1280:I1280"/>
    <mergeCell ref="C1351:F1351"/>
    <mergeCell ref="C1353:F1353"/>
    <mergeCell ref="C1348:F1348"/>
    <mergeCell ref="C1350:F1350"/>
    <mergeCell ref="C1340:F1340"/>
    <mergeCell ref="C1341:F1341"/>
    <mergeCell ref="A1020:A1022"/>
    <mergeCell ref="A1091:A1093"/>
    <mergeCell ref="C1109:I1109"/>
    <mergeCell ref="C1114:F1114"/>
    <mergeCell ref="H1101:I1101"/>
    <mergeCell ref="H1106:I1106"/>
    <mergeCell ref="H1099:I1099"/>
    <mergeCell ref="H1100:I1100"/>
    <mergeCell ref="H1102:I1102"/>
    <mergeCell ref="H1103:I1103"/>
    <mergeCell ref="D1098:E1098"/>
    <mergeCell ref="D1099:E1099"/>
    <mergeCell ref="D1100:E1100"/>
    <mergeCell ref="D1104:E1104"/>
    <mergeCell ref="D1105:E1105"/>
    <mergeCell ref="D1106:E1106"/>
    <mergeCell ref="H1104:I1104"/>
    <mergeCell ref="H1105:I1105"/>
    <mergeCell ref="H1031:I1031"/>
    <mergeCell ref="H1096:I1096"/>
    <mergeCell ref="C1036:I1036"/>
    <mergeCell ref="D1024:E1024"/>
    <mergeCell ref="D1025:E1025"/>
    <mergeCell ref="H1025:I1025"/>
    <mergeCell ref="C653:I653"/>
    <mergeCell ref="C771:E771"/>
    <mergeCell ref="C772:E772"/>
    <mergeCell ref="C781:E781"/>
    <mergeCell ref="C782:E782"/>
    <mergeCell ref="C790:I790"/>
    <mergeCell ref="C794:I794"/>
    <mergeCell ref="C796:I796"/>
    <mergeCell ref="H659:I659"/>
    <mergeCell ref="H660:I660"/>
    <mergeCell ref="F659:G659"/>
    <mergeCell ref="F666:G666"/>
    <mergeCell ref="H666:I666"/>
    <mergeCell ref="H736:I736"/>
    <mergeCell ref="C773:F773"/>
    <mergeCell ref="C774:F774"/>
    <mergeCell ref="C709:D709"/>
    <mergeCell ref="C785:F785"/>
    <mergeCell ref="C786:F786"/>
    <mergeCell ref="C787:F787"/>
    <mergeCell ref="C655:I655"/>
    <mergeCell ref="C716:I716"/>
    <mergeCell ref="C734:I734"/>
    <mergeCell ref="C748:I748"/>
    <mergeCell ref="H348:I348"/>
    <mergeCell ref="H327:I327"/>
    <mergeCell ref="C650:I650"/>
    <mergeCell ref="C651:I651"/>
    <mergeCell ref="C652:I652"/>
    <mergeCell ref="C613:I613"/>
    <mergeCell ref="C617:I617"/>
    <mergeCell ref="C619:I619"/>
    <mergeCell ref="C629:I629"/>
    <mergeCell ref="C639:I639"/>
    <mergeCell ref="C463:I463"/>
    <mergeCell ref="C465:I465"/>
    <mergeCell ref="C426:I426"/>
    <mergeCell ref="H354:I354"/>
    <mergeCell ref="D355:E355"/>
    <mergeCell ref="G446:H446"/>
    <mergeCell ref="D368:E368"/>
    <mergeCell ref="H368:I368"/>
    <mergeCell ref="D369:E369"/>
    <mergeCell ref="H369:I369"/>
    <mergeCell ref="C368:C369"/>
    <mergeCell ref="G441:H441"/>
    <mergeCell ref="C504:F504"/>
    <mergeCell ref="G442:H442"/>
    <mergeCell ref="C172:D172"/>
    <mergeCell ref="C174:D174"/>
    <mergeCell ref="C176:D176"/>
    <mergeCell ref="C175:D175"/>
    <mergeCell ref="C376:C377"/>
    <mergeCell ref="C428:C429"/>
    <mergeCell ref="E428:I428"/>
    <mergeCell ref="C402:F402"/>
    <mergeCell ref="C403:F403"/>
    <mergeCell ref="C404:F404"/>
    <mergeCell ref="C408:F408"/>
    <mergeCell ref="H377:I377"/>
    <mergeCell ref="C395:F395"/>
    <mergeCell ref="C396:F396"/>
    <mergeCell ref="C424:I424"/>
    <mergeCell ref="D344:E344"/>
    <mergeCell ref="G299:I299"/>
    <mergeCell ref="G300:I300"/>
    <mergeCell ref="G301:I301"/>
    <mergeCell ref="G302:I302"/>
    <mergeCell ref="G303:I303"/>
    <mergeCell ref="G304:I304"/>
    <mergeCell ref="G308:I308"/>
    <mergeCell ref="G309:I309"/>
    <mergeCell ref="C611:I611"/>
    <mergeCell ref="C615:I615"/>
    <mergeCell ref="C649:I649"/>
    <mergeCell ref="C152:I152"/>
    <mergeCell ref="C75:I75"/>
    <mergeCell ref="C140:F140"/>
    <mergeCell ref="C148:F148"/>
    <mergeCell ref="C157:F157"/>
    <mergeCell ref="C136:F136"/>
    <mergeCell ref="C154:I154"/>
    <mergeCell ref="C162:I162"/>
    <mergeCell ref="C166:I166"/>
    <mergeCell ref="C160:I160"/>
    <mergeCell ref="C164:I164"/>
    <mergeCell ref="C135:F135"/>
    <mergeCell ref="D339:E339"/>
    <mergeCell ref="H339:I339"/>
    <mergeCell ref="D340:E340"/>
    <mergeCell ref="H340:I340"/>
    <mergeCell ref="D341:E341"/>
    <mergeCell ref="H341:I341"/>
    <mergeCell ref="C438:I438"/>
    <mergeCell ref="C171:D171"/>
    <mergeCell ref="C572:E572"/>
    <mergeCell ref="C573:E573"/>
    <mergeCell ref="C574:E574"/>
    <mergeCell ref="C575:E575"/>
    <mergeCell ref="C576:E576"/>
    <mergeCell ref="C577:E577"/>
    <mergeCell ref="C569:E569"/>
    <mergeCell ref="C570:E570"/>
    <mergeCell ref="C541:D541"/>
    <mergeCell ref="C1677:I1677"/>
    <mergeCell ref="C944:I944"/>
    <mergeCell ref="C908:I908"/>
    <mergeCell ref="C929:I929"/>
    <mergeCell ref="C990:I990"/>
    <mergeCell ref="C1016:I1016"/>
    <mergeCell ref="C1018:I1018"/>
    <mergeCell ref="H1028:I1028"/>
    <mergeCell ref="C1020:C1022"/>
    <mergeCell ref="D1020:I1020"/>
    <mergeCell ref="H1023:I1023"/>
    <mergeCell ref="H1024:I1024"/>
    <mergeCell ref="D1026:E1026"/>
    <mergeCell ref="C915:I915"/>
    <mergeCell ref="G914:H914"/>
    <mergeCell ref="C963:I963"/>
    <mergeCell ref="C1679:I1679"/>
    <mergeCell ref="C1680:I1680"/>
    <mergeCell ref="C1382:I1382"/>
    <mergeCell ref="C1384:I1384"/>
    <mergeCell ref="C1386:I1386"/>
    <mergeCell ref="C1387:I1387"/>
    <mergeCell ref="C1132:I1132"/>
    <mergeCell ref="C1165:F1165"/>
    <mergeCell ref="C1166:F1166"/>
    <mergeCell ref="C1171:F1171"/>
    <mergeCell ref="C1172:F1172"/>
    <mergeCell ref="C1196:F1196"/>
    <mergeCell ref="C1197:F1197"/>
    <mergeCell ref="C1257:I1257"/>
    <mergeCell ref="C1258:I1258"/>
    <mergeCell ref="C1365:I1365"/>
    <mergeCell ref="C1367:I1367"/>
    <mergeCell ref="C1493:I1493"/>
    <mergeCell ref="C1508:I1508"/>
    <mergeCell ref="C1516:I1516"/>
    <mergeCell ref="C1522:I1522"/>
    <mergeCell ref="C1530:I1530"/>
    <mergeCell ref="C1566:E1566"/>
    <mergeCell ref="C1543:E1543"/>
    <mergeCell ref="B352:B353"/>
    <mergeCell ref="B354:B355"/>
    <mergeCell ref="H355:I355"/>
    <mergeCell ref="D353:E353"/>
    <mergeCell ref="H353:I353"/>
    <mergeCell ref="D362:E362"/>
    <mergeCell ref="H362:I362"/>
    <mergeCell ref="D359:E359"/>
    <mergeCell ref="G488:I488"/>
    <mergeCell ref="C461:I461"/>
    <mergeCell ref="C372:C373"/>
    <mergeCell ref="C374:C375"/>
    <mergeCell ref="B374:B375"/>
    <mergeCell ref="D374:E374"/>
    <mergeCell ref="H374:I374"/>
    <mergeCell ref="D375:E375"/>
    <mergeCell ref="H375:I375"/>
    <mergeCell ref="B368:B369"/>
    <mergeCell ref="B372:B373"/>
    <mergeCell ref="B370:B371"/>
    <mergeCell ref="B428:B429"/>
    <mergeCell ref="B376:B377"/>
    <mergeCell ref="H378:I378"/>
    <mergeCell ref="D379:E379"/>
    <mergeCell ref="C1264:I1264"/>
    <mergeCell ref="C1435:I1435"/>
    <mergeCell ref="C1347:F1347"/>
    <mergeCell ref="C1349:F1349"/>
    <mergeCell ref="C1358:F1358"/>
    <mergeCell ref="H1026:I1026"/>
    <mergeCell ref="C1337:F1337"/>
    <mergeCell ref="C1391:I1391"/>
    <mergeCell ref="H1029:I1029"/>
    <mergeCell ref="H1030:I1030"/>
    <mergeCell ref="H1098:I1098"/>
    <mergeCell ref="H1095:I1095"/>
    <mergeCell ref="H1032:I1032"/>
    <mergeCell ref="C1160:I1160"/>
    <mergeCell ref="C1035:I1035"/>
    <mergeCell ref="C1067:I1067"/>
    <mergeCell ref="C1087:I1087"/>
    <mergeCell ref="C1262:I1262"/>
    <mergeCell ref="H1033:I1033"/>
    <mergeCell ref="H1027:I1027"/>
    <mergeCell ref="C1260:I1260"/>
    <mergeCell ref="C1266:I1266"/>
    <mergeCell ref="C1277:I1277"/>
    <mergeCell ref="C1282:I1282"/>
    <mergeCell ref="C820:I820"/>
    <mergeCell ref="C822:I822"/>
    <mergeCell ref="C847:I847"/>
    <mergeCell ref="C885:E885"/>
    <mergeCell ref="C886:E886"/>
    <mergeCell ref="C941:F941"/>
    <mergeCell ref="E902:E903"/>
    <mergeCell ref="C906:D906"/>
    <mergeCell ref="C910:D910"/>
    <mergeCell ref="E910:F911"/>
    <mergeCell ref="G910:I911"/>
    <mergeCell ref="C920:F920"/>
    <mergeCell ref="C917:I917"/>
    <mergeCell ref="C922:F922"/>
    <mergeCell ref="C936:F936"/>
    <mergeCell ref="C937:F937"/>
    <mergeCell ref="C940:F940"/>
    <mergeCell ref="C882:E882"/>
    <mergeCell ref="C883:E883"/>
    <mergeCell ref="C879:E879"/>
    <mergeCell ref="F897:G897"/>
    <mergeCell ref="F906:G906"/>
    <mergeCell ref="E912:F912"/>
    <mergeCell ref="G912:I912"/>
    <mergeCell ref="B849:C849"/>
    <mergeCell ref="C924:F924"/>
    <mergeCell ref="C925:F925"/>
    <mergeCell ref="C891:I891"/>
    <mergeCell ref="H897:I897"/>
    <mergeCell ref="C872:I872"/>
    <mergeCell ref="B850:C850"/>
    <mergeCell ref="B854:C854"/>
    <mergeCell ref="B858:C858"/>
    <mergeCell ref="B862:C862"/>
    <mergeCell ref="B866:C866"/>
    <mergeCell ref="F895:G895"/>
    <mergeCell ref="C904:D904"/>
    <mergeCell ref="C905:D905"/>
    <mergeCell ref="E913:F913"/>
    <mergeCell ref="G913:I913"/>
    <mergeCell ref="F905:G905"/>
    <mergeCell ref="F902:G903"/>
    <mergeCell ref="H902:I902"/>
    <mergeCell ref="C893:I893"/>
    <mergeCell ref="D896:E896"/>
    <mergeCell ref="F896:G896"/>
    <mergeCell ref="H896:I896"/>
    <mergeCell ref="C884:E884"/>
    <mergeCell ref="D892:H892"/>
    <mergeCell ref="D898:E898"/>
    <mergeCell ref="C881:E881"/>
    <mergeCell ref="C874:D874"/>
    <mergeCell ref="C876:E876"/>
    <mergeCell ref="C877:E877"/>
    <mergeCell ref="C878:E878"/>
    <mergeCell ref="D1023:E1023"/>
    <mergeCell ref="C926:F926"/>
    <mergeCell ref="H895:I895"/>
    <mergeCell ref="C902:D903"/>
    <mergeCell ref="C931:I931"/>
    <mergeCell ref="C991:I991"/>
    <mergeCell ref="C1019:I1019"/>
    <mergeCell ref="C921:F921"/>
    <mergeCell ref="D1021:E1022"/>
    <mergeCell ref="F1021:I1021"/>
    <mergeCell ref="C946:I946"/>
    <mergeCell ref="C962:I962"/>
    <mergeCell ref="H1022:I1022"/>
    <mergeCell ref="D895:E895"/>
    <mergeCell ref="C889:I889"/>
    <mergeCell ref="D897:E897"/>
    <mergeCell ref="F898:G898"/>
    <mergeCell ref="B378:B379"/>
    <mergeCell ref="D378:E378"/>
    <mergeCell ref="H380:I380"/>
    <mergeCell ref="H802:I802"/>
    <mergeCell ref="C784:F784"/>
    <mergeCell ref="F802:G802"/>
    <mergeCell ref="C775:F775"/>
    <mergeCell ref="C776:F776"/>
    <mergeCell ref="C777:F777"/>
    <mergeCell ref="C783:F783"/>
    <mergeCell ref="F800:I800"/>
    <mergeCell ref="H662:I662"/>
    <mergeCell ref="H664:I664"/>
    <mergeCell ref="F662:G662"/>
    <mergeCell ref="C780:I780"/>
    <mergeCell ref="C792:I792"/>
    <mergeCell ref="C710:D710"/>
    <mergeCell ref="F801:G801"/>
    <mergeCell ref="C591:I591"/>
    <mergeCell ref="C597:E597"/>
    <mergeCell ref="C488:D489"/>
    <mergeCell ref="C397:F397"/>
    <mergeCell ref="C398:F398"/>
    <mergeCell ref="C399:F399"/>
    <mergeCell ref="H801:I801"/>
    <mergeCell ref="C802:D802"/>
    <mergeCell ref="C798:I798"/>
    <mergeCell ref="D662:E662"/>
    <mergeCell ref="F736:G736"/>
    <mergeCell ref="C681:I681"/>
    <mergeCell ref="C474:F474"/>
    <mergeCell ref="C479:F479"/>
    <mergeCell ref="C483:F483"/>
    <mergeCell ref="C495:F495"/>
    <mergeCell ref="C539:D539"/>
    <mergeCell ref="C499:D499"/>
    <mergeCell ref="F664:G664"/>
    <mergeCell ref="C500:F500"/>
    <mergeCell ref="C713:D713"/>
    <mergeCell ref="C544:D544"/>
    <mergeCell ref="C549:D549"/>
    <mergeCell ref="C580:I580"/>
    <mergeCell ref="C542:D542"/>
    <mergeCell ref="C545:D545"/>
    <mergeCell ref="C546:D546"/>
    <mergeCell ref="C540:D540"/>
    <mergeCell ref="C571:E571"/>
    <mergeCell ref="C548:D548"/>
    <mergeCell ref="B362:B363"/>
    <mergeCell ref="D363:E363"/>
    <mergeCell ref="H363:I363"/>
    <mergeCell ref="H359:I359"/>
    <mergeCell ref="C1528:I1528"/>
    <mergeCell ref="C1513:D1513"/>
    <mergeCell ref="E1513:F1513"/>
    <mergeCell ref="C1520:I1520"/>
    <mergeCell ref="C1524:I1524"/>
    <mergeCell ref="F1500:G1500"/>
    <mergeCell ref="C1526:I1526"/>
    <mergeCell ref="E1510:F1510"/>
    <mergeCell ref="F1502:G1502"/>
    <mergeCell ref="F1503:G1503"/>
    <mergeCell ref="F1504:G1504"/>
    <mergeCell ref="F1505:G1505"/>
    <mergeCell ref="F1506:G1506"/>
    <mergeCell ref="E1512:F1512"/>
    <mergeCell ref="C1511:D1511"/>
    <mergeCell ref="E1511:F1511"/>
    <mergeCell ref="C1512:D1512"/>
    <mergeCell ref="C1503:D1503"/>
    <mergeCell ref="C880:E880"/>
    <mergeCell ref="H376:I376"/>
    <mergeCell ref="B346:B347"/>
    <mergeCell ref="C1684:I1684"/>
    <mergeCell ref="H1542:I1542"/>
    <mergeCell ref="B356:B357"/>
    <mergeCell ref="D356:E356"/>
    <mergeCell ref="H356:I356"/>
    <mergeCell ref="D357:E357"/>
    <mergeCell ref="H357:I357"/>
    <mergeCell ref="C356:C357"/>
    <mergeCell ref="D352:E352"/>
    <mergeCell ref="H352:I352"/>
    <mergeCell ref="B360:B361"/>
    <mergeCell ref="D360:E360"/>
    <mergeCell ref="H360:I360"/>
    <mergeCell ref="D361:E361"/>
    <mergeCell ref="H361:I361"/>
    <mergeCell ref="C358:C359"/>
    <mergeCell ref="C360:C361"/>
    <mergeCell ref="C1665:I1665"/>
    <mergeCell ref="C1669:I1669"/>
    <mergeCell ref="C1670:I1670"/>
    <mergeCell ref="C1646:I1646"/>
    <mergeCell ref="C1599:I1599"/>
    <mergeCell ref="B358:B359"/>
    <mergeCell ref="B1577:B1578"/>
    <mergeCell ref="B1568:B1569"/>
    <mergeCell ref="B1586:B1587"/>
    <mergeCell ref="F1568:G1568"/>
    <mergeCell ref="C1568:E1569"/>
    <mergeCell ref="F1499:G1499"/>
    <mergeCell ref="C1398:I1398"/>
    <mergeCell ref="C1405:I1405"/>
    <mergeCell ref="C1408:I1408"/>
    <mergeCell ref="C1497:I1497"/>
    <mergeCell ref="B1559:B1560"/>
    <mergeCell ref="C1552:E1552"/>
    <mergeCell ref="C1553:E1553"/>
    <mergeCell ref="C1554:E1554"/>
    <mergeCell ref="C1555:E1555"/>
    <mergeCell ref="C1556:E1556"/>
    <mergeCell ref="C1557:E1557"/>
    <mergeCell ref="C1561:E1561"/>
    <mergeCell ref="C1562:E1562"/>
    <mergeCell ref="C1420:I1420"/>
    <mergeCell ref="C1441:I1441"/>
    <mergeCell ref="C1439:I1439"/>
    <mergeCell ref="C1500:D1500"/>
    <mergeCell ref="C1422:I1422"/>
    <mergeCell ref="C1449:I1449"/>
    <mergeCell ref="C1457:I1457"/>
    <mergeCell ref="C1465:I1465"/>
    <mergeCell ref="C1342:F1342"/>
    <mergeCell ref="C1483:E1483"/>
    <mergeCell ref="C1369:I1369"/>
    <mergeCell ref="C1373:I1373"/>
    <mergeCell ref="C1375:I1375"/>
    <mergeCell ref="C1437:I1437"/>
    <mergeCell ref="C1473:I1473"/>
    <mergeCell ref="C1361:I1361"/>
    <mergeCell ref="C1389:I1389"/>
    <mergeCell ref="C1396:I1396"/>
    <mergeCell ref="C1403:I1403"/>
    <mergeCell ref="C1410:I1410"/>
    <mergeCell ref="C1343:F1343"/>
    <mergeCell ref="C1344:F1344"/>
    <mergeCell ref="C1357:F1357"/>
    <mergeCell ref="C1371:I1371"/>
    <mergeCell ref="C1377:I1377"/>
    <mergeCell ref="C1380:I1380"/>
    <mergeCell ref="D1031:E1031"/>
    <mergeCell ref="D1032:E1032"/>
    <mergeCell ref="D1033:E1033"/>
    <mergeCell ref="C1091:C1093"/>
    <mergeCell ref="D1092:E1093"/>
    <mergeCell ref="D1091:I1091"/>
    <mergeCell ref="H1093:I1093"/>
    <mergeCell ref="C1090:I1090"/>
    <mergeCell ref="H1097:I1097"/>
    <mergeCell ref="H1094:I1094"/>
    <mergeCell ref="D1096:E1096"/>
    <mergeCell ref="D1097:E1097"/>
    <mergeCell ref="D1095:E1095"/>
    <mergeCell ref="C1089:I1089"/>
    <mergeCell ref="C1040:F1040"/>
    <mergeCell ref="C1050:F1050"/>
    <mergeCell ref="C1068:I1068"/>
    <mergeCell ref="F1092:I1092"/>
    <mergeCell ref="C1071:F1071"/>
    <mergeCell ref="C1072:F1072"/>
    <mergeCell ref="C1073:F1073"/>
    <mergeCell ref="D1102:E1102"/>
    <mergeCell ref="D1103:E1103"/>
    <mergeCell ref="C1162:I1162"/>
    <mergeCell ref="C1183:I1183"/>
    <mergeCell ref="C1177:I1177"/>
    <mergeCell ref="C1179:G1179"/>
    <mergeCell ref="C1180:I1181"/>
    <mergeCell ref="C1152:I1152"/>
    <mergeCell ref="C1150:I1150"/>
    <mergeCell ref="C1135:F1135"/>
    <mergeCell ref="C1136:F1136"/>
    <mergeCell ref="C1156:F1156"/>
    <mergeCell ref="C1157:F1157"/>
    <mergeCell ref="C1158:F1158"/>
    <mergeCell ref="C1108:I1108"/>
    <mergeCell ref="C1131:I1131"/>
    <mergeCell ref="H804:I804"/>
    <mergeCell ref="H805:I805"/>
    <mergeCell ref="C803:D803"/>
    <mergeCell ref="C804:D804"/>
    <mergeCell ref="C805:D805"/>
    <mergeCell ref="H803:I803"/>
    <mergeCell ref="C812:F812"/>
    <mergeCell ref="C818:F818"/>
    <mergeCell ref="C809:I809"/>
    <mergeCell ref="F805:G805"/>
    <mergeCell ref="F803:G803"/>
    <mergeCell ref="F804:G804"/>
    <mergeCell ref="F806:G806"/>
    <mergeCell ref="F807:G807"/>
    <mergeCell ref="H806:I806"/>
    <mergeCell ref="H807:I807"/>
    <mergeCell ref="C806:D806"/>
    <mergeCell ref="B320:B321"/>
    <mergeCell ref="C324:C325"/>
    <mergeCell ref="C330:C331"/>
    <mergeCell ref="C336:C337"/>
    <mergeCell ref="C326:C327"/>
    <mergeCell ref="C322:C323"/>
    <mergeCell ref="D326:E326"/>
    <mergeCell ref="D327:E327"/>
    <mergeCell ref="H337:I337"/>
    <mergeCell ref="D328:E328"/>
    <mergeCell ref="D324:E324"/>
    <mergeCell ref="D325:E325"/>
    <mergeCell ref="D322:E322"/>
    <mergeCell ref="D323:E323"/>
    <mergeCell ref="D330:E330"/>
    <mergeCell ref="D331:E331"/>
    <mergeCell ref="H322:I322"/>
    <mergeCell ref="H329:I329"/>
    <mergeCell ref="C320:C321"/>
    <mergeCell ref="C334:I334"/>
    <mergeCell ref="H323:I323"/>
    <mergeCell ref="H324:I324"/>
    <mergeCell ref="H325:I325"/>
    <mergeCell ref="H326:I326"/>
    <mergeCell ref="B342:B343"/>
    <mergeCell ref="B344:B345"/>
    <mergeCell ref="B322:B323"/>
    <mergeCell ref="B324:B325"/>
    <mergeCell ref="B326:B327"/>
    <mergeCell ref="B328:B329"/>
    <mergeCell ref="B330:B331"/>
    <mergeCell ref="C328:C329"/>
    <mergeCell ref="C338:C339"/>
    <mergeCell ref="B340:B341"/>
    <mergeCell ref="B336:B337"/>
    <mergeCell ref="B338:B339"/>
    <mergeCell ref="C340:C341"/>
    <mergeCell ref="C342:C343"/>
    <mergeCell ref="G227:H227"/>
    <mergeCell ref="G228:H228"/>
    <mergeCell ref="C232:I232"/>
    <mergeCell ref="C234:I234"/>
    <mergeCell ref="C296:I296"/>
    <mergeCell ref="C318:I318"/>
    <mergeCell ref="G230:H230"/>
    <mergeCell ref="C316:I316"/>
    <mergeCell ref="C247:D247"/>
    <mergeCell ref="C248:D248"/>
    <mergeCell ref="C249:D249"/>
    <mergeCell ref="C246:D246"/>
    <mergeCell ref="C243:D243"/>
    <mergeCell ref="C250:D250"/>
    <mergeCell ref="C251:D251"/>
    <mergeCell ref="C241:D241"/>
    <mergeCell ref="C177:D177"/>
    <mergeCell ref="C201:F201"/>
    <mergeCell ref="D336:E336"/>
    <mergeCell ref="D337:E337"/>
    <mergeCell ref="C221:D221"/>
    <mergeCell ref="C222:E222"/>
    <mergeCell ref="C223:D223"/>
    <mergeCell ref="C227:D227"/>
    <mergeCell ref="C195:I195"/>
    <mergeCell ref="C197:I197"/>
    <mergeCell ref="C205:I205"/>
    <mergeCell ref="C218:I218"/>
    <mergeCell ref="D210:E210"/>
    <mergeCell ref="F210:G210"/>
    <mergeCell ref="H210:I210"/>
    <mergeCell ref="H211:I211"/>
    <mergeCell ref="D207:E207"/>
    <mergeCell ref="G310:I310"/>
    <mergeCell ref="G311:I311"/>
    <mergeCell ref="G312:I312"/>
    <mergeCell ref="G313:I313"/>
    <mergeCell ref="G222:H222"/>
    <mergeCell ref="G223:H223"/>
    <mergeCell ref="G224:H224"/>
    <mergeCell ref="D21:E21"/>
    <mergeCell ref="D22:E22"/>
    <mergeCell ref="D23:E23"/>
    <mergeCell ref="D25:E25"/>
    <mergeCell ref="D26:E26"/>
    <mergeCell ref="D27:E27"/>
    <mergeCell ref="D31:E31"/>
    <mergeCell ref="D24:E24"/>
    <mergeCell ref="D32:E32"/>
    <mergeCell ref="D57:E57"/>
    <mergeCell ref="D33:E33"/>
    <mergeCell ref="D39:E39"/>
    <mergeCell ref="D34:E34"/>
    <mergeCell ref="D35:E35"/>
    <mergeCell ref="D36:E36"/>
    <mergeCell ref="D37:E37"/>
    <mergeCell ref="D38:E38"/>
    <mergeCell ref="D48:E48"/>
    <mergeCell ref="D49:E49"/>
    <mergeCell ref="D50:E50"/>
    <mergeCell ref="D51:E51"/>
    <mergeCell ref="D52:E52"/>
    <mergeCell ref="D42:E42"/>
    <mergeCell ref="D46:E46"/>
    <mergeCell ref="D40:E40"/>
    <mergeCell ref="D47:E47"/>
    <mergeCell ref="H61:I61"/>
    <mergeCell ref="C149:I149"/>
    <mergeCell ref="D211:E211"/>
    <mergeCell ref="C242:D242"/>
    <mergeCell ref="C244:D244"/>
    <mergeCell ref="F207:G207"/>
    <mergeCell ref="H207:I207"/>
    <mergeCell ref="D209:E209"/>
    <mergeCell ref="F209:G209"/>
    <mergeCell ref="H209:I209"/>
    <mergeCell ref="C73:F73"/>
    <mergeCell ref="C134:F134"/>
    <mergeCell ref="F213:G213"/>
    <mergeCell ref="H213:I213"/>
    <mergeCell ref="D213:E213"/>
    <mergeCell ref="D212:E212"/>
    <mergeCell ref="F212:G212"/>
    <mergeCell ref="H212:I212"/>
    <mergeCell ref="C68:I68"/>
    <mergeCell ref="F211:G211"/>
    <mergeCell ref="G229:H229"/>
    <mergeCell ref="G219:H219"/>
    <mergeCell ref="G221:H221"/>
    <mergeCell ref="C150:I150"/>
    <mergeCell ref="D320:E320"/>
    <mergeCell ref="H328:I328"/>
    <mergeCell ref="H332:I332"/>
    <mergeCell ref="H330:I330"/>
    <mergeCell ref="H346:I346"/>
    <mergeCell ref="H338:I338"/>
    <mergeCell ref="H336:I336"/>
    <mergeCell ref="H331:I331"/>
    <mergeCell ref="D347:E347"/>
    <mergeCell ref="H342:I342"/>
    <mergeCell ref="H343:I343"/>
    <mergeCell ref="H347:I347"/>
    <mergeCell ref="H320:I320"/>
    <mergeCell ref="D321:E321"/>
    <mergeCell ref="H321:I321"/>
    <mergeCell ref="D342:E342"/>
    <mergeCell ref="D343:E343"/>
    <mergeCell ref="D338:E338"/>
    <mergeCell ref="H344:I344"/>
    <mergeCell ref="C346:C347"/>
    <mergeCell ref="C352:C353"/>
    <mergeCell ref="C354:C355"/>
    <mergeCell ref="D358:E358"/>
    <mergeCell ref="C370:C371"/>
    <mergeCell ref="D372:E372"/>
    <mergeCell ref="C467:D468"/>
    <mergeCell ref="C478:D478"/>
    <mergeCell ref="C362:C363"/>
    <mergeCell ref="C448:I448"/>
    <mergeCell ref="H432:I432"/>
    <mergeCell ref="H431:I431"/>
    <mergeCell ref="H430:I430"/>
    <mergeCell ref="D370:E370"/>
    <mergeCell ref="H370:I370"/>
    <mergeCell ref="D371:E371"/>
    <mergeCell ref="H371:I371"/>
    <mergeCell ref="H358:I358"/>
    <mergeCell ref="D377:E377"/>
    <mergeCell ref="H364:I364"/>
    <mergeCell ref="D373:E373"/>
    <mergeCell ref="H373:I373"/>
    <mergeCell ref="D354:E354"/>
    <mergeCell ref="G467:I467"/>
    <mergeCell ref="D1027:E1027"/>
    <mergeCell ref="D1028:E1028"/>
    <mergeCell ref="D1094:E1094"/>
    <mergeCell ref="C1352:F1352"/>
    <mergeCell ref="C1295:F1295"/>
    <mergeCell ref="C1296:F1296"/>
    <mergeCell ref="C1297:F1297"/>
    <mergeCell ref="C1304:F1304"/>
    <mergeCell ref="C1320:F1320"/>
    <mergeCell ref="C1321:F1321"/>
    <mergeCell ref="C1336:F1336"/>
    <mergeCell ref="C1339:F1339"/>
    <mergeCell ref="C1312:F1312"/>
    <mergeCell ref="C1313:F1313"/>
    <mergeCell ref="C1314:F1314"/>
    <mergeCell ref="C1315:F1315"/>
    <mergeCell ref="C1316:F1316"/>
    <mergeCell ref="C1338:F1338"/>
    <mergeCell ref="C1255:I1255"/>
    <mergeCell ref="D1029:E1029"/>
    <mergeCell ref="D1030:E1030"/>
    <mergeCell ref="C1248:F1248"/>
    <mergeCell ref="C1200:F1200"/>
    <mergeCell ref="D1101:E1101"/>
    <mergeCell ref="C1698:I1698"/>
    <mergeCell ref="C1699:I1699"/>
    <mergeCell ref="C1700:I1700"/>
    <mergeCell ref="C1701:I1701"/>
    <mergeCell ref="C1702:I1702"/>
    <mergeCell ref="C1703:I1703"/>
    <mergeCell ref="C1688:I1688"/>
    <mergeCell ref="C1689:I1689"/>
    <mergeCell ref="C1690:I1690"/>
    <mergeCell ref="C1691:I1691"/>
    <mergeCell ref="C1692:I1692"/>
    <mergeCell ref="C1693:I1693"/>
    <mergeCell ref="C1694:I1694"/>
    <mergeCell ref="C1696:I1696"/>
    <mergeCell ref="C1697:I1697"/>
  </mergeCells>
  <conditionalFormatting sqref="B1:C1048576">
    <cfRule type="expression" dxfId="9" priority="1">
      <formula>$J1="ukryj"</formula>
    </cfRule>
  </conditionalFormatting>
  <dataValidations count="8">
    <dataValidation type="decimal" operator="lessThanOrEqual" allowBlank="1" showInputMessage="1" showErrorMessage="1" sqref="H526 I186 H512 I190:I192 E539:H539 I183 H491 H470" xr:uid="{00000000-0002-0000-1400-000000000000}">
      <formula1>0</formula1>
    </dataValidation>
    <dataValidation type="decimal" errorStyle="warning" operator="lessThan" allowBlank="1" showInputMessage="1" showErrorMessage="1" sqref="D92:H92" xr:uid="{00000000-0002-0000-1400-000001000000}">
      <formula1>0</formula1>
    </dataValidation>
    <dataValidation type="decimal" errorStyle="warning" operator="lessThanOrEqual" allowBlank="1" showInputMessage="1" showErrorMessage="1" sqref="E65840:I65840 E131376:I131376 E196912:I196912 E262448:I262448 E327984:I327984 E393520:I393520 E459056:I459056 E524592:I524592 E590128:I590128 E655664:I655664 E721200:I721200 E786736:I786736 E852272:I852272 E917808:I917808 E983344:I983344 I65830 I131366 I196902 I262438 I327974 I393510 I459046 I524582 I590118 I655654 I721190 I786726 I852262 I917798 I983334 E65810:I65814 E131346:I131350 E196882:I196886 E262418:I262422 E327954:I327958 E393490:I393494 E459026:I459030 E524562:I524566 E590098:I590102 E655634:I655638 E721170:I721174 E786706:I786710 E852242:I852246 E917778:I917782 E983314:I983318 E65820:I65823 E131356:I131359 E196892:I196895 E262428:I262431 E327964:I327967 E393500:I393503 E459036:I459039 E524572:I524575 E590108:I590111 E655644:I655647 E721180:I721183 E786716:I786719 E852252:I852255 E917788:I917791 E983324:I983327 E65835:I65836 E131371:I131372 E196907:I196908 E262443:I262444 E327979:I327980 E393515:I393516 E459051:I459052 E524587:I524588 E590123:I590124 E655659:I655660 E721195:I721196 E786731:I786732 E852267:I852268 E917803:I917804 E983339:I983340 F32:H32 E271:H271 D104:H104 E245:I245 E262:H262" xr:uid="{00000000-0002-0000-1400-000002000000}">
      <formula1>0</formula1>
    </dataValidation>
    <dataValidation type="decimal" operator="greaterThanOrEqual" allowBlank="1" showInputMessage="1" showErrorMessage="1" sqref="I49:I51 E65838:I65839 E131374:I131375 E196910:I196911 E262446:I262447 E327982:I327983 E393518:I393519 E459054:I459055 E524590:I524591 E590126:I590127 E655662:I655663 E721198:I721199 E786734:I786735 E852270:I852271 E917806:I917807 E983342:I983343 E65802:I65808 E131338:I131344 E196874:I196880 E262410:I262416 E327946:I327952 E393482:I393488 E459018:I459024 E524554:I524560 E590090:I590096 E655626:I655632 E721162:I721168 E786698:I786704 E852234:I852240 E917770:I917776 E983306:I983312 F14:H14 I31:I34 I13:I26 D85:H85 I46:I47 E544:H544 I36:I41" xr:uid="{00000000-0002-0000-1400-000003000000}">
      <formula1>0</formula1>
    </dataValidation>
    <dataValidation errorStyle="warning" operator="lessThanOrEqual" allowBlank="1" showInputMessage="1" showErrorMessage="1" sqref="F20:H20 E65830:H65830 E131366:H131366 E196902:H196902 E262438:H262438 E327974:H327974 E393510:H393510 E459046:H459046 E524582:H524582 E590118:H590118 E655654:H655654 E721190:H721190 E786726:H786726 E852262:H852262 E917798:H917798 E983334:H983334 E65809:I65809 E131345:I131345 E196881:I196881 E262417:I262417 E327953:I327953 E393489:I393489 E459025:I459025 E524561:I524561 E590097:I590097 E655633:I655633 E721169:I721169 E786705:I786705 E852241:I852241 E917777:I917777 E983313:I983313" xr:uid="{00000000-0002-0000-1400-000004000000}"/>
    <dataValidation errorStyle="warning" operator="greaterThanOrEqual" allowBlank="1" showInputMessage="1" showErrorMessage="1" sqref="E65824:I65824 E131360:I131360 E196896:I196896 E262432:I262432 E327968:I327968 E393504:I393504 E459040:I459040 E524576:I524576 E590112:I590112 E655648:I655648 E721184:I721184 E786720:I786720 E852256:I852256 E917792:I917792 E983328:I983328 F35:I35" xr:uid="{00000000-0002-0000-1400-000005000000}"/>
    <dataValidation type="decimal" errorStyle="warning" operator="greaterThanOrEqual" allowBlank="1" showInputMessage="1" showErrorMessage="1" sqref="E65825:I65829 E131361:I131365 E196897:I196901 E262433:I262437 E327969:I327973 E393505:I393509 E459041:I459045 E524577:I524581 E590113:I590117 E655649:I655653 E721185:I721189 E786721:I786725 E852257:I852261 E917793:I917797 E983329:I983333" xr:uid="{00000000-0002-0000-1400-000006000000}">
      <formula1>0</formula1>
    </dataValidation>
    <dataValidation operator="lessThan" allowBlank="1" showInputMessage="1" showErrorMessage="1" sqref="H1063:I1063 H1101 H1127:I1129 H1106 H1055:I1057 D1095 D1101 D1106 H1095 F1106 F1095 F1101 H1119:I1121 H1137:I1139 H1141:I1141 H1146:I1148" xr:uid="{00000000-0002-0000-1400-000007000000}"/>
  </dataValidations>
  <hyperlinks>
    <hyperlink ref="N6" location="Input!C83" display="Powrot do spisu tresci" xr:uid="{00000000-0004-0000-1400-000000000000}"/>
    <hyperlink ref="N8" location="Input!C84" display="Powrot do spisu tresci" xr:uid="{00000000-0004-0000-1400-000001000000}"/>
    <hyperlink ref="N59" location="Input!C85" display="Powrot do spisu tresci" xr:uid="{00000000-0004-0000-1400-000002000000}"/>
    <hyperlink ref="N66" location="Input!C86" display="Powrot do spisu tresci" xr:uid="{00000000-0004-0000-1400-000003000000}"/>
    <hyperlink ref="N70" location="Input!C87" display="Powrot do spisu tresci" xr:uid="{00000000-0004-0000-1400-000004000000}"/>
    <hyperlink ref="N77" location="Input!C88" display="Powrot do spisu tresci" xr:uid="{00000000-0004-0000-1400-000005000000}"/>
    <hyperlink ref="N79" location="Input!C89" display="Powrot do spisu tresci" xr:uid="{00000000-0004-0000-1400-000006000000}"/>
    <hyperlink ref="N131" location="Input!C90" display="Powrot do spisu tresci" xr:uid="{00000000-0004-0000-1400-000007000000}"/>
    <hyperlink ref="N145" location="Input!C91" display="Powrot do spisu tresci" xr:uid="{00000000-0004-0000-1400-000008000000}"/>
    <hyperlink ref="N154" location="Input!C92" display="Powrot do spisu tresci" xr:uid="{00000000-0004-0000-1400-000009000000}"/>
    <hyperlink ref="N162" location="Input!C93" display="Powrot do spisu tresci" xr:uid="{00000000-0004-0000-1400-00000A000000}"/>
    <hyperlink ref="N166" location="Input!C94" display="Powrot do spisu tresci" xr:uid="{00000000-0004-0000-1400-00000B000000}"/>
    <hyperlink ref="N195" location="Input!C95" display="Powrot do spisu tresci" xr:uid="{00000000-0004-0000-1400-00000C000000}"/>
    <hyperlink ref="N197" location="Input!C96" display="Powrot do spisu tresci" xr:uid="{00000000-0004-0000-1400-00000D000000}"/>
    <hyperlink ref="N205" location="Input!C97" display="Powrot do spisu tresci" xr:uid="{00000000-0004-0000-1400-00000E000000}"/>
    <hyperlink ref="N218" location="Input!C98" display="Powrot do spisu tresci" xr:uid="{00000000-0004-0000-1400-00000F000000}"/>
    <hyperlink ref="N232" location="Input!C99" display="Powrot do spisu tresci" xr:uid="{00000000-0004-0000-1400-000010000000}"/>
    <hyperlink ref="N234" location="Input!C100" display="Powrot do spisu tresci" xr:uid="{00000000-0004-0000-1400-000011000000}"/>
    <hyperlink ref="N296" location="Input!C101" display="Powrot do spisu tresci" xr:uid="{00000000-0004-0000-1400-000012000000}"/>
    <hyperlink ref="N318" location="Input!C102" display="Powrot do spisu tresci" xr:uid="{00000000-0004-0000-1400-000013000000}"/>
    <hyperlink ref="N334" location="Input!C103" display="Powrot do spisu tresci" xr:uid="{00000000-0004-0000-1400-000014000000}"/>
    <hyperlink ref="N350" location="Input!C104" display="Powrot do spisu tresci" xr:uid="{00000000-0004-0000-1400-000015000000}"/>
    <hyperlink ref="N366" location="Input!C105" display="Powrot do spisu tresci" xr:uid="{00000000-0004-0000-1400-000016000000}"/>
    <hyperlink ref="N382" location="Input!C106" display="Powrot do spisu tresci" xr:uid="{00000000-0004-0000-1400-000017000000}"/>
    <hyperlink ref="N390" location="Input!C107" display="Powrot do spisu tresci" xr:uid="{00000000-0004-0000-1400-000018000000}"/>
    <hyperlink ref="N422" location="Input!C108" display="Powrot do spisu tresci" xr:uid="{00000000-0004-0000-1400-000019000000}"/>
    <hyperlink ref="N424" location="Input!C109" display="Powrot do spisu tresci" xr:uid="{00000000-0004-0000-1400-00001A000000}"/>
    <hyperlink ref="N438" location="Input!C110" display="Powrot do spisu tresci" xr:uid="{00000000-0004-0000-1400-00001B000000}"/>
    <hyperlink ref="N448" location="Input!C111" display="Powrot do spisu tresci" xr:uid="{00000000-0004-0000-1400-00001C000000}"/>
    <hyperlink ref="N463" location="Input!C112" display="Powrot do spisu tresci" xr:uid="{00000000-0004-0000-1400-00001D000000}"/>
    <hyperlink ref="N465" location="Input!C113" display="Powrot do spisu tresci" xr:uid="{00000000-0004-0000-1400-00001E000000}"/>
    <hyperlink ref="N509" location="Input!C114" display="Powrot do spisu tresci" xr:uid="{00000000-0004-0000-1400-00001F000000}"/>
    <hyperlink ref="N535" location="Input!C115" display="Powrot do spisu tresci" xr:uid="{00000000-0004-0000-1400-000020000000}"/>
    <hyperlink ref="N562" location="Input!C118" display="Powrot do spisu tresci" xr:uid="{00000000-0004-0000-1400-000021000000}"/>
    <hyperlink ref="N564" location="Input!C119" display="Powrot do spisu tresci" xr:uid="{00000000-0004-0000-1400-000022000000}"/>
    <hyperlink ref="N589" location="Input!C120" display="Powrot do spisu tresci" xr:uid="{00000000-0004-0000-1400-000023000000}"/>
    <hyperlink ref="N609" location="Input!C122" display="Powrot do spisu tresci" xr:uid="{00000000-0004-0000-1400-000024000000}"/>
    <hyperlink ref="N613" location="Input!C123" display="Powrot do spisu tresci" xr:uid="{00000000-0004-0000-1400-000025000000}"/>
    <hyperlink ref="N617" location="Input!C124" display="Powrot do spisu tresci" xr:uid="{00000000-0004-0000-1400-000026000000}"/>
    <hyperlink ref="N619" location="Input!C125" display="Powrot do spisu tresci" xr:uid="{00000000-0004-0000-1400-000027000000}"/>
    <hyperlink ref="N629" location="Input!C126" display="Powrot do spisu tresci" xr:uid="{00000000-0004-0000-1400-000028000000}"/>
    <hyperlink ref="N639" location="Input!C127" display="Powrot do spisu tresci" xr:uid="{00000000-0004-0000-1400-000029000000}"/>
    <hyperlink ref="N655" location="Input!C128" display="Powrot do spisu tresci" xr:uid="{00000000-0004-0000-1400-00002A000000}"/>
    <hyperlink ref="N668" location="Input!C129" display="Powrot do spisu tresci" xr:uid="{00000000-0004-0000-1400-00002B000000}"/>
    <hyperlink ref="N681" location="Input!C130" display="Powrot do spisu tresci" xr:uid="{00000000-0004-0000-1400-00002C000000}"/>
    <hyperlink ref="N694" location="Input!C131" display="Powrot do spisu tresci" xr:uid="{00000000-0004-0000-1400-00002D000000}"/>
    <hyperlink ref="N707" location="Input!C132" display="Powrot do spisu tresci" xr:uid="{00000000-0004-0000-1400-00002E000000}"/>
    <hyperlink ref="N716" location="Input!C133" display="Powrot do spisu tresci" xr:uid="{00000000-0004-0000-1400-00002F000000}"/>
    <hyperlink ref="N734" location="Input!C134" display="Powrot do spisu tresci" xr:uid="{00000000-0004-0000-1400-000030000000}"/>
    <hyperlink ref="N768" location="Input!C136" display="Powrot do spisu tresci" xr:uid="{00000000-0004-0000-1400-000031000000}"/>
    <hyperlink ref="N770" location="Input!C137" display="Powrot do spisu tresci" xr:uid="{00000000-0004-0000-1400-000032000000}"/>
    <hyperlink ref="N780" location="Input!C138" display="Powrot do spisu tresci" xr:uid="{00000000-0004-0000-1400-000033000000}"/>
    <hyperlink ref="N792" location="Input!C139" display="Powrot do spisu tresci" xr:uid="{00000000-0004-0000-1400-000034000000}"/>
    <hyperlink ref="N794" location="Input!C140" display="Powrot do spisu tresci" xr:uid="{00000000-0004-0000-1400-000035000000}"/>
    <hyperlink ref="N798" location="Input!C141" display="Powrot do spisu tresci" xr:uid="{00000000-0004-0000-1400-000036000000}"/>
    <hyperlink ref="N809" location="Input!C142" display="Powrot do spisu tresci" xr:uid="{00000000-0004-0000-1400-000037000000}"/>
    <hyperlink ref="N820" location="Input!C143" display="Powrot do spisu tresci" xr:uid="{00000000-0004-0000-1400-000038000000}"/>
    <hyperlink ref="N822" location="Input!C144" display="Powrot do spisu tresci" xr:uid="{00000000-0004-0000-1400-000039000000}"/>
    <hyperlink ref="N847" location="Input!C145" display="Powrot do spisu tresci" xr:uid="{00000000-0004-0000-1400-00003A000000}"/>
    <hyperlink ref="N872" location="Input!C146" display="Powrot do spisu tresci" xr:uid="{00000000-0004-0000-1400-00003B000000}"/>
    <hyperlink ref="N889" location="Input!C147" display="Powrot do spisu tresci" xr:uid="{00000000-0004-0000-1400-00003C000000}"/>
    <hyperlink ref="N915" location="Input!C148" display="Powrot do spisu tresci" xr:uid="{00000000-0004-0000-1400-00003D000000}"/>
    <hyperlink ref="N917" location="Input!C149" display="Powrot do spisu tresci" xr:uid="{00000000-0004-0000-1400-00003E000000}"/>
    <hyperlink ref="N931" location="Input!C150" display="Powrot do spisu tresci" xr:uid="{00000000-0004-0000-1400-00003F000000}"/>
    <hyperlink ref="N962" location="Input!C152" display="Powrot do spisu tresci" xr:uid="{00000000-0004-0000-1400-000040000000}"/>
    <hyperlink ref="N990" location="Input!C153" display="Powrot do spisu tresci" xr:uid="{00000000-0004-0000-1400-000041000000}"/>
    <hyperlink ref="N1016" location="Input!C154" display="Powrot do spisu tresci" xr:uid="{00000000-0004-0000-1400-000042000000}"/>
    <hyperlink ref="N1018" location="Input!C155" display="Powrot do spisu tresci" xr:uid="{00000000-0004-0000-1400-000043000000}"/>
    <hyperlink ref="N1035" location="Input!C156" display="Powrot do spisu tresci" xr:uid="{00000000-0004-0000-1400-000044000000}"/>
    <hyperlink ref="N1067" location="Input!C157" display="Powrot do spisu tresci" xr:uid="{00000000-0004-0000-1400-000045000000}"/>
    <hyperlink ref="N1087" location="Input!C158" display="Powrot do spisu tresci" xr:uid="{00000000-0004-0000-1400-000046000000}"/>
    <hyperlink ref="N1089" location="Input!C159" display="Powrot do spisu tresci" xr:uid="{00000000-0004-0000-1400-000047000000}"/>
    <hyperlink ref="N1108" location="Input!C160" display="Powrot do spisu tresci" xr:uid="{00000000-0004-0000-1400-000048000000}"/>
    <hyperlink ref="N1131" location="Input!C161" display="Powrot do spisu tresci" xr:uid="{00000000-0004-0000-1400-000049000000}"/>
    <hyperlink ref="N1162" location="Input!C163" display="Powrot do spisu tresci" xr:uid="{00000000-0004-0000-1400-00004A000000}"/>
    <hyperlink ref="N1183" location="Input!C165" display="Powrot do spisu tresci" xr:uid="{00000000-0004-0000-1400-00004B000000}"/>
    <hyperlink ref="N1260" location="Input!C166" display="Powrot do spisu tresci" xr:uid="{00000000-0004-0000-1400-00004C000000}"/>
    <hyperlink ref="N1266" location="Input!C167" display="Powrot do spisu tresci" xr:uid="{00000000-0004-0000-1400-00004D000000}"/>
    <hyperlink ref="N1277" location="Input!C168" display="Powrot do spisu tresci" xr:uid="{00000000-0004-0000-1400-00004E000000}"/>
    <hyperlink ref="N1282" location="Input!C169" display="Powrot do spisu tresci" xr:uid="{00000000-0004-0000-1400-00004F000000}"/>
    <hyperlink ref="N1361" location="Input!C170" display="Powrot do spisu tresci" xr:uid="{00000000-0004-0000-1400-000050000000}"/>
    <hyperlink ref="N1389" location="Input!C172" display="Powrot do spisu tresci" xr:uid="{00000000-0004-0000-1400-000051000000}"/>
    <hyperlink ref="N1396" location="Input!C173" display="Powrot do spisu tresci" xr:uid="{00000000-0004-0000-1400-000052000000}"/>
    <hyperlink ref="N1403" location="Input!C174" display="Powrot do spisu tresci" xr:uid="{00000000-0004-0000-1400-000053000000}"/>
    <hyperlink ref="N1410" location="Input!C175" display="Powrot do spisu tresci" xr:uid="{00000000-0004-0000-1400-000054000000}"/>
    <hyperlink ref="N1422" location="Input!C176" display="Powrot do spisu tresci" xr:uid="{00000000-0004-0000-1400-000055000000}"/>
    <hyperlink ref="N1435" location="Input!C177" display="Powrot do spisu tresci" xr:uid="{00000000-0004-0000-1400-000056000000}"/>
    <hyperlink ref="N1473" location="Input!C182" display="Powrot do spisu tresci" xr:uid="{00000000-0004-0000-1400-000057000000}"/>
    <hyperlink ref="N1488" location="Input!C183" display="Powrot do spisu tresci" xr:uid="{00000000-0004-0000-1400-000058000000}"/>
    <hyperlink ref="N1495" location="Input!C184" display="Powrot do spisu tresci" xr:uid="{00000000-0004-0000-1400-000059000000}"/>
    <hyperlink ref="N1508" location="Input!C185" display="Powrot do spisu tresci" xr:uid="{00000000-0004-0000-1400-00005A000000}"/>
    <hyperlink ref="N1518" location="Input!C186" display="Powrot do spisu tresci" xr:uid="{00000000-0004-0000-1400-00005B000000}"/>
    <hyperlink ref="N1601" location="Input!C187" display="Powrot do spisu tresci" xr:uid="{00000000-0004-0000-1400-00005C000000}"/>
    <hyperlink ref="N1644" location="Input!C188" display="Powrot do spisu tresci" xr:uid="{00000000-0004-0000-1400-00005D000000}"/>
    <hyperlink ref="N1651" location="Input!C189" display="Powrot do spisu tresci" xr:uid="{00000000-0004-0000-1400-00005E000000}"/>
    <hyperlink ref="N1667" location="Input!C190" display="Powrot do spisu tresci" xr:uid="{00000000-0004-0000-1400-00005F000000}"/>
    <hyperlink ref="L6" location="_aktywa!$D$9" display="_aktywa!$D$9" xr:uid="{00000000-0004-0000-1400-000060000000}"/>
    <hyperlink ref="L77" location="_aktywa!$D$15" display="_aktywa!$D$15" xr:uid="{00000000-0004-0000-1400-000061000000}"/>
    <hyperlink ref="L166" location="_aktywa!$D$21" display="_aktywa!$D$21" xr:uid="{00000000-0004-0000-1400-000062000000}"/>
    <hyperlink ref="L195" location="_aktywa!$D$23" display="_aktywa!$D$23" xr:uid="{00000000-0004-0000-1400-000063000000}"/>
    <hyperlink ref="L232" location="_aktywa!$D$27" display="_aktywa!$D$27" xr:uid="{00000000-0004-0000-1400-000064000000}"/>
    <hyperlink ref="L390" location="_aktywa!$D$49" display="_aktywa!$D$49" xr:uid="{00000000-0004-0000-1400-000065000000}"/>
    <hyperlink ref="L422" location="_aktywa!$D$51" display="_aktywa!$D$51" xr:uid="{00000000-0004-0000-1400-000066000000}"/>
    <hyperlink ref="L463" location="_aktywa!$D$57" display="_aktywa!$D$57" xr:uid="{00000000-0004-0000-1400-000067000000}"/>
    <hyperlink ref="L465" location="_aktywa!$D$59" display="_aktywa!$D$59" xr:uid="{00000000-0004-0000-1400-000068000000}"/>
    <hyperlink ref="L609" location="_aktywa!$D$93" display="_aktywa!$D$93" xr:uid="{00000000-0004-0000-1400-000069000000}"/>
    <hyperlink ref="L613" location="_aktywa!$D$94" display="_aktywa!$D$94" xr:uid="{00000000-0004-0000-1400-00006A000000}"/>
    <hyperlink ref="L1183" location="_pasywa!$D$22" display="_pasywa!$D$22" xr:uid="{00000000-0004-0000-1400-00006B000000}"/>
    <hyperlink ref="L564" location="_pasywa!$D$9" display="_pasywa!$D$9" xr:uid="{00000000-0004-0000-1400-00006C000000}"/>
    <hyperlink ref="L619" location="_pasywa!$D$23" display="_pasywa!$D$23" xr:uid="{00000000-0004-0000-1400-00006D000000}"/>
    <hyperlink ref="L629" location="_pasywa!$D$27" display="_pasywa!$D$27" xr:uid="{00000000-0004-0000-1400-00006E000000}"/>
    <hyperlink ref="L639" location="_pasywa!$D$28" display="_pasywa!$D$28" xr:uid="{00000000-0004-0000-1400-00006F000000}"/>
    <hyperlink ref="L655" location="_pasywa!$D$29" display="_pasywa!$D$29" xr:uid="{00000000-0004-0000-1400-000070000000}"/>
    <hyperlink ref="L681" location="_pasywa!$D$31" display="_pasywa!$D$31" xr:uid="{00000000-0004-0000-1400-000071000000}"/>
    <hyperlink ref="L694" location="_pasywa!$D$32" display="_pasywa!$D$32" xr:uid="{00000000-0004-0000-1400-000072000000}"/>
    <hyperlink ref="L768" location="_pasywa!$D$64" display="_pasywa!$D$64" xr:uid="{00000000-0004-0000-1400-000073000000}"/>
    <hyperlink ref="L770" location="_pasywa!$D$65" display="_pasywa!$D$65" xr:uid="{00000000-0004-0000-1400-000074000000}"/>
    <hyperlink ref="L780" location="_pasywa!$D$66" display="_pasywa!$D$66" xr:uid="{00000000-0004-0000-1400-000075000000}"/>
    <hyperlink ref="L915" location="rzis!$D$8" display="rzis!$D$8" xr:uid="{00000000-0004-0000-1400-000076000000}"/>
    <hyperlink ref="L962" location="rzis!$D$26" display="rzis!$D$26" xr:uid="{00000000-0004-0000-1400-000077000000}"/>
    <hyperlink ref="L990" location="rzis!$D$31" display="rzis!$D$31" xr:uid="{00000000-0004-0000-1400-000078000000}"/>
    <hyperlink ref="L1016" location="rzis!$D$36" display="rzis!$D$36" xr:uid="{00000000-0004-0000-1400-000079000000}"/>
    <hyperlink ref="L1018" location="rzis!$D$42" display="rzis!$D$42" xr:uid="{00000000-0004-0000-1400-00007A000000}"/>
    <hyperlink ref="L1035" location="rzis!$D$46" display="rzis!$D$46" xr:uid="{00000000-0004-0000-1400-00007B000000}"/>
    <hyperlink ref="L1067" location="rzis!$D$47" display="rzis!$D$47" xr:uid="{00000000-0004-0000-1400-00007C000000}"/>
    <hyperlink ref="L1087" location="rzis!$D$48" display="rzis!$D$48" xr:uid="{00000000-0004-0000-1400-00007D000000}"/>
    <hyperlink ref="L1089" location="rzis!$D$49" display="rzis!$D$49" xr:uid="{00000000-0004-0000-1400-00007E000000}"/>
    <hyperlink ref="L1108" location="rzis!$D$53" display="rzis!$D$53" xr:uid="{00000000-0004-0000-1400-00007F000000}"/>
    <hyperlink ref="L1131" location="rzis!$D$54" display="rzis!$D$54" xr:uid="{00000000-0004-0000-1400-000080000000}"/>
    <hyperlink ref="L1162" location="rzis!$D$56" display="rzis!$D$56" xr:uid="{00000000-0004-0000-1400-000081000000}"/>
    <hyperlink ref="L668" location="_pasywa!$D$30" display="_pasywa!$D$30" xr:uid="{00000000-0004-0000-1400-000082000000}"/>
    <hyperlink ref="N599" location="Input!C121" display="Powrot do spisu tresci" xr:uid="{00000000-0004-0000-1400-000083000000}"/>
    <hyperlink ref="N551" location="Input!C116" display="Powrot do spisu tresci" xr:uid="{00000000-0004-0000-1400-000084000000}"/>
    <hyperlink ref="L551" location="Aktywa!$D$51" display="Aktywa!$D$51" xr:uid="{00000000-0004-0000-1400-000085000000}"/>
    <hyperlink ref="N553" location="Input!C117" display="Powrot do spisu tresci" xr:uid="{00000000-0004-0000-1400-000086000000}"/>
    <hyperlink ref="N1441" location="Input!C178" display="Powrot do spisu tresci" xr:uid="{00000000-0004-0000-1400-000087000000}"/>
    <hyperlink ref="N1449" location="Input!C179" display="Powrot do spisu tresci" xr:uid="{00000000-0004-0000-1400-000088000000}"/>
    <hyperlink ref="N1457" location="Input!C180" display="Powrot do spisu tresci" xr:uid="{00000000-0004-0000-1400-000089000000}"/>
    <hyperlink ref="N1465" location="Input!C181" display="Powrot do spisu tresci" xr:uid="{00000000-0004-0000-1400-00008A000000}"/>
    <hyperlink ref="N1682" location="Input!C192" display="Powrot do spisu tresci" xr:uid="{00000000-0004-0000-1400-00008B000000}"/>
    <hyperlink ref="L553" location="_aktywa!$D$88" display="_aktywa!$D$88" xr:uid="{00000000-0004-0000-1400-00008C000000}"/>
    <hyperlink ref="N1150" location="Input!C162" display="Powrot do spisu tresci" xr:uid="{00000000-0004-0000-1400-00008D000000}"/>
    <hyperlink ref="L1150" location="_aktywa!$D$9" display="_aktywa!$D$9" xr:uid="{00000000-0004-0000-1400-00008E000000}"/>
    <hyperlink ref="N1743" location="Input!C194" display="Powrot do spisu tresci" xr:uid="{00000000-0004-0000-1400-00008F000000}"/>
    <hyperlink ref="N748" location="Input!C135" display="Powrot do spisu tresci" xr:uid="{00000000-0004-0000-1400-000090000000}"/>
    <hyperlink ref="N946" location="Input!C151" display="Powrot do spisu tresci" xr:uid="{E34F9FB4-1594-4326-B983-26944D6BE6F3}"/>
    <hyperlink ref="N1382" location="Input!C171" display="Powrot do spisu tresci" xr:uid="{640DB0AA-04EF-4E26-AA7D-E4D2FB0770D4}"/>
    <hyperlink ref="N1675" location="Input!C191" display="Powrot do spisu tresci" xr:uid="{458D2B43-5C40-4813-AE39-E90E5CEDD373}"/>
    <hyperlink ref="N1175" location="Input!C164" display="Powrot do spisu tresci" xr:uid="{37C98265-9256-4F59-8C76-A7D99951568D}"/>
    <hyperlink ref="N1724" location="Input!C193" display="Powrot do spisu tresci" xr:uid="{E6A2796A-E411-4232-9775-70BACAE743E6}"/>
  </hyperlinks>
  <pageMargins left="0.6692913385826772" right="0.6692913385826772" top="0.98425196850393704" bottom="0.98425196850393704" header="0.51181102362204722" footer="0.51181102362204722"/>
  <pageSetup paperSize="9" scale="90" orientation="portrait" blackAndWhite="1" r:id="rId1"/>
  <headerFooter alignWithMargins="0">
    <oddFooter>&amp;C&amp;"Times New Roman.Normalny"&amp;10&amp;P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604" r:id="rId4" name="Odkryj wszystkie wiersze">
              <controlPr defaultSize="0" print="0" autoFill="0" autoPict="0" macro="[0]!filtr_Odkryj">
                <anchor>
                  <from>
                    <xdr:col>10</xdr:col>
                    <xdr:colOff>282633</xdr:colOff>
                    <xdr:row>0</xdr:row>
                    <xdr:rowOff>41564</xdr:rowOff>
                  </from>
                  <to>
                    <xdr:col>12</xdr:col>
                    <xdr:colOff>182880</xdr:colOff>
                    <xdr:row>0</xdr:row>
                    <xdr:rowOff>507076</xdr:rowOff>
                  </to>
                </anchor>
              </controlPr>
            </control>
          </mc:Choice>
        </mc:AlternateContent>
        <mc:AlternateContent xmlns:mc="http://schemas.openxmlformats.org/markup-compatibility/2006">
          <mc:Choice Requires="x14">
            <control shapeId="110606" r:id="rId5" name="Ukryj wszystkie wiersze">
              <controlPr defaultSize="0" print="0" autoFill="0" autoPict="0" macro="[0]!filtr_Ukryj_Arkusz">
                <anchor>
                  <from>
                    <xdr:col>9</xdr:col>
                    <xdr:colOff>0</xdr:colOff>
                    <xdr:row>0</xdr:row>
                    <xdr:rowOff>41564</xdr:rowOff>
                  </from>
                  <to>
                    <xdr:col>10</xdr:col>
                    <xdr:colOff>257695</xdr:colOff>
                    <xdr:row>0</xdr:row>
                    <xdr:rowOff>507076</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
    <tabColor rgb="FFFF0000"/>
  </sheetPr>
  <dimension ref="B3:AU475"/>
  <sheetViews>
    <sheetView topLeftCell="Q1" workbookViewId="0">
      <selection activeCell="AS176" sqref="AS176"/>
    </sheetView>
  </sheetViews>
  <sheetFormatPr defaultRowHeight="15.05" x14ac:dyDescent="0.3"/>
  <cols>
    <col min="1" max="1" width="13.6640625" customWidth="1"/>
    <col min="2" max="2" width="16.44140625" customWidth="1"/>
    <col min="3" max="3" width="60" bestFit="1" customWidth="1"/>
    <col min="4" max="4" width="12.6640625" bestFit="1" customWidth="1"/>
    <col min="5" max="5" width="14.33203125" bestFit="1" customWidth="1"/>
    <col min="6" max="7" width="14.33203125" style="18" customWidth="1"/>
    <col min="8" max="8" width="10" style="18" customWidth="1"/>
    <col min="9" max="9" width="14.33203125" style="18" bestFit="1" customWidth="1"/>
    <col min="10" max="10" width="11.109375" bestFit="1" customWidth="1"/>
    <col min="11" max="11" width="35.6640625" customWidth="1"/>
    <col min="13" max="13" width="14.88671875" bestFit="1" customWidth="1"/>
    <col min="14" max="14" width="14.88671875" customWidth="1"/>
    <col min="15" max="16" width="14.88671875" style="18" customWidth="1"/>
    <col min="17" max="17" width="12.6640625" style="18" bestFit="1" customWidth="1"/>
    <col min="19" max="19" width="11.44140625" style="252" customWidth="1"/>
    <col min="20" max="21" width="10.6640625" style="253" customWidth="1"/>
    <col min="22" max="22" width="9.109375" style="253"/>
    <col min="23" max="23" width="10.44140625" style="254" bestFit="1" customWidth="1"/>
    <col min="31" max="32" width="13.5546875" bestFit="1" customWidth="1"/>
  </cols>
  <sheetData>
    <row r="3" spans="2:47" x14ac:dyDescent="0.3">
      <c r="D3" s="20"/>
      <c r="AA3" t="str">
        <f>"DRIVER=SQL Server;SERVER="&amp;Input!$C$4&amp;";Trusted_Connection=Yes;APP=Microsoft Office 2010;DATABASE="&amp;Input!$C$3</f>
        <v>DRIVER=SQL Server;SERVER=wawsrvsql001;Trusted_Connection=Yes;APP=Microsoft Office 2010;DATABASE=008</v>
      </c>
    </row>
    <row r="4" spans="2:47" x14ac:dyDescent="0.3">
      <c r="AA4" t="str">
        <f>"SELECT gbkmut.reknr AS GL_Account,  MIN(grtbk.oms25_0) AS GL_Description,  grtbk.bal_vw AS 'Typ_Konta'," &amp;  " Case when Sum(gbkmut.bdr_hfl) &lt;=-0.01 And (grtbk.omzrek='B' Or grtbk.omzrek = 'S') then '' Else grtbk.omzrek End As 'PodTyp_Konta',  
Round(Sum(gbkmut.bdr_hfl),2) As 'Kwota' FROM gbkmut WITH (NOLOCK) " &amp; "INNER JOIN grtbk WITH (NOLOCK) ON grtbk.reknr = gbkmut.reknr " &amp;
"WHERE transtype IN('N','C','P')   AND gbkmut.reknr &gt;= '    01000' AND gbkmut.reknr &lt;= '    87200' AND grtbk.bal_vw IN ('B') AND gbkmut.docdate &lt;=  '"&amp;TEXT(Input!$R$11,"rrrr-mm-dd")&amp;"' " &amp;
"GROUP BY gbkmut.reknr, grtbk.bal_vw, grtbk.omzrek  
UNION ALL" &amp; " 
SELECT gbkmut.reknr AS GL_Account,  MIN(grtbk.oms25_0) AS GL_Description,  grtbk.bal_vw AS 'Typ_Konta', grtbk.omzrek As 'PodTyp_Konta', Round(Sum(gbkmut.bdr_hfl),2) As 'Kwota' " &amp;
"FROM gbkmut WITH (NOLOCK)  INNER JOIN grtbk WITH (NOLOCK) ON grtbk.reknr = gbkmut.reknr " &amp;
"WHERE transtype IN('N','C','P')   AND gbkmut.reknr &gt;= '    01000' AND gbkmut.reknr &lt;= '    87200' AND grtbk.bal_vw IN ('W') AND gbkmut.docdate between '"&amp;TEXT(Input!$R$10,"rrrr-mm-dd")&amp;"' AND '"&amp;TEXT(Input!$R$11,"rrrr-mm-dd")&amp;"' 
GROUP BY gbkmut.reknr, grtbk.bal_vw, grtbk.omzrek  
Order By gbkmut.reknr"</f>
        <v>SELECT gbkmut.reknr AS GL_Account,  MIN(grtbk.oms25_0) AS GL_Description,  grtbk.bal_vw AS 'Typ_Konta', Case when Sum(gbkmut.bdr_hfl) &lt;=-0.01 And (grtbk.omzrek='B' Or grtbk.omzrek = 'S') then '' Else grtbk.omzrek End As 'PodTyp_Konta',  
Round(Sum(gbkmut.bdr_hfl),2) As 'Kwota' FROM gbkmut WITH (NOLOCK) INNER JOIN grtbk WITH (NOLOCK) ON grtbk.reknr = gbkmut.reknr WHERE transtype IN('N','C','P')   AND gbkmut.reknr &gt;= '    01000' AND gbkmut.reknr &lt;= '    87200' AND grtbk.bal_vw IN ('B') AND gbkmut.docdate &lt;=  '2019-12-31' GROUP BY gbkmut.reknr, grtbk.bal_vw, grtbk.omzrek  
UNION ALL 
SELECT gbkmut.reknr AS GL_Account,  MIN(grtbk.oms25_0) AS GL_Description,  grtbk.bal_vw AS 'Typ_Konta', grtbk.omzrek As 'PodTyp_Konta', Round(Sum(gbkmut.bdr_hfl),2) As 'Kwota' FROM gbkmut WITH (NOLOCK)  INNER JOIN grtbk WITH (NOLOCK) ON grtbk.reknr = gbkmut.reknr WHERE transtype IN('N','C','P')   AND gbkmut.reknr &gt;= '    01000' AND gbkmut.reknr &lt;= '    87200' AND grtbk.bal_vw IN ('W') AND gbkmut.docdate between '2019-01-01' AND '2019-12-31' 
GROUP BY gbkmut.reknr, grtbk.bal_vw, grtbk.omzrek  
Order By gbkmut.reknr</v>
      </c>
    </row>
    <row r="5" spans="2:47" x14ac:dyDescent="0.3">
      <c r="C5" t="s">
        <v>11427</v>
      </c>
      <c r="D5" t="s">
        <v>3231</v>
      </c>
      <c r="H5" s="777"/>
      <c r="AA5" t="str">
        <f>"SELECT gbkmut.reknr AS GL_Account,  MIN(grtbk.oms25_0) AS GL_Description,  grtbk.bal_vw AS 'Typ_Konta', Case " &amp; "when Sum(gbkmut.bdr_hfl) &lt;=-0.01 And (grtbk.omzrek='B' Or grtbk.omzrek = 'S') then '' Else grtbk.omzrek End As 'PodTyp_Konta',  Round(Sum(gbkmut.bdr_hfl),2)  As 'Kwota' " &amp;
"FROM gbkmut WITH (NOLOCK)  INNER JOIN grtbk WITH (NOLOCK) ON grtbk.reknr = gbkmut.reknr " &amp;
"WHERE transtype IN('N','C','P')   AND gbkmut.reknr &gt;= '    01000' AND gbkmut.reknr &lt;= '    87200' AND grtbk.bal_vw IN ('B') AND gbkmut.docdate between '"&amp;TEXT(DataOd,"rrrr-mm-dd")&amp;"' AND '"&amp;TEXT(DataDo,"rrrr-mm-dd")&amp;"'  
GROUP BY gbkmut.reknr, grtbk.bal_vw, grtbk.omzrek  " &amp;
"UNION ALL 
SELECT gbkmut.reknr AS GL_Account,  MIN(grtbk.oms25_0) AS GL_Description,  grtbk.bal_vw AS 'Typ_Konta', grtbk.omzrek As 'PodTyp_Konta', Round(Sum(gbkmut.bdr_hfl),2) As 'Kwota' " &amp;
"FROM gbkmut WITH (NOLOCK)  INNER JOIN grtbk WITH (NOLOCK) ON grtbk.reknr = gbkmut.reknr 
WHERE " &amp; "transtype IN('N','C','P')   AND gbkmut.reknr &gt;= '    01000' AND gbkmut.reknr &lt;= '    87200' AND grtbk.bal_vw IN ('W') AND gbkmut.docdate between '"&amp;TEXT(DataOd,"rrrr-mm-dd")&amp;"' AND '"&amp;TEXT(DataDo,"rrrr-mm-dd")&amp; "'
GROUP BY gbkmut.reknr, grtbk.bal_vw, grtbk.omzrek  
Order By gbkmut.reknr"</f>
        <v>SELECT gbkmut.reknr AS GL_Account,  MIN(grtbk.oms25_0) AS GL_Description,  grtbk.bal_vw AS 'Typ_Konta', Case when Sum(gbkmut.bdr_hfl) &lt;=-0.01 And (grtbk.omzrek='B' Or grtbk.omzrek = 'S') then '' Else grtbk.omzrek End As 'PodTyp_Konta',  Round(Sum(gbkmut.bdr_hfl),2)  As 'Kwota' FROM gbkmut WITH (NOLOCK)  INNER JOIN grtbk WITH (NOLOCK) ON grtbk.reknr = gbkmut.reknr WHERE transtype IN('N','C','P')   AND gbkmut.reknr &gt;= '    01000' AND gbkmut.reknr &lt;= '    87200' AND grtbk.bal_vw IN ('B') AND gbkmut.docdate between '2020-01-01' AND '2020-12-31'  
GROUP BY gbkmut.reknr, grtbk.bal_vw, grtbk.omzrek  UNION ALL 
SELECT gbkmut.reknr AS GL_Account,  MIN(grtbk.oms25_0) AS GL_Description,  grtbk.bal_vw AS 'Typ_Konta', grtbk.omzrek As 'PodTyp_Konta', Round(Sum(gbkmut.bdr_hfl),2) As 'Kwota' FROM gbkmut WITH (NOLOCK)  INNER JOIN grtbk WITH (NOLOCK) ON grtbk.reknr = gbkmut.reknr 
WHERE transtype IN('N','C','P')   AND gbkmut.reknr &gt;= '    01000' AND gbkmut.reknr &lt;= '    87200' AND grtbk.bal_vw IN ('W') AND gbkmut.docdate between '2020-01-01' AND '2020-12-31'
GROUP BY gbkmut.reknr, grtbk.bal_vw, grtbk.omzrek  
Order By gbkmut.reknr</v>
      </c>
    </row>
    <row r="6" spans="2:47" x14ac:dyDescent="0.3">
      <c r="C6" s="19"/>
      <c r="D6" s="19"/>
      <c r="H6" s="777"/>
      <c r="AA6" t="str">
        <f>"SELECT Ltrim(Rtrim(gbkmut.reknr)) AS GL_Account, grtbk.omzrek As 'PodTyp_Konta',   
(
Select Round(Sum(a.bdr_hfl),2) 
from gbkmut a
where a.docdate &lt;= '"&amp;TEXT(Input!$R$11,"rrrr-mm-dd")&amp;"' And a.reknr = gbkmut.reknr And transtype IN('N','C','P')
) As 'BO' ," &amp;
"(
Select Round(Sum(a.bdr_hfl),2) 
from gbkmut a
where a.docdate between '"&amp;TEXT(DataOd,"rrrr-mm-dd")&amp;"' AND '"&amp;TEXT(DataDo,"rrrr-mm-dd")&amp;"'   And a.reknr = gbkmut.reknr  And transtype IN('N','C','P')
) As 'Saldo' " &amp;
"FROM gbkmut WITH (NOLOCK)  INNER JOIN grtbk WITH (NOLOCK) ON grtbk.reknr = gbkmut.reknr 
WHERE transtype IN('N','C','P')   AND gbkmut.reknr &gt;= '    01000' AND gbkmut.reknr &lt;= '    87200' AND grtbk.bal_vw IN ('B') AND grtbk.omzrek In ('S', 'B')  " &amp;
"GROUP BY gbkmut.reknr, grtbk.bal_vw, grtbk.omzrek  
Order by gbkmut.reknr  
"</f>
        <v xml:space="preserve">SELECT Ltrim(Rtrim(gbkmut.reknr)) AS GL_Account, grtbk.omzrek As 'PodTyp_Konta',   
(
Select Round(Sum(a.bdr_hfl),2) 
from gbkmut a
where a.docdate &lt;= '2019-12-31' And a.reknr = gbkmut.reknr And transtype IN('N','C','P')
) As 'BO' ,(
Select Round(Sum(a.bdr_hfl),2) 
from gbkmut a
where a.docdate between '2020-01-01' AND '2020-12-31'   And a.reknr = gbkmut.reknr  And transtype IN('N','C','P')
) As 'Saldo' FROM gbkmut WITH (NOLOCK)  INNER JOIN grtbk WITH (NOLOCK) ON grtbk.reknr = gbkmut.reknr 
WHERE transtype IN('N','C','P')   AND gbkmut.reknr &gt;= '    01000' AND gbkmut.reknr &lt;= '    87200' AND grtbk.bal_vw IN ('B') AND grtbk.omzrek In ('S', 'B')  GROUP BY gbkmut.reknr, grtbk.bal_vw, grtbk.omzrek  
Order by gbkmut.reknr  
</v>
      </c>
    </row>
    <row r="7" spans="2:47" x14ac:dyDescent="0.3">
      <c r="B7" t="s">
        <v>11428</v>
      </c>
      <c r="M7" t="s">
        <v>11429</v>
      </c>
      <c r="S7" s="1517" t="s">
        <v>11430</v>
      </c>
      <c r="T7" s="1518"/>
      <c r="U7" s="1518"/>
      <c r="V7" s="1518"/>
      <c r="W7" s="1519"/>
    </row>
    <row r="8" spans="2:47" x14ac:dyDescent="0.3">
      <c r="B8" t="s">
        <v>11431</v>
      </c>
      <c r="C8" t="s">
        <v>11432</v>
      </c>
      <c r="D8" t="s">
        <v>11433</v>
      </c>
      <c r="E8" t="s">
        <v>11434</v>
      </c>
      <c r="F8" s="18" t="s">
        <v>11435</v>
      </c>
      <c r="G8" s="18" t="s">
        <v>11436</v>
      </c>
      <c r="H8" s="18" t="s">
        <v>11437</v>
      </c>
      <c r="I8" s="18" t="s">
        <v>11438</v>
      </c>
      <c r="J8" t="s">
        <v>11439</v>
      </c>
      <c r="K8" t="s">
        <v>11440</v>
      </c>
      <c r="M8" t="s">
        <v>11431</v>
      </c>
      <c r="N8" t="s">
        <v>11434</v>
      </c>
      <c r="O8" s="18" t="s">
        <v>11435</v>
      </c>
      <c r="P8" s="18" t="s">
        <v>11441</v>
      </c>
      <c r="Q8" s="18" t="s">
        <v>11438</v>
      </c>
      <c r="S8" s="252" t="s">
        <v>11442</v>
      </c>
      <c r="T8" s="253" t="s">
        <v>11443</v>
      </c>
      <c r="U8" s="253" t="s">
        <v>11435</v>
      </c>
      <c r="V8" s="253" t="s">
        <v>11436</v>
      </c>
      <c r="W8" s="254" t="s">
        <v>11444</v>
      </c>
      <c r="Z8" t="str">
        <f>IF(OR(AD8="B",AD8="S"),AA8,INDEX(B:B,MATCH(AA8,B:B,0)))</f>
        <v>GL_Account</v>
      </c>
      <c r="AA8" t="s">
        <v>11431</v>
      </c>
      <c r="AB8" t="s">
        <v>11432</v>
      </c>
      <c r="AC8" t="s">
        <v>11433</v>
      </c>
      <c r="AD8" t="s">
        <v>11434</v>
      </c>
      <c r="AE8" t="s">
        <v>10083</v>
      </c>
      <c r="AU8" t="s">
        <v>11445</v>
      </c>
    </row>
    <row r="9" spans="2:47" x14ac:dyDescent="0.3">
      <c r="B9" t="s">
        <v>11446</v>
      </c>
      <c r="E9" t="s">
        <v>11447</v>
      </c>
      <c r="F9" s="18">
        <f>IF($D$5="tak",SUMIFS(Bank[BO],Bank[PodTyp_Konta],Obrotowka[[#This Row],[PodTyp_Konta]],Bank[BO],"&gt;0")/1000,SUMIFS(Bank[BO],Bank[PodTyp_Konta],Obrotowka[[#This Row],[PodTyp_Konta]],Bank[BO],"&gt;0"))</f>
        <v>0</v>
      </c>
      <c r="G9" s="18">
        <f>IF($D$5="tak",SUMIFS(Bank[Obroty],Bank[PodTyp_Konta],Obrotowka[[#This Row],[PodTyp_Konta]],Bank[Obroty],"&gt;0")/1000,SUMIFS(Bank[Obroty],Bank[PodTyp_Konta],Obrotowka[[#This Row],[PodTyp_Konta]],Bank[Obroty],"&gt;0"))</f>
        <v>0</v>
      </c>
      <c r="I9" s="18">
        <f>SUM(Obrotowka[[#This Row],[BO]:[MA]])</f>
        <v>0</v>
      </c>
      <c r="J9">
        <f>IF(Obrotowka[[#This Row],[BZ]]=0,0,1)</f>
        <v>0</v>
      </c>
      <c r="K9" s="253"/>
      <c r="Q9" s="18">
        <f>SUM(Bank[[#This Row],[BO]:[Obroty]])</f>
        <v>0</v>
      </c>
      <c r="S9" s="255"/>
      <c r="T9" s="256"/>
      <c r="U9" s="256"/>
      <c r="AE9" s="18"/>
      <c r="AF9" s="18"/>
      <c r="AU9" t="s">
        <v>8246</v>
      </c>
    </row>
    <row r="10" spans="2:47" x14ac:dyDescent="0.3">
      <c r="B10" t="s">
        <v>11448</v>
      </c>
      <c r="E10" t="s">
        <v>3505</v>
      </c>
      <c r="F10" s="18">
        <f>IF($D$5="tak",SUMIFS(Bank[BO],Bank[PodTyp_Konta],Obrotowka[[#This Row],[PodTyp_Konta]],Bank[BO],"&gt;0")/1000,SUMIFS(Bank[BO],Bank[PodTyp_Konta],Obrotowka[[#This Row],[PodTyp_Konta]],Bank[BO],"&gt;0"))</f>
        <v>0</v>
      </c>
      <c r="G10" s="18">
        <f>IF($D$5="tak",SUMIFS(Bank[Obroty],Bank[PodTyp_Konta],Obrotowka[[#This Row],[PodTyp_Konta]],Bank[Obroty],"&gt;0")/1000,SUMIFS(Bank[Obroty],Bank[PodTyp_Konta],Obrotowka[[#This Row],[PodTyp_Konta]],Bank[Obroty],"&gt;0"))</f>
        <v>0</v>
      </c>
      <c r="I10" s="18">
        <f>SUM(Obrotowka[[#This Row],[BO]:[MA]])</f>
        <v>0</v>
      </c>
      <c r="J10">
        <f>IF(Obrotowka[[#This Row],[BZ]]=0,0,1)</f>
        <v>0</v>
      </c>
      <c r="K10" s="253"/>
      <c r="AE10" s="18"/>
      <c r="AF10" s="18"/>
      <c r="AU10" t="s">
        <v>8246</v>
      </c>
    </row>
    <row r="11" spans="2:47" x14ac:dyDescent="0.3">
      <c r="B11" s="20" t="s">
        <v>11449</v>
      </c>
      <c r="C11" t="s">
        <v>11450</v>
      </c>
      <c r="D11" t="s">
        <v>3505</v>
      </c>
      <c r="E11" t="s">
        <v>4326</v>
      </c>
      <c r="F11" s="18">
        <f>IF($D$5="tak",(SUMIFS(AE:AE,AA:AA,Obrotowka[[#This Row],[GL_Account]])-SUMIFS(U:U,S:S,Obrotowka[[#This Row],[GL_Account]])+SUMIFS(U:U,T:T,Obrotowka[[#This Row],[GL_Account]]))/1000,(SUMIFS(AE:AE,AA:AA,Obrotowka[[#This Row],[GL_Account]])-SUMIFS(U:U,S:S,Obrotowka[[#This Row],[GL_Account]])+SUMIFS(U:U,T:T,Obrotowka[[#This Row],[GL_Account]])))</f>
        <v>0</v>
      </c>
      <c r="G11" s="18">
        <f>IF($D$5="tak",(SUMIFS(AL:AL,AH:AH,Obrotowka[[#This Row],[GL_Account]],AL:AL,"&gt;=0")-SUMIFS(V:V,S:S,Obrotowka[[#This Row],[GL_Account]])+SUMIFS(V:V,T:T,Obrotowka[[#This Row],[GL_Account]]))/1000,(SUMIFS(AL:AL,AH:AH,Obrotowka[[#This Row],[GL_Account]],AL:AL,"&gt;=0")-SUMIFS(V:V,S:S,Obrotowka[[#This Row],[GL_Account]])+SUMIFS(V:V,T:T,Obrotowka[[#This Row],[GL_Account]])))</f>
        <v>0</v>
      </c>
      <c r="H11" s="18">
        <f>IF($D$5="tak",SUMIFS(AL:AL,AH:AH,Obrotowka[[#This Row],[GL_Account]],AL:AL,"&lt;0")/1000,SUMIFS(AL:AL,AH:AH,Obrotowka[[#This Row],[GL_Account]],AL:AL,"&lt;0"))</f>
        <v>0</v>
      </c>
      <c r="I11" s="18">
        <f>SUM(Obrotowka[[#This Row],[BO]:[MA]])</f>
        <v>0</v>
      </c>
      <c r="J11">
        <f>IF(Obrotowka[[#This Row],[BZ]]=0,0,1)</f>
        <v>0</v>
      </c>
      <c r="K11" s="253"/>
      <c r="AE11" s="18"/>
      <c r="AF11" s="18"/>
      <c r="AU11" t="s">
        <v>7980</v>
      </c>
    </row>
    <row r="12" spans="2:47" x14ac:dyDescent="0.3">
      <c r="B12" t="s">
        <v>11451</v>
      </c>
      <c r="C12" t="s">
        <v>11452</v>
      </c>
      <c r="D12" t="s">
        <v>3505</v>
      </c>
      <c r="E12" t="s">
        <v>4326</v>
      </c>
      <c r="F12" s="18">
        <f>IF($D$5="tak",(SUMIFS(AE:AE,AA:AA,Obrotowka[[#This Row],[GL_Account]])-SUMIFS(U:U,S:S,Obrotowka[[#This Row],[GL_Account]])+SUMIFS(U:U,T:T,Obrotowka[[#This Row],[GL_Account]]))/1000,(SUMIFS(AE:AE,AA:AA,Obrotowka[[#This Row],[GL_Account]])-SUMIFS(U:U,S:S,Obrotowka[[#This Row],[GL_Account]])+SUMIFS(U:U,T:T,Obrotowka[[#This Row],[GL_Account]])))</f>
        <v>0</v>
      </c>
      <c r="G12" s="18">
        <f>IF($D$5="tak",(SUMIFS(AL:AL,AH:AH,Obrotowka[[#This Row],[GL_Account]],AL:AL,"&gt;=0")-SUMIFS(V:V,S:S,Obrotowka[[#This Row],[GL_Account]])+SUMIFS(V:V,T:T,Obrotowka[[#This Row],[GL_Account]]))/1000,(SUMIFS(AL:AL,AH:AH,Obrotowka[[#This Row],[GL_Account]],AL:AL,"&gt;=0")-SUMIFS(V:V,S:S,Obrotowka[[#This Row],[GL_Account]])+SUMIFS(V:V,T:T,Obrotowka[[#This Row],[GL_Account]])))</f>
        <v>0</v>
      </c>
      <c r="H12" s="18">
        <f>IF($D$5="tak",SUMIFS(AL:AL,AH:AH,Obrotowka[[#This Row],[GL_Account]],AL:AL,"&lt;0")/1000,SUMIFS(AL:AL,AH:AH,Obrotowka[[#This Row],[GL_Account]],AL:AL,"&lt;0"))</f>
        <v>0</v>
      </c>
      <c r="I12" s="18">
        <f>SUM(Obrotowka[[#This Row],[BO]:[MA]])</f>
        <v>0</v>
      </c>
      <c r="J12">
        <f>IF(Obrotowka[[#This Row],[BZ]]=0,0,1)</f>
        <v>0</v>
      </c>
      <c r="K12" s="253"/>
      <c r="AE12" s="18"/>
      <c r="AF12" s="18"/>
      <c r="AU12" t="s">
        <v>7980</v>
      </c>
    </row>
    <row r="13" spans="2:47" x14ac:dyDescent="0.3">
      <c r="B13" t="s">
        <v>11453</v>
      </c>
      <c r="C13" t="s">
        <v>11454</v>
      </c>
      <c r="D13" t="s">
        <v>3505</v>
      </c>
      <c r="E13" t="s">
        <v>4326</v>
      </c>
      <c r="F13" s="18">
        <f>IF($D$5="tak",(SUMIFS(AE:AE,AA:AA,Obrotowka[[#This Row],[GL_Account]])-SUMIFS(U:U,S:S,Obrotowka[[#This Row],[GL_Account]])+SUMIFS(U:U,T:T,Obrotowka[[#This Row],[GL_Account]]))/1000,(SUMIFS(AE:AE,AA:AA,Obrotowka[[#This Row],[GL_Account]])-SUMIFS(U:U,S:S,Obrotowka[[#This Row],[GL_Account]])+SUMIFS(U:U,T:T,Obrotowka[[#This Row],[GL_Account]])))</f>
        <v>0</v>
      </c>
      <c r="G13" s="18">
        <f>IF($D$5="tak",(SUMIFS(AL:AL,AH:AH,Obrotowka[[#This Row],[GL_Account]],AL:AL,"&gt;=0")-SUMIFS(V:V,S:S,Obrotowka[[#This Row],[GL_Account]])+SUMIFS(V:V,T:T,Obrotowka[[#This Row],[GL_Account]]))/1000,(SUMIFS(AL:AL,AH:AH,Obrotowka[[#This Row],[GL_Account]],AL:AL,"&gt;=0")-SUMIFS(V:V,S:S,Obrotowka[[#This Row],[GL_Account]])+SUMIFS(V:V,T:T,Obrotowka[[#This Row],[GL_Account]])))</f>
        <v>0</v>
      </c>
      <c r="H13" s="18">
        <f>IF($D$5="tak",SUMIFS(AL:AL,AH:AH,Obrotowka[[#This Row],[GL_Account]],AL:AL,"&lt;0")/1000,SUMIFS(AL:AL,AH:AH,Obrotowka[[#This Row],[GL_Account]],AL:AL,"&lt;0"))</f>
        <v>0</v>
      </c>
      <c r="I13" s="18">
        <f>SUM(Obrotowka[[#This Row],[BO]:[MA]])</f>
        <v>0</v>
      </c>
      <c r="J13">
        <f>IF(Obrotowka[[#This Row],[BZ]]=0,0,1)</f>
        <v>0</v>
      </c>
      <c r="K13" s="253"/>
      <c r="AE13" s="18"/>
      <c r="AF13" s="18"/>
      <c r="AU13" t="s">
        <v>7980</v>
      </c>
    </row>
    <row r="14" spans="2:47" x14ac:dyDescent="0.3">
      <c r="B14" t="s">
        <v>11455</v>
      </c>
      <c r="C14" t="s">
        <v>11456</v>
      </c>
      <c r="D14" t="s">
        <v>3505</v>
      </c>
      <c r="E14" t="s">
        <v>4326</v>
      </c>
      <c r="F14" s="18">
        <f>IF($D$5="tak",(SUMIFS(AE:AE,AA:AA,Obrotowka[[#This Row],[GL_Account]])-SUMIFS(U:U,S:S,Obrotowka[[#This Row],[GL_Account]])+SUMIFS(U:U,T:T,Obrotowka[[#This Row],[GL_Account]]))/1000,(SUMIFS(AE:AE,AA:AA,Obrotowka[[#This Row],[GL_Account]])-SUMIFS(U:U,S:S,Obrotowka[[#This Row],[GL_Account]])+SUMIFS(U:U,T:T,Obrotowka[[#This Row],[GL_Account]])))</f>
        <v>0</v>
      </c>
      <c r="G14" s="18">
        <f>IF($D$5="tak",(SUMIFS(AL:AL,AH:AH,Obrotowka[[#This Row],[GL_Account]],AL:AL,"&gt;=0")-SUMIFS(V:V,S:S,Obrotowka[[#This Row],[GL_Account]])+SUMIFS(V:V,T:T,Obrotowka[[#This Row],[GL_Account]]))/1000,(SUMIFS(AL:AL,AH:AH,Obrotowka[[#This Row],[GL_Account]],AL:AL,"&gt;=0")-SUMIFS(V:V,S:S,Obrotowka[[#This Row],[GL_Account]])+SUMIFS(V:V,T:T,Obrotowka[[#This Row],[GL_Account]])))</f>
        <v>0</v>
      </c>
      <c r="H14" s="18">
        <f>IF($D$5="tak",SUMIFS(AL:AL,AH:AH,Obrotowka[[#This Row],[GL_Account]],AL:AL,"&lt;0")/1000,SUMIFS(AL:AL,AH:AH,Obrotowka[[#This Row],[GL_Account]],AL:AL,"&lt;0"))</f>
        <v>0</v>
      </c>
      <c r="I14" s="18">
        <f>SUM(Obrotowka[[#This Row],[BO]:[MA]])</f>
        <v>0</v>
      </c>
      <c r="J14">
        <f>IF(Obrotowka[[#This Row],[BZ]]=0,0,1)</f>
        <v>0</v>
      </c>
      <c r="K14" s="253"/>
      <c r="AE14" s="18"/>
      <c r="AF14" s="18"/>
      <c r="AU14" t="s">
        <v>7980</v>
      </c>
    </row>
    <row r="15" spans="2:47" x14ac:dyDescent="0.3">
      <c r="B15" t="s">
        <v>11457</v>
      </c>
      <c r="C15" t="s">
        <v>11458</v>
      </c>
      <c r="D15" t="s">
        <v>3505</v>
      </c>
      <c r="E15" t="s">
        <v>4326</v>
      </c>
      <c r="F15" s="18">
        <f>IF($D$5="tak",(SUMIFS(AE:AE,AA:AA,Obrotowka[[#This Row],[GL_Account]])-SUMIFS(U:U,S:S,Obrotowka[[#This Row],[GL_Account]])+SUMIFS(U:U,T:T,Obrotowka[[#This Row],[GL_Account]]))/1000,(SUMIFS(AE:AE,AA:AA,Obrotowka[[#This Row],[GL_Account]])-SUMIFS(U:U,S:S,Obrotowka[[#This Row],[GL_Account]])+SUMIFS(U:U,T:T,Obrotowka[[#This Row],[GL_Account]])))</f>
        <v>0</v>
      </c>
      <c r="G15" s="18">
        <f>IF($D$5="tak",(SUMIFS(AL:AL,AH:AH,Obrotowka[[#This Row],[GL_Account]],AL:AL,"&gt;=0")-SUMIFS(V:V,S:S,Obrotowka[[#This Row],[GL_Account]])+SUMIFS(V:V,T:T,Obrotowka[[#This Row],[GL_Account]]))/1000,(SUMIFS(AL:AL,AH:AH,Obrotowka[[#This Row],[GL_Account]],AL:AL,"&gt;=0")-SUMIFS(V:V,S:S,Obrotowka[[#This Row],[GL_Account]])+SUMIFS(V:V,T:T,Obrotowka[[#This Row],[GL_Account]])))</f>
        <v>0</v>
      </c>
      <c r="H15" s="18">
        <f>IF($D$5="tak",SUMIFS(AL:AL,AH:AH,Obrotowka[[#This Row],[GL_Account]],AL:AL,"&lt;0")/1000,SUMIFS(AL:AL,AH:AH,Obrotowka[[#This Row],[GL_Account]],AL:AL,"&lt;0"))</f>
        <v>0</v>
      </c>
      <c r="I15" s="18">
        <f>SUM(Obrotowka[[#This Row],[BO]:[MA]])</f>
        <v>0</v>
      </c>
      <c r="J15">
        <f>IF(Obrotowka[[#This Row],[BZ]]=0,0,1)</f>
        <v>0</v>
      </c>
      <c r="K15" s="253"/>
      <c r="AE15" s="18"/>
      <c r="AF15" s="18"/>
      <c r="AU15" t="s">
        <v>7985</v>
      </c>
    </row>
    <row r="16" spans="2:47" x14ac:dyDescent="0.3">
      <c r="B16" t="s">
        <v>11459</v>
      </c>
      <c r="C16" t="s">
        <v>11460</v>
      </c>
      <c r="D16" t="s">
        <v>3505</v>
      </c>
      <c r="E16" t="s">
        <v>4326</v>
      </c>
      <c r="F16" s="18">
        <f>IF($D$5="tak",(SUMIFS(AE:AE,AA:AA,Obrotowka[[#This Row],[GL_Account]])-SUMIFS(U:U,S:S,Obrotowka[[#This Row],[GL_Account]])+SUMIFS(U:U,T:T,Obrotowka[[#This Row],[GL_Account]]))/1000,(SUMIFS(AE:AE,AA:AA,Obrotowka[[#This Row],[GL_Account]])-SUMIFS(U:U,S:S,Obrotowka[[#This Row],[GL_Account]])+SUMIFS(U:U,T:T,Obrotowka[[#This Row],[GL_Account]])))</f>
        <v>0</v>
      </c>
      <c r="G16" s="18">
        <f>IF($D$5="tak",(SUMIFS(AL:AL,AH:AH,Obrotowka[[#This Row],[GL_Account]],AL:AL,"&gt;=0")-SUMIFS(V:V,S:S,Obrotowka[[#This Row],[GL_Account]])+SUMIFS(V:V,T:T,Obrotowka[[#This Row],[GL_Account]]))/1000,(SUMIFS(AL:AL,AH:AH,Obrotowka[[#This Row],[GL_Account]],AL:AL,"&gt;=0")-SUMIFS(V:V,S:S,Obrotowka[[#This Row],[GL_Account]])+SUMIFS(V:V,T:T,Obrotowka[[#This Row],[GL_Account]])))</f>
        <v>0</v>
      </c>
      <c r="H16" s="18">
        <f>IF($D$5="tak",SUMIFS(AL:AL,AH:AH,Obrotowka[[#This Row],[GL_Account]],AL:AL,"&lt;0")/1000,SUMIFS(AL:AL,AH:AH,Obrotowka[[#This Row],[GL_Account]],AL:AL,"&lt;0"))</f>
        <v>0</v>
      </c>
      <c r="I16" s="18">
        <f>SUM(Obrotowka[[#This Row],[BO]:[MA]])</f>
        <v>0</v>
      </c>
      <c r="J16">
        <f>IF(Obrotowka[[#This Row],[BZ]]=0,0,1)</f>
        <v>0</v>
      </c>
      <c r="K16" s="253"/>
      <c r="AE16" s="18"/>
      <c r="AF16" s="18"/>
      <c r="AU16" t="s">
        <v>7985</v>
      </c>
    </row>
    <row r="17" spans="2:47" x14ac:dyDescent="0.3">
      <c r="B17" t="s">
        <v>11461</v>
      </c>
      <c r="C17" t="s">
        <v>11462</v>
      </c>
      <c r="D17" t="s">
        <v>3505</v>
      </c>
      <c r="E17" t="s">
        <v>4326</v>
      </c>
      <c r="F17" s="18">
        <f>IF($D$5="tak",(SUMIFS(AE:AE,AA:AA,Obrotowka[[#This Row],[GL_Account]])-SUMIFS(U:U,S:S,Obrotowka[[#This Row],[GL_Account]])+SUMIFS(U:U,T:T,Obrotowka[[#This Row],[GL_Account]]))/1000,(SUMIFS(AE:AE,AA:AA,Obrotowka[[#This Row],[GL_Account]])-SUMIFS(U:U,S:S,Obrotowka[[#This Row],[GL_Account]])+SUMIFS(U:U,T:T,Obrotowka[[#This Row],[GL_Account]])))</f>
        <v>0</v>
      </c>
      <c r="G17" s="18">
        <f>IF($D$5="tak",(SUMIFS(AL:AL,AH:AH,Obrotowka[[#This Row],[GL_Account]],AL:AL,"&gt;=0")-SUMIFS(V:V,S:S,Obrotowka[[#This Row],[GL_Account]])+SUMIFS(V:V,T:T,Obrotowka[[#This Row],[GL_Account]]))/1000,(SUMIFS(AL:AL,AH:AH,Obrotowka[[#This Row],[GL_Account]],AL:AL,"&gt;=0")-SUMIFS(V:V,S:S,Obrotowka[[#This Row],[GL_Account]])+SUMIFS(V:V,T:T,Obrotowka[[#This Row],[GL_Account]])))</f>
        <v>0</v>
      </c>
      <c r="H17" s="18">
        <f>IF($D$5="tak",SUMIFS(AL:AL,AH:AH,Obrotowka[[#This Row],[GL_Account]],AL:AL,"&lt;0")/1000,SUMIFS(AL:AL,AH:AH,Obrotowka[[#This Row],[GL_Account]],AL:AL,"&lt;0"))</f>
        <v>0</v>
      </c>
      <c r="I17" s="18">
        <f>SUM(Obrotowka[[#This Row],[BO]:[MA]])</f>
        <v>0</v>
      </c>
      <c r="J17">
        <f>IF(Obrotowka[[#This Row],[BZ]]=0,0,1)</f>
        <v>0</v>
      </c>
      <c r="K17" s="253"/>
      <c r="AE17" s="18"/>
      <c r="AF17" s="18"/>
      <c r="AU17" t="s">
        <v>7985</v>
      </c>
    </row>
    <row r="18" spans="2:47" x14ac:dyDescent="0.3">
      <c r="B18" t="s">
        <v>11463</v>
      </c>
      <c r="C18" t="s">
        <v>11464</v>
      </c>
      <c r="D18" t="s">
        <v>3505</v>
      </c>
      <c r="E18" t="s">
        <v>4326</v>
      </c>
      <c r="F18" s="18">
        <f>IF($D$5="tak",(SUMIFS(AE:AE,AA:AA,Obrotowka[[#This Row],[GL_Account]])-SUMIFS(U:U,S:S,Obrotowka[[#This Row],[GL_Account]])+SUMIFS(U:U,T:T,Obrotowka[[#This Row],[GL_Account]]))/1000,(SUMIFS(AE:AE,AA:AA,Obrotowka[[#This Row],[GL_Account]])-SUMIFS(U:U,S:S,Obrotowka[[#This Row],[GL_Account]])+SUMIFS(U:U,T:T,Obrotowka[[#This Row],[GL_Account]])))</f>
        <v>0</v>
      </c>
      <c r="G18" s="18">
        <f>IF($D$5="tak",(SUMIFS(AL:AL,AH:AH,Obrotowka[[#This Row],[GL_Account]],AL:AL,"&gt;=0")-SUMIFS(V:V,S:S,Obrotowka[[#This Row],[GL_Account]])+SUMIFS(V:V,T:T,Obrotowka[[#This Row],[GL_Account]]))/1000,(SUMIFS(AL:AL,AH:AH,Obrotowka[[#This Row],[GL_Account]],AL:AL,"&gt;=0")-SUMIFS(V:V,S:S,Obrotowka[[#This Row],[GL_Account]])+SUMIFS(V:V,T:T,Obrotowka[[#This Row],[GL_Account]])))</f>
        <v>0</v>
      </c>
      <c r="H18" s="18">
        <f>IF($D$5="tak",SUMIFS(AL:AL,AH:AH,Obrotowka[[#This Row],[GL_Account]],AL:AL,"&lt;0")/1000,SUMIFS(AL:AL,AH:AH,Obrotowka[[#This Row],[GL_Account]],AL:AL,"&lt;0"))</f>
        <v>0</v>
      </c>
      <c r="I18" s="18">
        <f>SUM(Obrotowka[[#This Row],[BO]:[MA]])</f>
        <v>0</v>
      </c>
      <c r="J18">
        <f>IF(Obrotowka[[#This Row],[BZ]]=0,0,1)</f>
        <v>0</v>
      </c>
      <c r="K18" s="253"/>
      <c r="AE18" s="18"/>
      <c r="AF18" s="18"/>
      <c r="AU18" t="s">
        <v>7985</v>
      </c>
    </row>
    <row r="19" spans="2:47" x14ac:dyDescent="0.3">
      <c r="B19" t="s">
        <v>11465</v>
      </c>
      <c r="C19" t="s">
        <v>7577</v>
      </c>
      <c r="D19" t="s">
        <v>3505</v>
      </c>
      <c r="E19" t="s">
        <v>4326</v>
      </c>
      <c r="F19" s="18">
        <f>IF($D$5="tak",(SUMIFS(AE:AE,AA:AA,Obrotowka[[#This Row],[GL_Account]])-SUMIFS(U:U,S:S,Obrotowka[[#This Row],[GL_Account]])+SUMIFS(U:U,T:T,Obrotowka[[#This Row],[GL_Account]]))/1000,(SUMIFS(AE:AE,AA:AA,Obrotowka[[#This Row],[GL_Account]])-SUMIFS(U:U,S:S,Obrotowka[[#This Row],[GL_Account]])+SUMIFS(U:U,T:T,Obrotowka[[#This Row],[GL_Account]])))</f>
        <v>0</v>
      </c>
      <c r="G19" s="18">
        <f>IF($D$5="tak",(SUMIFS(AL:AL,AH:AH,Obrotowka[[#This Row],[GL_Account]],AL:AL,"&gt;=0")-SUMIFS(V:V,S:S,Obrotowka[[#This Row],[GL_Account]])+SUMIFS(V:V,T:T,Obrotowka[[#This Row],[GL_Account]]))/1000,(SUMIFS(AL:AL,AH:AH,Obrotowka[[#This Row],[GL_Account]],AL:AL,"&gt;=0")-SUMIFS(V:V,S:S,Obrotowka[[#This Row],[GL_Account]])+SUMIFS(V:V,T:T,Obrotowka[[#This Row],[GL_Account]])))</f>
        <v>0</v>
      </c>
      <c r="H19" s="18">
        <f>IF($D$5="tak",SUMIFS(AL:AL,AH:AH,Obrotowka[[#This Row],[GL_Account]],AL:AL,"&lt;0")/1000,SUMIFS(AL:AL,AH:AH,Obrotowka[[#This Row],[GL_Account]],AL:AL,"&lt;0"))</f>
        <v>0</v>
      </c>
      <c r="I19" s="18">
        <f>SUM(Obrotowka[[#This Row],[BO]:[MA]])</f>
        <v>0</v>
      </c>
      <c r="J19">
        <f>IF(Obrotowka[[#This Row],[BZ]]=0,0,1)</f>
        <v>0</v>
      </c>
      <c r="K19" s="253"/>
      <c r="AE19" s="18"/>
      <c r="AF19" s="18"/>
      <c r="AU19" t="s">
        <v>7990</v>
      </c>
    </row>
    <row r="20" spans="2:47" x14ac:dyDescent="0.3">
      <c r="B20" t="s">
        <v>11466</v>
      </c>
      <c r="C20" t="s">
        <v>11467</v>
      </c>
      <c r="D20" t="s">
        <v>3505</v>
      </c>
      <c r="E20" t="s">
        <v>4326</v>
      </c>
      <c r="F20" s="18">
        <f>IF($D$5="tak",(SUMIFS(AE:AE,AA:AA,Obrotowka[[#This Row],[GL_Account]])-SUMIFS(U:U,S:S,Obrotowka[[#This Row],[GL_Account]])+SUMIFS(U:U,T:T,Obrotowka[[#This Row],[GL_Account]]))/1000,(SUMIFS(AE:AE,AA:AA,Obrotowka[[#This Row],[GL_Account]])-SUMIFS(U:U,S:S,Obrotowka[[#This Row],[GL_Account]])+SUMIFS(U:U,T:T,Obrotowka[[#This Row],[GL_Account]])))</f>
        <v>0</v>
      </c>
      <c r="G20" s="18">
        <f>IF($D$5="tak",(SUMIFS(AL:AL,AH:AH,Obrotowka[[#This Row],[GL_Account]],AL:AL,"&gt;=0")-SUMIFS(V:V,S:S,Obrotowka[[#This Row],[GL_Account]])+SUMIFS(V:V,T:T,Obrotowka[[#This Row],[GL_Account]]))/1000,(SUMIFS(AL:AL,AH:AH,Obrotowka[[#This Row],[GL_Account]],AL:AL,"&gt;=0")-SUMIFS(V:V,S:S,Obrotowka[[#This Row],[GL_Account]])+SUMIFS(V:V,T:T,Obrotowka[[#This Row],[GL_Account]])))</f>
        <v>0</v>
      </c>
      <c r="H20" s="18">
        <f>IF($D$5="tak",SUMIFS(AL:AL,AH:AH,Obrotowka[[#This Row],[GL_Account]],AL:AL,"&lt;0")/1000,SUMIFS(AL:AL,AH:AH,Obrotowka[[#This Row],[GL_Account]],AL:AL,"&lt;0"))</f>
        <v>0</v>
      </c>
      <c r="I20" s="18">
        <f>SUM(Obrotowka[[#This Row],[BO]:[MA]])</f>
        <v>0</v>
      </c>
      <c r="J20">
        <f>IF(Obrotowka[[#This Row],[BZ]]=0,0,1)</f>
        <v>0</v>
      </c>
      <c r="K20" s="253"/>
      <c r="AE20" s="18"/>
      <c r="AF20" s="18"/>
      <c r="AU20" t="s">
        <v>7990</v>
      </c>
    </row>
    <row r="21" spans="2:47" x14ac:dyDescent="0.3">
      <c r="B21" t="s">
        <v>11468</v>
      </c>
      <c r="C21" t="s">
        <v>11469</v>
      </c>
      <c r="D21" t="s">
        <v>3505</v>
      </c>
      <c r="E21" t="s">
        <v>4326</v>
      </c>
      <c r="F21" s="18">
        <f>IF($D$5="tak",(SUMIFS(AE:AE,AA:AA,Obrotowka[[#This Row],[GL_Account]])-SUMIFS(U:U,S:S,Obrotowka[[#This Row],[GL_Account]])+SUMIFS(U:U,T:T,Obrotowka[[#This Row],[GL_Account]]))/1000,(SUMIFS(AE:AE,AA:AA,Obrotowka[[#This Row],[GL_Account]])-SUMIFS(U:U,S:S,Obrotowka[[#This Row],[GL_Account]])+SUMIFS(U:U,T:T,Obrotowka[[#This Row],[GL_Account]])))</f>
        <v>0</v>
      </c>
      <c r="G21" s="18">
        <f>IF($D$5="tak",(SUMIFS(AL:AL,AH:AH,Obrotowka[[#This Row],[GL_Account]],AL:AL,"&gt;=0")-SUMIFS(V:V,S:S,Obrotowka[[#This Row],[GL_Account]])+SUMIFS(V:V,T:T,Obrotowka[[#This Row],[GL_Account]]))/1000,(SUMIFS(AL:AL,AH:AH,Obrotowka[[#This Row],[GL_Account]],AL:AL,"&gt;=0")-SUMIFS(V:V,S:S,Obrotowka[[#This Row],[GL_Account]])+SUMIFS(V:V,T:T,Obrotowka[[#This Row],[GL_Account]])))</f>
        <v>0</v>
      </c>
      <c r="H21" s="18">
        <f>IF($D$5="tak",SUMIFS(AL:AL,AH:AH,Obrotowka[[#This Row],[GL_Account]],AL:AL,"&lt;0")/1000,SUMIFS(AL:AL,AH:AH,Obrotowka[[#This Row],[GL_Account]],AL:AL,"&lt;0"))</f>
        <v>0</v>
      </c>
      <c r="I21" s="18">
        <f>SUM(Obrotowka[[#This Row],[BO]:[MA]])</f>
        <v>0</v>
      </c>
      <c r="J21">
        <f>IF(Obrotowka[[#This Row],[BZ]]=0,0,1)</f>
        <v>0</v>
      </c>
      <c r="K21" s="253"/>
      <c r="AE21" s="18"/>
      <c r="AF21" s="18"/>
      <c r="AU21" t="s">
        <v>7990</v>
      </c>
    </row>
    <row r="22" spans="2:47" x14ac:dyDescent="0.3">
      <c r="B22" t="s">
        <v>11470</v>
      </c>
      <c r="C22" t="s">
        <v>11471</v>
      </c>
      <c r="D22" t="s">
        <v>3505</v>
      </c>
      <c r="E22" t="s">
        <v>4326</v>
      </c>
      <c r="F22" s="18">
        <f>IF($D$5="tak",(SUMIFS(AE:AE,AA:AA,Obrotowka[[#This Row],[GL_Account]])-SUMIFS(U:U,S:S,Obrotowka[[#This Row],[GL_Account]])+SUMIFS(U:U,T:T,Obrotowka[[#This Row],[GL_Account]]))/1000,(SUMIFS(AE:AE,AA:AA,Obrotowka[[#This Row],[GL_Account]])-SUMIFS(U:U,S:S,Obrotowka[[#This Row],[GL_Account]])+SUMIFS(U:U,T:T,Obrotowka[[#This Row],[GL_Account]])))</f>
        <v>0</v>
      </c>
      <c r="G22" s="18">
        <f>IF($D$5="tak",(SUMIFS(AL:AL,AH:AH,Obrotowka[[#This Row],[GL_Account]],AL:AL,"&gt;=0")-SUMIFS(V:V,S:S,Obrotowka[[#This Row],[GL_Account]])+SUMIFS(V:V,T:T,Obrotowka[[#This Row],[GL_Account]]))/1000,(SUMIFS(AL:AL,AH:AH,Obrotowka[[#This Row],[GL_Account]],AL:AL,"&gt;=0")-SUMIFS(V:V,S:S,Obrotowka[[#This Row],[GL_Account]])+SUMIFS(V:V,T:T,Obrotowka[[#This Row],[GL_Account]])))</f>
        <v>0</v>
      </c>
      <c r="H22" s="18">
        <f>IF($D$5="tak",SUMIFS(AL:AL,AH:AH,Obrotowka[[#This Row],[GL_Account]],AL:AL,"&lt;0")/1000,SUMIFS(AL:AL,AH:AH,Obrotowka[[#This Row],[GL_Account]],AL:AL,"&lt;0"))</f>
        <v>0</v>
      </c>
      <c r="I22" s="18">
        <f>SUM(Obrotowka[[#This Row],[BO]:[MA]])</f>
        <v>0</v>
      </c>
      <c r="J22">
        <f>IF(Obrotowka[[#This Row],[BZ]]=0,0,1)</f>
        <v>0</v>
      </c>
      <c r="K22" s="253"/>
      <c r="AE22" s="18"/>
      <c r="AF22" s="18"/>
      <c r="AU22" t="s">
        <v>7990</v>
      </c>
    </row>
    <row r="23" spans="2:47" x14ac:dyDescent="0.3">
      <c r="B23" t="s">
        <v>11472</v>
      </c>
      <c r="C23" t="s">
        <v>7579</v>
      </c>
      <c r="D23" t="s">
        <v>3505</v>
      </c>
      <c r="E23" t="s">
        <v>4326</v>
      </c>
      <c r="F23" s="18">
        <f>IF($D$5="tak",(SUMIFS(AE:AE,AA:AA,Obrotowka[[#This Row],[GL_Account]])-SUMIFS(U:U,S:S,Obrotowka[[#This Row],[GL_Account]])+SUMIFS(U:U,T:T,Obrotowka[[#This Row],[GL_Account]]))/1000,(SUMIFS(AE:AE,AA:AA,Obrotowka[[#This Row],[GL_Account]])-SUMIFS(U:U,S:S,Obrotowka[[#This Row],[GL_Account]])+SUMIFS(U:U,T:T,Obrotowka[[#This Row],[GL_Account]])))</f>
        <v>0</v>
      </c>
      <c r="G23" s="18">
        <f>IF($D$5="tak",(SUMIFS(AL:AL,AH:AH,Obrotowka[[#This Row],[GL_Account]],AL:AL,"&gt;=0")-SUMIFS(V:V,S:S,Obrotowka[[#This Row],[GL_Account]])+SUMIFS(V:V,T:T,Obrotowka[[#This Row],[GL_Account]]))/1000,(SUMIFS(AL:AL,AH:AH,Obrotowka[[#This Row],[GL_Account]],AL:AL,"&gt;=0")-SUMIFS(V:V,S:S,Obrotowka[[#This Row],[GL_Account]])+SUMIFS(V:V,T:T,Obrotowka[[#This Row],[GL_Account]])))</f>
        <v>0</v>
      </c>
      <c r="H23" s="18">
        <f>IF($D$5="tak",SUMIFS(AL:AL,AH:AH,Obrotowka[[#This Row],[GL_Account]],AL:AL,"&lt;0")/1000,SUMIFS(AL:AL,AH:AH,Obrotowka[[#This Row],[GL_Account]],AL:AL,"&lt;0"))</f>
        <v>0</v>
      </c>
      <c r="I23" s="18">
        <f>SUM(Obrotowka[[#This Row],[BO]:[MA]])</f>
        <v>0</v>
      </c>
      <c r="J23">
        <f>IF(Obrotowka[[#This Row],[BZ]]=0,0,1)</f>
        <v>0</v>
      </c>
      <c r="K23" s="253"/>
      <c r="AE23" s="18"/>
      <c r="AF23" s="18"/>
      <c r="AU23" t="s">
        <v>7995</v>
      </c>
    </row>
    <row r="24" spans="2:47" x14ac:dyDescent="0.3">
      <c r="B24" t="s">
        <v>11473</v>
      </c>
      <c r="C24" t="s">
        <v>11474</v>
      </c>
      <c r="D24" t="s">
        <v>3505</v>
      </c>
      <c r="E24" t="s">
        <v>4326</v>
      </c>
      <c r="F24" s="18">
        <f>IF($D$5="tak",(SUMIFS(AE:AE,AA:AA,Obrotowka[[#This Row],[GL_Account]])-SUMIFS(U:U,S:S,Obrotowka[[#This Row],[GL_Account]])+SUMIFS(U:U,T:T,Obrotowka[[#This Row],[GL_Account]]))/1000,(SUMIFS(AE:AE,AA:AA,Obrotowka[[#This Row],[GL_Account]])-SUMIFS(U:U,S:S,Obrotowka[[#This Row],[GL_Account]])+SUMIFS(U:U,T:T,Obrotowka[[#This Row],[GL_Account]])))</f>
        <v>0</v>
      </c>
      <c r="G24" s="18">
        <f>IF($D$5="tak",(SUMIFS(AL:AL,AH:AH,Obrotowka[[#This Row],[GL_Account]],AL:AL,"&gt;=0")-SUMIFS(V:V,S:S,Obrotowka[[#This Row],[GL_Account]])+SUMIFS(V:V,T:T,Obrotowka[[#This Row],[GL_Account]]))/1000,(SUMIFS(AL:AL,AH:AH,Obrotowka[[#This Row],[GL_Account]],AL:AL,"&gt;=0")-SUMIFS(V:V,S:S,Obrotowka[[#This Row],[GL_Account]])+SUMIFS(V:V,T:T,Obrotowka[[#This Row],[GL_Account]])))</f>
        <v>0</v>
      </c>
      <c r="H24" s="18">
        <f>IF($D$5="tak",SUMIFS(AL:AL,AH:AH,Obrotowka[[#This Row],[GL_Account]],AL:AL,"&lt;0")/1000,SUMIFS(AL:AL,AH:AH,Obrotowka[[#This Row],[GL_Account]],AL:AL,"&lt;0"))</f>
        <v>0</v>
      </c>
      <c r="I24" s="18">
        <f>SUM(Obrotowka[[#This Row],[BO]:[MA]])</f>
        <v>0</v>
      </c>
      <c r="J24">
        <f>IF(Obrotowka[[#This Row],[BZ]]=0,0,1)</f>
        <v>0</v>
      </c>
      <c r="K24" s="253"/>
      <c r="AE24" s="18"/>
      <c r="AF24" s="18"/>
      <c r="AU24" t="s">
        <v>7995</v>
      </c>
    </row>
    <row r="25" spans="2:47" x14ac:dyDescent="0.3">
      <c r="B25" t="s">
        <v>11475</v>
      </c>
      <c r="C25" t="s">
        <v>11476</v>
      </c>
      <c r="D25" t="s">
        <v>3505</v>
      </c>
      <c r="E25" t="s">
        <v>4326</v>
      </c>
      <c r="F25" s="18">
        <f>IF($D$5="tak",(SUMIFS(AE:AE,AA:AA,Obrotowka[[#This Row],[GL_Account]])-SUMIFS(U:U,S:S,Obrotowka[[#This Row],[GL_Account]])+SUMIFS(U:U,T:T,Obrotowka[[#This Row],[GL_Account]]))/1000,(SUMIFS(AE:AE,AA:AA,Obrotowka[[#This Row],[GL_Account]])-SUMIFS(U:U,S:S,Obrotowka[[#This Row],[GL_Account]])+SUMIFS(U:U,T:T,Obrotowka[[#This Row],[GL_Account]])))</f>
        <v>0</v>
      </c>
      <c r="G25" s="18">
        <f>IF($D$5="tak",(SUMIFS(AL:AL,AH:AH,Obrotowka[[#This Row],[GL_Account]],AL:AL,"&gt;=0")-SUMIFS(V:V,S:S,Obrotowka[[#This Row],[GL_Account]])+SUMIFS(V:V,T:T,Obrotowka[[#This Row],[GL_Account]]))/1000,(SUMIFS(AL:AL,AH:AH,Obrotowka[[#This Row],[GL_Account]],AL:AL,"&gt;=0")-SUMIFS(V:V,S:S,Obrotowka[[#This Row],[GL_Account]])+SUMIFS(V:V,T:T,Obrotowka[[#This Row],[GL_Account]])))</f>
        <v>0</v>
      </c>
      <c r="H25" s="18">
        <f>IF($D$5="tak",SUMIFS(AL:AL,AH:AH,Obrotowka[[#This Row],[GL_Account]],AL:AL,"&lt;0")/1000,SUMIFS(AL:AL,AH:AH,Obrotowka[[#This Row],[GL_Account]],AL:AL,"&lt;0"))</f>
        <v>0</v>
      </c>
      <c r="I25" s="18">
        <f>SUM(Obrotowka[[#This Row],[BO]:[MA]])</f>
        <v>0</v>
      </c>
      <c r="J25">
        <f>IF(Obrotowka[[#This Row],[BZ]]=0,0,1)</f>
        <v>0</v>
      </c>
      <c r="K25" s="253"/>
      <c r="AE25" s="18"/>
      <c r="AF25" s="18"/>
      <c r="AU25" t="s">
        <v>7995</v>
      </c>
    </row>
    <row r="26" spans="2:47" x14ac:dyDescent="0.3">
      <c r="B26" t="s">
        <v>11477</v>
      </c>
      <c r="C26" t="s">
        <v>11478</v>
      </c>
      <c r="D26" t="s">
        <v>3505</v>
      </c>
      <c r="E26" t="s">
        <v>4326</v>
      </c>
      <c r="F26" s="18">
        <f>IF($D$5="tak",(SUMIFS(AE:AE,AA:AA,Obrotowka[[#This Row],[GL_Account]])-SUMIFS(U:U,S:S,Obrotowka[[#This Row],[GL_Account]])+SUMIFS(U:U,T:T,Obrotowka[[#This Row],[GL_Account]]))/1000,(SUMIFS(AE:AE,AA:AA,Obrotowka[[#This Row],[GL_Account]])-SUMIFS(U:U,S:S,Obrotowka[[#This Row],[GL_Account]])+SUMIFS(U:U,T:T,Obrotowka[[#This Row],[GL_Account]])))</f>
        <v>0</v>
      </c>
      <c r="G26" s="18">
        <f>IF($D$5="tak",(SUMIFS(AL:AL,AH:AH,Obrotowka[[#This Row],[GL_Account]],AL:AL,"&gt;=0")-SUMIFS(V:V,S:S,Obrotowka[[#This Row],[GL_Account]])+SUMIFS(V:V,T:T,Obrotowka[[#This Row],[GL_Account]]))/1000,(SUMIFS(AL:AL,AH:AH,Obrotowka[[#This Row],[GL_Account]],AL:AL,"&gt;=0")-SUMIFS(V:V,S:S,Obrotowka[[#This Row],[GL_Account]])+SUMIFS(V:V,T:T,Obrotowka[[#This Row],[GL_Account]])))</f>
        <v>0</v>
      </c>
      <c r="H26" s="18">
        <f>IF($D$5="tak",SUMIFS(AL:AL,AH:AH,Obrotowka[[#This Row],[GL_Account]],AL:AL,"&lt;0")/1000,SUMIFS(AL:AL,AH:AH,Obrotowka[[#This Row],[GL_Account]],AL:AL,"&lt;0"))</f>
        <v>0</v>
      </c>
      <c r="I26" s="18">
        <f>SUM(Obrotowka[[#This Row],[BO]:[MA]])</f>
        <v>0</v>
      </c>
      <c r="J26">
        <f>IF(Obrotowka[[#This Row],[BZ]]=0,0,1)</f>
        <v>0</v>
      </c>
      <c r="K26" s="253"/>
      <c r="AE26" s="18"/>
      <c r="AF26" s="18"/>
      <c r="AU26" t="s">
        <v>7995</v>
      </c>
    </row>
    <row r="27" spans="2:47" x14ac:dyDescent="0.3">
      <c r="B27" t="s">
        <v>11479</v>
      </c>
      <c r="C27" t="s">
        <v>9440</v>
      </c>
      <c r="D27" t="s">
        <v>3505</v>
      </c>
      <c r="E27" t="s">
        <v>4326</v>
      </c>
      <c r="F27" s="18">
        <f>IF($D$5="tak",(SUMIFS(AE:AE,AA:AA,Obrotowka[[#This Row],[GL_Account]])-SUMIFS(U:U,S:S,Obrotowka[[#This Row],[GL_Account]])+SUMIFS(U:U,T:T,Obrotowka[[#This Row],[GL_Account]]))/1000,(SUMIFS(AE:AE,AA:AA,Obrotowka[[#This Row],[GL_Account]])-SUMIFS(U:U,S:S,Obrotowka[[#This Row],[GL_Account]])+SUMIFS(U:U,T:T,Obrotowka[[#This Row],[GL_Account]])))</f>
        <v>0</v>
      </c>
      <c r="G27" s="18">
        <f>IF($D$5="tak",(SUMIFS(AL:AL,AH:AH,Obrotowka[[#This Row],[GL_Account]],AL:AL,"&gt;=0")-SUMIFS(V:V,S:S,Obrotowka[[#This Row],[GL_Account]])+SUMIFS(V:V,T:T,Obrotowka[[#This Row],[GL_Account]]))/1000,(SUMIFS(AL:AL,AH:AH,Obrotowka[[#This Row],[GL_Account]],AL:AL,"&gt;=0")-SUMIFS(V:V,S:S,Obrotowka[[#This Row],[GL_Account]])+SUMIFS(V:V,T:T,Obrotowka[[#This Row],[GL_Account]])))</f>
        <v>0</v>
      </c>
      <c r="H27" s="18">
        <f>IF($D$5="tak",SUMIFS(AL:AL,AH:AH,Obrotowka[[#This Row],[GL_Account]],AL:AL,"&lt;0")/1000,SUMIFS(AL:AL,AH:AH,Obrotowka[[#This Row],[GL_Account]],AL:AL,"&lt;0"))</f>
        <v>0</v>
      </c>
      <c r="I27" s="18">
        <f>SUM(Obrotowka[[#This Row],[BO]:[MA]])</f>
        <v>0</v>
      </c>
      <c r="J27">
        <f>IF(Obrotowka[[#This Row],[BZ]]=0,0,1)</f>
        <v>0</v>
      </c>
      <c r="K27" s="253"/>
      <c r="AE27" s="18"/>
      <c r="AF27" s="18"/>
      <c r="AU27" t="s">
        <v>8000</v>
      </c>
    </row>
    <row r="28" spans="2:47" x14ac:dyDescent="0.3">
      <c r="B28" t="s">
        <v>11480</v>
      </c>
      <c r="C28" t="s">
        <v>11481</v>
      </c>
      <c r="D28" t="s">
        <v>3505</v>
      </c>
      <c r="E28" t="s">
        <v>4326</v>
      </c>
      <c r="F28" s="18">
        <f>IF($D$5="tak",(SUMIFS(AE:AE,AA:AA,Obrotowka[[#This Row],[GL_Account]])-SUMIFS(U:U,S:S,Obrotowka[[#This Row],[GL_Account]])+SUMIFS(U:U,T:T,Obrotowka[[#This Row],[GL_Account]]))/1000,(SUMIFS(AE:AE,AA:AA,Obrotowka[[#This Row],[GL_Account]])-SUMIFS(U:U,S:S,Obrotowka[[#This Row],[GL_Account]])+SUMIFS(U:U,T:T,Obrotowka[[#This Row],[GL_Account]])))</f>
        <v>0</v>
      </c>
      <c r="G28" s="18">
        <f>IF($D$5="tak",(SUMIFS(AL:AL,AH:AH,Obrotowka[[#This Row],[GL_Account]],AL:AL,"&gt;=0")-SUMIFS(V:V,S:S,Obrotowka[[#This Row],[GL_Account]])+SUMIFS(V:V,T:T,Obrotowka[[#This Row],[GL_Account]]))/1000,(SUMIFS(AL:AL,AH:AH,Obrotowka[[#This Row],[GL_Account]],AL:AL,"&gt;=0")-SUMIFS(V:V,S:S,Obrotowka[[#This Row],[GL_Account]])+SUMIFS(V:V,T:T,Obrotowka[[#This Row],[GL_Account]])))</f>
        <v>0</v>
      </c>
      <c r="H28" s="18">
        <f>IF($D$5="tak",SUMIFS(AL:AL,AH:AH,Obrotowka[[#This Row],[GL_Account]],AL:AL,"&lt;0")/1000,SUMIFS(AL:AL,AH:AH,Obrotowka[[#This Row],[GL_Account]],AL:AL,"&lt;0"))</f>
        <v>0</v>
      </c>
      <c r="I28" s="18">
        <f>SUM(Obrotowka[[#This Row],[BO]:[MA]])</f>
        <v>0</v>
      </c>
      <c r="J28">
        <f>IF(Obrotowka[[#This Row],[BZ]]=0,0,1)</f>
        <v>0</v>
      </c>
      <c r="K28" s="253"/>
      <c r="AE28" s="18"/>
      <c r="AF28" s="18"/>
      <c r="AU28" t="s">
        <v>8000</v>
      </c>
    </row>
    <row r="29" spans="2:47" x14ac:dyDescent="0.3">
      <c r="B29" t="s">
        <v>11482</v>
      </c>
      <c r="C29" t="s">
        <v>11483</v>
      </c>
      <c r="D29" t="s">
        <v>3505</v>
      </c>
      <c r="E29" t="s">
        <v>4326</v>
      </c>
      <c r="F29" s="18">
        <f>IF($D$5="tak",(SUMIFS(AE:AE,AA:AA,Obrotowka[[#This Row],[GL_Account]])-SUMIFS(U:U,S:S,Obrotowka[[#This Row],[GL_Account]])+SUMIFS(U:U,T:T,Obrotowka[[#This Row],[GL_Account]]))/1000,(SUMIFS(AE:AE,AA:AA,Obrotowka[[#This Row],[GL_Account]])-SUMIFS(U:U,S:S,Obrotowka[[#This Row],[GL_Account]])+SUMIFS(U:U,T:T,Obrotowka[[#This Row],[GL_Account]])))</f>
        <v>0</v>
      </c>
      <c r="G29" s="18">
        <f>IF($D$5="tak",(SUMIFS(AL:AL,AH:AH,Obrotowka[[#This Row],[GL_Account]],AL:AL,"&gt;=0")-SUMIFS(V:V,S:S,Obrotowka[[#This Row],[GL_Account]])+SUMIFS(V:V,T:T,Obrotowka[[#This Row],[GL_Account]]))/1000,(SUMIFS(AL:AL,AH:AH,Obrotowka[[#This Row],[GL_Account]],AL:AL,"&gt;=0")-SUMIFS(V:V,S:S,Obrotowka[[#This Row],[GL_Account]])+SUMIFS(V:V,T:T,Obrotowka[[#This Row],[GL_Account]])))</f>
        <v>0</v>
      </c>
      <c r="H29" s="18">
        <f>IF($D$5="tak",SUMIFS(AL:AL,AH:AH,Obrotowka[[#This Row],[GL_Account]],AL:AL,"&lt;0")/1000,SUMIFS(AL:AL,AH:AH,Obrotowka[[#This Row],[GL_Account]],AL:AL,"&lt;0"))</f>
        <v>0</v>
      </c>
      <c r="I29" s="18">
        <f>SUM(Obrotowka[[#This Row],[BO]:[MA]])</f>
        <v>0</v>
      </c>
      <c r="J29">
        <f>IF(Obrotowka[[#This Row],[BZ]]=0,0,1)</f>
        <v>0</v>
      </c>
      <c r="K29" s="253"/>
      <c r="AE29" s="18"/>
      <c r="AF29" s="18"/>
      <c r="AU29" t="s">
        <v>8000</v>
      </c>
    </row>
    <row r="30" spans="2:47" x14ac:dyDescent="0.3">
      <c r="B30" t="s">
        <v>11484</v>
      </c>
      <c r="C30" t="s">
        <v>11485</v>
      </c>
      <c r="D30" t="s">
        <v>3505</v>
      </c>
      <c r="E30" t="s">
        <v>4326</v>
      </c>
      <c r="F30" s="18">
        <f>IF($D$5="tak",(SUMIFS(AE:AE,AA:AA,Obrotowka[[#This Row],[GL_Account]])-SUMIFS(U:U,S:S,Obrotowka[[#This Row],[GL_Account]])+SUMIFS(U:U,T:T,Obrotowka[[#This Row],[GL_Account]]))/1000,(SUMIFS(AE:AE,AA:AA,Obrotowka[[#This Row],[GL_Account]])-SUMIFS(U:U,S:S,Obrotowka[[#This Row],[GL_Account]])+SUMIFS(U:U,T:T,Obrotowka[[#This Row],[GL_Account]])))</f>
        <v>0</v>
      </c>
      <c r="G30" s="18">
        <f>IF($D$5="tak",(SUMIFS(AL:AL,AH:AH,Obrotowka[[#This Row],[GL_Account]],AL:AL,"&gt;=0")-SUMIFS(V:V,S:S,Obrotowka[[#This Row],[GL_Account]])+SUMIFS(V:V,T:T,Obrotowka[[#This Row],[GL_Account]]))/1000,(SUMIFS(AL:AL,AH:AH,Obrotowka[[#This Row],[GL_Account]],AL:AL,"&gt;=0")-SUMIFS(V:V,S:S,Obrotowka[[#This Row],[GL_Account]])+SUMIFS(V:V,T:T,Obrotowka[[#This Row],[GL_Account]])))</f>
        <v>0</v>
      </c>
      <c r="H30" s="18">
        <f>IF($D$5="tak",SUMIFS(AL:AL,AH:AH,Obrotowka[[#This Row],[GL_Account]],AL:AL,"&lt;0")/1000,SUMIFS(AL:AL,AH:AH,Obrotowka[[#This Row],[GL_Account]],AL:AL,"&lt;0"))</f>
        <v>0</v>
      </c>
      <c r="I30" s="18">
        <f>SUM(Obrotowka[[#This Row],[BO]:[MA]])</f>
        <v>0</v>
      </c>
      <c r="J30">
        <f>IF(Obrotowka[[#This Row],[BZ]]=0,0,1)</f>
        <v>0</v>
      </c>
      <c r="K30" s="253"/>
      <c r="AE30" s="18"/>
      <c r="AF30" s="18"/>
      <c r="AU30" t="s">
        <v>8000</v>
      </c>
    </row>
    <row r="31" spans="2:47" x14ac:dyDescent="0.3">
      <c r="B31" t="s">
        <v>11486</v>
      </c>
      <c r="C31" t="s">
        <v>7554</v>
      </c>
      <c r="D31" t="s">
        <v>3505</v>
      </c>
      <c r="E31" t="s">
        <v>4326</v>
      </c>
      <c r="F31" s="18">
        <f>IF($D$5="tak",(SUMIFS(AE:AE,AA:AA,Obrotowka[[#This Row],[GL_Account]])-SUMIFS(U:U,S:S,Obrotowka[[#This Row],[GL_Account]])+SUMIFS(U:U,T:T,Obrotowka[[#This Row],[GL_Account]]))/1000,(SUMIFS(AE:AE,AA:AA,Obrotowka[[#This Row],[GL_Account]])-SUMIFS(U:U,S:S,Obrotowka[[#This Row],[GL_Account]])+SUMIFS(U:U,T:T,Obrotowka[[#This Row],[GL_Account]])))</f>
        <v>0</v>
      </c>
      <c r="G31" s="18">
        <f>IF($D$5="tak",(SUMIFS(AL:AL,AH:AH,Obrotowka[[#This Row],[GL_Account]],AL:AL,"&gt;=0")-SUMIFS(V:V,S:S,Obrotowka[[#This Row],[GL_Account]])+SUMIFS(V:V,T:T,Obrotowka[[#This Row],[GL_Account]]))/1000,(SUMIFS(AL:AL,AH:AH,Obrotowka[[#This Row],[GL_Account]],AL:AL,"&gt;=0")-SUMIFS(V:V,S:S,Obrotowka[[#This Row],[GL_Account]])+SUMIFS(V:V,T:T,Obrotowka[[#This Row],[GL_Account]])))</f>
        <v>0</v>
      </c>
      <c r="H31" s="18">
        <f>IF($D$5="tak",SUMIFS(AL:AL,AH:AH,Obrotowka[[#This Row],[GL_Account]],AL:AL,"&lt;0")/1000,SUMIFS(AL:AL,AH:AH,Obrotowka[[#This Row],[GL_Account]],AL:AL,"&lt;0"))</f>
        <v>0</v>
      </c>
      <c r="I31" s="18">
        <f>SUM(Obrotowka[[#This Row],[BO]:[MA]])</f>
        <v>0</v>
      </c>
      <c r="J31">
        <f>IF(Obrotowka[[#This Row],[BZ]]=0,0,1)</f>
        <v>0</v>
      </c>
      <c r="K31" s="253"/>
      <c r="AE31" s="18"/>
      <c r="AF31" s="18"/>
      <c r="AU31" t="s">
        <v>7954</v>
      </c>
    </row>
    <row r="32" spans="2:47" x14ac:dyDescent="0.3">
      <c r="B32" t="s">
        <v>11487</v>
      </c>
      <c r="C32" t="s">
        <v>11488</v>
      </c>
      <c r="D32" t="s">
        <v>3505</v>
      </c>
      <c r="E32" t="s">
        <v>4326</v>
      </c>
      <c r="F32" s="18">
        <f>IF($D$5="tak",(SUMIFS(AE:AE,AA:AA,Obrotowka[[#This Row],[GL_Account]])-SUMIFS(U:U,S:S,Obrotowka[[#This Row],[GL_Account]])+SUMIFS(U:U,T:T,Obrotowka[[#This Row],[GL_Account]]))/1000,(SUMIFS(AE:AE,AA:AA,Obrotowka[[#This Row],[GL_Account]])-SUMIFS(U:U,S:S,Obrotowka[[#This Row],[GL_Account]])+SUMIFS(U:U,T:T,Obrotowka[[#This Row],[GL_Account]])))</f>
        <v>0</v>
      </c>
      <c r="G32" s="18">
        <f>IF($D$5="tak",(SUMIFS(AL:AL,AH:AH,Obrotowka[[#This Row],[GL_Account]],AL:AL,"&gt;=0")-SUMIFS(V:V,S:S,Obrotowka[[#This Row],[GL_Account]])+SUMIFS(V:V,T:T,Obrotowka[[#This Row],[GL_Account]]))/1000,(SUMIFS(AL:AL,AH:AH,Obrotowka[[#This Row],[GL_Account]],AL:AL,"&gt;=0")-SUMIFS(V:V,S:S,Obrotowka[[#This Row],[GL_Account]])+SUMIFS(V:V,T:T,Obrotowka[[#This Row],[GL_Account]])))</f>
        <v>0</v>
      </c>
      <c r="H32" s="18">
        <f>IF($D$5="tak",SUMIFS(AL:AL,AH:AH,Obrotowka[[#This Row],[GL_Account]],AL:AL,"&lt;0")/1000,SUMIFS(AL:AL,AH:AH,Obrotowka[[#This Row],[GL_Account]],AL:AL,"&lt;0"))</f>
        <v>0</v>
      </c>
      <c r="I32" s="18">
        <f>SUM(Obrotowka[[#This Row],[BO]:[MA]])</f>
        <v>0</v>
      </c>
      <c r="J32">
        <f>IF(Obrotowka[[#This Row],[BZ]]=0,0,1)</f>
        <v>0</v>
      </c>
      <c r="K32" s="253"/>
      <c r="AE32" s="18"/>
      <c r="AF32" s="18"/>
      <c r="AU32" t="s">
        <v>7954</v>
      </c>
    </row>
    <row r="33" spans="2:47" x14ac:dyDescent="0.3">
      <c r="B33" t="s">
        <v>11489</v>
      </c>
      <c r="C33" t="s">
        <v>7955</v>
      </c>
      <c r="D33" t="s">
        <v>3505</v>
      </c>
      <c r="E33" t="s">
        <v>4326</v>
      </c>
      <c r="F33" s="18">
        <f>IF($D$5="tak",(SUMIFS(AE:AE,AA:AA,Obrotowka[[#This Row],[GL_Account]])-SUMIFS(U:U,S:S,Obrotowka[[#This Row],[GL_Account]])+SUMIFS(U:U,T:T,Obrotowka[[#This Row],[GL_Account]]))/1000,(SUMIFS(AE:AE,AA:AA,Obrotowka[[#This Row],[GL_Account]])-SUMIFS(U:U,S:S,Obrotowka[[#This Row],[GL_Account]])+SUMIFS(U:U,T:T,Obrotowka[[#This Row],[GL_Account]])))</f>
        <v>0</v>
      </c>
      <c r="G33" s="18">
        <f>IF($D$5="tak",(SUMIFS(AL:AL,AH:AH,Obrotowka[[#This Row],[GL_Account]],AL:AL,"&gt;=0")-SUMIFS(V:V,S:S,Obrotowka[[#This Row],[GL_Account]])+SUMIFS(V:V,T:T,Obrotowka[[#This Row],[GL_Account]]))/1000,(SUMIFS(AL:AL,AH:AH,Obrotowka[[#This Row],[GL_Account]],AL:AL,"&gt;=0")-SUMIFS(V:V,S:S,Obrotowka[[#This Row],[GL_Account]])+SUMIFS(V:V,T:T,Obrotowka[[#This Row],[GL_Account]])))</f>
        <v>0</v>
      </c>
      <c r="H33" s="18">
        <f>IF($D$5="tak",SUMIFS(AL:AL,AH:AH,Obrotowka[[#This Row],[GL_Account]],AL:AL,"&lt;0")/1000,SUMIFS(AL:AL,AH:AH,Obrotowka[[#This Row],[GL_Account]],AL:AL,"&lt;0"))</f>
        <v>0</v>
      </c>
      <c r="I33" s="18">
        <f>SUM(Obrotowka[[#This Row],[BO]:[MA]])</f>
        <v>0</v>
      </c>
      <c r="J33">
        <f>IF(Obrotowka[[#This Row],[BZ]]=0,0,1)</f>
        <v>0</v>
      </c>
      <c r="K33" s="253"/>
      <c r="AE33" s="18"/>
      <c r="AF33" s="18"/>
      <c r="AU33" t="s">
        <v>7958</v>
      </c>
    </row>
    <row r="34" spans="2:47" x14ac:dyDescent="0.3">
      <c r="B34" t="s">
        <v>11490</v>
      </c>
      <c r="C34" t="s">
        <v>11491</v>
      </c>
      <c r="D34" t="s">
        <v>3505</v>
      </c>
      <c r="E34" t="s">
        <v>4326</v>
      </c>
      <c r="F34" s="18">
        <f>IF($D$5="tak",(SUMIFS(AE:AE,AA:AA,Obrotowka[[#This Row],[GL_Account]])-SUMIFS(U:U,S:S,Obrotowka[[#This Row],[GL_Account]])+SUMIFS(U:U,T:T,Obrotowka[[#This Row],[GL_Account]]))/1000,(SUMIFS(AE:AE,AA:AA,Obrotowka[[#This Row],[GL_Account]])-SUMIFS(U:U,S:S,Obrotowka[[#This Row],[GL_Account]])+SUMIFS(U:U,T:T,Obrotowka[[#This Row],[GL_Account]])))</f>
        <v>0</v>
      </c>
      <c r="G34" s="18">
        <f>IF($D$5="tak",(SUMIFS(AL:AL,AH:AH,Obrotowka[[#This Row],[GL_Account]],AL:AL,"&gt;=0")-SUMIFS(V:V,S:S,Obrotowka[[#This Row],[GL_Account]])+SUMIFS(V:V,T:T,Obrotowka[[#This Row],[GL_Account]]))/1000,(SUMIFS(AL:AL,AH:AH,Obrotowka[[#This Row],[GL_Account]],AL:AL,"&gt;=0")-SUMIFS(V:V,S:S,Obrotowka[[#This Row],[GL_Account]])+SUMIFS(V:V,T:T,Obrotowka[[#This Row],[GL_Account]])))</f>
        <v>0</v>
      </c>
      <c r="H34" s="18">
        <f>IF($D$5="tak",SUMIFS(AL:AL,AH:AH,Obrotowka[[#This Row],[GL_Account]],AL:AL,"&lt;0")/1000,SUMIFS(AL:AL,AH:AH,Obrotowka[[#This Row],[GL_Account]],AL:AL,"&lt;0"))</f>
        <v>0</v>
      </c>
      <c r="I34" s="18">
        <f>SUM(Obrotowka[[#This Row],[BO]:[MA]])</f>
        <v>0</v>
      </c>
      <c r="J34">
        <f>IF(Obrotowka[[#This Row],[BZ]]=0,0,1)</f>
        <v>0</v>
      </c>
      <c r="K34" s="253"/>
      <c r="AE34" s="18"/>
      <c r="AF34" s="18"/>
      <c r="AU34" t="s">
        <v>7958</v>
      </c>
    </row>
    <row r="35" spans="2:47" x14ac:dyDescent="0.3">
      <c r="B35" t="s">
        <v>11492</v>
      </c>
      <c r="C35" t="s">
        <v>11493</v>
      </c>
      <c r="D35" t="s">
        <v>3505</v>
      </c>
      <c r="E35" t="s">
        <v>4326</v>
      </c>
      <c r="F35" s="18">
        <f>IF($D$5="tak",(SUMIFS(AE:AE,AA:AA,Obrotowka[[#This Row],[GL_Account]])-SUMIFS(U:U,S:S,Obrotowka[[#This Row],[GL_Account]])+SUMIFS(U:U,T:T,Obrotowka[[#This Row],[GL_Account]]))/1000,(SUMIFS(AE:AE,AA:AA,Obrotowka[[#This Row],[GL_Account]])-SUMIFS(U:U,S:S,Obrotowka[[#This Row],[GL_Account]])+SUMIFS(U:U,T:T,Obrotowka[[#This Row],[GL_Account]])))</f>
        <v>0</v>
      </c>
      <c r="G35" s="18">
        <f>IF($D$5="tak",(SUMIFS(AL:AL,AH:AH,Obrotowka[[#This Row],[GL_Account]],AL:AL,"&gt;=0")-SUMIFS(V:V,S:S,Obrotowka[[#This Row],[GL_Account]])+SUMIFS(V:V,T:T,Obrotowka[[#This Row],[GL_Account]]))/1000,(SUMIFS(AL:AL,AH:AH,Obrotowka[[#This Row],[GL_Account]],AL:AL,"&gt;=0")-SUMIFS(V:V,S:S,Obrotowka[[#This Row],[GL_Account]])+SUMIFS(V:V,T:T,Obrotowka[[#This Row],[GL_Account]])))</f>
        <v>0</v>
      </c>
      <c r="H35" s="18">
        <f>IF($D$5="tak",SUMIFS(AL:AL,AH:AH,Obrotowka[[#This Row],[GL_Account]],AL:AL,"&lt;0")/1000,SUMIFS(AL:AL,AH:AH,Obrotowka[[#This Row],[GL_Account]],AL:AL,"&lt;0"))</f>
        <v>0</v>
      </c>
      <c r="I35" s="18">
        <f>SUM(Obrotowka[[#This Row],[BO]:[MA]])</f>
        <v>0</v>
      </c>
      <c r="J35">
        <f>IF(Obrotowka[[#This Row],[BZ]]=0,0,1)</f>
        <v>0</v>
      </c>
      <c r="K35" s="253"/>
      <c r="AE35" s="18"/>
      <c r="AF35" s="18"/>
      <c r="AU35" t="s">
        <v>7963</v>
      </c>
    </row>
    <row r="36" spans="2:47" x14ac:dyDescent="0.3">
      <c r="B36" t="s">
        <v>11494</v>
      </c>
      <c r="C36" t="s">
        <v>11495</v>
      </c>
      <c r="D36" t="s">
        <v>3505</v>
      </c>
      <c r="E36" t="s">
        <v>4326</v>
      </c>
      <c r="F36" s="18">
        <f>IF($D$5="tak",(SUMIFS(AE:AE,AA:AA,Obrotowka[[#This Row],[GL_Account]])-SUMIFS(U:U,S:S,Obrotowka[[#This Row],[GL_Account]])+SUMIFS(U:U,T:T,Obrotowka[[#This Row],[GL_Account]]))/1000,(SUMIFS(AE:AE,AA:AA,Obrotowka[[#This Row],[GL_Account]])-SUMIFS(U:U,S:S,Obrotowka[[#This Row],[GL_Account]])+SUMIFS(U:U,T:T,Obrotowka[[#This Row],[GL_Account]])))</f>
        <v>0</v>
      </c>
      <c r="G36" s="18">
        <f>IF($D$5="tak",(SUMIFS(AL:AL,AH:AH,Obrotowka[[#This Row],[GL_Account]],AL:AL,"&gt;=0")-SUMIFS(V:V,S:S,Obrotowka[[#This Row],[GL_Account]])+SUMIFS(V:V,T:T,Obrotowka[[#This Row],[GL_Account]]))/1000,(SUMIFS(AL:AL,AH:AH,Obrotowka[[#This Row],[GL_Account]],AL:AL,"&gt;=0")-SUMIFS(V:V,S:S,Obrotowka[[#This Row],[GL_Account]])+SUMIFS(V:V,T:T,Obrotowka[[#This Row],[GL_Account]])))</f>
        <v>0</v>
      </c>
      <c r="H36" s="18">
        <f>IF($D$5="tak",SUMIFS(AL:AL,AH:AH,Obrotowka[[#This Row],[GL_Account]],AL:AL,"&lt;0")/1000,SUMIFS(AL:AL,AH:AH,Obrotowka[[#This Row],[GL_Account]],AL:AL,"&lt;0"))</f>
        <v>0</v>
      </c>
      <c r="I36" s="18">
        <f>SUM(Obrotowka[[#This Row],[BO]:[MA]])</f>
        <v>0</v>
      </c>
      <c r="J36">
        <f>IF(Obrotowka[[#This Row],[BZ]]=0,0,1)</f>
        <v>0</v>
      </c>
      <c r="K36" s="253"/>
      <c r="AE36" s="18"/>
      <c r="AF36" s="18"/>
      <c r="AU36" t="s">
        <v>7963</v>
      </c>
    </row>
    <row r="37" spans="2:47" x14ac:dyDescent="0.3">
      <c r="B37" t="s">
        <v>11496</v>
      </c>
      <c r="C37" t="s">
        <v>11497</v>
      </c>
      <c r="D37" t="s">
        <v>3505</v>
      </c>
      <c r="E37" t="s">
        <v>4326</v>
      </c>
      <c r="F37" s="18">
        <f>IF($D$5="tak",(SUMIFS(AE:AE,AA:AA,Obrotowka[[#This Row],[GL_Account]])-SUMIFS(U:U,S:S,Obrotowka[[#This Row],[GL_Account]])+SUMIFS(U:U,T:T,Obrotowka[[#This Row],[GL_Account]]))/1000,(SUMIFS(AE:AE,AA:AA,Obrotowka[[#This Row],[GL_Account]])-SUMIFS(U:U,S:S,Obrotowka[[#This Row],[GL_Account]])+SUMIFS(U:U,T:T,Obrotowka[[#This Row],[GL_Account]])))</f>
        <v>0</v>
      </c>
      <c r="G37" s="18">
        <f>IF($D$5="tak",(SUMIFS(AL:AL,AH:AH,Obrotowka[[#This Row],[GL_Account]],AL:AL,"&gt;=0")-SUMIFS(V:V,S:S,Obrotowka[[#This Row],[GL_Account]])+SUMIFS(V:V,T:T,Obrotowka[[#This Row],[GL_Account]]))/1000,(SUMIFS(AL:AL,AH:AH,Obrotowka[[#This Row],[GL_Account]],AL:AL,"&gt;=0")-SUMIFS(V:V,S:S,Obrotowka[[#This Row],[GL_Account]])+SUMIFS(V:V,T:T,Obrotowka[[#This Row],[GL_Account]])))</f>
        <v>0</v>
      </c>
      <c r="H37" s="18">
        <f>IF($D$5="tak",SUMIFS(AL:AL,AH:AH,Obrotowka[[#This Row],[GL_Account]],AL:AL,"&lt;0")/1000,SUMIFS(AL:AL,AH:AH,Obrotowka[[#This Row],[GL_Account]],AL:AL,"&lt;0"))</f>
        <v>0</v>
      </c>
      <c r="I37" s="18">
        <f>SUM(Obrotowka[[#This Row],[BO]:[MA]])</f>
        <v>0</v>
      </c>
      <c r="J37">
        <f>IF(Obrotowka[[#This Row],[BZ]]=0,0,1)</f>
        <v>0</v>
      </c>
      <c r="K37" s="253"/>
      <c r="AE37" s="18"/>
      <c r="AF37" s="18"/>
      <c r="AU37" t="s">
        <v>7963</v>
      </c>
    </row>
    <row r="38" spans="2:47" x14ac:dyDescent="0.3">
      <c r="B38" t="s">
        <v>11498</v>
      </c>
      <c r="C38" t="s">
        <v>11499</v>
      </c>
      <c r="D38" t="s">
        <v>3505</v>
      </c>
      <c r="E38" t="s">
        <v>4326</v>
      </c>
      <c r="F38" s="18">
        <f>IF($D$5="tak",(SUMIFS(AE:AE,AA:AA,Obrotowka[[#This Row],[GL_Account]])-SUMIFS(U:U,S:S,Obrotowka[[#This Row],[GL_Account]])+SUMIFS(U:U,T:T,Obrotowka[[#This Row],[GL_Account]]))/1000,(SUMIFS(AE:AE,AA:AA,Obrotowka[[#This Row],[GL_Account]])-SUMIFS(U:U,S:S,Obrotowka[[#This Row],[GL_Account]])+SUMIFS(U:U,T:T,Obrotowka[[#This Row],[GL_Account]])))</f>
        <v>0</v>
      </c>
      <c r="G38" s="18">
        <f>IF($D$5="tak",(SUMIFS(AL:AL,AH:AH,Obrotowka[[#This Row],[GL_Account]],AL:AL,"&gt;=0")-SUMIFS(V:V,S:S,Obrotowka[[#This Row],[GL_Account]])+SUMIFS(V:V,T:T,Obrotowka[[#This Row],[GL_Account]]))/1000,(SUMIFS(AL:AL,AH:AH,Obrotowka[[#This Row],[GL_Account]],AL:AL,"&gt;=0")-SUMIFS(V:V,S:S,Obrotowka[[#This Row],[GL_Account]])+SUMIFS(V:V,T:T,Obrotowka[[#This Row],[GL_Account]])))</f>
        <v>0</v>
      </c>
      <c r="H38" s="18">
        <f>IF($D$5="tak",SUMIFS(AL:AL,AH:AH,Obrotowka[[#This Row],[GL_Account]],AL:AL,"&lt;0")/1000,SUMIFS(AL:AL,AH:AH,Obrotowka[[#This Row],[GL_Account]],AL:AL,"&lt;0"))</f>
        <v>0</v>
      </c>
      <c r="I38" s="18">
        <f>SUM(Obrotowka[[#This Row],[BO]:[MA]])</f>
        <v>0</v>
      </c>
      <c r="J38">
        <f>IF(Obrotowka[[#This Row],[BZ]]=0,0,1)</f>
        <v>0</v>
      </c>
      <c r="K38" s="253"/>
      <c r="AE38" s="18"/>
      <c r="AF38" s="18"/>
      <c r="AU38" t="s">
        <v>7963</v>
      </c>
    </row>
    <row r="39" spans="2:47" x14ac:dyDescent="0.3">
      <c r="B39" t="s">
        <v>11500</v>
      </c>
      <c r="C39" t="s">
        <v>11501</v>
      </c>
      <c r="D39" t="s">
        <v>3505</v>
      </c>
      <c r="E39" t="s">
        <v>4326</v>
      </c>
      <c r="F39" s="18">
        <f>IF($D$5="tak",(SUMIFS(AE:AE,AA:AA,Obrotowka[[#This Row],[GL_Account]])-SUMIFS(U:U,S:S,Obrotowka[[#This Row],[GL_Account]])+SUMIFS(U:U,T:T,Obrotowka[[#This Row],[GL_Account]]))/1000,(SUMIFS(AE:AE,AA:AA,Obrotowka[[#This Row],[GL_Account]])-SUMIFS(U:U,S:S,Obrotowka[[#This Row],[GL_Account]])+SUMIFS(U:U,T:T,Obrotowka[[#This Row],[GL_Account]])))</f>
        <v>0</v>
      </c>
      <c r="G39" s="18">
        <f>IF($D$5="tak",(SUMIFS(AL:AL,AH:AH,Obrotowka[[#This Row],[GL_Account]],AL:AL,"&gt;=0")-SUMIFS(V:V,S:S,Obrotowka[[#This Row],[GL_Account]])+SUMIFS(V:V,T:T,Obrotowka[[#This Row],[GL_Account]]))/1000,(SUMIFS(AL:AL,AH:AH,Obrotowka[[#This Row],[GL_Account]],AL:AL,"&gt;=0")-SUMIFS(V:V,S:S,Obrotowka[[#This Row],[GL_Account]])+SUMIFS(V:V,T:T,Obrotowka[[#This Row],[GL_Account]])))</f>
        <v>0</v>
      </c>
      <c r="H39" s="18">
        <f>IF($D$5="tak",SUMIFS(AL:AL,AH:AH,Obrotowka[[#This Row],[GL_Account]],AL:AL,"&lt;0")/1000,SUMIFS(AL:AL,AH:AH,Obrotowka[[#This Row],[GL_Account]],AL:AL,"&lt;0"))</f>
        <v>0</v>
      </c>
      <c r="I39" s="18">
        <f>SUM(Obrotowka[[#This Row],[BO]:[MA]])</f>
        <v>0</v>
      </c>
      <c r="J39">
        <f>IF(Obrotowka[[#This Row],[BZ]]=0,0,1)</f>
        <v>0</v>
      </c>
      <c r="K39" s="253"/>
      <c r="AE39" s="18"/>
      <c r="AF39" s="18"/>
      <c r="AU39" t="s">
        <v>7963</v>
      </c>
    </row>
    <row r="40" spans="2:47" x14ac:dyDescent="0.3">
      <c r="B40" t="s">
        <v>11502</v>
      </c>
      <c r="C40" t="s">
        <v>11503</v>
      </c>
      <c r="D40" t="s">
        <v>3505</v>
      </c>
      <c r="E40" t="s">
        <v>4326</v>
      </c>
      <c r="F40" s="18">
        <f>IF($D$5="tak",(SUMIFS(AE:AE,AA:AA,Obrotowka[[#This Row],[GL_Account]])-SUMIFS(U:U,S:S,Obrotowka[[#This Row],[GL_Account]])+SUMIFS(U:U,T:T,Obrotowka[[#This Row],[GL_Account]]))/1000,(SUMIFS(AE:AE,AA:AA,Obrotowka[[#This Row],[GL_Account]])-SUMIFS(U:U,S:S,Obrotowka[[#This Row],[GL_Account]])+SUMIFS(U:U,T:T,Obrotowka[[#This Row],[GL_Account]])))</f>
        <v>0</v>
      </c>
      <c r="G40" s="18">
        <f>IF($D$5="tak",(SUMIFS(AL:AL,AH:AH,Obrotowka[[#This Row],[GL_Account]],AL:AL,"&gt;=0")-SUMIFS(V:V,S:S,Obrotowka[[#This Row],[GL_Account]])+SUMIFS(V:V,T:T,Obrotowka[[#This Row],[GL_Account]]))/1000,(SUMIFS(AL:AL,AH:AH,Obrotowka[[#This Row],[GL_Account]],AL:AL,"&gt;=0")-SUMIFS(V:V,S:S,Obrotowka[[#This Row],[GL_Account]])+SUMIFS(V:V,T:T,Obrotowka[[#This Row],[GL_Account]])))</f>
        <v>0</v>
      </c>
      <c r="H40" s="18">
        <f>IF($D$5="tak",SUMIFS(AL:AL,AH:AH,Obrotowka[[#This Row],[GL_Account]],AL:AL,"&lt;0")/1000,SUMIFS(AL:AL,AH:AH,Obrotowka[[#This Row],[GL_Account]],AL:AL,"&lt;0"))</f>
        <v>0</v>
      </c>
      <c r="I40" s="18">
        <f>SUM(Obrotowka[[#This Row],[BO]:[MA]])</f>
        <v>0</v>
      </c>
      <c r="J40">
        <f>IF(Obrotowka[[#This Row],[BZ]]=0,0,1)</f>
        <v>0</v>
      </c>
      <c r="K40" s="253"/>
      <c r="AE40" s="18"/>
      <c r="AF40" s="18"/>
      <c r="AU40" t="s">
        <v>7963</v>
      </c>
    </row>
    <row r="41" spans="2:47" x14ac:dyDescent="0.3">
      <c r="B41" t="s">
        <v>11504</v>
      </c>
      <c r="C41" t="s">
        <v>11505</v>
      </c>
      <c r="D41" t="s">
        <v>3505</v>
      </c>
      <c r="E41" t="s">
        <v>4326</v>
      </c>
      <c r="F41" s="18">
        <f>IF($D$5="tak",(SUMIFS(AE:AE,AA:AA,Obrotowka[[#This Row],[GL_Account]])-SUMIFS(U:U,S:S,Obrotowka[[#This Row],[GL_Account]])+SUMIFS(U:U,T:T,Obrotowka[[#This Row],[GL_Account]]))/1000,(SUMIFS(AE:AE,AA:AA,Obrotowka[[#This Row],[GL_Account]])-SUMIFS(U:U,S:S,Obrotowka[[#This Row],[GL_Account]])+SUMIFS(U:U,T:T,Obrotowka[[#This Row],[GL_Account]])))</f>
        <v>0</v>
      </c>
      <c r="G41" s="18">
        <f>IF($D$5="tak",(SUMIFS(AL:AL,AH:AH,Obrotowka[[#This Row],[GL_Account]],AL:AL,"&gt;=0")-SUMIFS(V:V,S:S,Obrotowka[[#This Row],[GL_Account]])+SUMIFS(V:V,T:T,Obrotowka[[#This Row],[GL_Account]]))/1000,(SUMIFS(AL:AL,AH:AH,Obrotowka[[#This Row],[GL_Account]],AL:AL,"&gt;=0")-SUMIFS(V:V,S:S,Obrotowka[[#This Row],[GL_Account]])+SUMIFS(V:V,T:T,Obrotowka[[#This Row],[GL_Account]])))</f>
        <v>0</v>
      </c>
      <c r="H41" s="18">
        <f>IF($D$5="tak",SUMIFS(AL:AL,AH:AH,Obrotowka[[#This Row],[GL_Account]],AL:AL,"&lt;0")/1000,SUMIFS(AL:AL,AH:AH,Obrotowka[[#This Row],[GL_Account]],AL:AL,"&lt;0"))</f>
        <v>0</v>
      </c>
      <c r="I41" s="18">
        <f>SUM(Obrotowka[[#This Row],[BO]:[MA]])</f>
        <v>0</v>
      </c>
      <c r="J41">
        <f>IF(Obrotowka[[#This Row],[BZ]]=0,0,1)</f>
        <v>0</v>
      </c>
      <c r="K41" s="253"/>
      <c r="AE41" s="18"/>
      <c r="AF41" s="18"/>
      <c r="AU41" t="s">
        <v>7963</v>
      </c>
    </row>
    <row r="42" spans="2:47" x14ac:dyDescent="0.3">
      <c r="B42" t="s">
        <v>11506</v>
      </c>
      <c r="C42" t="s">
        <v>11507</v>
      </c>
      <c r="D42" t="s">
        <v>3505</v>
      </c>
      <c r="E42" t="s">
        <v>4326</v>
      </c>
      <c r="F42" s="18">
        <f>IF($D$5="tak",(SUMIFS(AE:AE,AA:AA,Obrotowka[[#This Row],[GL_Account]])-SUMIFS(U:U,S:S,Obrotowka[[#This Row],[GL_Account]])+SUMIFS(U:U,T:T,Obrotowka[[#This Row],[GL_Account]]))/1000,(SUMIFS(AE:AE,AA:AA,Obrotowka[[#This Row],[GL_Account]])-SUMIFS(U:U,S:S,Obrotowka[[#This Row],[GL_Account]])+SUMIFS(U:U,T:T,Obrotowka[[#This Row],[GL_Account]])))</f>
        <v>0</v>
      </c>
      <c r="G42" s="18">
        <f>IF($D$5="tak",(SUMIFS(AL:AL,AH:AH,Obrotowka[[#This Row],[GL_Account]],AL:AL,"&gt;=0")-SUMIFS(V:V,S:S,Obrotowka[[#This Row],[GL_Account]])+SUMIFS(V:V,T:T,Obrotowka[[#This Row],[GL_Account]]))/1000,(SUMIFS(AL:AL,AH:AH,Obrotowka[[#This Row],[GL_Account]],AL:AL,"&gt;=0")-SUMIFS(V:V,S:S,Obrotowka[[#This Row],[GL_Account]])+SUMIFS(V:V,T:T,Obrotowka[[#This Row],[GL_Account]])))</f>
        <v>0</v>
      </c>
      <c r="H42" s="18">
        <f>IF($D$5="tak",SUMIFS(AL:AL,AH:AH,Obrotowka[[#This Row],[GL_Account]],AL:AL,"&lt;0")/1000,SUMIFS(AL:AL,AH:AH,Obrotowka[[#This Row],[GL_Account]],AL:AL,"&lt;0"))</f>
        <v>0</v>
      </c>
      <c r="I42" s="18">
        <f>SUM(Obrotowka[[#This Row],[BO]:[MA]])</f>
        <v>0</v>
      </c>
      <c r="J42">
        <f>IF(Obrotowka[[#This Row],[BZ]]=0,0,1)</f>
        <v>0</v>
      </c>
      <c r="K42" s="253"/>
      <c r="AE42" s="18"/>
      <c r="AF42" s="18"/>
      <c r="AU42" t="s">
        <v>7963</v>
      </c>
    </row>
    <row r="43" spans="2:47" x14ac:dyDescent="0.3">
      <c r="B43" t="s">
        <v>11508</v>
      </c>
      <c r="C43" t="s">
        <v>11509</v>
      </c>
      <c r="D43" t="s">
        <v>3505</v>
      </c>
      <c r="E43" t="s">
        <v>4326</v>
      </c>
      <c r="F43" s="18">
        <f>IF($D$5="tak",(SUMIFS(AE:AE,AA:AA,Obrotowka[[#This Row],[GL_Account]])-SUMIFS(U:U,S:S,Obrotowka[[#This Row],[GL_Account]])+SUMIFS(U:U,T:T,Obrotowka[[#This Row],[GL_Account]]))/1000,(SUMIFS(AE:AE,AA:AA,Obrotowka[[#This Row],[GL_Account]])-SUMIFS(U:U,S:S,Obrotowka[[#This Row],[GL_Account]])+SUMIFS(U:U,T:T,Obrotowka[[#This Row],[GL_Account]])))</f>
        <v>0</v>
      </c>
      <c r="G43" s="18">
        <f>IF($D$5="tak",(SUMIFS(AL:AL,AH:AH,Obrotowka[[#This Row],[GL_Account]],AL:AL,"&gt;=0")-SUMIFS(V:V,S:S,Obrotowka[[#This Row],[GL_Account]])+SUMIFS(V:V,T:T,Obrotowka[[#This Row],[GL_Account]]))/1000,(SUMIFS(AL:AL,AH:AH,Obrotowka[[#This Row],[GL_Account]],AL:AL,"&gt;=0")-SUMIFS(V:V,S:S,Obrotowka[[#This Row],[GL_Account]])+SUMIFS(V:V,T:T,Obrotowka[[#This Row],[GL_Account]])))</f>
        <v>0</v>
      </c>
      <c r="H43" s="18">
        <f>IF($D$5="tak",SUMIFS(AL:AL,AH:AH,Obrotowka[[#This Row],[GL_Account]],AL:AL,"&lt;0")/1000,SUMIFS(AL:AL,AH:AH,Obrotowka[[#This Row],[GL_Account]],AL:AL,"&lt;0"))</f>
        <v>0</v>
      </c>
      <c r="I43" s="18">
        <f>SUM(Obrotowka[[#This Row],[BO]:[MA]])</f>
        <v>0</v>
      </c>
      <c r="J43">
        <f>IF(Obrotowka[[#This Row],[BZ]]=0,0,1)</f>
        <v>0</v>
      </c>
      <c r="K43" s="253"/>
      <c r="AE43" s="18"/>
      <c r="AF43" s="18"/>
      <c r="AU43" t="s">
        <v>8032</v>
      </c>
    </row>
    <row r="44" spans="2:47" x14ac:dyDescent="0.3">
      <c r="B44" t="s">
        <v>11510</v>
      </c>
      <c r="C44" t="s">
        <v>11511</v>
      </c>
      <c r="D44" t="s">
        <v>3505</v>
      </c>
      <c r="E44" t="s">
        <v>4326</v>
      </c>
      <c r="F44" s="18">
        <f>IF($D$5="tak",(SUMIFS(AE:AE,AA:AA,Obrotowka[[#This Row],[GL_Account]])-SUMIFS(U:U,S:S,Obrotowka[[#This Row],[GL_Account]])+SUMIFS(U:U,T:T,Obrotowka[[#This Row],[GL_Account]]))/1000,(SUMIFS(AE:AE,AA:AA,Obrotowka[[#This Row],[GL_Account]])-SUMIFS(U:U,S:S,Obrotowka[[#This Row],[GL_Account]])+SUMIFS(U:U,T:T,Obrotowka[[#This Row],[GL_Account]])))</f>
        <v>0</v>
      </c>
      <c r="G44" s="18">
        <f>IF($D$5="tak",(SUMIFS(AL:AL,AH:AH,Obrotowka[[#This Row],[GL_Account]],AL:AL,"&gt;=0")-SUMIFS(V:V,S:S,Obrotowka[[#This Row],[GL_Account]])+SUMIFS(V:V,T:T,Obrotowka[[#This Row],[GL_Account]]))/1000,(SUMIFS(AL:AL,AH:AH,Obrotowka[[#This Row],[GL_Account]],AL:AL,"&gt;=0")-SUMIFS(V:V,S:S,Obrotowka[[#This Row],[GL_Account]])+SUMIFS(V:V,T:T,Obrotowka[[#This Row],[GL_Account]])))</f>
        <v>0</v>
      </c>
      <c r="H44" s="18">
        <f>IF($D$5="tak",SUMIFS(AL:AL,AH:AH,Obrotowka[[#This Row],[GL_Account]],AL:AL,"&lt;0")/1000,SUMIFS(AL:AL,AH:AH,Obrotowka[[#This Row],[GL_Account]],AL:AL,"&lt;0"))</f>
        <v>0</v>
      </c>
      <c r="I44" s="18">
        <f>SUM(Obrotowka[[#This Row],[BO]:[MA]])</f>
        <v>0</v>
      </c>
      <c r="J44">
        <f>IF(Obrotowka[[#This Row],[BZ]]=0,0,1)</f>
        <v>0</v>
      </c>
      <c r="K44" s="253"/>
      <c r="AE44" s="18"/>
      <c r="AF44" s="18"/>
      <c r="AU44" t="s">
        <v>8032</v>
      </c>
    </row>
    <row r="45" spans="2:47" x14ac:dyDescent="0.3">
      <c r="B45" t="s">
        <v>11512</v>
      </c>
      <c r="C45" t="s">
        <v>11513</v>
      </c>
      <c r="D45" t="s">
        <v>3505</v>
      </c>
      <c r="E45" t="s">
        <v>4326</v>
      </c>
      <c r="F45" s="18">
        <f>IF($D$5="tak",(SUMIFS(AE:AE,AA:AA,Obrotowka[[#This Row],[GL_Account]])-SUMIFS(U:U,S:S,Obrotowka[[#This Row],[GL_Account]])+SUMIFS(U:U,T:T,Obrotowka[[#This Row],[GL_Account]]))/1000,(SUMIFS(AE:AE,AA:AA,Obrotowka[[#This Row],[GL_Account]])-SUMIFS(U:U,S:S,Obrotowka[[#This Row],[GL_Account]])+SUMIFS(U:U,T:T,Obrotowka[[#This Row],[GL_Account]])))</f>
        <v>0</v>
      </c>
      <c r="G45" s="18">
        <f>IF($D$5="tak",(SUMIFS(AL:AL,AH:AH,Obrotowka[[#This Row],[GL_Account]],AL:AL,"&gt;=0")-SUMIFS(V:V,S:S,Obrotowka[[#This Row],[GL_Account]])+SUMIFS(V:V,T:T,Obrotowka[[#This Row],[GL_Account]]))/1000,(SUMIFS(AL:AL,AH:AH,Obrotowka[[#This Row],[GL_Account]],AL:AL,"&gt;=0")-SUMIFS(V:V,S:S,Obrotowka[[#This Row],[GL_Account]])+SUMIFS(V:V,T:T,Obrotowka[[#This Row],[GL_Account]])))</f>
        <v>0</v>
      </c>
      <c r="H45" s="18">
        <f>IF($D$5="tak",SUMIFS(AL:AL,AH:AH,Obrotowka[[#This Row],[GL_Account]],AL:AL,"&lt;0")/1000,SUMIFS(AL:AL,AH:AH,Obrotowka[[#This Row],[GL_Account]],AL:AL,"&lt;0"))</f>
        <v>0</v>
      </c>
      <c r="I45" s="18">
        <f>SUM(Obrotowka[[#This Row],[BO]:[MA]])</f>
        <v>0</v>
      </c>
      <c r="J45">
        <f>IF(Obrotowka[[#This Row],[BZ]]=0,0,1)</f>
        <v>0</v>
      </c>
      <c r="K45" s="253"/>
      <c r="AE45" s="18"/>
      <c r="AF45" s="18"/>
      <c r="AU45" t="s">
        <v>8032</v>
      </c>
    </row>
    <row r="46" spans="2:47" x14ac:dyDescent="0.3">
      <c r="B46" t="s">
        <v>11514</v>
      </c>
      <c r="C46" t="s">
        <v>11515</v>
      </c>
      <c r="D46" t="s">
        <v>3505</v>
      </c>
      <c r="E46" t="s">
        <v>4326</v>
      </c>
      <c r="F46" s="18">
        <f>IF($D$5="tak",(SUMIFS(AE:AE,AA:AA,Obrotowka[[#This Row],[GL_Account]])-SUMIFS(U:U,S:S,Obrotowka[[#This Row],[GL_Account]])+SUMIFS(U:U,T:T,Obrotowka[[#This Row],[GL_Account]]))/1000,(SUMIFS(AE:AE,AA:AA,Obrotowka[[#This Row],[GL_Account]])-SUMIFS(U:U,S:S,Obrotowka[[#This Row],[GL_Account]])+SUMIFS(U:U,T:T,Obrotowka[[#This Row],[GL_Account]])))</f>
        <v>0</v>
      </c>
      <c r="G46" s="18">
        <f>IF($D$5="tak",(SUMIFS(AL:AL,AH:AH,Obrotowka[[#This Row],[GL_Account]],AL:AL,"&gt;=0")-SUMIFS(V:V,S:S,Obrotowka[[#This Row],[GL_Account]])+SUMIFS(V:V,T:T,Obrotowka[[#This Row],[GL_Account]]))/1000,(SUMIFS(AL:AL,AH:AH,Obrotowka[[#This Row],[GL_Account]],AL:AL,"&gt;=0")-SUMIFS(V:V,S:S,Obrotowka[[#This Row],[GL_Account]])+SUMIFS(V:V,T:T,Obrotowka[[#This Row],[GL_Account]])))</f>
        <v>0</v>
      </c>
      <c r="H46" s="18">
        <f>IF($D$5="tak",SUMIFS(AL:AL,AH:AH,Obrotowka[[#This Row],[GL_Account]],AL:AL,"&lt;0")/1000,SUMIFS(AL:AL,AH:AH,Obrotowka[[#This Row],[GL_Account]],AL:AL,"&lt;0"))</f>
        <v>0</v>
      </c>
      <c r="I46" s="18">
        <f>SUM(Obrotowka[[#This Row],[BO]:[MA]])</f>
        <v>0</v>
      </c>
      <c r="J46">
        <f>IF(Obrotowka[[#This Row],[BZ]]=0,0,1)</f>
        <v>0</v>
      </c>
      <c r="K46" s="253"/>
      <c r="AE46" s="18"/>
      <c r="AF46" s="18"/>
      <c r="AU46" t="s">
        <v>8035</v>
      </c>
    </row>
    <row r="47" spans="2:47" x14ac:dyDescent="0.3">
      <c r="B47" t="s">
        <v>11516</v>
      </c>
      <c r="C47" t="s">
        <v>11517</v>
      </c>
      <c r="D47" t="s">
        <v>3505</v>
      </c>
      <c r="E47" t="s">
        <v>4326</v>
      </c>
      <c r="F47" s="18">
        <f>IF($D$5="tak",(SUMIFS(AE:AE,AA:AA,Obrotowka[[#This Row],[GL_Account]])-SUMIFS(U:U,S:S,Obrotowka[[#This Row],[GL_Account]])+SUMIFS(U:U,T:T,Obrotowka[[#This Row],[GL_Account]]))/1000,(SUMIFS(AE:AE,AA:AA,Obrotowka[[#This Row],[GL_Account]])-SUMIFS(U:U,S:S,Obrotowka[[#This Row],[GL_Account]])+SUMIFS(U:U,T:T,Obrotowka[[#This Row],[GL_Account]])))</f>
        <v>0</v>
      </c>
      <c r="G47" s="18">
        <f>IF($D$5="tak",(SUMIFS(AL:AL,AH:AH,Obrotowka[[#This Row],[GL_Account]],AL:AL,"&gt;=0")-SUMIFS(V:V,S:S,Obrotowka[[#This Row],[GL_Account]])+SUMIFS(V:V,T:T,Obrotowka[[#This Row],[GL_Account]]))/1000,(SUMIFS(AL:AL,AH:AH,Obrotowka[[#This Row],[GL_Account]],AL:AL,"&gt;=0")-SUMIFS(V:V,S:S,Obrotowka[[#This Row],[GL_Account]])+SUMIFS(V:V,T:T,Obrotowka[[#This Row],[GL_Account]])))</f>
        <v>0</v>
      </c>
      <c r="H47" s="18">
        <f>IF($D$5="tak",SUMIFS(AL:AL,AH:AH,Obrotowka[[#This Row],[GL_Account]],AL:AL,"&lt;0")/1000,SUMIFS(AL:AL,AH:AH,Obrotowka[[#This Row],[GL_Account]],AL:AL,"&lt;0"))</f>
        <v>0</v>
      </c>
      <c r="I47" s="18">
        <f>SUM(Obrotowka[[#This Row],[BO]:[MA]])</f>
        <v>0</v>
      </c>
      <c r="J47">
        <f>IF(Obrotowka[[#This Row],[BZ]]=0,0,1)</f>
        <v>0</v>
      </c>
      <c r="K47" s="253"/>
      <c r="AE47" s="18"/>
      <c r="AF47" s="18"/>
      <c r="AU47" t="s">
        <v>8035</v>
      </c>
    </row>
    <row r="48" spans="2:47" x14ac:dyDescent="0.3">
      <c r="B48" t="s">
        <v>11518</v>
      </c>
      <c r="C48" t="s">
        <v>11519</v>
      </c>
      <c r="D48" t="s">
        <v>3505</v>
      </c>
      <c r="E48" t="s">
        <v>4326</v>
      </c>
      <c r="F48" s="18">
        <f>IF($D$5="tak",(SUMIFS(AE:AE,AA:AA,Obrotowka[[#This Row],[GL_Account]])-SUMIFS(U:U,S:S,Obrotowka[[#This Row],[GL_Account]])+SUMIFS(U:U,T:T,Obrotowka[[#This Row],[GL_Account]]))/1000,(SUMIFS(AE:AE,AA:AA,Obrotowka[[#This Row],[GL_Account]])-SUMIFS(U:U,S:S,Obrotowka[[#This Row],[GL_Account]])+SUMIFS(U:U,T:T,Obrotowka[[#This Row],[GL_Account]])))</f>
        <v>0</v>
      </c>
      <c r="G48" s="18">
        <f>IF($D$5="tak",(SUMIFS(AL:AL,AH:AH,Obrotowka[[#This Row],[GL_Account]],AL:AL,"&gt;=0")-SUMIFS(V:V,S:S,Obrotowka[[#This Row],[GL_Account]])+SUMIFS(V:V,T:T,Obrotowka[[#This Row],[GL_Account]]))/1000,(SUMIFS(AL:AL,AH:AH,Obrotowka[[#This Row],[GL_Account]],AL:AL,"&gt;=0")-SUMIFS(V:V,S:S,Obrotowka[[#This Row],[GL_Account]])+SUMIFS(V:V,T:T,Obrotowka[[#This Row],[GL_Account]])))</f>
        <v>0</v>
      </c>
      <c r="H48" s="18">
        <f>IF($D$5="tak",SUMIFS(AL:AL,AH:AH,Obrotowka[[#This Row],[GL_Account]],AL:AL,"&lt;0")/1000,SUMIFS(AL:AL,AH:AH,Obrotowka[[#This Row],[GL_Account]],AL:AL,"&lt;0"))</f>
        <v>0</v>
      </c>
      <c r="I48" s="18">
        <f>SUM(Obrotowka[[#This Row],[BO]:[MA]])</f>
        <v>0</v>
      </c>
      <c r="J48">
        <f>IF(Obrotowka[[#This Row],[BZ]]=0,0,1)</f>
        <v>0</v>
      </c>
      <c r="K48" s="253"/>
      <c r="AE48" s="18"/>
      <c r="AF48" s="18"/>
      <c r="AU48" t="s">
        <v>8035</v>
      </c>
    </row>
    <row r="49" spans="2:47" x14ac:dyDescent="0.3">
      <c r="B49" t="s">
        <v>11520</v>
      </c>
      <c r="C49" t="s">
        <v>11521</v>
      </c>
      <c r="D49" t="s">
        <v>3505</v>
      </c>
      <c r="E49" t="s">
        <v>4326</v>
      </c>
      <c r="F49" s="18">
        <f>IF($D$5="tak",(SUMIFS(AE:AE,AA:AA,Obrotowka[[#This Row],[GL_Account]])-SUMIFS(U:U,S:S,Obrotowka[[#This Row],[GL_Account]])+SUMIFS(U:U,T:T,Obrotowka[[#This Row],[GL_Account]]))/1000,(SUMIFS(AE:AE,AA:AA,Obrotowka[[#This Row],[GL_Account]])-SUMIFS(U:U,S:S,Obrotowka[[#This Row],[GL_Account]])+SUMIFS(U:U,T:T,Obrotowka[[#This Row],[GL_Account]])))</f>
        <v>0</v>
      </c>
      <c r="G49" s="18">
        <f>IF($D$5="tak",(SUMIFS(AL:AL,AH:AH,Obrotowka[[#This Row],[GL_Account]],AL:AL,"&gt;=0")-SUMIFS(V:V,S:S,Obrotowka[[#This Row],[GL_Account]])+SUMIFS(V:V,T:T,Obrotowka[[#This Row],[GL_Account]]))/1000,(SUMIFS(AL:AL,AH:AH,Obrotowka[[#This Row],[GL_Account]],AL:AL,"&gt;=0")-SUMIFS(V:V,S:S,Obrotowka[[#This Row],[GL_Account]])+SUMIFS(V:V,T:T,Obrotowka[[#This Row],[GL_Account]])))</f>
        <v>0</v>
      </c>
      <c r="H49" s="18">
        <f>IF($D$5="tak",SUMIFS(AL:AL,AH:AH,Obrotowka[[#This Row],[GL_Account]],AL:AL,"&lt;0")/1000,SUMIFS(AL:AL,AH:AH,Obrotowka[[#This Row],[GL_Account]],AL:AL,"&lt;0"))</f>
        <v>0</v>
      </c>
      <c r="I49" s="18">
        <f>SUM(Obrotowka[[#This Row],[BO]:[MA]])</f>
        <v>0</v>
      </c>
      <c r="J49">
        <f>IF(Obrotowka[[#This Row],[BZ]]=0,0,1)</f>
        <v>0</v>
      </c>
      <c r="K49" s="253"/>
      <c r="AE49" s="18"/>
      <c r="AF49" s="18"/>
      <c r="AU49" t="s">
        <v>8048</v>
      </c>
    </row>
    <row r="50" spans="2:47" x14ac:dyDescent="0.3">
      <c r="B50" t="s">
        <v>11522</v>
      </c>
      <c r="C50" t="s">
        <v>11523</v>
      </c>
      <c r="D50" t="s">
        <v>3505</v>
      </c>
      <c r="E50" t="s">
        <v>4326</v>
      </c>
      <c r="F50" s="18">
        <f>IF($D$5="tak",(SUMIFS(AE:AE,AA:AA,Obrotowka[[#This Row],[GL_Account]])-SUMIFS(U:U,S:S,Obrotowka[[#This Row],[GL_Account]])+SUMIFS(U:U,T:T,Obrotowka[[#This Row],[GL_Account]]))/1000,(SUMIFS(AE:AE,AA:AA,Obrotowka[[#This Row],[GL_Account]])-SUMIFS(U:U,S:S,Obrotowka[[#This Row],[GL_Account]])+SUMIFS(U:U,T:T,Obrotowka[[#This Row],[GL_Account]])))</f>
        <v>0</v>
      </c>
      <c r="G50" s="18">
        <f>IF($D$5="tak",(SUMIFS(AL:AL,AH:AH,Obrotowka[[#This Row],[GL_Account]],AL:AL,"&gt;=0")-SUMIFS(V:V,S:S,Obrotowka[[#This Row],[GL_Account]])+SUMIFS(V:V,T:T,Obrotowka[[#This Row],[GL_Account]]))/1000,(SUMIFS(AL:AL,AH:AH,Obrotowka[[#This Row],[GL_Account]],AL:AL,"&gt;=0")-SUMIFS(V:V,S:S,Obrotowka[[#This Row],[GL_Account]])+SUMIFS(V:V,T:T,Obrotowka[[#This Row],[GL_Account]])))</f>
        <v>0</v>
      </c>
      <c r="H50" s="18">
        <f>IF($D$5="tak",SUMIFS(AL:AL,AH:AH,Obrotowka[[#This Row],[GL_Account]],AL:AL,"&lt;0")/1000,SUMIFS(AL:AL,AH:AH,Obrotowka[[#This Row],[GL_Account]],AL:AL,"&lt;0"))</f>
        <v>0</v>
      </c>
      <c r="I50" s="18">
        <f>SUM(Obrotowka[[#This Row],[BO]:[MA]])</f>
        <v>0</v>
      </c>
      <c r="J50">
        <f>IF(Obrotowka[[#This Row],[BZ]]=0,0,1)</f>
        <v>0</v>
      </c>
      <c r="K50" s="253"/>
      <c r="AE50" s="18"/>
      <c r="AF50" s="18"/>
      <c r="AU50" t="s">
        <v>8048</v>
      </c>
    </row>
    <row r="51" spans="2:47" x14ac:dyDescent="0.3">
      <c r="B51" t="s">
        <v>11524</v>
      </c>
      <c r="C51" t="s">
        <v>11525</v>
      </c>
      <c r="D51" t="s">
        <v>3505</v>
      </c>
      <c r="E51" t="s">
        <v>4326</v>
      </c>
      <c r="F51" s="18">
        <f>IF($D$5="tak",(SUMIFS(AE:AE,AA:AA,Obrotowka[[#This Row],[GL_Account]])-SUMIFS(U:U,S:S,Obrotowka[[#This Row],[GL_Account]])+SUMIFS(U:U,T:T,Obrotowka[[#This Row],[GL_Account]]))/1000,(SUMIFS(AE:AE,AA:AA,Obrotowka[[#This Row],[GL_Account]])-SUMIFS(U:U,S:S,Obrotowka[[#This Row],[GL_Account]])+SUMIFS(U:U,T:T,Obrotowka[[#This Row],[GL_Account]])))</f>
        <v>0</v>
      </c>
      <c r="G51" s="18">
        <f>IF($D$5="tak",(SUMIFS(AL:AL,AH:AH,Obrotowka[[#This Row],[GL_Account]],AL:AL,"&gt;=0")-SUMIFS(V:V,S:S,Obrotowka[[#This Row],[GL_Account]])+SUMIFS(V:V,T:T,Obrotowka[[#This Row],[GL_Account]]))/1000,(SUMIFS(AL:AL,AH:AH,Obrotowka[[#This Row],[GL_Account]],AL:AL,"&gt;=0")-SUMIFS(V:V,S:S,Obrotowka[[#This Row],[GL_Account]])+SUMIFS(V:V,T:T,Obrotowka[[#This Row],[GL_Account]])))</f>
        <v>0</v>
      </c>
      <c r="H51" s="18">
        <f>IF($D$5="tak",SUMIFS(AL:AL,AH:AH,Obrotowka[[#This Row],[GL_Account]],AL:AL,"&lt;0")/1000,SUMIFS(AL:AL,AH:AH,Obrotowka[[#This Row],[GL_Account]],AL:AL,"&lt;0"))</f>
        <v>0</v>
      </c>
      <c r="I51" s="18">
        <f>SUM(Obrotowka[[#This Row],[BO]:[MA]])</f>
        <v>0</v>
      </c>
      <c r="J51">
        <f>IF(Obrotowka[[#This Row],[BZ]]=0,0,1)</f>
        <v>0</v>
      </c>
      <c r="K51" s="253"/>
      <c r="AE51" s="18"/>
      <c r="AF51" s="18"/>
      <c r="AU51" t="s">
        <v>8053</v>
      </c>
    </row>
    <row r="52" spans="2:47" x14ac:dyDescent="0.3">
      <c r="B52" t="s">
        <v>11526</v>
      </c>
      <c r="C52" t="s">
        <v>11527</v>
      </c>
      <c r="D52" t="s">
        <v>3505</v>
      </c>
      <c r="E52" t="s">
        <v>4326</v>
      </c>
      <c r="F52" s="18">
        <f>IF($D$5="tak",(SUMIFS(AE:AE,AA:AA,Obrotowka[[#This Row],[GL_Account]])-SUMIFS(U:U,S:S,Obrotowka[[#This Row],[GL_Account]])+SUMIFS(U:U,T:T,Obrotowka[[#This Row],[GL_Account]]))/1000,(SUMIFS(AE:AE,AA:AA,Obrotowka[[#This Row],[GL_Account]])-SUMIFS(U:U,S:S,Obrotowka[[#This Row],[GL_Account]])+SUMIFS(U:U,T:T,Obrotowka[[#This Row],[GL_Account]])))</f>
        <v>0</v>
      </c>
      <c r="G52" s="18">
        <f>IF($D$5="tak",(SUMIFS(AL:AL,AH:AH,Obrotowka[[#This Row],[GL_Account]],AL:AL,"&gt;=0")-SUMIFS(V:V,S:S,Obrotowka[[#This Row],[GL_Account]])+SUMIFS(V:V,T:T,Obrotowka[[#This Row],[GL_Account]]))/1000,(SUMIFS(AL:AL,AH:AH,Obrotowka[[#This Row],[GL_Account]],AL:AL,"&gt;=0")-SUMIFS(V:V,S:S,Obrotowka[[#This Row],[GL_Account]])+SUMIFS(V:V,T:T,Obrotowka[[#This Row],[GL_Account]])))</f>
        <v>0</v>
      </c>
      <c r="H52" s="18">
        <f>IF($D$5="tak",SUMIFS(AL:AL,AH:AH,Obrotowka[[#This Row],[GL_Account]],AL:AL,"&lt;0")/1000,SUMIFS(AL:AL,AH:AH,Obrotowka[[#This Row],[GL_Account]],AL:AL,"&lt;0"))</f>
        <v>0</v>
      </c>
      <c r="I52" s="18">
        <f>SUM(Obrotowka[[#This Row],[BO]:[MA]])</f>
        <v>0</v>
      </c>
      <c r="J52">
        <f>IF(Obrotowka[[#This Row],[BZ]]=0,0,1)</f>
        <v>0</v>
      </c>
      <c r="K52" s="253"/>
      <c r="AE52" s="18"/>
      <c r="AF52" s="18"/>
      <c r="AU52" t="s">
        <v>8053</v>
      </c>
    </row>
    <row r="53" spans="2:47" x14ac:dyDescent="0.3">
      <c r="B53" t="s">
        <v>11528</v>
      </c>
      <c r="C53" t="s">
        <v>11529</v>
      </c>
      <c r="D53" t="s">
        <v>3505</v>
      </c>
      <c r="E53" t="s">
        <v>3513</v>
      </c>
      <c r="F53" s="18">
        <f>IF($D$5="tak",(SUMIFS(AE:AE,AA:AA,Obrotowka[[#This Row],[GL_Account]])-SUMIFS(U:U,S:S,Obrotowka[[#This Row],[GL_Account]])+SUMIFS(U:U,T:T,Obrotowka[[#This Row],[GL_Account]]))/1000,(SUMIFS(AE:AE,AA:AA,Obrotowka[[#This Row],[GL_Account]])-SUMIFS(U:U,S:S,Obrotowka[[#This Row],[GL_Account]])+SUMIFS(U:U,T:T,Obrotowka[[#This Row],[GL_Account]])))</f>
        <v>0</v>
      </c>
      <c r="G53" s="18">
        <f>IF($D$5="tak",(SUMIFS(AL:AL,AH:AH,Obrotowka[[#This Row],[GL_Account]],AL:AL,"&gt;=0")-SUMIFS(V:V,S:S,Obrotowka[[#This Row],[GL_Account]])+SUMIFS(V:V,T:T,Obrotowka[[#This Row],[GL_Account]]))/1000,(SUMIFS(AL:AL,AH:AH,Obrotowka[[#This Row],[GL_Account]],AL:AL,"&gt;=0")-SUMIFS(V:V,S:S,Obrotowka[[#This Row],[GL_Account]])+SUMIFS(V:V,T:T,Obrotowka[[#This Row],[GL_Account]])))</f>
        <v>0</v>
      </c>
      <c r="H53" s="18">
        <f>IF($D$5="tak",SUMIFS(AL:AL,AH:AH,Obrotowka[[#This Row],[GL_Account]],AL:AL,"&lt;0")/1000,SUMIFS(AL:AL,AH:AH,Obrotowka[[#This Row],[GL_Account]],AL:AL,"&lt;0"))</f>
        <v>0</v>
      </c>
      <c r="I53" s="18">
        <f>SUM(Obrotowka[[#This Row],[BO]:[MA]])</f>
        <v>0</v>
      </c>
      <c r="J53">
        <f>IF(Obrotowka[[#This Row],[BZ]]=0,0,1)</f>
        <v>0</v>
      </c>
      <c r="K53" s="253"/>
      <c r="AE53" s="18"/>
      <c r="AF53" s="18"/>
      <c r="AU53" t="s">
        <v>8058</v>
      </c>
    </row>
    <row r="54" spans="2:47" x14ac:dyDescent="0.3">
      <c r="B54" t="s">
        <v>11530</v>
      </c>
      <c r="C54" t="s">
        <v>11531</v>
      </c>
      <c r="D54" t="s">
        <v>3505</v>
      </c>
      <c r="E54" t="s">
        <v>4326</v>
      </c>
      <c r="F54" s="18">
        <f>IF($D$5="tak",(SUMIFS(AE:AE,AA:AA,Obrotowka[[#This Row],[GL_Account]])-SUMIFS(U:U,S:S,Obrotowka[[#This Row],[GL_Account]])+SUMIFS(U:U,T:T,Obrotowka[[#This Row],[GL_Account]]))/1000,(SUMIFS(AE:AE,AA:AA,Obrotowka[[#This Row],[GL_Account]])-SUMIFS(U:U,S:S,Obrotowka[[#This Row],[GL_Account]])+SUMIFS(U:U,T:T,Obrotowka[[#This Row],[GL_Account]])))</f>
        <v>0</v>
      </c>
      <c r="G54" s="18">
        <f>IF($D$5="tak",(SUMIFS(AL:AL,AH:AH,Obrotowka[[#This Row],[GL_Account]],AL:AL,"&gt;=0")-SUMIFS(V:V,S:S,Obrotowka[[#This Row],[GL_Account]])+SUMIFS(V:V,T:T,Obrotowka[[#This Row],[GL_Account]]))/1000,(SUMIFS(AL:AL,AH:AH,Obrotowka[[#This Row],[GL_Account]],AL:AL,"&gt;=0")-SUMIFS(V:V,S:S,Obrotowka[[#This Row],[GL_Account]])+SUMIFS(V:V,T:T,Obrotowka[[#This Row],[GL_Account]])))</f>
        <v>0</v>
      </c>
      <c r="H54" s="18">
        <f>IF($D$5="tak",SUMIFS(AL:AL,AH:AH,Obrotowka[[#This Row],[GL_Account]],AL:AL,"&lt;0")/1000,SUMIFS(AL:AL,AH:AH,Obrotowka[[#This Row],[GL_Account]],AL:AL,"&lt;0"))</f>
        <v>0</v>
      </c>
      <c r="I54" s="18">
        <f>SUM(Obrotowka[[#This Row],[BO]:[MA]])</f>
        <v>0</v>
      </c>
      <c r="J54">
        <f>IF(Obrotowka[[#This Row],[BZ]]=0,0,1)</f>
        <v>0</v>
      </c>
      <c r="K54" s="253"/>
      <c r="AE54" s="18"/>
      <c r="AF54" s="18"/>
      <c r="AU54" t="s">
        <v>8058</v>
      </c>
    </row>
    <row r="55" spans="2:47" x14ac:dyDescent="0.3">
      <c r="B55" t="s">
        <v>11532</v>
      </c>
      <c r="C55" t="s">
        <v>11533</v>
      </c>
      <c r="D55" t="s">
        <v>3505</v>
      </c>
      <c r="E55" t="s">
        <v>3513</v>
      </c>
      <c r="F55" s="18">
        <f>IF($D$5="tak",(SUMIFS(AE:AE,AA:AA,Obrotowka[[#This Row],[GL_Account]])-SUMIFS(U:U,S:S,Obrotowka[[#This Row],[GL_Account]])+SUMIFS(U:U,T:T,Obrotowka[[#This Row],[GL_Account]]))/1000,(SUMIFS(AE:AE,AA:AA,Obrotowka[[#This Row],[GL_Account]])-SUMIFS(U:U,S:S,Obrotowka[[#This Row],[GL_Account]])+SUMIFS(U:U,T:T,Obrotowka[[#This Row],[GL_Account]])))</f>
        <v>0</v>
      </c>
      <c r="G55" s="18">
        <f>IF($D$5="tak",(SUMIFS(AL:AL,AH:AH,Obrotowka[[#This Row],[GL_Account]],AL:AL,"&gt;=0")-SUMIFS(V:V,S:S,Obrotowka[[#This Row],[GL_Account]])+SUMIFS(V:V,T:T,Obrotowka[[#This Row],[GL_Account]]))/1000,(SUMIFS(AL:AL,AH:AH,Obrotowka[[#This Row],[GL_Account]],AL:AL,"&gt;=0")-SUMIFS(V:V,S:S,Obrotowka[[#This Row],[GL_Account]])+SUMIFS(V:V,T:T,Obrotowka[[#This Row],[GL_Account]])))</f>
        <v>0</v>
      </c>
      <c r="H55" s="18">
        <f>IF($D$5="tak",SUMIFS(AL:AL,AH:AH,Obrotowka[[#This Row],[GL_Account]],AL:AL,"&lt;0")/1000,SUMIFS(AL:AL,AH:AH,Obrotowka[[#This Row],[GL_Account]],AL:AL,"&lt;0"))</f>
        <v>0</v>
      </c>
      <c r="I55" s="18">
        <f>SUM(Obrotowka[[#This Row],[BO]:[MA]])</f>
        <v>0</v>
      </c>
      <c r="J55">
        <f>IF(Obrotowka[[#This Row],[BZ]]=0,0,1)</f>
        <v>0</v>
      </c>
      <c r="K55" s="253"/>
      <c r="AE55" s="18"/>
      <c r="AF55" s="18"/>
      <c r="AU55" t="s">
        <v>8219</v>
      </c>
    </row>
    <row r="56" spans="2:47" x14ac:dyDescent="0.3">
      <c r="B56" t="s">
        <v>11534</v>
      </c>
      <c r="C56" t="s">
        <v>11535</v>
      </c>
      <c r="D56" t="s">
        <v>3505</v>
      </c>
      <c r="E56" t="s">
        <v>4326</v>
      </c>
      <c r="F56" s="18">
        <f>IF($D$5="tak",(SUMIFS(AE:AE,AA:AA,Obrotowka[[#This Row],[GL_Account]])-SUMIFS(U:U,S:S,Obrotowka[[#This Row],[GL_Account]])+SUMIFS(U:U,T:T,Obrotowka[[#This Row],[GL_Account]]))/1000,(SUMIFS(AE:AE,AA:AA,Obrotowka[[#This Row],[GL_Account]])-SUMIFS(U:U,S:S,Obrotowka[[#This Row],[GL_Account]])+SUMIFS(U:U,T:T,Obrotowka[[#This Row],[GL_Account]])))</f>
        <v>0</v>
      </c>
      <c r="G56" s="18">
        <f>IF($D$5="tak",(SUMIFS(AL:AL,AH:AH,Obrotowka[[#This Row],[GL_Account]],AL:AL,"&gt;=0")-SUMIFS(V:V,S:S,Obrotowka[[#This Row],[GL_Account]])+SUMIFS(V:V,T:T,Obrotowka[[#This Row],[GL_Account]]))/1000,(SUMIFS(AL:AL,AH:AH,Obrotowka[[#This Row],[GL_Account]],AL:AL,"&gt;=0")-SUMIFS(V:V,S:S,Obrotowka[[#This Row],[GL_Account]])+SUMIFS(V:V,T:T,Obrotowka[[#This Row],[GL_Account]])))</f>
        <v>0</v>
      </c>
      <c r="H56" s="18">
        <f>IF($D$5="tak",SUMIFS(AL:AL,AH:AH,Obrotowka[[#This Row],[GL_Account]],AL:AL,"&lt;0")/1000,SUMIFS(AL:AL,AH:AH,Obrotowka[[#This Row],[GL_Account]],AL:AL,"&lt;0"))</f>
        <v>0</v>
      </c>
      <c r="I56" s="18">
        <f>SUM(Obrotowka[[#This Row],[BO]:[MA]])</f>
        <v>0</v>
      </c>
      <c r="J56">
        <f>IF(Obrotowka[[#This Row],[BZ]]=0,0,1)</f>
        <v>0</v>
      </c>
      <c r="K56" s="253"/>
      <c r="AE56" s="18"/>
      <c r="AF56" s="18"/>
      <c r="AU56" t="s">
        <v>8058</v>
      </c>
    </row>
    <row r="57" spans="2:47" x14ac:dyDescent="0.3">
      <c r="B57" t="s">
        <v>11536</v>
      </c>
      <c r="C57" t="s">
        <v>11537</v>
      </c>
      <c r="D57" t="s">
        <v>3505</v>
      </c>
      <c r="E57" t="s">
        <v>4326</v>
      </c>
      <c r="F57" s="18">
        <f>IF($D$5="tak",(SUMIFS(AE:AE,AA:AA,Obrotowka[[#This Row],[GL_Account]])-SUMIFS(U:U,S:S,Obrotowka[[#This Row],[GL_Account]])+SUMIFS(U:U,T:T,Obrotowka[[#This Row],[GL_Account]]))/1000,(SUMIFS(AE:AE,AA:AA,Obrotowka[[#This Row],[GL_Account]])-SUMIFS(U:U,S:S,Obrotowka[[#This Row],[GL_Account]])+SUMIFS(U:U,T:T,Obrotowka[[#This Row],[GL_Account]])))</f>
        <v>0</v>
      </c>
      <c r="G57" s="18">
        <f>IF($D$5="tak",(SUMIFS(AL:AL,AH:AH,Obrotowka[[#This Row],[GL_Account]],AL:AL,"&gt;=0")-SUMIFS(V:V,S:S,Obrotowka[[#This Row],[GL_Account]])+SUMIFS(V:V,T:T,Obrotowka[[#This Row],[GL_Account]]))/1000,(SUMIFS(AL:AL,AH:AH,Obrotowka[[#This Row],[GL_Account]],AL:AL,"&gt;=0")-SUMIFS(V:V,S:S,Obrotowka[[#This Row],[GL_Account]])+SUMIFS(V:V,T:T,Obrotowka[[#This Row],[GL_Account]])))</f>
        <v>0</v>
      </c>
      <c r="H57" s="18">
        <f>IF($D$5="tak",SUMIFS(AL:AL,AH:AH,Obrotowka[[#This Row],[GL_Account]],AL:AL,"&lt;0")/1000,SUMIFS(AL:AL,AH:AH,Obrotowka[[#This Row],[GL_Account]],AL:AL,"&lt;0"))</f>
        <v>0</v>
      </c>
      <c r="I57" s="18">
        <f>SUM(Obrotowka[[#This Row],[BO]:[MA]])</f>
        <v>0</v>
      </c>
      <c r="J57">
        <f>IF(Obrotowka[[#This Row],[BZ]]=0,0,1)</f>
        <v>0</v>
      </c>
      <c r="K57" s="253"/>
      <c r="AE57" s="18"/>
      <c r="AF57" s="18"/>
      <c r="AU57" t="s">
        <v>8063</v>
      </c>
    </row>
    <row r="58" spans="2:47" x14ac:dyDescent="0.3">
      <c r="B58" t="s">
        <v>11538</v>
      </c>
      <c r="C58" t="s">
        <v>11539</v>
      </c>
      <c r="D58" t="s">
        <v>3505</v>
      </c>
      <c r="E58" t="s">
        <v>4326</v>
      </c>
      <c r="F58" s="18">
        <f>IF($D$5="tak",(SUMIFS(AE:AE,AA:AA,Obrotowka[[#This Row],[GL_Account]])-SUMIFS(U:U,S:S,Obrotowka[[#This Row],[GL_Account]])+SUMIFS(U:U,T:T,Obrotowka[[#This Row],[GL_Account]]))/1000,(SUMIFS(AE:AE,AA:AA,Obrotowka[[#This Row],[GL_Account]])-SUMIFS(U:U,S:S,Obrotowka[[#This Row],[GL_Account]])+SUMIFS(U:U,T:T,Obrotowka[[#This Row],[GL_Account]])))</f>
        <v>0</v>
      </c>
      <c r="G58" s="18">
        <f>IF($D$5="tak",(SUMIFS(AL:AL,AH:AH,Obrotowka[[#This Row],[GL_Account]],AL:AL,"&gt;=0")-SUMIFS(V:V,S:S,Obrotowka[[#This Row],[GL_Account]])+SUMIFS(V:V,T:T,Obrotowka[[#This Row],[GL_Account]]))/1000,(SUMIFS(AL:AL,AH:AH,Obrotowka[[#This Row],[GL_Account]],AL:AL,"&gt;=0")-SUMIFS(V:V,S:S,Obrotowka[[#This Row],[GL_Account]])+SUMIFS(V:V,T:T,Obrotowka[[#This Row],[GL_Account]])))</f>
        <v>0</v>
      </c>
      <c r="H58" s="18">
        <f>IF($D$5="tak",SUMIFS(AL:AL,AH:AH,Obrotowka[[#This Row],[GL_Account]],AL:AL,"&lt;0")/1000,SUMIFS(AL:AL,AH:AH,Obrotowka[[#This Row],[GL_Account]],AL:AL,"&lt;0"))</f>
        <v>0</v>
      </c>
      <c r="I58" s="18">
        <f>SUM(Obrotowka[[#This Row],[BO]:[MA]])</f>
        <v>0</v>
      </c>
      <c r="J58">
        <f>IF(Obrotowka[[#This Row],[BZ]]=0,0,1)</f>
        <v>0</v>
      </c>
      <c r="K58" s="253"/>
      <c r="AE58" s="18"/>
      <c r="AF58" s="18"/>
      <c r="AU58" t="s">
        <v>8063</v>
      </c>
    </row>
    <row r="59" spans="2:47" x14ac:dyDescent="0.3">
      <c r="B59" t="s">
        <v>11540</v>
      </c>
      <c r="C59" t="s">
        <v>11541</v>
      </c>
      <c r="D59" t="s">
        <v>3505</v>
      </c>
      <c r="E59" t="s">
        <v>4326</v>
      </c>
      <c r="F59" s="18">
        <f>IF($D$5="tak",(SUMIFS(AE:AE,AA:AA,Obrotowka[[#This Row],[GL_Account]])-SUMIFS(U:U,S:S,Obrotowka[[#This Row],[GL_Account]])+SUMIFS(U:U,T:T,Obrotowka[[#This Row],[GL_Account]]))/1000,(SUMIFS(AE:AE,AA:AA,Obrotowka[[#This Row],[GL_Account]])-SUMIFS(U:U,S:S,Obrotowka[[#This Row],[GL_Account]])+SUMIFS(U:U,T:T,Obrotowka[[#This Row],[GL_Account]])))</f>
        <v>0</v>
      </c>
      <c r="G59" s="18">
        <f>IF($D$5="tak",(SUMIFS(AL:AL,AH:AH,Obrotowka[[#This Row],[GL_Account]],AL:AL,"&gt;=0")-SUMIFS(V:V,S:S,Obrotowka[[#This Row],[GL_Account]])+SUMIFS(V:V,T:T,Obrotowka[[#This Row],[GL_Account]]))/1000,(SUMIFS(AL:AL,AH:AH,Obrotowka[[#This Row],[GL_Account]],AL:AL,"&gt;=0")-SUMIFS(V:V,S:S,Obrotowka[[#This Row],[GL_Account]])+SUMIFS(V:V,T:T,Obrotowka[[#This Row],[GL_Account]])))</f>
        <v>0</v>
      </c>
      <c r="H59" s="18">
        <f>IF($D$5="tak",SUMIFS(AL:AL,AH:AH,Obrotowka[[#This Row],[GL_Account]],AL:AL,"&lt;0")/1000,SUMIFS(AL:AL,AH:AH,Obrotowka[[#This Row],[GL_Account]],AL:AL,"&lt;0"))</f>
        <v>0</v>
      </c>
      <c r="I59" s="18">
        <f>SUM(Obrotowka[[#This Row],[BO]:[MA]])</f>
        <v>0</v>
      </c>
      <c r="J59">
        <f>IF(Obrotowka[[#This Row],[BZ]]=0,0,1)</f>
        <v>0</v>
      </c>
      <c r="K59" s="253"/>
      <c r="AE59" s="18"/>
      <c r="AF59" s="18"/>
      <c r="AU59" t="s">
        <v>8082</v>
      </c>
    </row>
    <row r="60" spans="2:47" x14ac:dyDescent="0.3">
      <c r="B60" t="s">
        <v>11542</v>
      </c>
      <c r="C60" t="s">
        <v>11543</v>
      </c>
      <c r="D60" t="s">
        <v>3505</v>
      </c>
      <c r="E60" t="s">
        <v>4326</v>
      </c>
      <c r="F60" s="18">
        <f>IF($D$5="tak",(SUMIFS(AE:AE,AA:AA,Obrotowka[[#This Row],[GL_Account]])-SUMIFS(U:U,S:S,Obrotowka[[#This Row],[GL_Account]])+SUMIFS(U:U,T:T,Obrotowka[[#This Row],[GL_Account]]))/1000,(SUMIFS(AE:AE,AA:AA,Obrotowka[[#This Row],[GL_Account]])-SUMIFS(U:U,S:S,Obrotowka[[#This Row],[GL_Account]])+SUMIFS(U:U,T:T,Obrotowka[[#This Row],[GL_Account]])))</f>
        <v>0</v>
      </c>
      <c r="G60" s="18">
        <f>IF($D$5="tak",(SUMIFS(AL:AL,AH:AH,Obrotowka[[#This Row],[GL_Account]],AL:AL,"&gt;=0")-SUMIFS(V:V,S:S,Obrotowka[[#This Row],[GL_Account]])+SUMIFS(V:V,T:T,Obrotowka[[#This Row],[GL_Account]]))/1000,(SUMIFS(AL:AL,AH:AH,Obrotowka[[#This Row],[GL_Account]],AL:AL,"&gt;=0")-SUMIFS(V:V,S:S,Obrotowka[[#This Row],[GL_Account]])+SUMIFS(V:V,T:T,Obrotowka[[#This Row],[GL_Account]])))</f>
        <v>0</v>
      </c>
      <c r="H60" s="18">
        <f>IF($D$5="tak",SUMIFS(AL:AL,AH:AH,Obrotowka[[#This Row],[GL_Account]],AL:AL,"&lt;0")/1000,SUMIFS(AL:AL,AH:AH,Obrotowka[[#This Row],[GL_Account]],AL:AL,"&lt;0"))</f>
        <v>0</v>
      </c>
      <c r="I60" s="18">
        <f>SUM(Obrotowka[[#This Row],[BO]:[MA]])</f>
        <v>0</v>
      </c>
      <c r="J60">
        <f>IF(Obrotowka[[#This Row],[BZ]]=0,0,1)</f>
        <v>0</v>
      </c>
      <c r="K60" s="253"/>
      <c r="AE60" s="18"/>
      <c r="AF60" s="18"/>
      <c r="AU60" t="s">
        <v>8082</v>
      </c>
    </row>
    <row r="61" spans="2:47" x14ac:dyDescent="0.3">
      <c r="B61" t="s">
        <v>11544</v>
      </c>
      <c r="C61" t="s">
        <v>11545</v>
      </c>
      <c r="D61" t="s">
        <v>3505</v>
      </c>
      <c r="E61" t="s">
        <v>4326</v>
      </c>
      <c r="F61" s="18">
        <f>IF($D$5="tak",(SUMIFS(AE:AE,AA:AA,Obrotowka[[#This Row],[GL_Account]])-SUMIFS(U:U,S:S,Obrotowka[[#This Row],[GL_Account]])+SUMIFS(U:U,T:T,Obrotowka[[#This Row],[GL_Account]]))/1000,(SUMIFS(AE:AE,AA:AA,Obrotowka[[#This Row],[GL_Account]])-SUMIFS(U:U,S:S,Obrotowka[[#This Row],[GL_Account]])+SUMIFS(U:U,T:T,Obrotowka[[#This Row],[GL_Account]])))</f>
        <v>0</v>
      </c>
      <c r="G61" s="18">
        <f>IF($D$5="tak",(SUMIFS(AL:AL,AH:AH,Obrotowka[[#This Row],[GL_Account]],AL:AL,"&gt;=0")-SUMIFS(V:V,S:S,Obrotowka[[#This Row],[GL_Account]])+SUMIFS(V:V,T:T,Obrotowka[[#This Row],[GL_Account]]))/1000,(SUMIFS(AL:AL,AH:AH,Obrotowka[[#This Row],[GL_Account]],AL:AL,"&gt;=0")-SUMIFS(V:V,S:S,Obrotowka[[#This Row],[GL_Account]])+SUMIFS(V:V,T:T,Obrotowka[[#This Row],[GL_Account]])))</f>
        <v>0</v>
      </c>
      <c r="H61" s="18">
        <f>IF($D$5="tak",SUMIFS(AL:AL,AH:AH,Obrotowka[[#This Row],[GL_Account]],AL:AL,"&lt;0")/1000,SUMIFS(AL:AL,AH:AH,Obrotowka[[#This Row],[GL_Account]],AL:AL,"&lt;0"))</f>
        <v>0</v>
      </c>
      <c r="I61" s="18">
        <f>SUM(Obrotowka[[#This Row],[BO]:[MA]])</f>
        <v>0</v>
      </c>
      <c r="J61">
        <f>IF(Obrotowka[[#This Row],[BZ]]=0,0,1)</f>
        <v>0</v>
      </c>
      <c r="K61" s="253"/>
      <c r="AE61" s="18"/>
      <c r="AF61" s="18"/>
      <c r="AU61" t="s">
        <v>8085</v>
      </c>
    </row>
    <row r="62" spans="2:47" x14ac:dyDescent="0.3">
      <c r="B62" t="s">
        <v>11546</v>
      </c>
      <c r="C62" t="s">
        <v>11547</v>
      </c>
      <c r="D62" t="s">
        <v>3505</v>
      </c>
      <c r="E62" t="s">
        <v>4326</v>
      </c>
      <c r="F62" s="18">
        <f>IF($D$5="tak",(SUMIFS(AE:AE,AA:AA,Obrotowka[[#This Row],[GL_Account]])-SUMIFS(U:U,S:S,Obrotowka[[#This Row],[GL_Account]])+SUMIFS(U:U,T:T,Obrotowka[[#This Row],[GL_Account]]))/1000,(SUMIFS(AE:AE,AA:AA,Obrotowka[[#This Row],[GL_Account]])-SUMIFS(U:U,S:S,Obrotowka[[#This Row],[GL_Account]])+SUMIFS(U:U,T:T,Obrotowka[[#This Row],[GL_Account]])))</f>
        <v>0</v>
      </c>
      <c r="G62" s="18">
        <f>IF($D$5="tak",(SUMIFS(AL:AL,AH:AH,Obrotowka[[#This Row],[GL_Account]],AL:AL,"&gt;=0")-SUMIFS(V:V,S:S,Obrotowka[[#This Row],[GL_Account]])+SUMIFS(V:V,T:T,Obrotowka[[#This Row],[GL_Account]]))/1000,(SUMIFS(AL:AL,AH:AH,Obrotowka[[#This Row],[GL_Account]],AL:AL,"&gt;=0")-SUMIFS(V:V,S:S,Obrotowka[[#This Row],[GL_Account]])+SUMIFS(V:V,T:T,Obrotowka[[#This Row],[GL_Account]])))</f>
        <v>0</v>
      </c>
      <c r="H62" s="18">
        <f>IF($D$5="tak",SUMIFS(AL:AL,AH:AH,Obrotowka[[#This Row],[GL_Account]],AL:AL,"&lt;0")/1000,SUMIFS(AL:AL,AH:AH,Obrotowka[[#This Row],[GL_Account]],AL:AL,"&lt;0"))</f>
        <v>0</v>
      </c>
      <c r="I62" s="18">
        <f>SUM(Obrotowka[[#This Row],[BO]:[MA]])</f>
        <v>0</v>
      </c>
      <c r="J62">
        <f>IF(Obrotowka[[#This Row],[BZ]]=0,0,1)</f>
        <v>0</v>
      </c>
      <c r="K62" s="253"/>
      <c r="AE62" s="18"/>
      <c r="AF62" s="18"/>
      <c r="AU62" t="s">
        <v>8085</v>
      </c>
    </row>
    <row r="63" spans="2:47" x14ac:dyDescent="0.3">
      <c r="B63" t="s">
        <v>11548</v>
      </c>
      <c r="C63" t="s">
        <v>11549</v>
      </c>
      <c r="D63" t="s">
        <v>3505</v>
      </c>
      <c r="E63" t="s">
        <v>3513</v>
      </c>
      <c r="F63" s="18">
        <f>IF($D$5="tak",(SUMIFS(AE:AE,AA:AA,Obrotowka[[#This Row],[GL_Account]])-SUMIFS(U:U,S:S,Obrotowka[[#This Row],[GL_Account]])+SUMIFS(U:U,T:T,Obrotowka[[#This Row],[GL_Account]]))/1000,(SUMIFS(AE:AE,AA:AA,Obrotowka[[#This Row],[GL_Account]])-SUMIFS(U:U,S:S,Obrotowka[[#This Row],[GL_Account]])+SUMIFS(U:U,T:T,Obrotowka[[#This Row],[GL_Account]])))</f>
        <v>0</v>
      </c>
      <c r="G63" s="18">
        <f>IF($D$5="tak",(SUMIFS(AL:AL,AH:AH,Obrotowka[[#This Row],[GL_Account]],AL:AL,"&gt;=0")-SUMIFS(V:V,S:S,Obrotowka[[#This Row],[GL_Account]])+SUMIFS(V:V,T:T,Obrotowka[[#This Row],[GL_Account]]))/1000,(SUMIFS(AL:AL,AH:AH,Obrotowka[[#This Row],[GL_Account]],AL:AL,"&gt;=0")-SUMIFS(V:V,S:S,Obrotowka[[#This Row],[GL_Account]])+SUMIFS(V:V,T:T,Obrotowka[[#This Row],[GL_Account]])))</f>
        <v>0</v>
      </c>
      <c r="H63" s="18">
        <f>IF($D$5="tak",SUMIFS(AL:AL,AH:AH,Obrotowka[[#This Row],[GL_Account]],AL:AL,"&lt;0")/1000,SUMIFS(AL:AL,AH:AH,Obrotowka[[#This Row],[GL_Account]],AL:AL,"&lt;0"))</f>
        <v>0</v>
      </c>
      <c r="I63" s="18">
        <f>SUM(Obrotowka[[#This Row],[BO]:[MA]])</f>
        <v>0</v>
      </c>
      <c r="J63">
        <f>IF(Obrotowka[[#This Row],[BZ]]=0,0,1)</f>
        <v>0</v>
      </c>
      <c r="K63" s="253"/>
      <c r="AE63" s="18"/>
      <c r="AF63" s="18"/>
      <c r="AU63" t="s">
        <v>8088</v>
      </c>
    </row>
    <row r="64" spans="2:47" x14ac:dyDescent="0.3">
      <c r="B64" t="s">
        <v>11550</v>
      </c>
      <c r="C64" t="s">
        <v>11551</v>
      </c>
      <c r="D64" t="s">
        <v>3505</v>
      </c>
      <c r="E64" t="s">
        <v>4326</v>
      </c>
      <c r="F64" s="18">
        <f>IF($D$5="tak",(SUMIFS(AE:AE,AA:AA,Obrotowka[[#This Row],[GL_Account]])-SUMIFS(U:U,S:S,Obrotowka[[#This Row],[GL_Account]])+SUMIFS(U:U,T:T,Obrotowka[[#This Row],[GL_Account]]))/1000,(SUMIFS(AE:AE,AA:AA,Obrotowka[[#This Row],[GL_Account]])-SUMIFS(U:U,S:S,Obrotowka[[#This Row],[GL_Account]])+SUMIFS(U:U,T:T,Obrotowka[[#This Row],[GL_Account]])))</f>
        <v>0</v>
      </c>
      <c r="G64" s="18">
        <f>IF($D$5="tak",(SUMIFS(AL:AL,AH:AH,Obrotowka[[#This Row],[GL_Account]],AL:AL,"&gt;=0")-SUMIFS(V:V,S:S,Obrotowka[[#This Row],[GL_Account]])+SUMIFS(V:V,T:T,Obrotowka[[#This Row],[GL_Account]]))/1000,(SUMIFS(AL:AL,AH:AH,Obrotowka[[#This Row],[GL_Account]],AL:AL,"&gt;=0")-SUMIFS(V:V,S:S,Obrotowka[[#This Row],[GL_Account]])+SUMIFS(V:V,T:T,Obrotowka[[#This Row],[GL_Account]])))</f>
        <v>0</v>
      </c>
      <c r="H64" s="18">
        <f>IF($D$5="tak",SUMIFS(AL:AL,AH:AH,Obrotowka[[#This Row],[GL_Account]],AL:AL,"&lt;0")/1000,SUMIFS(AL:AL,AH:AH,Obrotowka[[#This Row],[GL_Account]],AL:AL,"&lt;0"))</f>
        <v>0</v>
      </c>
      <c r="I64" s="18">
        <f>SUM(Obrotowka[[#This Row],[BO]:[MA]])</f>
        <v>0</v>
      </c>
      <c r="J64">
        <f>IF(Obrotowka[[#This Row],[BZ]]=0,0,1)</f>
        <v>0</v>
      </c>
      <c r="K64" s="253"/>
      <c r="AE64" s="18"/>
      <c r="AF64" s="18"/>
      <c r="AU64" t="s">
        <v>8088</v>
      </c>
    </row>
    <row r="65" spans="2:47" x14ac:dyDescent="0.3">
      <c r="B65" t="s">
        <v>11552</v>
      </c>
      <c r="C65" t="s">
        <v>11553</v>
      </c>
      <c r="D65" t="s">
        <v>3505</v>
      </c>
      <c r="E65" t="s">
        <v>3513</v>
      </c>
      <c r="F65" s="18">
        <f>IF($D$5="tak",(SUMIFS(AE:AE,AA:AA,Obrotowka[[#This Row],[GL_Account]])-SUMIFS(U:U,S:S,Obrotowka[[#This Row],[GL_Account]])+SUMIFS(U:U,T:T,Obrotowka[[#This Row],[GL_Account]]))/1000,(SUMIFS(AE:AE,AA:AA,Obrotowka[[#This Row],[GL_Account]])-SUMIFS(U:U,S:S,Obrotowka[[#This Row],[GL_Account]])+SUMIFS(U:U,T:T,Obrotowka[[#This Row],[GL_Account]])))</f>
        <v>0</v>
      </c>
      <c r="G65" s="18">
        <f>IF($D$5="tak",(SUMIFS(AL:AL,AH:AH,Obrotowka[[#This Row],[GL_Account]],AL:AL,"&gt;=0")-SUMIFS(V:V,S:S,Obrotowka[[#This Row],[GL_Account]])+SUMIFS(V:V,T:T,Obrotowka[[#This Row],[GL_Account]]))/1000,(SUMIFS(AL:AL,AH:AH,Obrotowka[[#This Row],[GL_Account]],AL:AL,"&gt;=0")-SUMIFS(V:V,S:S,Obrotowka[[#This Row],[GL_Account]])+SUMIFS(V:V,T:T,Obrotowka[[#This Row],[GL_Account]])))</f>
        <v>0</v>
      </c>
      <c r="H65" s="18">
        <f>IF($D$5="tak",SUMIFS(AL:AL,AH:AH,Obrotowka[[#This Row],[GL_Account]],AL:AL,"&lt;0")/1000,SUMIFS(AL:AL,AH:AH,Obrotowka[[#This Row],[GL_Account]],AL:AL,"&lt;0"))</f>
        <v>0</v>
      </c>
      <c r="I65" s="18">
        <f>SUM(Obrotowka[[#This Row],[BO]:[MA]])</f>
        <v>0</v>
      </c>
      <c r="J65">
        <f>IF(Obrotowka[[#This Row],[BZ]]=0,0,1)</f>
        <v>0</v>
      </c>
      <c r="K65" s="253"/>
      <c r="AE65" s="18"/>
      <c r="AF65" s="18"/>
      <c r="AU65" t="s">
        <v>8234</v>
      </c>
    </row>
    <row r="66" spans="2:47" x14ac:dyDescent="0.3">
      <c r="B66" t="s">
        <v>11554</v>
      </c>
      <c r="C66" t="s">
        <v>11555</v>
      </c>
      <c r="D66" t="s">
        <v>3505</v>
      </c>
      <c r="E66" t="s">
        <v>4326</v>
      </c>
      <c r="F66" s="18">
        <f>IF($D$5="tak",(SUMIFS(AE:AE,AA:AA,Obrotowka[[#This Row],[GL_Account]])-SUMIFS(U:U,S:S,Obrotowka[[#This Row],[GL_Account]])+SUMIFS(U:U,T:T,Obrotowka[[#This Row],[GL_Account]]))/1000,(SUMIFS(AE:AE,AA:AA,Obrotowka[[#This Row],[GL_Account]])-SUMIFS(U:U,S:S,Obrotowka[[#This Row],[GL_Account]])+SUMIFS(U:U,T:T,Obrotowka[[#This Row],[GL_Account]])))</f>
        <v>0</v>
      </c>
      <c r="G66" s="18">
        <f>IF($D$5="tak",(SUMIFS(AL:AL,AH:AH,Obrotowka[[#This Row],[GL_Account]],AL:AL,"&gt;=0")-SUMIFS(V:V,S:S,Obrotowka[[#This Row],[GL_Account]])+SUMIFS(V:V,T:T,Obrotowka[[#This Row],[GL_Account]]))/1000,(SUMIFS(AL:AL,AH:AH,Obrotowka[[#This Row],[GL_Account]],AL:AL,"&gt;=0")-SUMIFS(V:V,S:S,Obrotowka[[#This Row],[GL_Account]])+SUMIFS(V:V,T:T,Obrotowka[[#This Row],[GL_Account]])))</f>
        <v>0</v>
      </c>
      <c r="H66" s="18">
        <f>IF($D$5="tak",SUMIFS(AL:AL,AH:AH,Obrotowka[[#This Row],[GL_Account]],AL:AL,"&lt;0")/1000,SUMIFS(AL:AL,AH:AH,Obrotowka[[#This Row],[GL_Account]],AL:AL,"&lt;0"))</f>
        <v>0</v>
      </c>
      <c r="I66" s="18">
        <f>SUM(Obrotowka[[#This Row],[BO]:[MA]])</f>
        <v>0</v>
      </c>
      <c r="J66">
        <f>IF(Obrotowka[[#This Row],[BZ]]=0,0,1)</f>
        <v>0</v>
      </c>
      <c r="K66" s="253"/>
      <c r="AE66" s="18"/>
      <c r="AF66" s="18"/>
      <c r="AU66" t="s">
        <v>8088</v>
      </c>
    </row>
    <row r="67" spans="2:47" x14ac:dyDescent="0.3">
      <c r="B67" t="s">
        <v>11556</v>
      </c>
      <c r="C67" t="s">
        <v>11557</v>
      </c>
      <c r="D67" t="s">
        <v>3505</v>
      </c>
      <c r="E67" t="s">
        <v>4326</v>
      </c>
      <c r="F67" s="18">
        <f>IF($D$5="tak",(SUMIFS(AE:AE,AA:AA,Obrotowka[[#This Row],[GL_Account]])-SUMIFS(U:U,S:S,Obrotowka[[#This Row],[GL_Account]])+SUMIFS(U:U,T:T,Obrotowka[[#This Row],[GL_Account]]))/1000,(SUMIFS(AE:AE,AA:AA,Obrotowka[[#This Row],[GL_Account]])-SUMIFS(U:U,S:S,Obrotowka[[#This Row],[GL_Account]])+SUMIFS(U:U,T:T,Obrotowka[[#This Row],[GL_Account]])))</f>
        <v>0</v>
      </c>
      <c r="G67" s="18">
        <f>IF($D$5="tak",(SUMIFS(AL:AL,AH:AH,Obrotowka[[#This Row],[GL_Account]],AL:AL,"&gt;=0")-SUMIFS(V:V,S:S,Obrotowka[[#This Row],[GL_Account]])+SUMIFS(V:V,T:T,Obrotowka[[#This Row],[GL_Account]]))/1000,(SUMIFS(AL:AL,AH:AH,Obrotowka[[#This Row],[GL_Account]],AL:AL,"&gt;=0")-SUMIFS(V:V,S:S,Obrotowka[[#This Row],[GL_Account]])+SUMIFS(V:V,T:T,Obrotowka[[#This Row],[GL_Account]])))</f>
        <v>0</v>
      </c>
      <c r="H67" s="18">
        <f>IF($D$5="tak",SUMIFS(AL:AL,AH:AH,Obrotowka[[#This Row],[GL_Account]],AL:AL,"&lt;0")/1000,SUMIFS(AL:AL,AH:AH,Obrotowka[[#This Row],[GL_Account]],AL:AL,"&lt;0"))</f>
        <v>0</v>
      </c>
      <c r="I67" s="18">
        <f>SUM(Obrotowka[[#This Row],[BO]:[MA]])</f>
        <v>0</v>
      </c>
      <c r="J67">
        <f>IF(Obrotowka[[#This Row],[BZ]]=0,0,1)</f>
        <v>0</v>
      </c>
      <c r="K67" s="253"/>
      <c r="AE67" s="18"/>
      <c r="AF67" s="18"/>
      <c r="AU67" t="s">
        <v>8091</v>
      </c>
    </row>
    <row r="68" spans="2:47" x14ac:dyDescent="0.3">
      <c r="B68" t="s">
        <v>11558</v>
      </c>
      <c r="C68" t="s">
        <v>11559</v>
      </c>
      <c r="D68" t="s">
        <v>3505</v>
      </c>
      <c r="E68" t="s">
        <v>4326</v>
      </c>
      <c r="F68" s="18">
        <f>IF($D$5="tak",(SUMIFS(AE:AE,AA:AA,Obrotowka[[#This Row],[GL_Account]])-SUMIFS(U:U,S:S,Obrotowka[[#This Row],[GL_Account]])+SUMIFS(U:U,T:T,Obrotowka[[#This Row],[GL_Account]]))/1000,(SUMIFS(AE:AE,AA:AA,Obrotowka[[#This Row],[GL_Account]])-SUMIFS(U:U,S:S,Obrotowka[[#This Row],[GL_Account]])+SUMIFS(U:U,T:T,Obrotowka[[#This Row],[GL_Account]])))</f>
        <v>0</v>
      </c>
      <c r="G68" s="18">
        <f>IF($D$5="tak",(SUMIFS(AL:AL,AH:AH,Obrotowka[[#This Row],[GL_Account]],AL:AL,"&gt;=0")-SUMIFS(V:V,S:S,Obrotowka[[#This Row],[GL_Account]])+SUMIFS(V:V,T:T,Obrotowka[[#This Row],[GL_Account]]))/1000,(SUMIFS(AL:AL,AH:AH,Obrotowka[[#This Row],[GL_Account]],AL:AL,"&gt;=0")-SUMIFS(V:V,S:S,Obrotowka[[#This Row],[GL_Account]])+SUMIFS(V:V,T:T,Obrotowka[[#This Row],[GL_Account]])))</f>
        <v>0</v>
      </c>
      <c r="H68" s="18">
        <f>IF($D$5="tak",SUMIFS(AL:AL,AH:AH,Obrotowka[[#This Row],[GL_Account]],AL:AL,"&lt;0")/1000,SUMIFS(AL:AL,AH:AH,Obrotowka[[#This Row],[GL_Account]],AL:AL,"&lt;0"))</f>
        <v>0</v>
      </c>
      <c r="I68" s="18">
        <f>SUM(Obrotowka[[#This Row],[BO]:[MA]])</f>
        <v>0</v>
      </c>
      <c r="J68">
        <f>IF(Obrotowka[[#This Row],[BZ]]=0,0,1)</f>
        <v>0</v>
      </c>
      <c r="K68" s="253"/>
      <c r="AE68" s="18"/>
      <c r="AF68" s="18"/>
      <c r="AU68" t="s">
        <v>8091</v>
      </c>
    </row>
    <row r="69" spans="2:47" x14ac:dyDescent="0.3">
      <c r="B69" t="s">
        <v>11560</v>
      </c>
      <c r="C69" t="s">
        <v>8092</v>
      </c>
      <c r="D69" t="s">
        <v>3505</v>
      </c>
      <c r="E69" t="s">
        <v>4326</v>
      </c>
      <c r="F69" s="18">
        <f>IF($D$5="tak",(SUMIFS(AE:AE,AA:AA,Obrotowka[[#This Row],[GL_Account]])-SUMIFS(U:U,S:S,Obrotowka[[#This Row],[GL_Account]])+SUMIFS(U:U,T:T,Obrotowka[[#This Row],[GL_Account]]))/1000,(SUMIFS(AE:AE,AA:AA,Obrotowka[[#This Row],[GL_Account]])-SUMIFS(U:U,S:S,Obrotowka[[#This Row],[GL_Account]])+SUMIFS(U:U,T:T,Obrotowka[[#This Row],[GL_Account]])))</f>
        <v>0</v>
      </c>
      <c r="G69" s="18">
        <f>IF($D$5="tak",(SUMIFS(AL:AL,AH:AH,Obrotowka[[#This Row],[GL_Account]],AL:AL,"&gt;=0")-SUMIFS(V:V,S:S,Obrotowka[[#This Row],[GL_Account]])+SUMIFS(V:V,T:T,Obrotowka[[#This Row],[GL_Account]]))/1000,(SUMIFS(AL:AL,AH:AH,Obrotowka[[#This Row],[GL_Account]],AL:AL,"&gt;=0")-SUMIFS(V:V,S:S,Obrotowka[[#This Row],[GL_Account]])+SUMIFS(V:V,T:T,Obrotowka[[#This Row],[GL_Account]])))</f>
        <v>0</v>
      </c>
      <c r="H69" s="18">
        <f>IF($D$5="tak",SUMIFS(AL:AL,AH:AH,Obrotowka[[#This Row],[GL_Account]],AL:AL,"&lt;0")/1000,SUMIFS(AL:AL,AH:AH,Obrotowka[[#This Row],[GL_Account]],AL:AL,"&lt;0"))</f>
        <v>0</v>
      </c>
      <c r="I69" s="18">
        <f>SUM(Obrotowka[[#This Row],[BO]:[MA]])</f>
        <v>0</v>
      </c>
      <c r="J69">
        <f>IF(Obrotowka[[#This Row],[BZ]]=0,0,1)</f>
        <v>0</v>
      </c>
      <c r="K69" s="253"/>
      <c r="AE69" s="18"/>
      <c r="AF69" s="18"/>
      <c r="AU69" t="s">
        <v>11561</v>
      </c>
    </row>
    <row r="70" spans="2:47" x14ac:dyDescent="0.3">
      <c r="B70" t="s">
        <v>11562</v>
      </c>
      <c r="C70" t="s">
        <v>11563</v>
      </c>
      <c r="D70" t="s">
        <v>3505</v>
      </c>
      <c r="E70" t="s">
        <v>4326</v>
      </c>
      <c r="F70" s="18">
        <f>IF($D$5="tak",(SUMIFS(AE:AE,AA:AA,Obrotowka[[#This Row],[GL_Account]])-SUMIFS(U:U,S:S,Obrotowka[[#This Row],[GL_Account]])+SUMIFS(U:U,T:T,Obrotowka[[#This Row],[GL_Account]]))/1000,(SUMIFS(AE:AE,AA:AA,Obrotowka[[#This Row],[GL_Account]])-SUMIFS(U:U,S:S,Obrotowka[[#This Row],[GL_Account]])+SUMIFS(U:U,T:T,Obrotowka[[#This Row],[GL_Account]])))</f>
        <v>0</v>
      </c>
      <c r="G70" s="18">
        <f>IF($D$5="tak",(SUMIFS(AL:AL,AH:AH,Obrotowka[[#This Row],[GL_Account]],AL:AL,"&gt;=0")-SUMIFS(V:V,S:S,Obrotowka[[#This Row],[GL_Account]])+SUMIFS(V:V,T:T,Obrotowka[[#This Row],[GL_Account]]))/1000,(SUMIFS(AL:AL,AH:AH,Obrotowka[[#This Row],[GL_Account]],AL:AL,"&gt;=0")-SUMIFS(V:V,S:S,Obrotowka[[#This Row],[GL_Account]])+SUMIFS(V:V,T:T,Obrotowka[[#This Row],[GL_Account]])))</f>
        <v>0</v>
      </c>
      <c r="H70" s="18">
        <f>IF($D$5="tak",SUMIFS(AL:AL,AH:AH,Obrotowka[[#This Row],[GL_Account]],AL:AL,"&lt;0")/1000,SUMIFS(AL:AL,AH:AH,Obrotowka[[#This Row],[GL_Account]],AL:AL,"&lt;0"))</f>
        <v>0</v>
      </c>
      <c r="I70" s="18">
        <f>SUM(Obrotowka[[#This Row],[BO]:[MA]])</f>
        <v>0</v>
      </c>
      <c r="J70">
        <f>IF(Obrotowka[[#This Row],[BZ]]=0,0,1)</f>
        <v>0</v>
      </c>
      <c r="K70" s="253"/>
      <c r="AE70" s="18"/>
      <c r="AF70" s="18"/>
      <c r="AU70" t="s">
        <v>7980</v>
      </c>
    </row>
    <row r="71" spans="2:47" x14ac:dyDescent="0.3">
      <c r="B71" t="s">
        <v>11564</v>
      </c>
      <c r="C71" t="s">
        <v>11565</v>
      </c>
      <c r="D71" t="s">
        <v>3505</v>
      </c>
      <c r="E71" t="s">
        <v>4326</v>
      </c>
      <c r="F71" s="18">
        <f>IF($D$5="tak",(SUMIFS(AE:AE,AA:AA,Obrotowka[[#This Row],[GL_Account]])-SUMIFS(U:U,S:S,Obrotowka[[#This Row],[GL_Account]])+SUMIFS(U:U,T:T,Obrotowka[[#This Row],[GL_Account]]))/1000,(SUMIFS(AE:AE,AA:AA,Obrotowka[[#This Row],[GL_Account]])-SUMIFS(U:U,S:S,Obrotowka[[#This Row],[GL_Account]])+SUMIFS(U:U,T:T,Obrotowka[[#This Row],[GL_Account]])))</f>
        <v>0</v>
      </c>
      <c r="G71" s="18">
        <f>IF($D$5="tak",(SUMIFS(AL:AL,AH:AH,Obrotowka[[#This Row],[GL_Account]],AL:AL,"&gt;=0")-SUMIFS(V:V,S:S,Obrotowka[[#This Row],[GL_Account]])+SUMIFS(V:V,T:T,Obrotowka[[#This Row],[GL_Account]]))/1000,(SUMIFS(AL:AL,AH:AH,Obrotowka[[#This Row],[GL_Account]],AL:AL,"&gt;=0")-SUMIFS(V:V,S:S,Obrotowka[[#This Row],[GL_Account]])+SUMIFS(V:V,T:T,Obrotowka[[#This Row],[GL_Account]])))</f>
        <v>0</v>
      </c>
      <c r="H71" s="18">
        <f>IF($D$5="tak",SUMIFS(AL:AL,AH:AH,Obrotowka[[#This Row],[GL_Account]],AL:AL,"&lt;0")/1000,SUMIFS(AL:AL,AH:AH,Obrotowka[[#This Row],[GL_Account]],AL:AL,"&lt;0"))</f>
        <v>0</v>
      </c>
      <c r="I71" s="18">
        <f>SUM(Obrotowka[[#This Row],[BO]:[MA]])</f>
        <v>0</v>
      </c>
      <c r="J71">
        <f>IF(Obrotowka[[#This Row],[BZ]]=0,0,1)</f>
        <v>0</v>
      </c>
      <c r="K71" s="253"/>
      <c r="AE71" s="18"/>
      <c r="AF71" s="18"/>
      <c r="AU71" t="s">
        <v>7985</v>
      </c>
    </row>
    <row r="72" spans="2:47" x14ac:dyDescent="0.3">
      <c r="B72" t="s">
        <v>11566</v>
      </c>
      <c r="C72" t="s">
        <v>11567</v>
      </c>
      <c r="D72" t="s">
        <v>3505</v>
      </c>
      <c r="E72" t="s">
        <v>4326</v>
      </c>
      <c r="F72" s="18">
        <f>IF($D$5="tak",(SUMIFS(AE:AE,AA:AA,Obrotowka[[#This Row],[GL_Account]])-SUMIFS(U:U,S:S,Obrotowka[[#This Row],[GL_Account]])+SUMIFS(U:U,T:T,Obrotowka[[#This Row],[GL_Account]]))/1000,(SUMIFS(AE:AE,AA:AA,Obrotowka[[#This Row],[GL_Account]])-SUMIFS(U:U,S:S,Obrotowka[[#This Row],[GL_Account]])+SUMIFS(U:U,T:T,Obrotowka[[#This Row],[GL_Account]])))</f>
        <v>0</v>
      </c>
      <c r="G72" s="18">
        <f>IF($D$5="tak",(SUMIFS(AL:AL,AH:AH,Obrotowka[[#This Row],[GL_Account]],AL:AL,"&gt;=0")-SUMIFS(V:V,S:S,Obrotowka[[#This Row],[GL_Account]])+SUMIFS(V:V,T:T,Obrotowka[[#This Row],[GL_Account]]))/1000,(SUMIFS(AL:AL,AH:AH,Obrotowka[[#This Row],[GL_Account]],AL:AL,"&gt;=0")-SUMIFS(V:V,S:S,Obrotowka[[#This Row],[GL_Account]])+SUMIFS(V:V,T:T,Obrotowka[[#This Row],[GL_Account]])))</f>
        <v>0</v>
      </c>
      <c r="H72" s="18">
        <f>IF($D$5="tak",SUMIFS(AL:AL,AH:AH,Obrotowka[[#This Row],[GL_Account]],AL:AL,"&lt;0")/1000,SUMIFS(AL:AL,AH:AH,Obrotowka[[#This Row],[GL_Account]],AL:AL,"&lt;0"))</f>
        <v>0</v>
      </c>
      <c r="I72" s="18">
        <f>SUM(Obrotowka[[#This Row],[BO]:[MA]])</f>
        <v>0</v>
      </c>
      <c r="J72">
        <f>IF(Obrotowka[[#This Row],[BZ]]=0,0,1)</f>
        <v>0</v>
      </c>
      <c r="K72" s="253"/>
      <c r="AE72" s="18"/>
      <c r="AF72" s="18"/>
      <c r="AU72" t="s">
        <v>7990</v>
      </c>
    </row>
    <row r="73" spans="2:47" x14ac:dyDescent="0.3">
      <c r="B73" t="s">
        <v>11568</v>
      </c>
      <c r="C73" t="s">
        <v>11569</v>
      </c>
      <c r="D73" t="s">
        <v>3505</v>
      </c>
      <c r="E73" t="s">
        <v>4326</v>
      </c>
      <c r="F73" s="18">
        <f>IF($D$5="tak",(SUMIFS(AE:AE,AA:AA,Obrotowka[[#This Row],[GL_Account]])-SUMIFS(U:U,S:S,Obrotowka[[#This Row],[GL_Account]])+SUMIFS(U:U,T:T,Obrotowka[[#This Row],[GL_Account]]))/1000,(SUMIFS(AE:AE,AA:AA,Obrotowka[[#This Row],[GL_Account]])-SUMIFS(U:U,S:S,Obrotowka[[#This Row],[GL_Account]])+SUMIFS(U:U,T:T,Obrotowka[[#This Row],[GL_Account]])))</f>
        <v>0</v>
      </c>
      <c r="G73" s="18">
        <f>IF($D$5="tak",(SUMIFS(AL:AL,AH:AH,Obrotowka[[#This Row],[GL_Account]],AL:AL,"&gt;=0")-SUMIFS(V:V,S:S,Obrotowka[[#This Row],[GL_Account]])+SUMIFS(V:V,T:T,Obrotowka[[#This Row],[GL_Account]]))/1000,(SUMIFS(AL:AL,AH:AH,Obrotowka[[#This Row],[GL_Account]],AL:AL,"&gt;=0")-SUMIFS(V:V,S:S,Obrotowka[[#This Row],[GL_Account]])+SUMIFS(V:V,T:T,Obrotowka[[#This Row],[GL_Account]])))</f>
        <v>0</v>
      </c>
      <c r="H73" s="18">
        <f>IF($D$5="tak",SUMIFS(AL:AL,AH:AH,Obrotowka[[#This Row],[GL_Account]],AL:AL,"&lt;0")/1000,SUMIFS(AL:AL,AH:AH,Obrotowka[[#This Row],[GL_Account]],AL:AL,"&lt;0"))</f>
        <v>0</v>
      </c>
      <c r="I73" s="18">
        <f>SUM(Obrotowka[[#This Row],[BO]:[MA]])</f>
        <v>0</v>
      </c>
      <c r="J73">
        <f>IF(Obrotowka[[#This Row],[BZ]]=0,0,1)</f>
        <v>0</v>
      </c>
      <c r="K73" s="253"/>
      <c r="AE73" s="18"/>
      <c r="AF73" s="18"/>
      <c r="AU73" t="s">
        <v>7990</v>
      </c>
    </row>
    <row r="74" spans="2:47" x14ac:dyDescent="0.3">
      <c r="B74" t="s">
        <v>11570</v>
      </c>
      <c r="C74" t="s">
        <v>11571</v>
      </c>
      <c r="D74" t="s">
        <v>3505</v>
      </c>
      <c r="E74" t="s">
        <v>4326</v>
      </c>
      <c r="F74" s="18">
        <f>IF($D$5="tak",(SUMIFS(AE:AE,AA:AA,Obrotowka[[#This Row],[GL_Account]])-SUMIFS(U:U,S:S,Obrotowka[[#This Row],[GL_Account]])+SUMIFS(U:U,T:T,Obrotowka[[#This Row],[GL_Account]]))/1000,(SUMIFS(AE:AE,AA:AA,Obrotowka[[#This Row],[GL_Account]])-SUMIFS(U:U,S:S,Obrotowka[[#This Row],[GL_Account]])+SUMIFS(U:U,T:T,Obrotowka[[#This Row],[GL_Account]])))</f>
        <v>0</v>
      </c>
      <c r="G74" s="18">
        <f>IF($D$5="tak",(SUMIFS(AL:AL,AH:AH,Obrotowka[[#This Row],[GL_Account]],AL:AL,"&gt;=0")-SUMIFS(V:V,S:S,Obrotowka[[#This Row],[GL_Account]])+SUMIFS(V:V,T:T,Obrotowka[[#This Row],[GL_Account]]))/1000,(SUMIFS(AL:AL,AH:AH,Obrotowka[[#This Row],[GL_Account]],AL:AL,"&gt;=0")-SUMIFS(V:V,S:S,Obrotowka[[#This Row],[GL_Account]])+SUMIFS(V:V,T:T,Obrotowka[[#This Row],[GL_Account]])))</f>
        <v>0</v>
      </c>
      <c r="H74" s="18">
        <f>IF($D$5="tak",SUMIFS(AL:AL,AH:AH,Obrotowka[[#This Row],[GL_Account]],AL:AL,"&lt;0")/1000,SUMIFS(AL:AL,AH:AH,Obrotowka[[#This Row],[GL_Account]],AL:AL,"&lt;0"))</f>
        <v>0</v>
      </c>
      <c r="I74" s="18">
        <f>SUM(Obrotowka[[#This Row],[BO]:[MA]])</f>
        <v>0</v>
      </c>
      <c r="J74">
        <f>IF(Obrotowka[[#This Row],[BZ]]=0,0,1)</f>
        <v>0</v>
      </c>
      <c r="K74" s="253"/>
      <c r="AE74" s="18"/>
      <c r="AF74" s="18"/>
      <c r="AU74" t="s">
        <v>7995</v>
      </c>
    </row>
    <row r="75" spans="2:47" x14ac:dyDescent="0.3">
      <c r="B75" t="s">
        <v>11572</v>
      </c>
      <c r="C75" t="s">
        <v>11573</v>
      </c>
      <c r="D75" t="s">
        <v>3505</v>
      </c>
      <c r="E75" t="s">
        <v>4326</v>
      </c>
      <c r="F75" s="18">
        <f>IF($D$5="tak",(SUMIFS(AE:AE,AA:AA,Obrotowka[[#This Row],[GL_Account]])-SUMIFS(U:U,S:S,Obrotowka[[#This Row],[GL_Account]])+SUMIFS(U:U,T:T,Obrotowka[[#This Row],[GL_Account]]))/1000,(SUMIFS(AE:AE,AA:AA,Obrotowka[[#This Row],[GL_Account]])-SUMIFS(U:U,S:S,Obrotowka[[#This Row],[GL_Account]])+SUMIFS(U:U,T:T,Obrotowka[[#This Row],[GL_Account]])))</f>
        <v>0</v>
      </c>
      <c r="G75" s="18">
        <f>IF($D$5="tak",(SUMIFS(AL:AL,AH:AH,Obrotowka[[#This Row],[GL_Account]],AL:AL,"&gt;=0")-SUMIFS(V:V,S:S,Obrotowka[[#This Row],[GL_Account]])+SUMIFS(V:V,T:T,Obrotowka[[#This Row],[GL_Account]]))/1000,(SUMIFS(AL:AL,AH:AH,Obrotowka[[#This Row],[GL_Account]],AL:AL,"&gt;=0")-SUMIFS(V:V,S:S,Obrotowka[[#This Row],[GL_Account]])+SUMIFS(V:V,T:T,Obrotowka[[#This Row],[GL_Account]])))</f>
        <v>0</v>
      </c>
      <c r="H75" s="18">
        <f>IF($D$5="tak",SUMIFS(AL:AL,AH:AH,Obrotowka[[#This Row],[GL_Account]],AL:AL,"&lt;0")/1000,SUMIFS(AL:AL,AH:AH,Obrotowka[[#This Row],[GL_Account]],AL:AL,"&lt;0"))</f>
        <v>0</v>
      </c>
      <c r="I75" s="18">
        <f>SUM(Obrotowka[[#This Row],[BO]:[MA]])</f>
        <v>0</v>
      </c>
      <c r="J75">
        <f>IF(Obrotowka[[#This Row],[BZ]]=0,0,1)</f>
        <v>0</v>
      </c>
      <c r="K75" s="253"/>
      <c r="AE75" s="18"/>
      <c r="AF75" s="18"/>
      <c r="AU75" t="s">
        <v>7995</v>
      </c>
    </row>
    <row r="76" spans="2:47" x14ac:dyDescent="0.3">
      <c r="B76" t="s">
        <v>11574</v>
      </c>
      <c r="C76" t="s">
        <v>11575</v>
      </c>
      <c r="D76" t="s">
        <v>3505</v>
      </c>
      <c r="E76" t="s">
        <v>4326</v>
      </c>
      <c r="F76" s="18">
        <f>IF($D$5="tak",(SUMIFS(AE:AE,AA:AA,Obrotowka[[#This Row],[GL_Account]])-SUMIFS(U:U,S:S,Obrotowka[[#This Row],[GL_Account]])+SUMIFS(U:U,T:T,Obrotowka[[#This Row],[GL_Account]]))/1000,(SUMIFS(AE:AE,AA:AA,Obrotowka[[#This Row],[GL_Account]])-SUMIFS(U:U,S:S,Obrotowka[[#This Row],[GL_Account]])+SUMIFS(U:U,T:T,Obrotowka[[#This Row],[GL_Account]])))</f>
        <v>0</v>
      </c>
      <c r="G76" s="18">
        <f>IF($D$5="tak",(SUMIFS(AL:AL,AH:AH,Obrotowka[[#This Row],[GL_Account]],AL:AL,"&gt;=0")-SUMIFS(V:V,S:S,Obrotowka[[#This Row],[GL_Account]])+SUMIFS(V:V,T:T,Obrotowka[[#This Row],[GL_Account]]))/1000,(SUMIFS(AL:AL,AH:AH,Obrotowka[[#This Row],[GL_Account]],AL:AL,"&gt;=0")-SUMIFS(V:V,S:S,Obrotowka[[#This Row],[GL_Account]])+SUMIFS(V:V,T:T,Obrotowka[[#This Row],[GL_Account]])))</f>
        <v>0</v>
      </c>
      <c r="H76" s="18">
        <f>IF($D$5="tak",SUMIFS(AL:AL,AH:AH,Obrotowka[[#This Row],[GL_Account]],AL:AL,"&lt;0")/1000,SUMIFS(AL:AL,AH:AH,Obrotowka[[#This Row],[GL_Account]],AL:AL,"&lt;0"))</f>
        <v>0</v>
      </c>
      <c r="I76" s="18">
        <f>SUM(Obrotowka[[#This Row],[BO]:[MA]])</f>
        <v>0</v>
      </c>
      <c r="J76">
        <f>IF(Obrotowka[[#This Row],[BZ]]=0,0,1)</f>
        <v>0</v>
      </c>
      <c r="K76" s="253"/>
      <c r="AE76" s="18"/>
      <c r="AF76" s="18"/>
      <c r="AU76" t="s">
        <v>8000</v>
      </c>
    </row>
    <row r="77" spans="2:47" x14ac:dyDescent="0.3">
      <c r="B77" t="s">
        <v>11576</v>
      </c>
      <c r="C77" t="s">
        <v>11577</v>
      </c>
      <c r="D77" t="s">
        <v>3505</v>
      </c>
      <c r="E77" t="s">
        <v>4326</v>
      </c>
      <c r="F77" s="18">
        <f>IF($D$5="tak",(SUMIFS(AE:AE,AA:AA,Obrotowka[[#This Row],[GL_Account]])-SUMIFS(U:U,S:S,Obrotowka[[#This Row],[GL_Account]])+SUMIFS(U:U,T:T,Obrotowka[[#This Row],[GL_Account]]))/1000,(SUMIFS(AE:AE,AA:AA,Obrotowka[[#This Row],[GL_Account]])-SUMIFS(U:U,S:S,Obrotowka[[#This Row],[GL_Account]])+SUMIFS(U:U,T:T,Obrotowka[[#This Row],[GL_Account]])))</f>
        <v>0</v>
      </c>
      <c r="G77" s="18">
        <f>IF($D$5="tak",(SUMIFS(AL:AL,AH:AH,Obrotowka[[#This Row],[GL_Account]],AL:AL,"&gt;=0")-SUMIFS(V:V,S:S,Obrotowka[[#This Row],[GL_Account]])+SUMIFS(V:V,T:T,Obrotowka[[#This Row],[GL_Account]]))/1000,(SUMIFS(AL:AL,AH:AH,Obrotowka[[#This Row],[GL_Account]],AL:AL,"&gt;=0")-SUMIFS(V:V,S:S,Obrotowka[[#This Row],[GL_Account]])+SUMIFS(V:V,T:T,Obrotowka[[#This Row],[GL_Account]])))</f>
        <v>0</v>
      </c>
      <c r="H77" s="18">
        <f>IF($D$5="tak",SUMIFS(AL:AL,AH:AH,Obrotowka[[#This Row],[GL_Account]],AL:AL,"&lt;0")/1000,SUMIFS(AL:AL,AH:AH,Obrotowka[[#This Row],[GL_Account]],AL:AL,"&lt;0"))</f>
        <v>0</v>
      </c>
      <c r="I77" s="18">
        <f>SUM(Obrotowka[[#This Row],[BO]:[MA]])</f>
        <v>0</v>
      </c>
      <c r="J77">
        <f>IF(Obrotowka[[#This Row],[BZ]]=0,0,1)</f>
        <v>0</v>
      </c>
      <c r="K77" s="253"/>
      <c r="AE77" s="18"/>
      <c r="AF77" s="18"/>
      <c r="AU77" t="s">
        <v>8000</v>
      </c>
    </row>
    <row r="78" spans="2:47" x14ac:dyDescent="0.3">
      <c r="B78" t="s">
        <v>11578</v>
      </c>
      <c r="C78" t="s">
        <v>11579</v>
      </c>
      <c r="D78" t="s">
        <v>3505</v>
      </c>
      <c r="E78" t="s">
        <v>4326</v>
      </c>
      <c r="F78" s="18">
        <f>IF($D$5="tak",(SUMIFS(AE:AE,AA:AA,Obrotowka[[#This Row],[GL_Account]])-SUMIFS(U:U,S:S,Obrotowka[[#This Row],[GL_Account]])+SUMIFS(U:U,T:T,Obrotowka[[#This Row],[GL_Account]]))/1000,(SUMIFS(AE:AE,AA:AA,Obrotowka[[#This Row],[GL_Account]])-SUMIFS(U:U,S:S,Obrotowka[[#This Row],[GL_Account]])+SUMIFS(U:U,T:T,Obrotowka[[#This Row],[GL_Account]])))</f>
        <v>0</v>
      </c>
      <c r="G78" s="18">
        <f>IF($D$5="tak",(SUMIFS(AL:AL,AH:AH,Obrotowka[[#This Row],[GL_Account]],AL:AL,"&gt;=0")-SUMIFS(V:V,S:S,Obrotowka[[#This Row],[GL_Account]])+SUMIFS(V:V,T:T,Obrotowka[[#This Row],[GL_Account]]))/1000,(SUMIFS(AL:AL,AH:AH,Obrotowka[[#This Row],[GL_Account]],AL:AL,"&gt;=0")-SUMIFS(V:V,S:S,Obrotowka[[#This Row],[GL_Account]])+SUMIFS(V:V,T:T,Obrotowka[[#This Row],[GL_Account]])))</f>
        <v>0</v>
      </c>
      <c r="H78" s="18">
        <f>IF($D$5="tak",SUMIFS(AL:AL,AH:AH,Obrotowka[[#This Row],[GL_Account]],AL:AL,"&lt;0")/1000,SUMIFS(AL:AL,AH:AH,Obrotowka[[#This Row],[GL_Account]],AL:AL,"&lt;0"))</f>
        <v>0</v>
      </c>
      <c r="I78" s="18">
        <f>SUM(Obrotowka[[#This Row],[BO]:[MA]])</f>
        <v>0</v>
      </c>
      <c r="J78">
        <f>IF(Obrotowka[[#This Row],[BZ]]=0,0,1)</f>
        <v>0</v>
      </c>
      <c r="K78" s="253"/>
      <c r="AE78" s="18"/>
      <c r="AF78" s="18"/>
      <c r="AU78" t="s">
        <v>7954</v>
      </c>
    </row>
    <row r="79" spans="2:47" x14ac:dyDescent="0.3">
      <c r="B79" t="s">
        <v>11580</v>
      </c>
      <c r="C79" t="s">
        <v>11581</v>
      </c>
      <c r="D79" t="s">
        <v>3505</v>
      </c>
      <c r="E79" t="s">
        <v>4326</v>
      </c>
      <c r="F79" s="18">
        <f>IF($D$5="tak",(SUMIFS(AE:AE,AA:AA,Obrotowka[[#This Row],[GL_Account]])-SUMIFS(U:U,S:S,Obrotowka[[#This Row],[GL_Account]])+SUMIFS(U:U,T:T,Obrotowka[[#This Row],[GL_Account]]))/1000,(SUMIFS(AE:AE,AA:AA,Obrotowka[[#This Row],[GL_Account]])-SUMIFS(U:U,S:S,Obrotowka[[#This Row],[GL_Account]])+SUMIFS(U:U,T:T,Obrotowka[[#This Row],[GL_Account]])))</f>
        <v>0</v>
      </c>
      <c r="G79" s="18">
        <f>IF($D$5="tak",(SUMIFS(AL:AL,AH:AH,Obrotowka[[#This Row],[GL_Account]],AL:AL,"&gt;=0")-SUMIFS(V:V,S:S,Obrotowka[[#This Row],[GL_Account]])+SUMIFS(V:V,T:T,Obrotowka[[#This Row],[GL_Account]]))/1000,(SUMIFS(AL:AL,AH:AH,Obrotowka[[#This Row],[GL_Account]],AL:AL,"&gt;=0")-SUMIFS(V:V,S:S,Obrotowka[[#This Row],[GL_Account]])+SUMIFS(V:V,T:T,Obrotowka[[#This Row],[GL_Account]])))</f>
        <v>0</v>
      </c>
      <c r="H79" s="18">
        <f>IF($D$5="tak",SUMIFS(AL:AL,AH:AH,Obrotowka[[#This Row],[GL_Account]],AL:AL,"&lt;0")/1000,SUMIFS(AL:AL,AH:AH,Obrotowka[[#This Row],[GL_Account]],AL:AL,"&lt;0"))</f>
        <v>0</v>
      </c>
      <c r="I79" s="18">
        <f>SUM(Obrotowka[[#This Row],[BO]:[MA]])</f>
        <v>0</v>
      </c>
      <c r="J79">
        <f>IF(Obrotowka[[#This Row],[BZ]]=0,0,1)</f>
        <v>0</v>
      </c>
      <c r="K79" s="253"/>
      <c r="AE79" s="18"/>
      <c r="AF79" s="18"/>
      <c r="AU79" t="s">
        <v>7958</v>
      </c>
    </row>
    <row r="80" spans="2:47" x14ac:dyDescent="0.3">
      <c r="B80" t="s">
        <v>11582</v>
      </c>
      <c r="C80" t="s">
        <v>11583</v>
      </c>
      <c r="D80" t="s">
        <v>3505</v>
      </c>
      <c r="E80" t="s">
        <v>4326</v>
      </c>
      <c r="F80" s="18">
        <f>IF($D$5="tak",(SUMIFS(AE:AE,AA:AA,Obrotowka[[#This Row],[GL_Account]])-SUMIFS(U:U,S:S,Obrotowka[[#This Row],[GL_Account]])+SUMIFS(U:U,T:T,Obrotowka[[#This Row],[GL_Account]]))/1000,(SUMIFS(AE:AE,AA:AA,Obrotowka[[#This Row],[GL_Account]])-SUMIFS(U:U,S:S,Obrotowka[[#This Row],[GL_Account]])+SUMIFS(U:U,T:T,Obrotowka[[#This Row],[GL_Account]])))</f>
        <v>0</v>
      </c>
      <c r="G80" s="18">
        <f>IF($D$5="tak",(SUMIFS(AL:AL,AH:AH,Obrotowka[[#This Row],[GL_Account]],AL:AL,"&gt;=0")-SUMIFS(V:V,S:S,Obrotowka[[#This Row],[GL_Account]])+SUMIFS(V:V,T:T,Obrotowka[[#This Row],[GL_Account]]))/1000,(SUMIFS(AL:AL,AH:AH,Obrotowka[[#This Row],[GL_Account]],AL:AL,"&gt;=0")-SUMIFS(V:V,S:S,Obrotowka[[#This Row],[GL_Account]])+SUMIFS(V:V,T:T,Obrotowka[[#This Row],[GL_Account]])))</f>
        <v>0</v>
      </c>
      <c r="H80" s="18">
        <f>IF($D$5="tak",SUMIFS(AL:AL,AH:AH,Obrotowka[[#This Row],[GL_Account]],AL:AL,"&lt;0")/1000,SUMIFS(AL:AL,AH:AH,Obrotowka[[#This Row],[GL_Account]],AL:AL,"&lt;0"))</f>
        <v>0</v>
      </c>
      <c r="I80" s="18">
        <f>SUM(Obrotowka[[#This Row],[BO]:[MA]])</f>
        <v>0</v>
      </c>
      <c r="J80">
        <f>IF(Obrotowka[[#This Row],[BZ]]=0,0,1)</f>
        <v>0</v>
      </c>
      <c r="K80" s="253"/>
      <c r="AE80" s="18"/>
      <c r="AF80" s="18"/>
      <c r="AU80" t="s">
        <v>7963</v>
      </c>
    </row>
    <row r="81" spans="2:47" x14ac:dyDescent="0.3">
      <c r="B81" t="s">
        <v>11584</v>
      </c>
      <c r="C81" t="s">
        <v>11585</v>
      </c>
      <c r="D81" t="s">
        <v>3505</v>
      </c>
      <c r="E81" t="s">
        <v>4326</v>
      </c>
      <c r="F81" s="18">
        <f>IF($D$5="tak",(SUMIFS(AE:AE,AA:AA,Obrotowka[[#This Row],[GL_Account]])-SUMIFS(U:U,S:S,Obrotowka[[#This Row],[GL_Account]])+SUMIFS(U:U,T:T,Obrotowka[[#This Row],[GL_Account]]))/1000,(SUMIFS(AE:AE,AA:AA,Obrotowka[[#This Row],[GL_Account]])-SUMIFS(U:U,S:S,Obrotowka[[#This Row],[GL_Account]])+SUMIFS(U:U,T:T,Obrotowka[[#This Row],[GL_Account]])))</f>
        <v>0</v>
      </c>
      <c r="G81" s="18">
        <f>IF($D$5="tak",(SUMIFS(AL:AL,AH:AH,Obrotowka[[#This Row],[GL_Account]],AL:AL,"&gt;=0")-SUMIFS(V:V,S:S,Obrotowka[[#This Row],[GL_Account]])+SUMIFS(V:V,T:T,Obrotowka[[#This Row],[GL_Account]]))/1000,(SUMIFS(AL:AL,AH:AH,Obrotowka[[#This Row],[GL_Account]],AL:AL,"&gt;=0")-SUMIFS(V:V,S:S,Obrotowka[[#This Row],[GL_Account]])+SUMIFS(V:V,T:T,Obrotowka[[#This Row],[GL_Account]])))</f>
        <v>0</v>
      </c>
      <c r="H81" s="18">
        <f>IF($D$5="tak",SUMIFS(AL:AL,AH:AH,Obrotowka[[#This Row],[GL_Account]],AL:AL,"&lt;0")/1000,SUMIFS(AL:AL,AH:AH,Obrotowka[[#This Row],[GL_Account]],AL:AL,"&lt;0"))</f>
        <v>0</v>
      </c>
      <c r="I81" s="18">
        <f>SUM(Obrotowka[[#This Row],[BO]:[MA]])</f>
        <v>0</v>
      </c>
      <c r="J81">
        <f>IF(Obrotowka[[#This Row],[BZ]]=0,0,1)</f>
        <v>0</v>
      </c>
      <c r="K81" s="253"/>
      <c r="AE81" s="18"/>
      <c r="AF81" s="18"/>
      <c r="AU81" t="s">
        <v>7963</v>
      </c>
    </row>
    <row r="82" spans="2:47" x14ac:dyDescent="0.3">
      <c r="B82" t="s">
        <v>11586</v>
      </c>
      <c r="C82" t="s">
        <v>11587</v>
      </c>
      <c r="D82" t="s">
        <v>3505</v>
      </c>
      <c r="E82" t="s">
        <v>4326</v>
      </c>
      <c r="F82" s="18">
        <f>IF($D$5="tak",(SUMIFS(AE:AE,AA:AA,Obrotowka[[#This Row],[GL_Account]])-SUMIFS(U:U,S:S,Obrotowka[[#This Row],[GL_Account]])+SUMIFS(U:U,T:T,Obrotowka[[#This Row],[GL_Account]]))/1000,(SUMIFS(AE:AE,AA:AA,Obrotowka[[#This Row],[GL_Account]])-SUMIFS(U:U,S:S,Obrotowka[[#This Row],[GL_Account]])+SUMIFS(U:U,T:T,Obrotowka[[#This Row],[GL_Account]])))</f>
        <v>0</v>
      </c>
      <c r="G82" s="18">
        <f>IF($D$5="tak",(SUMIFS(AL:AL,AH:AH,Obrotowka[[#This Row],[GL_Account]],AL:AL,"&gt;=0")-SUMIFS(V:V,S:S,Obrotowka[[#This Row],[GL_Account]])+SUMIFS(V:V,T:T,Obrotowka[[#This Row],[GL_Account]]))/1000,(SUMIFS(AL:AL,AH:AH,Obrotowka[[#This Row],[GL_Account]],AL:AL,"&gt;=0")-SUMIFS(V:V,S:S,Obrotowka[[#This Row],[GL_Account]])+SUMIFS(V:V,T:T,Obrotowka[[#This Row],[GL_Account]])))</f>
        <v>0</v>
      </c>
      <c r="H82" s="18">
        <f>IF($D$5="tak",SUMIFS(AL:AL,AH:AH,Obrotowka[[#This Row],[GL_Account]],AL:AL,"&lt;0")/1000,SUMIFS(AL:AL,AH:AH,Obrotowka[[#This Row],[GL_Account]],AL:AL,"&lt;0"))</f>
        <v>0</v>
      </c>
      <c r="I82" s="18">
        <f>SUM(Obrotowka[[#This Row],[BO]:[MA]])</f>
        <v>0</v>
      </c>
      <c r="J82">
        <f>IF(Obrotowka[[#This Row],[BZ]]=0,0,1)</f>
        <v>0</v>
      </c>
      <c r="K82" s="253"/>
      <c r="AF82" s="18"/>
      <c r="AU82" t="s">
        <v>7963</v>
      </c>
    </row>
    <row r="83" spans="2:47" x14ac:dyDescent="0.3">
      <c r="B83" t="s">
        <v>11588</v>
      </c>
      <c r="C83" t="s">
        <v>11589</v>
      </c>
      <c r="D83" t="s">
        <v>3505</v>
      </c>
      <c r="E83" t="s">
        <v>4326</v>
      </c>
      <c r="F83" s="18">
        <f>IF($D$5="tak",(SUMIFS(AE:AE,AA:AA,Obrotowka[[#This Row],[GL_Account]])-SUMIFS(U:U,S:S,Obrotowka[[#This Row],[GL_Account]])+SUMIFS(U:U,T:T,Obrotowka[[#This Row],[GL_Account]]))/1000,(SUMIFS(AE:AE,AA:AA,Obrotowka[[#This Row],[GL_Account]])-SUMIFS(U:U,S:S,Obrotowka[[#This Row],[GL_Account]])+SUMIFS(U:U,T:T,Obrotowka[[#This Row],[GL_Account]])))</f>
        <v>0</v>
      </c>
      <c r="G83" s="18">
        <f>IF($D$5="tak",(SUMIFS(AL:AL,AH:AH,Obrotowka[[#This Row],[GL_Account]],AL:AL,"&gt;=0")-SUMIFS(V:V,S:S,Obrotowka[[#This Row],[GL_Account]])+SUMIFS(V:V,T:T,Obrotowka[[#This Row],[GL_Account]]))/1000,(SUMIFS(AL:AL,AH:AH,Obrotowka[[#This Row],[GL_Account]],AL:AL,"&gt;=0")-SUMIFS(V:V,S:S,Obrotowka[[#This Row],[GL_Account]])+SUMIFS(V:V,T:T,Obrotowka[[#This Row],[GL_Account]])))</f>
        <v>0</v>
      </c>
      <c r="H83" s="18">
        <f>IF($D$5="tak",SUMIFS(AL:AL,AH:AH,Obrotowka[[#This Row],[GL_Account]],AL:AL,"&lt;0")/1000,SUMIFS(AL:AL,AH:AH,Obrotowka[[#This Row],[GL_Account]],AL:AL,"&lt;0"))</f>
        <v>0</v>
      </c>
      <c r="I83" s="18">
        <f>SUM(Obrotowka[[#This Row],[BO]:[MA]])</f>
        <v>0</v>
      </c>
      <c r="J83">
        <f>IF(Obrotowka[[#This Row],[BZ]]=0,0,1)</f>
        <v>0</v>
      </c>
      <c r="K83" s="253"/>
      <c r="AF83" s="18"/>
      <c r="AU83" t="s">
        <v>7963</v>
      </c>
    </row>
    <row r="84" spans="2:47" x14ac:dyDescent="0.3">
      <c r="B84" t="s">
        <v>11590</v>
      </c>
      <c r="C84" t="s">
        <v>11591</v>
      </c>
      <c r="D84" t="s">
        <v>3505</v>
      </c>
      <c r="E84" t="s">
        <v>4326</v>
      </c>
      <c r="F84" s="18">
        <f>IF($D$5="tak",(SUMIFS(AE:AE,AA:AA,Obrotowka[[#This Row],[GL_Account]])-SUMIFS(U:U,S:S,Obrotowka[[#This Row],[GL_Account]])+SUMIFS(U:U,T:T,Obrotowka[[#This Row],[GL_Account]]))/1000,(SUMIFS(AE:AE,AA:AA,Obrotowka[[#This Row],[GL_Account]])-SUMIFS(U:U,S:S,Obrotowka[[#This Row],[GL_Account]])+SUMIFS(U:U,T:T,Obrotowka[[#This Row],[GL_Account]])))</f>
        <v>0</v>
      </c>
      <c r="G84" s="18">
        <f>IF($D$5="tak",(SUMIFS(AL:AL,AH:AH,Obrotowka[[#This Row],[GL_Account]],AL:AL,"&gt;=0")-SUMIFS(V:V,S:S,Obrotowka[[#This Row],[GL_Account]])+SUMIFS(V:V,T:T,Obrotowka[[#This Row],[GL_Account]]))/1000,(SUMIFS(AL:AL,AH:AH,Obrotowka[[#This Row],[GL_Account]],AL:AL,"&gt;=0")-SUMIFS(V:V,S:S,Obrotowka[[#This Row],[GL_Account]])+SUMIFS(V:V,T:T,Obrotowka[[#This Row],[GL_Account]])))</f>
        <v>0</v>
      </c>
      <c r="H84" s="18">
        <f>IF($D$5="tak",SUMIFS(AL:AL,AH:AH,Obrotowka[[#This Row],[GL_Account]],AL:AL,"&lt;0")/1000,SUMIFS(AL:AL,AH:AH,Obrotowka[[#This Row],[GL_Account]],AL:AL,"&lt;0"))</f>
        <v>0</v>
      </c>
      <c r="I84" s="18">
        <f>SUM(Obrotowka[[#This Row],[BO]:[MA]])</f>
        <v>0</v>
      </c>
      <c r="J84">
        <f>IF(Obrotowka[[#This Row],[BZ]]=0,0,1)</f>
        <v>0</v>
      </c>
      <c r="K84" s="253"/>
      <c r="AF84" s="18"/>
      <c r="AU84" t="s">
        <v>8032</v>
      </c>
    </row>
    <row r="85" spans="2:47" x14ac:dyDescent="0.3">
      <c r="B85" t="s">
        <v>11592</v>
      </c>
      <c r="C85" t="s">
        <v>11593</v>
      </c>
      <c r="D85" t="s">
        <v>3505</v>
      </c>
      <c r="E85" t="s">
        <v>4326</v>
      </c>
      <c r="F85" s="18">
        <f>IF($D$5="tak",(SUMIFS(AE:AE,AA:AA,Obrotowka[[#This Row],[GL_Account]])-SUMIFS(U:U,S:S,Obrotowka[[#This Row],[GL_Account]])+SUMIFS(U:U,T:T,Obrotowka[[#This Row],[GL_Account]]))/1000,(SUMIFS(AE:AE,AA:AA,Obrotowka[[#This Row],[GL_Account]])-SUMIFS(U:U,S:S,Obrotowka[[#This Row],[GL_Account]])+SUMIFS(U:U,T:T,Obrotowka[[#This Row],[GL_Account]])))</f>
        <v>0</v>
      </c>
      <c r="G85" s="18">
        <f>IF($D$5="tak",(SUMIFS(AL:AL,AH:AH,Obrotowka[[#This Row],[GL_Account]],AL:AL,"&gt;=0")-SUMIFS(V:V,S:S,Obrotowka[[#This Row],[GL_Account]])+SUMIFS(V:V,T:T,Obrotowka[[#This Row],[GL_Account]]))/1000,(SUMIFS(AL:AL,AH:AH,Obrotowka[[#This Row],[GL_Account]],AL:AL,"&gt;=0")-SUMIFS(V:V,S:S,Obrotowka[[#This Row],[GL_Account]])+SUMIFS(V:V,T:T,Obrotowka[[#This Row],[GL_Account]])))</f>
        <v>0</v>
      </c>
      <c r="H85" s="18">
        <f>IF($D$5="tak",SUMIFS(AL:AL,AH:AH,Obrotowka[[#This Row],[GL_Account]],AL:AL,"&lt;0")/1000,SUMIFS(AL:AL,AH:AH,Obrotowka[[#This Row],[GL_Account]],AL:AL,"&lt;0"))</f>
        <v>0</v>
      </c>
      <c r="I85" s="18">
        <f>SUM(Obrotowka[[#This Row],[BO]:[MA]])</f>
        <v>0</v>
      </c>
      <c r="J85">
        <f>IF(Obrotowka[[#This Row],[BZ]]=0,0,1)</f>
        <v>0</v>
      </c>
      <c r="K85" s="253"/>
      <c r="AF85" s="18"/>
      <c r="AU85" t="s">
        <v>8035</v>
      </c>
    </row>
    <row r="86" spans="2:47" x14ac:dyDescent="0.3">
      <c r="B86" t="s">
        <v>11594</v>
      </c>
      <c r="C86" t="s">
        <v>11595</v>
      </c>
      <c r="D86" t="s">
        <v>3505</v>
      </c>
      <c r="E86" t="s">
        <v>4326</v>
      </c>
      <c r="F86" s="18">
        <f>IF($D$5="tak",(SUMIFS(AE:AE,AA:AA,Obrotowka[[#This Row],[GL_Account]])-SUMIFS(U:U,S:S,Obrotowka[[#This Row],[GL_Account]])+SUMIFS(U:U,T:T,Obrotowka[[#This Row],[GL_Account]]))/1000,(SUMIFS(AE:AE,AA:AA,Obrotowka[[#This Row],[GL_Account]])-SUMIFS(U:U,S:S,Obrotowka[[#This Row],[GL_Account]])+SUMIFS(U:U,T:T,Obrotowka[[#This Row],[GL_Account]])))</f>
        <v>0</v>
      </c>
      <c r="G86" s="18">
        <f>IF($D$5="tak",(SUMIFS(AL:AL,AH:AH,Obrotowka[[#This Row],[GL_Account]],AL:AL,"&gt;=0")-SUMIFS(V:V,S:S,Obrotowka[[#This Row],[GL_Account]])+SUMIFS(V:V,T:T,Obrotowka[[#This Row],[GL_Account]]))/1000,(SUMIFS(AL:AL,AH:AH,Obrotowka[[#This Row],[GL_Account]],AL:AL,"&gt;=0")-SUMIFS(V:V,S:S,Obrotowka[[#This Row],[GL_Account]])+SUMIFS(V:V,T:T,Obrotowka[[#This Row],[GL_Account]])))</f>
        <v>0</v>
      </c>
      <c r="H86" s="18">
        <f>IF($D$5="tak",SUMIFS(AL:AL,AH:AH,Obrotowka[[#This Row],[GL_Account]],AL:AL,"&lt;0")/1000,SUMIFS(AL:AL,AH:AH,Obrotowka[[#This Row],[GL_Account]],AL:AL,"&lt;0"))</f>
        <v>0</v>
      </c>
      <c r="I86" s="18">
        <f>SUM(Obrotowka[[#This Row],[BO]:[MA]])</f>
        <v>0</v>
      </c>
      <c r="J86">
        <f>IF(Obrotowka[[#This Row],[BZ]]=0,0,1)</f>
        <v>0</v>
      </c>
      <c r="K86" s="253"/>
      <c r="AF86" s="18"/>
      <c r="AU86" t="s">
        <v>8004</v>
      </c>
    </row>
    <row r="87" spans="2:47" x14ac:dyDescent="0.3">
      <c r="B87" t="s">
        <v>11596</v>
      </c>
      <c r="C87" t="s">
        <v>11597</v>
      </c>
      <c r="D87" t="s">
        <v>3505</v>
      </c>
      <c r="E87" t="s">
        <v>4326</v>
      </c>
      <c r="F87" s="18">
        <f>IF($D$5="tak",(SUMIFS(AE:AE,AA:AA,Obrotowka[[#This Row],[GL_Account]])-SUMIFS(U:U,S:S,Obrotowka[[#This Row],[GL_Account]])+SUMIFS(U:U,T:T,Obrotowka[[#This Row],[GL_Account]]))/1000,(SUMIFS(AE:AE,AA:AA,Obrotowka[[#This Row],[GL_Account]])-SUMIFS(U:U,S:S,Obrotowka[[#This Row],[GL_Account]])+SUMIFS(U:U,T:T,Obrotowka[[#This Row],[GL_Account]])))</f>
        <v>0</v>
      </c>
      <c r="G87" s="18">
        <f>IF($D$5="tak",(SUMIFS(AL:AL,AH:AH,Obrotowka[[#This Row],[GL_Account]],AL:AL,"&gt;=0")-SUMIFS(V:V,S:S,Obrotowka[[#This Row],[GL_Account]])+SUMIFS(V:V,T:T,Obrotowka[[#This Row],[GL_Account]]))/1000,(SUMIFS(AL:AL,AH:AH,Obrotowka[[#This Row],[GL_Account]],AL:AL,"&gt;=0")-SUMIFS(V:V,S:S,Obrotowka[[#This Row],[GL_Account]])+SUMIFS(V:V,T:T,Obrotowka[[#This Row],[GL_Account]])))</f>
        <v>0</v>
      </c>
      <c r="H87" s="18">
        <f>IF($D$5="tak",SUMIFS(AL:AL,AH:AH,Obrotowka[[#This Row],[GL_Account]],AL:AL,"&lt;0")/1000,SUMIFS(AL:AL,AH:AH,Obrotowka[[#This Row],[GL_Account]],AL:AL,"&lt;0"))</f>
        <v>0</v>
      </c>
      <c r="I87" s="18">
        <f>SUM(Obrotowka[[#This Row],[BO]:[MA]])</f>
        <v>0</v>
      </c>
      <c r="J87">
        <f>IF(Obrotowka[[#This Row],[BZ]]=0,0,1)</f>
        <v>0</v>
      </c>
      <c r="K87" s="253"/>
      <c r="AF87" s="18"/>
      <c r="AU87" t="s">
        <v>8004</v>
      </c>
    </row>
    <row r="88" spans="2:47" x14ac:dyDescent="0.3">
      <c r="B88" t="s">
        <v>11598</v>
      </c>
      <c r="C88" t="s">
        <v>11599</v>
      </c>
      <c r="D88" t="s">
        <v>3505</v>
      </c>
      <c r="E88" t="s">
        <v>4326</v>
      </c>
      <c r="F88" s="18">
        <f>IF($D$5="tak",(SUMIFS(AE:AE,AA:AA,Obrotowka[[#This Row],[GL_Account]])-SUMIFS(U:U,S:S,Obrotowka[[#This Row],[GL_Account]])+SUMIFS(U:U,T:T,Obrotowka[[#This Row],[GL_Account]]))/1000,(SUMIFS(AE:AE,AA:AA,Obrotowka[[#This Row],[GL_Account]])-SUMIFS(U:U,S:S,Obrotowka[[#This Row],[GL_Account]])+SUMIFS(U:U,T:T,Obrotowka[[#This Row],[GL_Account]])))</f>
        <v>0</v>
      </c>
      <c r="G88" s="18">
        <f>IF($D$5="tak",(SUMIFS(AL:AL,AH:AH,Obrotowka[[#This Row],[GL_Account]],AL:AL,"&gt;=0")-SUMIFS(V:V,S:S,Obrotowka[[#This Row],[GL_Account]])+SUMIFS(V:V,T:T,Obrotowka[[#This Row],[GL_Account]]))/1000,(SUMIFS(AL:AL,AH:AH,Obrotowka[[#This Row],[GL_Account]],AL:AL,"&gt;=0")-SUMIFS(V:V,S:S,Obrotowka[[#This Row],[GL_Account]])+SUMIFS(V:V,T:T,Obrotowka[[#This Row],[GL_Account]])))</f>
        <v>0</v>
      </c>
      <c r="H88" s="18">
        <f>IF($D$5="tak",SUMIFS(AL:AL,AH:AH,Obrotowka[[#This Row],[GL_Account]],AL:AL,"&lt;0")/1000,SUMIFS(AL:AL,AH:AH,Obrotowka[[#This Row],[GL_Account]],AL:AL,"&lt;0"))</f>
        <v>0</v>
      </c>
      <c r="I88" s="18">
        <f>SUM(Obrotowka[[#This Row],[BO]:[MA]])</f>
        <v>0</v>
      </c>
      <c r="J88">
        <f>IF(Obrotowka[[#This Row],[BZ]]=0,0,1)</f>
        <v>0</v>
      </c>
      <c r="K88" s="253"/>
      <c r="AF88" s="18"/>
      <c r="AU88" t="s">
        <v>8004</v>
      </c>
    </row>
    <row r="89" spans="2:47" x14ac:dyDescent="0.3">
      <c r="B89" t="s">
        <v>11600</v>
      </c>
      <c r="C89" t="s">
        <v>11601</v>
      </c>
      <c r="D89" t="s">
        <v>3505</v>
      </c>
      <c r="E89" t="s">
        <v>4326</v>
      </c>
      <c r="F89" s="18">
        <f>IF($D$5="tak",(SUMIFS(AE:AE,AA:AA,Obrotowka[[#This Row],[GL_Account]])-SUMIFS(U:U,S:S,Obrotowka[[#This Row],[GL_Account]])+SUMIFS(U:U,T:T,Obrotowka[[#This Row],[GL_Account]]))/1000,(SUMIFS(AE:AE,AA:AA,Obrotowka[[#This Row],[GL_Account]])-SUMIFS(U:U,S:S,Obrotowka[[#This Row],[GL_Account]])+SUMIFS(U:U,T:T,Obrotowka[[#This Row],[GL_Account]])))</f>
        <v>0</v>
      </c>
      <c r="G89" s="18">
        <f>IF($D$5="tak",(SUMIFS(AL:AL,AH:AH,Obrotowka[[#This Row],[GL_Account]],AL:AL,"&gt;=0")-SUMIFS(V:V,S:S,Obrotowka[[#This Row],[GL_Account]])+SUMIFS(V:V,T:T,Obrotowka[[#This Row],[GL_Account]]))/1000,(SUMIFS(AL:AL,AH:AH,Obrotowka[[#This Row],[GL_Account]],AL:AL,"&gt;=0")-SUMIFS(V:V,S:S,Obrotowka[[#This Row],[GL_Account]])+SUMIFS(V:V,T:T,Obrotowka[[#This Row],[GL_Account]])))</f>
        <v>0</v>
      </c>
      <c r="H89" s="18">
        <f>IF($D$5="tak",SUMIFS(AL:AL,AH:AH,Obrotowka[[#This Row],[GL_Account]],AL:AL,"&lt;0")/1000,SUMIFS(AL:AL,AH:AH,Obrotowka[[#This Row],[GL_Account]],AL:AL,"&lt;0"))</f>
        <v>0</v>
      </c>
      <c r="I89" s="18">
        <f>SUM(Obrotowka[[#This Row],[BO]:[MA]])</f>
        <v>0</v>
      </c>
      <c r="J89">
        <f>IF(Obrotowka[[#This Row],[BZ]]=0,0,1)</f>
        <v>0</v>
      </c>
      <c r="K89" s="253"/>
      <c r="AF89" s="18"/>
      <c r="AU89" t="s">
        <v>8004</v>
      </c>
    </row>
    <row r="90" spans="2:47" x14ac:dyDescent="0.3">
      <c r="B90" t="s">
        <v>11602</v>
      </c>
      <c r="C90" t="s">
        <v>11603</v>
      </c>
      <c r="D90" t="s">
        <v>3505</v>
      </c>
      <c r="E90" t="s">
        <v>4326</v>
      </c>
      <c r="F90" s="18">
        <f>IF($D$5="tak",(SUMIFS(AE:AE,AA:AA,Obrotowka[[#This Row],[GL_Account]])-SUMIFS(U:U,S:S,Obrotowka[[#This Row],[GL_Account]])+SUMIFS(U:U,T:T,Obrotowka[[#This Row],[GL_Account]]))/1000,(SUMIFS(AE:AE,AA:AA,Obrotowka[[#This Row],[GL_Account]])-SUMIFS(U:U,S:S,Obrotowka[[#This Row],[GL_Account]])+SUMIFS(U:U,T:T,Obrotowka[[#This Row],[GL_Account]])))</f>
        <v>0</v>
      </c>
      <c r="G90" s="18">
        <f>IF($D$5="tak",(SUMIFS(AL:AL,AH:AH,Obrotowka[[#This Row],[GL_Account]],AL:AL,"&gt;=0")-SUMIFS(V:V,S:S,Obrotowka[[#This Row],[GL_Account]])+SUMIFS(V:V,T:T,Obrotowka[[#This Row],[GL_Account]]))/1000,(SUMIFS(AL:AL,AH:AH,Obrotowka[[#This Row],[GL_Account]],AL:AL,"&gt;=0")-SUMIFS(V:V,S:S,Obrotowka[[#This Row],[GL_Account]])+SUMIFS(V:V,T:T,Obrotowka[[#This Row],[GL_Account]])))</f>
        <v>0</v>
      </c>
      <c r="H90" s="18">
        <f>IF($D$5="tak",SUMIFS(AL:AL,AH:AH,Obrotowka[[#This Row],[GL_Account]],AL:AL,"&lt;0")/1000,SUMIFS(AL:AL,AH:AH,Obrotowka[[#This Row],[GL_Account]],AL:AL,"&lt;0"))</f>
        <v>0</v>
      </c>
      <c r="I90" s="18">
        <f>SUM(Obrotowka[[#This Row],[BO]:[MA]])</f>
        <v>0</v>
      </c>
      <c r="J90">
        <f>IF(Obrotowka[[#This Row],[BZ]]=0,0,1)</f>
        <v>0</v>
      </c>
      <c r="K90" s="253"/>
      <c r="AF90" s="18"/>
      <c r="AU90" t="s">
        <v>8004</v>
      </c>
    </row>
    <row r="91" spans="2:47" x14ac:dyDescent="0.3">
      <c r="B91" t="s">
        <v>11604</v>
      </c>
      <c r="C91" t="s">
        <v>11605</v>
      </c>
      <c r="D91" t="s">
        <v>3505</v>
      </c>
      <c r="E91" t="s">
        <v>4326</v>
      </c>
      <c r="F91" s="18">
        <f>IF($D$5="tak",(SUMIFS(AE:AE,AA:AA,Obrotowka[[#This Row],[GL_Account]])-SUMIFS(U:U,S:S,Obrotowka[[#This Row],[GL_Account]])+SUMIFS(U:U,T:T,Obrotowka[[#This Row],[GL_Account]]))/1000,(SUMIFS(AE:AE,AA:AA,Obrotowka[[#This Row],[GL_Account]])-SUMIFS(U:U,S:S,Obrotowka[[#This Row],[GL_Account]])+SUMIFS(U:U,T:T,Obrotowka[[#This Row],[GL_Account]])))</f>
        <v>0</v>
      </c>
      <c r="G91" s="18">
        <f>IF($D$5="tak",(SUMIFS(AL:AL,AH:AH,Obrotowka[[#This Row],[GL_Account]],AL:AL,"&gt;=0")-SUMIFS(V:V,S:S,Obrotowka[[#This Row],[GL_Account]])+SUMIFS(V:V,T:T,Obrotowka[[#This Row],[GL_Account]]))/1000,(SUMIFS(AL:AL,AH:AH,Obrotowka[[#This Row],[GL_Account]],AL:AL,"&gt;=0")-SUMIFS(V:V,S:S,Obrotowka[[#This Row],[GL_Account]])+SUMIFS(V:V,T:T,Obrotowka[[#This Row],[GL_Account]])))</f>
        <v>0</v>
      </c>
      <c r="H91" s="18">
        <f>IF($D$5="tak",SUMIFS(AL:AL,AH:AH,Obrotowka[[#This Row],[GL_Account]],AL:AL,"&lt;0")/1000,SUMIFS(AL:AL,AH:AH,Obrotowka[[#This Row],[GL_Account]],AL:AL,"&lt;0"))</f>
        <v>0</v>
      </c>
      <c r="I91" s="18">
        <f>SUM(Obrotowka[[#This Row],[BO]:[MA]])</f>
        <v>0</v>
      </c>
      <c r="J91">
        <f>IF(Obrotowka[[#This Row],[BZ]]=0,0,1)</f>
        <v>0</v>
      </c>
      <c r="K91" s="253"/>
      <c r="AF91" s="18"/>
      <c r="AU91" t="s">
        <v>8009</v>
      </c>
    </row>
    <row r="92" spans="2:47" x14ac:dyDescent="0.3">
      <c r="B92" t="s">
        <v>11606</v>
      </c>
      <c r="C92" t="s">
        <v>11607</v>
      </c>
      <c r="D92" t="s">
        <v>3505</v>
      </c>
      <c r="E92" t="s">
        <v>4326</v>
      </c>
      <c r="F92" s="18">
        <f>IF($D$5="tak",(SUMIFS(AE:AE,AA:AA,Obrotowka[[#This Row],[GL_Account]])-SUMIFS(U:U,S:S,Obrotowka[[#This Row],[GL_Account]])+SUMIFS(U:U,T:T,Obrotowka[[#This Row],[GL_Account]]))/1000,(SUMIFS(AE:AE,AA:AA,Obrotowka[[#This Row],[GL_Account]])-SUMIFS(U:U,S:S,Obrotowka[[#This Row],[GL_Account]])+SUMIFS(U:U,T:T,Obrotowka[[#This Row],[GL_Account]])))</f>
        <v>0</v>
      </c>
      <c r="G92" s="18">
        <f>IF($D$5="tak",(SUMIFS(AL:AL,AH:AH,Obrotowka[[#This Row],[GL_Account]],AL:AL,"&gt;=0")-SUMIFS(V:V,S:S,Obrotowka[[#This Row],[GL_Account]])+SUMIFS(V:V,T:T,Obrotowka[[#This Row],[GL_Account]]))/1000,(SUMIFS(AL:AL,AH:AH,Obrotowka[[#This Row],[GL_Account]],AL:AL,"&gt;=0")-SUMIFS(V:V,S:S,Obrotowka[[#This Row],[GL_Account]])+SUMIFS(V:V,T:T,Obrotowka[[#This Row],[GL_Account]])))</f>
        <v>0</v>
      </c>
      <c r="H92" s="18">
        <f>IF($D$5="tak",SUMIFS(AL:AL,AH:AH,Obrotowka[[#This Row],[GL_Account]],AL:AL,"&lt;0")/1000,SUMIFS(AL:AL,AH:AH,Obrotowka[[#This Row],[GL_Account]],AL:AL,"&lt;0"))</f>
        <v>0</v>
      </c>
      <c r="I92" s="18">
        <f>SUM(Obrotowka[[#This Row],[BO]:[MA]])</f>
        <v>0</v>
      </c>
      <c r="J92">
        <f>IF(Obrotowka[[#This Row],[BZ]]=0,0,1)</f>
        <v>0</v>
      </c>
      <c r="K92" s="253"/>
      <c r="AF92" s="18"/>
      <c r="AU92" t="s">
        <v>7968</v>
      </c>
    </row>
    <row r="93" spans="2:47" x14ac:dyDescent="0.3">
      <c r="B93" t="s">
        <v>11608</v>
      </c>
      <c r="C93" t="s">
        <v>11609</v>
      </c>
      <c r="D93" t="s">
        <v>3505</v>
      </c>
      <c r="E93" t="s">
        <v>4326</v>
      </c>
      <c r="F93" s="18">
        <f>IF($D$5="tak",(SUMIFS(AE:AE,AA:AA,Obrotowka[[#This Row],[GL_Account]])-SUMIFS(U:U,S:S,Obrotowka[[#This Row],[GL_Account]])+SUMIFS(U:U,T:T,Obrotowka[[#This Row],[GL_Account]]))/1000,(SUMIFS(AE:AE,AA:AA,Obrotowka[[#This Row],[GL_Account]])-SUMIFS(U:U,S:S,Obrotowka[[#This Row],[GL_Account]])+SUMIFS(U:U,T:T,Obrotowka[[#This Row],[GL_Account]])))</f>
        <v>0</v>
      </c>
      <c r="G93" s="18">
        <f>IF($D$5="tak",(SUMIFS(AL:AL,AH:AH,Obrotowka[[#This Row],[GL_Account]],AL:AL,"&gt;=0")-SUMIFS(V:V,S:S,Obrotowka[[#This Row],[GL_Account]])+SUMIFS(V:V,T:T,Obrotowka[[#This Row],[GL_Account]]))/1000,(SUMIFS(AL:AL,AH:AH,Obrotowka[[#This Row],[GL_Account]],AL:AL,"&gt;=0")-SUMIFS(V:V,S:S,Obrotowka[[#This Row],[GL_Account]])+SUMIFS(V:V,T:T,Obrotowka[[#This Row],[GL_Account]])))</f>
        <v>0</v>
      </c>
      <c r="H93" s="18">
        <f>IF($D$5="tak",SUMIFS(AL:AL,AH:AH,Obrotowka[[#This Row],[GL_Account]],AL:AL,"&lt;0")/1000,SUMIFS(AL:AL,AH:AH,Obrotowka[[#This Row],[GL_Account]],AL:AL,"&lt;0"))</f>
        <v>0</v>
      </c>
      <c r="I93" s="18">
        <f>SUM(Obrotowka[[#This Row],[BO]:[MA]])</f>
        <v>0</v>
      </c>
      <c r="J93">
        <f>IF(Obrotowka[[#This Row],[BZ]]=0,0,1)</f>
        <v>0</v>
      </c>
      <c r="K93" s="253"/>
      <c r="AF93" s="18"/>
      <c r="AU93" t="s">
        <v>11610</v>
      </c>
    </row>
    <row r="94" spans="2:47" x14ac:dyDescent="0.3">
      <c r="B94" t="s">
        <v>11611</v>
      </c>
      <c r="C94" t="s">
        <v>11612</v>
      </c>
      <c r="D94" t="s">
        <v>3505</v>
      </c>
      <c r="E94" t="s">
        <v>4326</v>
      </c>
      <c r="F94" s="18">
        <f>IF($D$5="tak",(SUMIFS(AE:AE,AA:AA,Obrotowka[[#This Row],[GL_Account]])-SUMIFS(U:U,S:S,Obrotowka[[#This Row],[GL_Account]])+SUMIFS(U:U,T:T,Obrotowka[[#This Row],[GL_Account]]))/1000,(SUMIFS(AE:AE,AA:AA,Obrotowka[[#This Row],[GL_Account]])-SUMIFS(U:U,S:S,Obrotowka[[#This Row],[GL_Account]])+SUMIFS(U:U,T:T,Obrotowka[[#This Row],[GL_Account]])))</f>
        <v>0</v>
      </c>
      <c r="G94" s="18">
        <f>IF($D$5="tak",(SUMIFS(AL:AL,AH:AH,Obrotowka[[#This Row],[GL_Account]],AL:AL,"&gt;=0")-SUMIFS(V:V,S:S,Obrotowka[[#This Row],[GL_Account]])+SUMIFS(V:V,T:T,Obrotowka[[#This Row],[GL_Account]]))/1000,(SUMIFS(AL:AL,AH:AH,Obrotowka[[#This Row],[GL_Account]],AL:AL,"&gt;=0")-SUMIFS(V:V,S:S,Obrotowka[[#This Row],[GL_Account]])+SUMIFS(V:V,T:T,Obrotowka[[#This Row],[GL_Account]])))</f>
        <v>0</v>
      </c>
      <c r="H94" s="18">
        <f>IF($D$5="tak",SUMIFS(AL:AL,AH:AH,Obrotowka[[#This Row],[GL_Account]],AL:AL,"&lt;0")/1000,SUMIFS(AL:AL,AH:AH,Obrotowka[[#This Row],[GL_Account]],AL:AL,"&lt;0"))</f>
        <v>0</v>
      </c>
      <c r="I94" s="18">
        <f>SUM(Obrotowka[[#This Row],[BO]:[MA]])</f>
        <v>0</v>
      </c>
      <c r="J94">
        <f>IF(Obrotowka[[#This Row],[BZ]]=0,0,1)</f>
        <v>0</v>
      </c>
      <c r="K94" s="253"/>
      <c r="AF94" s="18"/>
      <c r="AU94" t="s">
        <v>11610</v>
      </c>
    </row>
    <row r="95" spans="2:47" x14ac:dyDescent="0.3">
      <c r="B95" t="s">
        <v>11613</v>
      </c>
      <c r="C95" t="s">
        <v>11614</v>
      </c>
      <c r="D95" t="s">
        <v>3505</v>
      </c>
      <c r="E95" t="s">
        <v>4326</v>
      </c>
      <c r="F95" s="18">
        <f>IF($D$5="tak",(SUMIFS(AE:AE,AA:AA,Obrotowka[[#This Row],[GL_Account]])-SUMIFS(U:U,S:S,Obrotowka[[#This Row],[GL_Account]])+SUMIFS(U:U,T:T,Obrotowka[[#This Row],[GL_Account]]))/1000,(SUMIFS(AE:AE,AA:AA,Obrotowka[[#This Row],[GL_Account]])-SUMIFS(U:U,S:S,Obrotowka[[#This Row],[GL_Account]])+SUMIFS(U:U,T:T,Obrotowka[[#This Row],[GL_Account]])))</f>
        <v>0</v>
      </c>
      <c r="G95" s="18">
        <f>IF($D$5="tak",(SUMIFS(AL:AL,AH:AH,Obrotowka[[#This Row],[GL_Account]],AL:AL,"&gt;=0")-SUMIFS(V:V,S:S,Obrotowka[[#This Row],[GL_Account]])+SUMIFS(V:V,T:T,Obrotowka[[#This Row],[GL_Account]]))/1000,(SUMIFS(AL:AL,AH:AH,Obrotowka[[#This Row],[GL_Account]],AL:AL,"&gt;=0")-SUMIFS(V:V,S:S,Obrotowka[[#This Row],[GL_Account]])+SUMIFS(V:V,T:T,Obrotowka[[#This Row],[GL_Account]])))</f>
        <v>0</v>
      </c>
      <c r="H95" s="18">
        <f>IF($D$5="tak",SUMIFS(AL:AL,AH:AH,Obrotowka[[#This Row],[GL_Account]],AL:AL,"&lt;0")/1000,SUMIFS(AL:AL,AH:AH,Obrotowka[[#This Row],[GL_Account]],AL:AL,"&lt;0"))</f>
        <v>0</v>
      </c>
      <c r="I95" s="18">
        <f>SUM(Obrotowka[[#This Row],[BO]:[MA]])</f>
        <v>0</v>
      </c>
      <c r="J95">
        <f>IF(Obrotowka[[#This Row],[BZ]]=0,0,1)</f>
        <v>0</v>
      </c>
      <c r="K95" s="253"/>
      <c r="AF95" s="18"/>
      <c r="AU95" t="s">
        <v>11610</v>
      </c>
    </row>
    <row r="96" spans="2:47" x14ac:dyDescent="0.3">
      <c r="B96" t="s">
        <v>11615</v>
      </c>
      <c r="C96" t="s">
        <v>11616</v>
      </c>
      <c r="D96" t="s">
        <v>3505</v>
      </c>
      <c r="E96" t="s">
        <v>4326</v>
      </c>
      <c r="F96" s="18">
        <f>IF($D$5="tak",(SUMIFS(AE:AE,AA:AA,Obrotowka[[#This Row],[GL_Account]])-SUMIFS(U:U,S:S,Obrotowka[[#This Row],[GL_Account]])+SUMIFS(U:U,T:T,Obrotowka[[#This Row],[GL_Account]]))/1000,(SUMIFS(AE:AE,AA:AA,Obrotowka[[#This Row],[GL_Account]])-SUMIFS(U:U,S:S,Obrotowka[[#This Row],[GL_Account]])+SUMIFS(U:U,T:T,Obrotowka[[#This Row],[GL_Account]])))</f>
        <v>0</v>
      </c>
      <c r="G96" s="18">
        <f>IF($D$5="tak",(SUMIFS(AL:AL,AH:AH,Obrotowka[[#This Row],[GL_Account]],AL:AL,"&gt;=0")-SUMIFS(V:V,S:S,Obrotowka[[#This Row],[GL_Account]])+SUMIFS(V:V,T:T,Obrotowka[[#This Row],[GL_Account]]))/1000,(SUMIFS(AL:AL,AH:AH,Obrotowka[[#This Row],[GL_Account]],AL:AL,"&gt;=0")-SUMIFS(V:V,S:S,Obrotowka[[#This Row],[GL_Account]])+SUMIFS(V:V,T:T,Obrotowka[[#This Row],[GL_Account]])))</f>
        <v>0</v>
      </c>
      <c r="H96" s="18">
        <f>IF($D$5="tak",SUMIFS(AL:AL,AH:AH,Obrotowka[[#This Row],[GL_Account]],AL:AL,"&lt;0")/1000,SUMIFS(AL:AL,AH:AH,Obrotowka[[#This Row],[GL_Account]],AL:AL,"&lt;0"))</f>
        <v>0</v>
      </c>
      <c r="I96" s="18">
        <f>SUM(Obrotowka[[#This Row],[BO]:[MA]])</f>
        <v>0</v>
      </c>
      <c r="J96">
        <f>IF(Obrotowka[[#This Row],[BZ]]=0,0,1)</f>
        <v>0</v>
      </c>
      <c r="K96" s="253"/>
      <c r="AF96" s="18"/>
      <c r="AU96" t="s">
        <v>11610</v>
      </c>
    </row>
    <row r="97" spans="2:47" x14ac:dyDescent="0.3">
      <c r="B97" t="s">
        <v>11617</v>
      </c>
      <c r="C97" t="s">
        <v>11618</v>
      </c>
      <c r="D97" t="s">
        <v>3505</v>
      </c>
      <c r="E97" t="s">
        <v>4326</v>
      </c>
      <c r="F97" s="18">
        <f>IF($D$5="tak",(SUMIFS(AE:AE,AA:AA,Obrotowka[[#This Row],[GL_Account]])-SUMIFS(U:U,S:S,Obrotowka[[#This Row],[GL_Account]])+SUMIFS(U:U,T:T,Obrotowka[[#This Row],[GL_Account]]))/1000,(SUMIFS(AE:AE,AA:AA,Obrotowka[[#This Row],[GL_Account]])-SUMIFS(U:U,S:S,Obrotowka[[#This Row],[GL_Account]])+SUMIFS(U:U,T:T,Obrotowka[[#This Row],[GL_Account]])))</f>
        <v>0</v>
      </c>
      <c r="G97" s="18">
        <f>IF($D$5="tak",(SUMIFS(AL:AL,AH:AH,Obrotowka[[#This Row],[GL_Account]],AL:AL,"&gt;=0")-SUMIFS(V:V,S:S,Obrotowka[[#This Row],[GL_Account]])+SUMIFS(V:V,T:T,Obrotowka[[#This Row],[GL_Account]]))/1000,(SUMIFS(AL:AL,AH:AH,Obrotowka[[#This Row],[GL_Account]],AL:AL,"&gt;=0")-SUMIFS(V:V,S:S,Obrotowka[[#This Row],[GL_Account]])+SUMIFS(V:V,T:T,Obrotowka[[#This Row],[GL_Account]])))</f>
        <v>0</v>
      </c>
      <c r="H97" s="18">
        <f>IF($D$5="tak",SUMIFS(AL:AL,AH:AH,Obrotowka[[#This Row],[GL_Account]],AL:AL,"&lt;0")/1000,SUMIFS(AL:AL,AH:AH,Obrotowka[[#This Row],[GL_Account]],AL:AL,"&lt;0"))</f>
        <v>0</v>
      </c>
      <c r="I97" s="18">
        <f>SUM(Obrotowka[[#This Row],[BO]:[MA]])</f>
        <v>0</v>
      </c>
      <c r="J97">
        <f>IF(Obrotowka[[#This Row],[BZ]]=0,0,1)</f>
        <v>0</v>
      </c>
      <c r="K97" s="253"/>
      <c r="AF97" s="18"/>
      <c r="AU97" t="s">
        <v>11610</v>
      </c>
    </row>
    <row r="98" spans="2:47" x14ac:dyDescent="0.3">
      <c r="B98" t="s">
        <v>11619</v>
      </c>
      <c r="C98" t="s">
        <v>11620</v>
      </c>
      <c r="D98" t="s">
        <v>3505</v>
      </c>
      <c r="E98" t="s">
        <v>4326</v>
      </c>
      <c r="F98" s="18">
        <f>IF($D$5="tak",(SUMIFS(AE:AE,AA:AA,Obrotowka[[#This Row],[GL_Account]])-SUMIFS(U:U,S:S,Obrotowka[[#This Row],[GL_Account]])+SUMIFS(U:U,T:T,Obrotowka[[#This Row],[GL_Account]]))/1000,(SUMIFS(AE:AE,AA:AA,Obrotowka[[#This Row],[GL_Account]])-SUMIFS(U:U,S:S,Obrotowka[[#This Row],[GL_Account]])+SUMIFS(U:U,T:T,Obrotowka[[#This Row],[GL_Account]])))</f>
        <v>0</v>
      </c>
      <c r="G98" s="18">
        <f>IF($D$5="tak",(SUMIFS(AL:AL,AH:AH,Obrotowka[[#This Row],[GL_Account]],AL:AL,"&gt;=0")-SUMIFS(V:V,S:S,Obrotowka[[#This Row],[GL_Account]])+SUMIFS(V:V,T:T,Obrotowka[[#This Row],[GL_Account]]))/1000,(SUMIFS(AL:AL,AH:AH,Obrotowka[[#This Row],[GL_Account]],AL:AL,"&gt;=0")-SUMIFS(V:V,S:S,Obrotowka[[#This Row],[GL_Account]])+SUMIFS(V:V,T:T,Obrotowka[[#This Row],[GL_Account]])))</f>
        <v>0</v>
      </c>
      <c r="H98" s="18">
        <f>IF($D$5="tak",SUMIFS(AL:AL,AH:AH,Obrotowka[[#This Row],[GL_Account]],AL:AL,"&lt;0")/1000,SUMIFS(AL:AL,AH:AH,Obrotowka[[#This Row],[GL_Account]],AL:AL,"&lt;0"))</f>
        <v>0</v>
      </c>
      <c r="I98" s="18">
        <f>SUM(Obrotowka[[#This Row],[BO]:[MA]])</f>
        <v>0</v>
      </c>
      <c r="J98">
        <f>IF(Obrotowka[[#This Row],[BZ]]=0,0,1)</f>
        <v>0</v>
      </c>
      <c r="K98" s="253"/>
      <c r="AF98" s="18"/>
      <c r="AU98" t="s">
        <v>11610</v>
      </c>
    </row>
    <row r="99" spans="2:47" x14ac:dyDescent="0.3">
      <c r="B99" t="s">
        <v>11621</v>
      </c>
      <c r="C99" t="s">
        <v>11622</v>
      </c>
      <c r="D99" t="s">
        <v>3505</v>
      </c>
      <c r="E99" t="s">
        <v>4326</v>
      </c>
      <c r="F99" s="18">
        <f>IF($D$5="tak",(SUMIFS(AE:AE,AA:AA,Obrotowka[[#This Row],[GL_Account]])-SUMIFS(U:U,S:S,Obrotowka[[#This Row],[GL_Account]])+SUMIFS(U:U,T:T,Obrotowka[[#This Row],[GL_Account]]))/1000,(SUMIFS(AE:AE,AA:AA,Obrotowka[[#This Row],[GL_Account]])-SUMIFS(U:U,S:S,Obrotowka[[#This Row],[GL_Account]])+SUMIFS(U:U,T:T,Obrotowka[[#This Row],[GL_Account]])))</f>
        <v>0</v>
      </c>
      <c r="G99" s="18">
        <f>IF($D$5="tak",(SUMIFS(AL:AL,AH:AH,Obrotowka[[#This Row],[GL_Account]],AL:AL,"&gt;=0")-SUMIFS(V:V,S:S,Obrotowka[[#This Row],[GL_Account]])+SUMIFS(V:V,T:T,Obrotowka[[#This Row],[GL_Account]]))/1000,(SUMIFS(AL:AL,AH:AH,Obrotowka[[#This Row],[GL_Account]],AL:AL,"&gt;=0")-SUMIFS(V:V,S:S,Obrotowka[[#This Row],[GL_Account]])+SUMIFS(V:V,T:T,Obrotowka[[#This Row],[GL_Account]])))</f>
        <v>0</v>
      </c>
      <c r="H99" s="18">
        <f>IF($D$5="tak",SUMIFS(AL:AL,AH:AH,Obrotowka[[#This Row],[GL_Account]],AL:AL,"&lt;0")/1000,SUMIFS(AL:AL,AH:AH,Obrotowka[[#This Row],[GL_Account]],AL:AL,"&lt;0"))</f>
        <v>0</v>
      </c>
      <c r="I99" s="18">
        <f>SUM(Obrotowka[[#This Row],[BO]:[MA]])</f>
        <v>0</v>
      </c>
      <c r="J99">
        <f>IF(Obrotowka[[#This Row],[BZ]]=0,0,1)</f>
        <v>0</v>
      </c>
      <c r="K99" s="253"/>
      <c r="AF99" s="18"/>
      <c r="AU99" t="s">
        <v>11610</v>
      </c>
    </row>
    <row r="100" spans="2:47" x14ac:dyDescent="0.3">
      <c r="B100" t="s">
        <v>11623</v>
      </c>
      <c r="C100" t="s">
        <v>11624</v>
      </c>
      <c r="D100" t="s">
        <v>3505</v>
      </c>
      <c r="E100" t="s">
        <v>4326</v>
      </c>
      <c r="F100" s="18">
        <f>IF($D$5="tak",(SUMIFS(AE:AE,AA:AA,Obrotowka[[#This Row],[GL_Account]])-SUMIFS(U:U,S:S,Obrotowka[[#This Row],[GL_Account]])+SUMIFS(U:U,T:T,Obrotowka[[#This Row],[GL_Account]]))/1000,(SUMIFS(AE:AE,AA:AA,Obrotowka[[#This Row],[GL_Account]])-SUMIFS(U:U,S:S,Obrotowka[[#This Row],[GL_Account]])+SUMIFS(U:U,T:T,Obrotowka[[#This Row],[GL_Account]])))</f>
        <v>0</v>
      </c>
      <c r="G100" s="18">
        <f>IF($D$5="tak",(SUMIFS(AL:AL,AH:AH,Obrotowka[[#This Row],[GL_Account]],AL:AL,"&gt;=0")-SUMIFS(V:V,S:S,Obrotowka[[#This Row],[GL_Account]])+SUMIFS(V:V,T:T,Obrotowka[[#This Row],[GL_Account]]))/1000,(SUMIFS(AL:AL,AH:AH,Obrotowka[[#This Row],[GL_Account]],AL:AL,"&gt;=0")-SUMIFS(V:V,S:S,Obrotowka[[#This Row],[GL_Account]])+SUMIFS(V:V,T:T,Obrotowka[[#This Row],[GL_Account]])))</f>
        <v>0</v>
      </c>
      <c r="H100" s="18">
        <f>IF($D$5="tak",SUMIFS(AL:AL,AH:AH,Obrotowka[[#This Row],[GL_Account]],AL:AL,"&lt;0")/1000,SUMIFS(AL:AL,AH:AH,Obrotowka[[#This Row],[GL_Account]],AL:AL,"&lt;0"))</f>
        <v>0</v>
      </c>
      <c r="I100" s="18">
        <f>SUM(Obrotowka[[#This Row],[BO]:[MA]])</f>
        <v>0</v>
      </c>
      <c r="J100">
        <f>IF(Obrotowka[[#This Row],[BZ]]=0,0,1)</f>
        <v>0</v>
      </c>
      <c r="K100" s="253"/>
      <c r="AF100" s="18"/>
      <c r="AU100" t="s">
        <v>8256</v>
      </c>
    </row>
    <row r="101" spans="2:47" x14ac:dyDescent="0.3">
      <c r="B101" t="s">
        <v>11625</v>
      </c>
      <c r="C101" t="s">
        <v>11626</v>
      </c>
      <c r="D101" t="s">
        <v>3505</v>
      </c>
      <c r="E101" t="s">
        <v>3509</v>
      </c>
      <c r="F101" s="18">
        <f>IF($D$5="tak",(SUMIFS(AE:AE,AA:AA,Obrotowka[[#This Row],[GL_Account]])-SUMIFS(U:U,S:S,Obrotowka[[#This Row],[GL_Account]])+SUMIFS(U:U,T:T,Obrotowka[[#This Row],[GL_Account]]))/1000,(SUMIFS(AE:AE,AA:AA,Obrotowka[[#This Row],[GL_Account]])-SUMIFS(U:U,S:S,Obrotowka[[#This Row],[GL_Account]])+SUMIFS(U:U,T:T,Obrotowka[[#This Row],[GL_Account]])))</f>
        <v>0</v>
      </c>
      <c r="G101" s="18">
        <f>IF($D$5="tak",(SUMIFS(AL:AL,AH:AH,Obrotowka[[#This Row],[GL_Account]],AL:AL,"&gt;=0")-SUMIFS(V:V,S:S,Obrotowka[[#This Row],[GL_Account]])+SUMIFS(V:V,T:T,Obrotowka[[#This Row],[GL_Account]]))/1000,(SUMIFS(AL:AL,AH:AH,Obrotowka[[#This Row],[GL_Account]],AL:AL,"&gt;=0")-SUMIFS(V:V,S:S,Obrotowka[[#This Row],[GL_Account]])+SUMIFS(V:V,T:T,Obrotowka[[#This Row],[GL_Account]])))</f>
        <v>0</v>
      </c>
      <c r="H101" s="18">
        <f>IF($D$5="tak",SUMIFS(AL:AL,AH:AH,Obrotowka[[#This Row],[GL_Account]],AL:AL,"&lt;0")/1000,SUMIFS(AL:AL,AH:AH,Obrotowka[[#This Row],[GL_Account]],AL:AL,"&lt;0"))</f>
        <v>0</v>
      </c>
      <c r="I101" s="18">
        <f>SUM(Obrotowka[[#This Row],[BO]:[MA]])</f>
        <v>0</v>
      </c>
      <c r="J101">
        <f>IF(Obrotowka[[#This Row],[BZ]]=0,0,1)</f>
        <v>0</v>
      </c>
      <c r="K101" s="253"/>
      <c r="AF101" s="18"/>
      <c r="AU101" t="s">
        <v>8450</v>
      </c>
    </row>
    <row r="102" spans="2:47" x14ac:dyDescent="0.3">
      <c r="B102" t="s">
        <v>11627</v>
      </c>
      <c r="C102" t="s">
        <v>11628</v>
      </c>
      <c r="D102" t="s">
        <v>3505</v>
      </c>
      <c r="E102" t="s">
        <v>4326</v>
      </c>
      <c r="F102" s="18">
        <f>IF($D$5="tak",(SUMIFS(AE:AE,AA:AA,Obrotowka[[#This Row],[GL_Account]])-SUMIFS(U:U,S:S,Obrotowka[[#This Row],[GL_Account]])+SUMIFS(U:U,T:T,Obrotowka[[#This Row],[GL_Account]]))/1000,(SUMIFS(AE:AE,AA:AA,Obrotowka[[#This Row],[GL_Account]])-SUMIFS(U:U,S:S,Obrotowka[[#This Row],[GL_Account]])+SUMIFS(U:U,T:T,Obrotowka[[#This Row],[GL_Account]])))</f>
        <v>0</v>
      </c>
      <c r="G102" s="18">
        <f>IF($D$5="tak",(SUMIFS(AL:AL,AH:AH,Obrotowka[[#This Row],[GL_Account]],AL:AL,"&gt;=0")-SUMIFS(V:V,S:S,Obrotowka[[#This Row],[GL_Account]])+SUMIFS(V:V,T:T,Obrotowka[[#This Row],[GL_Account]]))/1000,(SUMIFS(AL:AL,AH:AH,Obrotowka[[#This Row],[GL_Account]],AL:AL,"&gt;=0")-SUMIFS(V:V,S:S,Obrotowka[[#This Row],[GL_Account]])+SUMIFS(V:V,T:T,Obrotowka[[#This Row],[GL_Account]])))</f>
        <v>0</v>
      </c>
      <c r="H102" s="18">
        <f>IF($D$5="tak",SUMIFS(AL:AL,AH:AH,Obrotowka[[#This Row],[GL_Account]],AL:AL,"&lt;0")/1000,SUMIFS(AL:AL,AH:AH,Obrotowka[[#This Row],[GL_Account]],AL:AL,"&lt;0"))</f>
        <v>0</v>
      </c>
      <c r="I102" s="18">
        <f>SUM(Obrotowka[[#This Row],[BO]:[MA]])</f>
        <v>0</v>
      </c>
      <c r="J102">
        <f>IF(Obrotowka[[#This Row],[BZ]]=0,0,1)</f>
        <v>0</v>
      </c>
      <c r="K102" s="253"/>
      <c r="AF102" s="18"/>
      <c r="AU102" t="s">
        <v>8450</v>
      </c>
    </row>
    <row r="103" spans="2:47" x14ac:dyDescent="0.3">
      <c r="B103" t="s">
        <v>11629</v>
      </c>
      <c r="C103" t="s">
        <v>11630</v>
      </c>
      <c r="D103" t="s">
        <v>3505</v>
      </c>
      <c r="E103" t="s">
        <v>3509</v>
      </c>
      <c r="F103" s="18">
        <f>IF($D$5="tak",(SUMIFS(AE:AE,AA:AA,Obrotowka[[#This Row],[GL_Account]])-SUMIFS(U:U,S:S,Obrotowka[[#This Row],[GL_Account]])+SUMIFS(U:U,T:T,Obrotowka[[#This Row],[GL_Account]]))/1000,(SUMIFS(AE:AE,AA:AA,Obrotowka[[#This Row],[GL_Account]])-SUMIFS(U:U,S:S,Obrotowka[[#This Row],[GL_Account]])+SUMIFS(U:U,T:T,Obrotowka[[#This Row],[GL_Account]])))</f>
        <v>0</v>
      </c>
      <c r="G103" s="18">
        <f>IF($D$5="tak",(SUMIFS(AL:AL,AH:AH,Obrotowka[[#This Row],[GL_Account]],AL:AL,"&gt;=0")-SUMIFS(V:V,S:S,Obrotowka[[#This Row],[GL_Account]])+SUMIFS(V:V,T:T,Obrotowka[[#This Row],[GL_Account]]))/1000,(SUMIFS(AL:AL,AH:AH,Obrotowka[[#This Row],[GL_Account]],AL:AL,"&gt;=0")-SUMIFS(V:V,S:S,Obrotowka[[#This Row],[GL_Account]])+SUMIFS(V:V,T:T,Obrotowka[[#This Row],[GL_Account]])))</f>
        <v>0</v>
      </c>
      <c r="H103" s="18">
        <f>IF($D$5="tak",SUMIFS(AL:AL,AH:AH,Obrotowka[[#This Row],[GL_Account]],AL:AL,"&lt;0")/1000,SUMIFS(AL:AL,AH:AH,Obrotowka[[#This Row],[GL_Account]],AL:AL,"&lt;0"))</f>
        <v>0</v>
      </c>
      <c r="I103" s="18">
        <f>SUM(Obrotowka[[#This Row],[BO]:[MA]])</f>
        <v>0</v>
      </c>
      <c r="J103">
        <f>IF(Obrotowka[[#This Row],[BZ]]=0,0,1)</f>
        <v>0</v>
      </c>
      <c r="K103" s="253"/>
      <c r="AF103" s="18"/>
      <c r="AU103" t="s">
        <v>8450</v>
      </c>
    </row>
    <row r="104" spans="2:47" x14ac:dyDescent="0.3">
      <c r="B104" t="s">
        <v>11631</v>
      </c>
      <c r="C104" t="s">
        <v>11632</v>
      </c>
      <c r="D104" t="s">
        <v>3505</v>
      </c>
      <c r="E104" t="s">
        <v>4326</v>
      </c>
      <c r="F104" s="18">
        <f>IF($D$5="tak",(SUMIFS(AE:AE,AA:AA,Obrotowka[[#This Row],[GL_Account]])-SUMIFS(U:U,S:S,Obrotowka[[#This Row],[GL_Account]])+SUMIFS(U:U,T:T,Obrotowka[[#This Row],[GL_Account]]))/1000,(SUMIFS(AE:AE,AA:AA,Obrotowka[[#This Row],[GL_Account]])-SUMIFS(U:U,S:S,Obrotowka[[#This Row],[GL_Account]])+SUMIFS(U:U,T:T,Obrotowka[[#This Row],[GL_Account]])))</f>
        <v>0</v>
      </c>
      <c r="G104" s="18">
        <f>IF($D$5="tak",(SUMIFS(AL:AL,AH:AH,Obrotowka[[#This Row],[GL_Account]],AL:AL,"&gt;=0")-SUMIFS(V:V,S:S,Obrotowka[[#This Row],[GL_Account]])+SUMIFS(V:V,T:T,Obrotowka[[#This Row],[GL_Account]]))/1000,(SUMIFS(AL:AL,AH:AH,Obrotowka[[#This Row],[GL_Account]],AL:AL,"&gt;=0")-SUMIFS(V:V,S:S,Obrotowka[[#This Row],[GL_Account]])+SUMIFS(V:V,T:T,Obrotowka[[#This Row],[GL_Account]])))</f>
        <v>0</v>
      </c>
      <c r="H104" s="18">
        <f>IF($D$5="tak",SUMIFS(AL:AL,AH:AH,Obrotowka[[#This Row],[GL_Account]],AL:AL,"&lt;0")/1000,SUMIFS(AL:AL,AH:AH,Obrotowka[[#This Row],[GL_Account]],AL:AL,"&lt;0"))</f>
        <v>0</v>
      </c>
      <c r="I104" s="18">
        <f>SUM(Obrotowka[[#This Row],[BO]:[MA]])</f>
        <v>0</v>
      </c>
      <c r="J104">
        <f>IF(Obrotowka[[#This Row],[BZ]]=0,0,1)</f>
        <v>0</v>
      </c>
      <c r="K104" s="253"/>
      <c r="AF104" s="18"/>
      <c r="AU104" t="s">
        <v>8450</v>
      </c>
    </row>
    <row r="105" spans="2:47" x14ac:dyDescent="0.3">
      <c r="B105" t="s">
        <v>11633</v>
      </c>
      <c r="C105" t="s">
        <v>11634</v>
      </c>
      <c r="D105" t="s">
        <v>3505</v>
      </c>
      <c r="E105" t="s">
        <v>3509</v>
      </c>
      <c r="F105" s="18">
        <f>IF($D$5="tak",(SUMIFS(AE:AE,AA:AA,Obrotowka[[#This Row],[GL_Account]])-SUMIFS(U:U,S:S,Obrotowka[[#This Row],[GL_Account]])+SUMIFS(U:U,T:T,Obrotowka[[#This Row],[GL_Account]]))/1000,(SUMIFS(AE:AE,AA:AA,Obrotowka[[#This Row],[GL_Account]])-SUMIFS(U:U,S:S,Obrotowka[[#This Row],[GL_Account]])+SUMIFS(U:U,T:T,Obrotowka[[#This Row],[GL_Account]])))</f>
        <v>0</v>
      </c>
      <c r="G105" s="18">
        <f>IF($D$5="tak",(SUMIFS(AL:AL,AH:AH,Obrotowka[[#This Row],[GL_Account]],AL:AL,"&gt;=0")-SUMIFS(V:V,S:S,Obrotowka[[#This Row],[GL_Account]])+SUMIFS(V:V,T:T,Obrotowka[[#This Row],[GL_Account]]))/1000,(SUMIFS(AL:AL,AH:AH,Obrotowka[[#This Row],[GL_Account]],AL:AL,"&gt;=0")-SUMIFS(V:V,S:S,Obrotowka[[#This Row],[GL_Account]])+SUMIFS(V:V,T:T,Obrotowka[[#This Row],[GL_Account]])))</f>
        <v>0</v>
      </c>
      <c r="H105" s="18">
        <f>IF($D$5="tak",SUMIFS(AL:AL,AH:AH,Obrotowka[[#This Row],[GL_Account]],AL:AL,"&lt;0")/1000,SUMIFS(AL:AL,AH:AH,Obrotowka[[#This Row],[GL_Account]],AL:AL,"&lt;0"))</f>
        <v>0</v>
      </c>
      <c r="I105" s="18">
        <f>SUM(Obrotowka[[#This Row],[BO]:[MA]])</f>
        <v>0</v>
      </c>
      <c r="J105">
        <f>IF(Obrotowka[[#This Row],[BZ]]=0,0,1)</f>
        <v>0</v>
      </c>
      <c r="K105" s="253"/>
      <c r="AF105" s="18"/>
      <c r="AU105" t="s">
        <v>8394</v>
      </c>
    </row>
    <row r="106" spans="2:47" x14ac:dyDescent="0.3">
      <c r="B106" t="s">
        <v>11635</v>
      </c>
      <c r="C106" t="s">
        <v>11636</v>
      </c>
      <c r="D106" t="s">
        <v>3505</v>
      </c>
      <c r="E106" t="s">
        <v>4326</v>
      </c>
      <c r="F106" s="18">
        <f>IF($D$5="tak",(SUMIFS(AE:AE,AA:AA,Obrotowka[[#This Row],[GL_Account]])-SUMIFS(U:U,S:S,Obrotowka[[#This Row],[GL_Account]])+SUMIFS(U:U,T:T,Obrotowka[[#This Row],[GL_Account]]))/1000,(SUMIFS(AE:AE,AA:AA,Obrotowka[[#This Row],[GL_Account]])-SUMIFS(U:U,S:S,Obrotowka[[#This Row],[GL_Account]])+SUMIFS(U:U,T:T,Obrotowka[[#This Row],[GL_Account]])))</f>
        <v>0</v>
      </c>
      <c r="G106" s="18">
        <f>IF($D$5="tak",(SUMIFS(AL:AL,AH:AH,Obrotowka[[#This Row],[GL_Account]],AL:AL,"&gt;=0")-SUMIFS(V:V,S:S,Obrotowka[[#This Row],[GL_Account]])+SUMIFS(V:V,T:T,Obrotowka[[#This Row],[GL_Account]]))/1000,(SUMIFS(AL:AL,AH:AH,Obrotowka[[#This Row],[GL_Account]],AL:AL,"&gt;=0")-SUMIFS(V:V,S:S,Obrotowka[[#This Row],[GL_Account]])+SUMIFS(V:V,T:T,Obrotowka[[#This Row],[GL_Account]])))</f>
        <v>0</v>
      </c>
      <c r="H106" s="18">
        <f>IF($D$5="tak",SUMIFS(AL:AL,AH:AH,Obrotowka[[#This Row],[GL_Account]],AL:AL,"&lt;0")/1000,SUMIFS(AL:AL,AH:AH,Obrotowka[[#This Row],[GL_Account]],AL:AL,"&lt;0"))</f>
        <v>0</v>
      </c>
      <c r="I106" s="18">
        <f>SUM(Obrotowka[[#This Row],[BO]:[MA]])</f>
        <v>0</v>
      </c>
      <c r="J106">
        <f>IF(Obrotowka[[#This Row],[BZ]]=0,0,1)</f>
        <v>0</v>
      </c>
      <c r="K106" s="253"/>
      <c r="AF106" s="18"/>
      <c r="AU106" t="s">
        <v>8394</v>
      </c>
    </row>
    <row r="107" spans="2:47" x14ac:dyDescent="0.3">
      <c r="B107" t="s">
        <v>11637</v>
      </c>
      <c r="C107" t="s">
        <v>11638</v>
      </c>
      <c r="D107" t="s">
        <v>3505</v>
      </c>
      <c r="E107" t="s">
        <v>3509</v>
      </c>
      <c r="F107" s="18">
        <f>IF($D$5="tak",(SUMIFS(AE:AE,AA:AA,Obrotowka[[#This Row],[GL_Account]])-SUMIFS(U:U,S:S,Obrotowka[[#This Row],[GL_Account]])+SUMIFS(U:U,T:T,Obrotowka[[#This Row],[GL_Account]]))/1000,(SUMIFS(AE:AE,AA:AA,Obrotowka[[#This Row],[GL_Account]])-SUMIFS(U:U,S:S,Obrotowka[[#This Row],[GL_Account]])+SUMIFS(U:U,T:T,Obrotowka[[#This Row],[GL_Account]])))</f>
        <v>0</v>
      </c>
      <c r="G107" s="18">
        <f>IF($D$5="tak",(SUMIFS(AL:AL,AH:AH,Obrotowka[[#This Row],[GL_Account]],AL:AL,"&gt;=0")-SUMIFS(V:V,S:S,Obrotowka[[#This Row],[GL_Account]])+SUMIFS(V:V,T:T,Obrotowka[[#This Row],[GL_Account]]))/1000,(SUMIFS(AL:AL,AH:AH,Obrotowka[[#This Row],[GL_Account]],AL:AL,"&gt;=0")-SUMIFS(V:V,S:S,Obrotowka[[#This Row],[GL_Account]])+SUMIFS(V:V,T:T,Obrotowka[[#This Row],[GL_Account]])))</f>
        <v>0</v>
      </c>
      <c r="H107" s="18">
        <f>IF($D$5="tak",SUMIFS(AL:AL,AH:AH,Obrotowka[[#This Row],[GL_Account]],AL:AL,"&lt;0")/1000,SUMIFS(AL:AL,AH:AH,Obrotowka[[#This Row],[GL_Account]],AL:AL,"&lt;0"))</f>
        <v>0</v>
      </c>
      <c r="I107" s="18">
        <f>SUM(Obrotowka[[#This Row],[BO]:[MA]])</f>
        <v>0</v>
      </c>
      <c r="J107">
        <f>IF(Obrotowka[[#This Row],[BZ]]=0,0,1)</f>
        <v>0</v>
      </c>
      <c r="K107" s="253"/>
      <c r="AF107" s="18"/>
      <c r="AU107" t="s">
        <v>8450</v>
      </c>
    </row>
    <row r="108" spans="2:47" x14ac:dyDescent="0.3">
      <c r="B108" t="s">
        <v>11639</v>
      </c>
      <c r="C108" t="s">
        <v>11640</v>
      </c>
      <c r="D108" t="s">
        <v>3505</v>
      </c>
      <c r="E108" t="s">
        <v>4326</v>
      </c>
      <c r="F108" s="18">
        <f>IF($D$5="tak",(SUMIFS(AE:AE,AA:AA,Obrotowka[[#This Row],[GL_Account]])-SUMIFS(U:U,S:S,Obrotowka[[#This Row],[GL_Account]])+SUMIFS(U:U,T:T,Obrotowka[[#This Row],[GL_Account]]))/1000,(SUMIFS(AE:AE,AA:AA,Obrotowka[[#This Row],[GL_Account]])-SUMIFS(U:U,S:S,Obrotowka[[#This Row],[GL_Account]])+SUMIFS(U:U,T:T,Obrotowka[[#This Row],[GL_Account]])))</f>
        <v>0</v>
      </c>
      <c r="G108" s="18">
        <f>IF($D$5="tak",(SUMIFS(AL:AL,AH:AH,Obrotowka[[#This Row],[GL_Account]],AL:AL,"&gt;=0")-SUMIFS(V:V,S:S,Obrotowka[[#This Row],[GL_Account]])+SUMIFS(V:V,T:T,Obrotowka[[#This Row],[GL_Account]]))/1000,(SUMIFS(AL:AL,AH:AH,Obrotowka[[#This Row],[GL_Account]],AL:AL,"&gt;=0")-SUMIFS(V:V,S:S,Obrotowka[[#This Row],[GL_Account]])+SUMIFS(V:V,T:T,Obrotowka[[#This Row],[GL_Account]])))</f>
        <v>0</v>
      </c>
      <c r="H108" s="18">
        <f>IF($D$5="tak",SUMIFS(AL:AL,AH:AH,Obrotowka[[#This Row],[GL_Account]],AL:AL,"&lt;0")/1000,SUMIFS(AL:AL,AH:AH,Obrotowka[[#This Row],[GL_Account]],AL:AL,"&lt;0"))</f>
        <v>0</v>
      </c>
      <c r="I108" s="18">
        <f>SUM(Obrotowka[[#This Row],[BO]:[MA]])</f>
        <v>0</v>
      </c>
      <c r="J108">
        <f>IF(Obrotowka[[#This Row],[BZ]]=0,0,1)</f>
        <v>0</v>
      </c>
      <c r="K108" s="253"/>
      <c r="AF108" s="18"/>
      <c r="AU108" t="s">
        <v>8450</v>
      </c>
    </row>
    <row r="109" spans="2:47" x14ac:dyDescent="0.3">
      <c r="B109" t="s">
        <v>11641</v>
      </c>
      <c r="C109" t="s">
        <v>11642</v>
      </c>
      <c r="D109" t="s">
        <v>3505</v>
      </c>
      <c r="E109" t="s">
        <v>3509</v>
      </c>
      <c r="F109" s="18">
        <f>IF($D$5="tak",(SUMIFS(AE:AE,AA:AA,Obrotowka[[#This Row],[GL_Account]])-SUMIFS(U:U,S:S,Obrotowka[[#This Row],[GL_Account]])+SUMIFS(U:U,T:T,Obrotowka[[#This Row],[GL_Account]]))/1000,(SUMIFS(AE:AE,AA:AA,Obrotowka[[#This Row],[GL_Account]])-SUMIFS(U:U,S:S,Obrotowka[[#This Row],[GL_Account]])+SUMIFS(U:U,T:T,Obrotowka[[#This Row],[GL_Account]])))</f>
        <v>0</v>
      </c>
      <c r="G109" s="18">
        <f>IF($D$5="tak",(SUMIFS(AL:AL,AH:AH,Obrotowka[[#This Row],[GL_Account]],AL:AL,"&gt;=0")-SUMIFS(V:V,S:S,Obrotowka[[#This Row],[GL_Account]])+SUMIFS(V:V,T:T,Obrotowka[[#This Row],[GL_Account]]))/1000,(SUMIFS(AL:AL,AH:AH,Obrotowka[[#This Row],[GL_Account]],AL:AL,"&gt;=0")-SUMIFS(V:V,S:S,Obrotowka[[#This Row],[GL_Account]])+SUMIFS(V:V,T:T,Obrotowka[[#This Row],[GL_Account]])))</f>
        <v>0</v>
      </c>
      <c r="H109" s="18">
        <f>IF($D$5="tak",SUMIFS(AL:AL,AH:AH,Obrotowka[[#This Row],[GL_Account]],AL:AL,"&lt;0")/1000,SUMIFS(AL:AL,AH:AH,Obrotowka[[#This Row],[GL_Account]],AL:AL,"&lt;0"))</f>
        <v>0</v>
      </c>
      <c r="I109" s="18">
        <f>SUM(Obrotowka[[#This Row],[BO]:[MA]])</f>
        <v>0</v>
      </c>
      <c r="J109">
        <f>IF(Obrotowka[[#This Row],[BZ]]=0,0,1)</f>
        <v>0</v>
      </c>
      <c r="K109" s="253"/>
      <c r="AF109" s="18"/>
      <c r="AU109" t="s">
        <v>8450</v>
      </c>
    </row>
    <row r="110" spans="2:47" x14ac:dyDescent="0.3">
      <c r="B110" t="s">
        <v>11643</v>
      </c>
      <c r="C110" t="s">
        <v>11644</v>
      </c>
      <c r="D110" t="s">
        <v>3505</v>
      </c>
      <c r="E110" t="s">
        <v>4326</v>
      </c>
      <c r="F110" s="18">
        <f>IF($D$5="tak",(SUMIFS(AE:AE,AA:AA,Obrotowka[[#This Row],[GL_Account]])-SUMIFS(U:U,S:S,Obrotowka[[#This Row],[GL_Account]])+SUMIFS(U:U,T:T,Obrotowka[[#This Row],[GL_Account]]))/1000,(SUMIFS(AE:AE,AA:AA,Obrotowka[[#This Row],[GL_Account]])-SUMIFS(U:U,S:S,Obrotowka[[#This Row],[GL_Account]])+SUMIFS(U:U,T:T,Obrotowka[[#This Row],[GL_Account]])))</f>
        <v>0</v>
      </c>
      <c r="G110" s="18">
        <f>IF($D$5="tak",(SUMIFS(AL:AL,AH:AH,Obrotowka[[#This Row],[GL_Account]],AL:AL,"&gt;=0")-SUMIFS(V:V,S:S,Obrotowka[[#This Row],[GL_Account]])+SUMIFS(V:V,T:T,Obrotowka[[#This Row],[GL_Account]]))/1000,(SUMIFS(AL:AL,AH:AH,Obrotowka[[#This Row],[GL_Account]],AL:AL,"&gt;=0")-SUMIFS(V:V,S:S,Obrotowka[[#This Row],[GL_Account]])+SUMIFS(V:V,T:T,Obrotowka[[#This Row],[GL_Account]])))</f>
        <v>0</v>
      </c>
      <c r="H110" s="18">
        <f>IF($D$5="tak",SUMIFS(AL:AL,AH:AH,Obrotowka[[#This Row],[GL_Account]],AL:AL,"&lt;0")/1000,SUMIFS(AL:AL,AH:AH,Obrotowka[[#This Row],[GL_Account]],AL:AL,"&lt;0"))</f>
        <v>0</v>
      </c>
      <c r="I110" s="18">
        <f>SUM(Obrotowka[[#This Row],[BO]:[MA]])</f>
        <v>0</v>
      </c>
      <c r="J110">
        <f>IF(Obrotowka[[#This Row],[BZ]]=0,0,1)</f>
        <v>0</v>
      </c>
      <c r="K110" s="253"/>
      <c r="AF110" s="18"/>
      <c r="AU110" t="s">
        <v>8450</v>
      </c>
    </row>
    <row r="111" spans="2:47" x14ac:dyDescent="0.3">
      <c r="B111" t="s">
        <v>11645</v>
      </c>
      <c r="C111" t="s">
        <v>11646</v>
      </c>
      <c r="D111" t="s">
        <v>3505</v>
      </c>
      <c r="E111" t="s">
        <v>3509</v>
      </c>
      <c r="F111" s="18">
        <f>IF($D$5="tak",(SUMIFS(AE:AE,AA:AA,Obrotowka[[#This Row],[GL_Account]])-SUMIFS(U:U,S:S,Obrotowka[[#This Row],[GL_Account]])+SUMIFS(U:U,T:T,Obrotowka[[#This Row],[GL_Account]]))/1000,(SUMIFS(AE:AE,AA:AA,Obrotowka[[#This Row],[GL_Account]])-SUMIFS(U:U,S:S,Obrotowka[[#This Row],[GL_Account]])+SUMIFS(U:U,T:T,Obrotowka[[#This Row],[GL_Account]])))</f>
        <v>0</v>
      </c>
      <c r="G111" s="18">
        <f>IF($D$5="tak",(SUMIFS(AL:AL,AH:AH,Obrotowka[[#This Row],[GL_Account]],AL:AL,"&gt;=0")-SUMIFS(V:V,S:S,Obrotowka[[#This Row],[GL_Account]])+SUMIFS(V:V,T:T,Obrotowka[[#This Row],[GL_Account]]))/1000,(SUMIFS(AL:AL,AH:AH,Obrotowka[[#This Row],[GL_Account]],AL:AL,"&gt;=0")-SUMIFS(V:V,S:S,Obrotowka[[#This Row],[GL_Account]])+SUMIFS(V:V,T:T,Obrotowka[[#This Row],[GL_Account]])))</f>
        <v>0</v>
      </c>
      <c r="H111" s="18">
        <f>IF($D$5="tak",SUMIFS(AL:AL,AH:AH,Obrotowka[[#This Row],[GL_Account]],AL:AL,"&lt;0")/1000,SUMIFS(AL:AL,AH:AH,Obrotowka[[#This Row],[GL_Account]],AL:AL,"&lt;0"))</f>
        <v>0</v>
      </c>
      <c r="I111" s="18">
        <f>SUM(Obrotowka[[#This Row],[BO]:[MA]])</f>
        <v>0</v>
      </c>
      <c r="J111">
        <f>IF(Obrotowka[[#This Row],[BZ]]=0,0,1)</f>
        <v>0</v>
      </c>
      <c r="K111" s="253"/>
      <c r="AF111" s="18"/>
      <c r="AU111" t="s">
        <v>8450</v>
      </c>
    </row>
    <row r="112" spans="2:47" x14ac:dyDescent="0.3">
      <c r="B112" t="s">
        <v>11647</v>
      </c>
      <c r="C112" t="s">
        <v>11648</v>
      </c>
      <c r="D112" t="s">
        <v>3505</v>
      </c>
      <c r="E112" t="s">
        <v>4326</v>
      </c>
      <c r="F112" s="18">
        <f>IF($D$5="tak",(SUMIFS(AE:AE,AA:AA,Obrotowka[[#This Row],[GL_Account]])-SUMIFS(U:U,S:S,Obrotowka[[#This Row],[GL_Account]])+SUMIFS(U:U,T:T,Obrotowka[[#This Row],[GL_Account]]))/1000,(SUMIFS(AE:AE,AA:AA,Obrotowka[[#This Row],[GL_Account]])-SUMIFS(U:U,S:S,Obrotowka[[#This Row],[GL_Account]])+SUMIFS(U:U,T:T,Obrotowka[[#This Row],[GL_Account]])))</f>
        <v>0</v>
      </c>
      <c r="G112" s="18">
        <f>IF($D$5="tak",(SUMIFS(AL:AL,AH:AH,Obrotowka[[#This Row],[GL_Account]],AL:AL,"&gt;=0")-SUMIFS(V:V,S:S,Obrotowka[[#This Row],[GL_Account]])+SUMIFS(V:V,T:T,Obrotowka[[#This Row],[GL_Account]]))/1000,(SUMIFS(AL:AL,AH:AH,Obrotowka[[#This Row],[GL_Account]],AL:AL,"&gt;=0")-SUMIFS(V:V,S:S,Obrotowka[[#This Row],[GL_Account]])+SUMIFS(V:V,T:T,Obrotowka[[#This Row],[GL_Account]])))</f>
        <v>0</v>
      </c>
      <c r="H112" s="18">
        <f>IF($D$5="tak",SUMIFS(AL:AL,AH:AH,Obrotowka[[#This Row],[GL_Account]],AL:AL,"&lt;0")/1000,SUMIFS(AL:AL,AH:AH,Obrotowka[[#This Row],[GL_Account]],AL:AL,"&lt;0"))</f>
        <v>0</v>
      </c>
      <c r="I112" s="18">
        <f>SUM(Obrotowka[[#This Row],[BO]:[MA]])</f>
        <v>0</v>
      </c>
      <c r="J112">
        <f>IF(Obrotowka[[#This Row],[BZ]]=0,0,1)</f>
        <v>0</v>
      </c>
      <c r="K112" s="253"/>
      <c r="AF112" s="18"/>
      <c r="AU112" t="s">
        <v>8450</v>
      </c>
    </row>
    <row r="113" spans="2:47" x14ac:dyDescent="0.3">
      <c r="B113" t="s">
        <v>11649</v>
      </c>
      <c r="C113" t="s">
        <v>11650</v>
      </c>
      <c r="D113" t="s">
        <v>3505</v>
      </c>
      <c r="E113" t="s">
        <v>4326</v>
      </c>
      <c r="F113" s="18">
        <f>IF($D$5="tak",(SUMIFS(AE:AE,AA:AA,Obrotowka[[#This Row],[GL_Account]])-SUMIFS(U:U,S:S,Obrotowka[[#This Row],[GL_Account]])+SUMIFS(U:U,T:T,Obrotowka[[#This Row],[GL_Account]]))/1000,(SUMIFS(AE:AE,AA:AA,Obrotowka[[#This Row],[GL_Account]])-SUMIFS(U:U,S:S,Obrotowka[[#This Row],[GL_Account]])+SUMIFS(U:U,T:T,Obrotowka[[#This Row],[GL_Account]])))</f>
        <v>0</v>
      </c>
      <c r="G113" s="18">
        <f>IF($D$5="tak",(SUMIFS(AL:AL,AH:AH,Obrotowka[[#This Row],[GL_Account]],AL:AL,"&gt;=0")-SUMIFS(V:V,S:S,Obrotowka[[#This Row],[GL_Account]])+SUMIFS(V:V,T:T,Obrotowka[[#This Row],[GL_Account]]))/1000,(SUMIFS(AL:AL,AH:AH,Obrotowka[[#This Row],[GL_Account]],AL:AL,"&gt;=0")-SUMIFS(V:V,S:S,Obrotowka[[#This Row],[GL_Account]])+SUMIFS(V:V,T:T,Obrotowka[[#This Row],[GL_Account]])))</f>
        <v>0</v>
      </c>
      <c r="H113" s="18">
        <f>IF($D$5="tak",SUMIFS(AL:AL,AH:AH,Obrotowka[[#This Row],[GL_Account]],AL:AL,"&lt;0")/1000,SUMIFS(AL:AL,AH:AH,Obrotowka[[#This Row],[GL_Account]],AL:AL,"&lt;0"))</f>
        <v>0</v>
      </c>
      <c r="I113" s="18">
        <f>SUM(Obrotowka[[#This Row],[BO]:[MA]])</f>
        <v>0</v>
      </c>
      <c r="J113">
        <f>IF(Obrotowka[[#This Row],[BZ]]=0,0,1)</f>
        <v>0</v>
      </c>
      <c r="K113" s="253"/>
      <c r="AF113" s="18"/>
      <c r="AU113" t="s">
        <v>8251</v>
      </c>
    </row>
    <row r="114" spans="2:47" x14ac:dyDescent="0.3">
      <c r="B114" t="s">
        <v>11651</v>
      </c>
      <c r="C114" t="s">
        <v>11652</v>
      </c>
      <c r="D114" t="s">
        <v>3505</v>
      </c>
      <c r="E114" t="s">
        <v>4326</v>
      </c>
      <c r="F114" s="18">
        <f>IF($D$5="tak",(SUMIFS(AE:AE,AA:AA,Obrotowka[[#This Row],[GL_Account]])-SUMIFS(U:U,S:S,Obrotowka[[#This Row],[GL_Account]])+SUMIFS(U:U,T:T,Obrotowka[[#This Row],[GL_Account]]))/1000,(SUMIFS(AE:AE,AA:AA,Obrotowka[[#This Row],[GL_Account]])-SUMIFS(U:U,S:S,Obrotowka[[#This Row],[GL_Account]])+SUMIFS(U:U,T:T,Obrotowka[[#This Row],[GL_Account]])))</f>
        <v>0</v>
      </c>
      <c r="G114" s="18">
        <f>IF($D$5="tak",(SUMIFS(AL:AL,AH:AH,Obrotowka[[#This Row],[GL_Account]],AL:AL,"&gt;=0")-SUMIFS(V:V,S:S,Obrotowka[[#This Row],[GL_Account]])+SUMIFS(V:V,T:T,Obrotowka[[#This Row],[GL_Account]]))/1000,(SUMIFS(AL:AL,AH:AH,Obrotowka[[#This Row],[GL_Account]],AL:AL,"&gt;=0")-SUMIFS(V:V,S:S,Obrotowka[[#This Row],[GL_Account]])+SUMIFS(V:V,T:T,Obrotowka[[#This Row],[GL_Account]])))</f>
        <v>0</v>
      </c>
      <c r="H114" s="18">
        <f>IF($D$5="tak",SUMIFS(AL:AL,AH:AH,Obrotowka[[#This Row],[GL_Account]],AL:AL,"&lt;0")/1000,SUMIFS(AL:AL,AH:AH,Obrotowka[[#This Row],[GL_Account]],AL:AL,"&lt;0"))</f>
        <v>0</v>
      </c>
      <c r="I114" s="18">
        <f>SUM(Obrotowka[[#This Row],[BO]:[MA]])</f>
        <v>0</v>
      </c>
      <c r="J114">
        <f>IF(Obrotowka[[#This Row],[BZ]]=0,0,1)</f>
        <v>0</v>
      </c>
      <c r="K114" s="253"/>
      <c r="AF114" s="18"/>
      <c r="AU114" t="s">
        <v>8246</v>
      </c>
    </row>
    <row r="115" spans="2:47" x14ac:dyDescent="0.3">
      <c r="B115" t="s">
        <v>11653</v>
      </c>
      <c r="C115" t="s">
        <v>11521</v>
      </c>
      <c r="D115" t="s">
        <v>3505</v>
      </c>
      <c r="E115" t="s">
        <v>4326</v>
      </c>
      <c r="F115" s="18">
        <f>IF($D$5="tak",(SUMIFS(AE:AE,AA:AA,Obrotowka[[#This Row],[GL_Account]])-SUMIFS(U:U,S:S,Obrotowka[[#This Row],[GL_Account]])+SUMIFS(U:U,T:T,Obrotowka[[#This Row],[GL_Account]]))/1000,(SUMIFS(AE:AE,AA:AA,Obrotowka[[#This Row],[GL_Account]])-SUMIFS(U:U,S:S,Obrotowka[[#This Row],[GL_Account]])+SUMIFS(U:U,T:T,Obrotowka[[#This Row],[GL_Account]])))</f>
        <v>0</v>
      </c>
      <c r="G115" s="18">
        <f>IF($D$5="tak",(SUMIFS(AL:AL,AH:AH,Obrotowka[[#This Row],[GL_Account]],AL:AL,"&gt;=0")-SUMIFS(V:V,S:S,Obrotowka[[#This Row],[GL_Account]])+SUMIFS(V:V,T:T,Obrotowka[[#This Row],[GL_Account]]))/1000,(SUMIFS(AL:AL,AH:AH,Obrotowka[[#This Row],[GL_Account]],AL:AL,"&gt;=0")-SUMIFS(V:V,S:S,Obrotowka[[#This Row],[GL_Account]])+SUMIFS(V:V,T:T,Obrotowka[[#This Row],[GL_Account]])))</f>
        <v>0</v>
      </c>
      <c r="H115" s="18">
        <f>IF($D$5="tak",SUMIFS(AL:AL,AH:AH,Obrotowka[[#This Row],[GL_Account]],AL:AL,"&lt;0")/1000,SUMIFS(AL:AL,AH:AH,Obrotowka[[#This Row],[GL_Account]],AL:AL,"&lt;0"))</f>
        <v>0</v>
      </c>
      <c r="I115" s="18">
        <f>SUM(Obrotowka[[#This Row],[BO]:[MA]])</f>
        <v>0</v>
      </c>
      <c r="J115">
        <f>IF(Obrotowka[[#This Row],[BZ]]=0,0,1)</f>
        <v>0</v>
      </c>
      <c r="K115" s="253"/>
      <c r="AF115" s="18"/>
      <c r="AU115" t="s">
        <v>8213</v>
      </c>
    </row>
    <row r="116" spans="2:47" x14ac:dyDescent="0.3">
      <c r="B116" t="s">
        <v>11654</v>
      </c>
      <c r="C116" t="s">
        <v>11523</v>
      </c>
      <c r="D116" t="s">
        <v>3505</v>
      </c>
      <c r="E116" t="s">
        <v>4326</v>
      </c>
      <c r="F116" s="18">
        <f>IF($D$5="tak",(SUMIFS(AE:AE,AA:AA,Obrotowka[[#This Row],[GL_Account]])-SUMIFS(U:U,S:S,Obrotowka[[#This Row],[GL_Account]])+SUMIFS(U:U,T:T,Obrotowka[[#This Row],[GL_Account]]))/1000,(SUMIFS(AE:AE,AA:AA,Obrotowka[[#This Row],[GL_Account]])-SUMIFS(U:U,S:S,Obrotowka[[#This Row],[GL_Account]])+SUMIFS(U:U,T:T,Obrotowka[[#This Row],[GL_Account]])))</f>
        <v>0</v>
      </c>
      <c r="G116" s="18">
        <f>IF($D$5="tak",(SUMIFS(AL:AL,AH:AH,Obrotowka[[#This Row],[GL_Account]],AL:AL,"&gt;=0")-SUMIFS(V:V,S:S,Obrotowka[[#This Row],[GL_Account]])+SUMIFS(V:V,T:T,Obrotowka[[#This Row],[GL_Account]]))/1000,(SUMIFS(AL:AL,AH:AH,Obrotowka[[#This Row],[GL_Account]],AL:AL,"&gt;=0")-SUMIFS(V:V,S:S,Obrotowka[[#This Row],[GL_Account]])+SUMIFS(V:V,T:T,Obrotowka[[#This Row],[GL_Account]])))</f>
        <v>0</v>
      </c>
      <c r="H116" s="18">
        <f>IF($D$5="tak",SUMIFS(AL:AL,AH:AH,Obrotowka[[#This Row],[GL_Account]],AL:AL,"&lt;0")/1000,SUMIFS(AL:AL,AH:AH,Obrotowka[[#This Row],[GL_Account]],AL:AL,"&lt;0"))</f>
        <v>0</v>
      </c>
      <c r="I116" s="18">
        <f>SUM(Obrotowka[[#This Row],[BO]:[MA]])</f>
        <v>0</v>
      </c>
      <c r="J116">
        <f>IF(Obrotowka[[#This Row],[BZ]]=0,0,1)</f>
        <v>0</v>
      </c>
      <c r="K116" s="253"/>
      <c r="AF116" s="18"/>
      <c r="AU116" t="s">
        <v>8213</v>
      </c>
    </row>
    <row r="117" spans="2:47" x14ac:dyDescent="0.3">
      <c r="B117" t="s">
        <v>11655</v>
      </c>
      <c r="C117" t="s">
        <v>11525</v>
      </c>
      <c r="D117" t="s">
        <v>3505</v>
      </c>
      <c r="E117" t="s">
        <v>4326</v>
      </c>
      <c r="F117" s="18">
        <f>IF($D$5="tak",(SUMIFS(AE:AE,AA:AA,Obrotowka[[#This Row],[GL_Account]])-SUMIFS(U:U,S:S,Obrotowka[[#This Row],[GL_Account]])+SUMIFS(U:U,T:T,Obrotowka[[#This Row],[GL_Account]]))/1000,(SUMIFS(AE:AE,AA:AA,Obrotowka[[#This Row],[GL_Account]])-SUMIFS(U:U,S:S,Obrotowka[[#This Row],[GL_Account]])+SUMIFS(U:U,T:T,Obrotowka[[#This Row],[GL_Account]])))</f>
        <v>0</v>
      </c>
      <c r="G117" s="18">
        <f>IF($D$5="tak",(SUMIFS(AL:AL,AH:AH,Obrotowka[[#This Row],[GL_Account]],AL:AL,"&gt;=0")-SUMIFS(V:V,S:S,Obrotowka[[#This Row],[GL_Account]])+SUMIFS(V:V,T:T,Obrotowka[[#This Row],[GL_Account]]))/1000,(SUMIFS(AL:AL,AH:AH,Obrotowka[[#This Row],[GL_Account]],AL:AL,"&gt;=0")-SUMIFS(V:V,S:S,Obrotowka[[#This Row],[GL_Account]])+SUMIFS(V:V,T:T,Obrotowka[[#This Row],[GL_Account]])))</f>
        <v>0</v>
      </c>
      <c r="H117" s="18">
        <f>IF($D$5="tak",SUMIFS(AL:AL,AH:AH,Obrotowka[[#This Row],[GL_Account]],AL:AL,"&lt;0")/1000,SUMIFS(AL:AL,AH:AH,Obrotowka[[#This Row],[GL_Account]],AL:AL,"&lt;0"))</f>
        <v>0</v>
      </c>
      <c r="I117" s="18">
        <f>SUM(Obrotowka[[#This Row],[BO]:[MA]])</f>
        <v>0</v>
      </c>
      <c r="J117">
        <f>IF(Obrotowka[[#This Row],[BZ]]=0,0,1)</f>
        <v>0</v>
      </c>
      <c r="K117" s="253"/>
      <c r="AF117" s="18"/>
      <c r="AU117" t="s">
        <v>8216</v>
      </c>
    </row>
    <row r="118" spans="2:47" x14ac:dyDescent="0.3">
      <c r="B118" t="s">
        <v>11656</v>
      </c>
      <c r="C118" t="s">
        <v>11527</v>
      </c>
      <c r="D118" t="s">
        <v>3505</v>
      </c>
      <c r="E118" t="s">
        <v>4326</v>
      </c>
      <c r="F118" s="18">
        <f>IF($D$5="tak",(SUMIFS(AE:AE,AA:AA,Obrotowka[[#This Row],[GL_Account]])-SUMIFS(U:U,S:S,Obrotowka[[#This Row],[GL_Account]])+SUMIFS(U:U,T:T,Obrotowka[[#This Row],[GL_Account]]))/1000,(SUMIFS(AE:AE,AA:AA,Obrotowka[[#This Row],[GL_Account]])-SUMIFS(U:U,S:S,Obrotowka[[#This Row],[GL_Account]])+SUMIFS(U:U,T:T,Obrotowka[[#This Row],[GL_Account]])))</f>
        <v>0</v>
      </c>
      <c r="G118" s="18">
        <f>IF($D$5="tak",(SUMIFS(AL:AL,AH:AH,Obrotowka[[#This Row],[GL_Account]],AL:AL,"&gt;=0")-SUMIFS(V:V,S:S,Obrotowka[[#This Row],[GL_Account]])+SUMIFS(V:V,T:T,Obrotowka[[#This Row],[GL_Account]]))/1000,(SUMIFS(AL:AL,AH:AH,Obrotowka[[#This Row],[GL_Account]],AL:AL,"&gt;=0")-SUMIFS(V:V,S:S,Obrotowka[[#This Row],[GL_Account]])+SUMIFS(V:V,T:T,Obrotowka[[#This Row],[GL_Account]])))</f>
        <v>0</v>
      </c>
      <c r="H118" s="18">
        <f>IF($D$5="tak",SUMIFS(AL:AL,AH:AH,Obrotowka[[#This Row],[GL_Account]],AL:AL,"&lt;0")/1000,SUMIFS(AL:AL,AH:AH,Obrotowka[[#This Row],[GL_Account]],AL:AL,"&lt;0"))</f>
        <v>0</v>
      </c>
      <c r="I118" s="18">
        <f>SUM(Obrotowka[[#This Row],[BO]:[MA]])</f>
        <v>0</v>
      </c>
      <c r="J118">
        <f>IF(Obrotowka[[#This Row],[BZ]]=0,0,1)</f>
        <v>0</v>
      </c>
      <c r="K118" s="253"/>
      <c r="AF118" s="18"/>
      <c r="AU118" t="s">
        <v>8216</v>
      </c>
    </row>
    <row r="119" spans="2:47" x14ac:dyDescent="0.3">
      <c r="B119" t="s">
        <v>11657</v>
      </c>
      <c r="C119" t="s">
        <v>11658</v>
      </c>
      <c r="D119" t="s">
        <v>3505</v>
      </c>
      <c r="E119" t="s">
        <v>3513</v>
      </c>
      <c r="F119" s="18">
        <f>IF($D$5="tak",(SUMIFS(AE:AE,AA:AA,Obrotowka[[#This Row],[GL_Account]])-SUMIFS(U:U,S:S,Obrotowka[[#This Row],[GL_Account]])+SUMIFS(U:U,T:T,Obrotowka[[#This Row],[GL_Account]]))/1000,(SUMIFS(AE:AE,AA:AA,Obrotowka[[#This Row],[GL_Account]])-SUMIFS(U:U,S:S,Obrotowka[[#This Row],[GL_Account]])+SUMIFS(U:U,T:T,Obrotowka[[#This Row],[GL_Account]])))</f>
        <v>0</v>
      </c>
      <c r="G119" s="18">
        <f>IF($D$5="tak",(SUMIFS(AL:AL,AH:AH,Obrotowka[[#This Row],[GL_Account]],AL:AL,"&gt;=0")-SUMIFS(V:V,S:S,Obrotowka[[#This Row],[GL_Account]])+SUMIFS(V:V,T:T,Obrotowka[[#This Row],[GL_Account]]))/1000,(SUMIFS(AL:AL,AH:AH,Obrotowka[[#This Row],[GL_Account]],AL:AL,"&gt;=0")-SUMIFS(V:V,S:S,Obrotowka[[#This Row],[GL_Account]])+SUMIFS(V:V,T:T,Obrotowka[[#This Row],[GL_Account]])))</f>
        <v>0</v>
      </c>
      <c r="H119" s="18">
        <f>IF($D$5="tak",SUMIFS(AL:AL,AH:AH,Obrotowka[[#This Row],[GL_Account]],AL:AL,"&lt;0")/1000,SUMIFS(AL:AL,AH:AH,Obrotowka[[#This Row],[GL_Account]],AL:AL,"&lt;0"))</f>
        <v>0</v>
      </c>
      <c r="I119" s="18">
        <f>SUM(Obrotowka[[#This Row],[BO]:[MA]])</f>
        <v>0</v>
      </c>
      <c r="J119">
        <f>IF(Obrotowka[[#This Row],[BZ]]=0,0,1)</f>
        <v>0</v>
      </c>
      <c r="K119" s="253"/>
      <c r="AF119" s="18"/>
      <c r="AU119" t="s">
        <v>8219</v>
      </c>
    </row>
    <row r="120" spans="2:47" x14ac:dyDescent="0.3">
      <c r="B120" t="s">
        <v>11659</v>
      </c>
      <c r="C120" t="s">
        <v>11660</v>
      </c>
      <c r="D120" t="s">
        <v>3505</v>
      </c>
      <c r="E120" t="s">
        <v>4326</v>
      </c>
      <c r="F120" s="18">
        <f>IF($D$5="tak",(SUMIFS(AE:AE,AA:AA,Obrotowka[[#This Row],[GL_Account]])-SUMIFS(U:U,S:S,Obrotowka[[#This Row],[GL_Account]])+SUMIFS(U:U,T:T,Obrotowka[[#This Row],[GL_Account]]))/1000,(SUMIFS(AE:AE,AA:AA,Obrotowka[[#This Row],[GL_Account]])-SUMIFS(U:U,S:S,Obrotowka[[#This Row],[GL_Account]])+SUMIFS(U:U,T:T,Obrotowka[[#This Row],[GL_Account]])))</f>
        <v>0</v>
      </c>
      <c r="G120" s="18">
        <f>IF($D$5="tak",(SUMIFS(AL:AL,AH:AH,Obrotowka[[#This Row],[GL_Account]],AL:AL,"&gt;=0")-SUMIFS(V:V,S:S,Obrotowka[[#This Row],[GL_Account]])+SUMIFS(V:V,T:T,Obrotowka[[#This Row],[GL_Account]]))/1000,(SUMIFS(AL:AL,AH:AH,Obrotowka[[#This Row],[GL_Account]],AL:AL,"&gt;=0")-SUMIFS(V:V,S:S,Obrotowka[[#This Row],[GL_Account]])+SUMIFS(V:V,T:T,Obrotowka[[#This Row],[GL_Account]])))</f>
        <v>0</v>
      </c>
      <c r="H120" s="18">
        <f>IF($D$5="tak",SUMIFS(AL:AL,AH:AH,Obrotowka[[#This Row],[GL_Account]],AL:AL,"&lt;0")/1000,SUMIFS(AL:AL,AH:AH,Obrotowka[[#This Row],[GL_Account]],AL:AL,"&lt;0"))</f>
        <v>0</v>
      </c>
      <c r="I120" s="18">
        <f>SUM(Obrotowka[[#This Row],[BO]:[MA]])</f>
        <v>0</v>
      </c>
      <c r="J120">
        <f>IF(Obrotowka[[#This Row],[BZ]]=0,0,1)</f>
        <v>0</v>
      </c>
      <c r="K120" s="253"/>
      <c r="AF120" s="18"/>
      <c r="AU120" t="s">
        <v>8219</v>
      </c>
    </row>
    <row r="121" spans="2:47" x14ac:dyDescent="0.3">
      <c r="B121" t="s">
        <v>11661</v>
      </c>
      <c r="C121" t="s">
        <v>11662</v>
      </c>
      <c r="D121" t="s">
        <v>3505</v>
      </c>
      <c r="E121" t="s">
        <v>3513</v>
      </c>
      <c r="F121" s="18">
        <f>IF($D$5="tak",(SUMIFS(AE:AE,AA:AA,Obrotowka[[#This Row],[GL_Account]])-SUMIFS(U:U,S:S,Obrotowka[[#This Row],[GL_Account]])+SUMIFS(U:U,T:T,Obrotowka[[#This Row],[GL_Account]]))/1000,(SUMIFS(AE:AE,AA:AA,Obrotowka[[#This Row],[GL_Account]])-SUMIFS(U:U,S:S,Obrotowka[[#This Row],[GL_Account]])+SUMIFS(U:U,T:T,Obrotowka[[#This Row],[GL_Account]])))</f>
        <v>0</v>
      </c>
      <c r="G121" s="18">
        <f>IF($D$5="tak",(SUMIFS(AL:AL,AH:AH,Obrotowka[[#This Row],[GL_Account]],AL:AL,"&gt;=0")-SUMIFS(V:V,S:S,Obrotowka[[#This Row],[GL_Account]])+SUMIFS(V:V,T:T,Obrotowka[[#This Row],[GL_Account]]))/1000,(SUMIFS(AL:AL,AH:AH,Obrotowka[[#This Row],[GL_Account]],AL:AL,"&gt;=0")-SUMIFS(V:V,S:S,Obrotowka[[#This Row],[GL_Account]])+SUMIFS(V:V,T:T,Obrotowka[[#This Row],[GL_Account]])))</f>
        <v>0</v>
      </c>
      <c r="H121" s="18">
        <f>IF($D$5="tak",SUMIFS(AL:AL,AH:AH,Obrotowka[[#This Row],[GL_Account]],AL:AL,"&lt;0")/1000,SUMIFS(AL:AL,AH:AH,Obrotowka[[#This Row],[GL_Account]],AL:AL,"&lt;0"))</f>
        <v>0</v>
      </c>
      <c r="I121" s="18">
        <f>SUM(Obrotowka[[#This Row],[BO]:[MA]])</f>
        <v>0</v>
      </c>
      <c r="J121">
        <f>IF(Obrotowka[[#This Row],[BZ]]=0,0,1)</f>
        <v>0</v>
      </c>
      <c r="K121" s="253"/>
      <c r="AF121" s="18"/>
      <c r="AU121" t="s">
        <v>8219</v>
      </c>
    </row>
    <row r="122" spans="2:47" x14ac:dyDescent="0.3">
      <c r="B122" t="s">
        <v>11663</v>
      </c>
      <c r="C122" t="s">
        <v>11664</v>
      </c>
      <c r="D122" t="s">
        <v>3505</v>
      </c>
      <c r="E122" t="s">
        <v>4326</v>
      </c>
      <c r="F122" s="18">
        <f>IF($D$5="tak",(SUMIFS(AE:AE,AA:AA,Obrotowka[[#This Row],[GL_Account]])-SUMIFS(U:U,S:S,Obrotowka[[#This Row],[GL_Account]])+SUMIFS(U:U,T:T,Obrotowka[[#This Row],[GL_Account]]))/1000,(SUMIFS(AE:AE,AA:AA,Obrotowka[[#This Row],[GL_Account]])-SUMIFS(U:U,S:S,Obrotowka[[#This Row],[GL_Account]])+SUMIFS(U:U,T:T,Obrotowka[[#This Row],[GL_Account]])))</f>
        <v>0</v>
      </c>
      <c r="G122" s="18">
        <f>IF($D$5="tak",(SUMIFS(AL:AL,AH:AH,Obrotowka[[#This Row],[GL_Account]],AL:AL,"&gt;=0")-SUMIFS(V:V,S:S,Obrotowka[[#This Row],[GL_Account]])+SUMIFS(V:V,T:T,Obrotowka[[#This Row],[GL_Account]]))/1000,(SUMIFS(AL:AL,AH:AH,Obrotowka[[#This Row],[GL_Account]],AL:AL,"&gt;=0")-SUMIFS(V:V,S:S,Obrotowka[[#This Row],[GL_Account]])+SUMIFS(V:V,T:T,Obrotowka[[#This Row],[GL_Account]])))</f>
        <v>0</v>
      </c>
      <c r="H122" s="18">
        <f>IF($D$5="tak",SUMIFS(AL:AL,AH:AH,Obrotowka[[#This Row],[GL_Account]],AL:AL,"&lt;0")/1000,SUMIFS(AL:AL,AH:AH,Obrotowka[[#This Row],[GL_Account]],AL:AL,"&lt;0"))</f>
        <v>0</v>
      </c>
      <c r="I122" s="18">
        <f>SUM(Obrotowka[[#This Row],[BO]:[MA]])</f>
        <v>0</v>
      </c>
      <c r="J122">
        <f>IF(Obrotowka[[#This Row],[BZ]]=0,0,1)</f>
        <v>0</v>
      </c>
      <c r="K122" s="253"/>
      <c r="AF122" s="18"/>
      <c r="AU122" t="s">
        <v>8219</v>
      </c>
    </row>
    <row r="123" spans="2:47" x14ac:dyDescent="0.3">
      <c r="B123" t="s">
        <v>11665</v>
      </c>
      <c r="C123" t="s">
        <v>11666</v>
      </c>
      <c r="D123" t="s">
        <v>3505</v>
      </c>
      <c r="E123" t="s">
        <v>4326</v>
      </c>
      <c r="F123" s="18">
        <f>IF($D$5="tak",(SUMIFS(AE:AE,AA:AA,Obrotowka[[#This Row],[GL_Account]])-SUMIFS(U:U,S:S,Obrotowka[[#This Row],[GL_Account]])+SUMIFS(U:U,T:T,Obrotowka[[#This Row],[GL_Account]]))/1000,(SUMIFS(AE:AE,AA:AA,Obrotowka[[#This Row],[GL_Account]])-SUMIFS(U:U,S:S,Obrotowka[[#This Row],[GL_Account]])+SUMIFS(U:U,T:T,Obrotowka[[#This Row],[GL_Account]])))</f>
        <v>0</v>
      </c>
      <c r="G123" s="18">
        <f>IF($D$5="tak",(SUMIFS(AL:AL,AH:AH,Obrotowka[[#This Row],[GL_Account]],AL:AL,"&gt;=0")-SUMIFS(V:V,S:S,Obrotowka[[#This Row],[GL_Account]])+SUMIFS(V:V,T:T,Obrotowka[[#This Row],[GL_Account]]))/1000,(SUMIFS(AL:AL,AH:AH,Obrotowka[[#This Row],[GL_Account]],AL:AL,"&gt;=0")-SUMIFS(V:V,S:S,Obrotowka[[#This Row],[GL_Account]])+SUMIFS(V:V,T:T,Obrotowka[[#This Row],[GL_Account]])))</f>
        <v>0</v>
      </c>
      <c r="H123" s="18">
        <f>IF($D$5="tak",SUMIFS(AL:AL,AH:AH,Obrotowka[[#This Row],[GL_Account]],AL:AL,"&lt;0")/1000,SUMIFS(AL:AL,AH:AH,Obrotowka[[#This Row],[GL_Account]],AL:AL,"&lt;0"))</f>
        <v>0</v>
      </c>
      <c r="I123" s="18">
        <f>SUM(Obrotowka[[#This Row],[BO]:[MA]])</f>
        <v>0</v>
      </c>
      <c r="J123">
        <f>IF(Obrotowka[[#This Row],[BZ]]=0,0,1)</f>
        <v>0</v>
      </c>
      <c r="K123" s="253"/>
      <c r="AF123" s="18"/>
      <c r="AU123" t="s">
        <v>8223</v>
      </c>
    </row>
    <row r="124" spans="2:47" x14ac:dyDescent="0.3">
      <c r="B124" t="s">
        <v>11667</v>
      </c>
      <c r="C124" t="s">
        <v>11668</v>
      </c>
      <c r="D124" t="s">
        <v>3505</v>
      </c>
      <c r="E124" t="s">
        <v>4326</v>
      </c>
      <c r="F124" s="18">
        <f>IF($D$5="tak",(SUMIFS(AE:AE,AA:AA,Obrotowka[[#This Row],[GL_Account]])-SUMIFS(U:U,S:S,Obrotowka[[#This Row],[GL_Account]])+SUMIFS(U:U,T:T,Obrotowka[[#This Row],[GL_Account]]))/1000,(SUMIFS(AE:AE,AA:AA,Obrotowka[[#This Row],[GL_Account]])-SUMIFS(U:U,S:S,Obrotowka[[#This Row],[GL_Account]])+SUMIFS(U:U,T:T,Obrotowka[[#This Row],[GL_Account]])))</f>
        <v>0</v>
      </c>
      <c r="G124" s="18">
        <f>IF($D$5="tak",(SUMIFS(AL:AL,AH:AH,Obrotowka[[#This Row],[GL_Account]],AL:AL,"&gt;=0")-SUMIFS(V:V,S:S,Obrotowka[[#This Row],[GL_Account]])+SUMIFS(V:V,T:T,Obrotowka[[#This Row],[GL_Account]]))/1000,(SUMIFS(AL:AL,AH:AH,Obrotowka[[#This Row],[GL_Account]],AL:AL,"&gt;=0")-SUMIFS(V:V,S:S,Obrotowka[[#This Row],[GL_Account]])+SUMIFS(V:V,T:T,Obrotowka[[#This Row],[GL_Account]])))</f>
        <v>0</v>
      </c>
      <c r="H124" s="18">
        <f>IF($D$5="tak",SUMIFS(AL:AL,AH:AH,Obrotowka[[#This Row],[GL_Account]],AL:AL,"&lt;0")/1000,SUMIFS(AL:AL,AH:AH,Obrotowka[[#This Row],[GL_Account]],AL:AL,"&lt;0"))</f>
        <v>0</v>
      </c>
      <c r="I124" s="18">
        <f>SUM(Obrotowka[[#This Row],[BO]:[MA]])</f>
        <v>0</v>
      </c>
      <c r="J124">
        <f>IF(Obrotowka[[#This Row],[BZ]]=0,0,1)</f>
        <v>0</v>
      </c>
      <c r="K124" s="253"/>
      <c r="AF124" s="18"/>
      <c r="AU124" t="s">
        <v>8223</v>
      </c>
    </row>
    <row r="125" spans="2:47" x14ac:dyDescent="0.3">
      <c r="B125" t="s">
        <v>11669</v>
      </c>
      <c r="C125" t="s">
        <v>11541</v>
      </c>
      <c r="D125" t="s">
        <v>3505</v>
      </c>
      <c r="E125" t="s">
        <v>4326</v>
      </c>
      <c r="F125" s="18">
        <f>IF($D$5="tak",(SUMIFS(AE:AE,AA:AA,Obrotowka[[#This Row],[GL_Account]])-SUMIFS(U:U,S:S,Obrotowka[[#This Row],[GL_Account]])+SUMIFS(U:U,T:T,Obrotowka[[#This Row],[GL_Account]]))/1000,(SUMIFS(AE:AE,AA:AA,Obrotowka[[#This Row],[GL_Account]])-SUMIFS(U:U,S:S,Obrotowka[[#This Row],[GL_Account]])+SUMIFS(U:U,T:T,Obrotowka[[#This Row],[GL_Account]])))</f>
        <v>0</v>
      </c>
      <c r="G125" s="18">
        <f>IF($D$5="tak",(SUMIFS(AL:AL,AH:AH,Obrotowka[[#This Row],[GL_Account]],AL:AL,"&gt;=0")-SUMIFS(V:V,S:S,Obrotowka[[#This Row],[GL_Account]])+SUMIFS(V:V,T:T,Obrotowka[[#This Row],[GL_Account]]))/1000,(SUMIFS(AL:AL,AH:AH,Obrotowka[[#This Row],[GL_Account]],AL:AL,"&gt;=0")-SUMIFS(V:V,S:S,Obrotowka[[#This Row],[GL_Account]])+SUMIFS(V:V,T:T,Obrotowka[[#This Row],[GL_Account]])))</f>
        <v>0</v>
      </c>
      <c r="H125" s="18">
        <f>IF($D$5="tak",SUMIFS(AL:AL,AH:AH,Obrotowka[[#This Row],[GL_Account]],AL:AL,"&lt;0")/1000,SUMIFS(AL:AL,AH:AH,Obrotowka[[#This Row],[GL_Account]],AL:AL,"&lt;0"))</f>
        <v>0</v>
      </c>
      <c r="I125" s="18">
        <f>SUM(Obrotowka[[#This Row],[BO]:[MA]])</f>
        <v>0</v>
      </c>
      <c r="J125">
        <f>IF(Obrotowka[[#This Row],[BZ]]=0,0,1)</f>
        <v>0</v>
      </c>
      <c r="K125" s="253"/>
      <c r="AF125" s="18"/>
      <c r="AU125" t="s">
        <v>8228</v>
      </c>
    </row>
    <row r="126" spans="2:47" x14ac:dyDescent="0.3">
      <c r="B126" t="s">
        <v>11670</v>
      </c>
      <c r="C126" t="s">
        <v>11543</v>
      </c>
      <c r="D126" t="s">
        <v>3505</v>
      </c>
      <c r="E126" t="s">
        <v>4326</v>
      </c>
      <c r="F126" s="18">
        <f>IF($D$5="tak",(SUMIFS(AE:AE,AA:AA,Obrotowka[[#This Row],[GL_Account]])-SUMIFS(U:U,S:S,Obrotowka[[#This Row],[GL_Account]])+SUMIFS(U:U,T:T,Obrotowka[[#This Row],[GL_Account]]))/1000,(SUMIFS(AE:AE,AA:AA,Obrotowka[[#This Row],[GL_Account]])-SUMIFS(U:U,S:S,Obrotowka[[#This Row],[GL_Account]])+SUMIFS(U:U,T:T,Obrotowka[[#This Row],[GL_Account]])))</f>
        <v>0</v>
      </c>
      <c r="G126" s="18">
        <f>IF($D$5="tak",(SUMIFS(AL:AL,AH:AH,Obrotowka[[#This Row],[GL_Account]],AL:AL,"&gt;=0")-SUMIFS(V:V,S:S,Obrotowka[[#This Row],[GL_Account]])+SUMIFS(V:V,T:T,Obrotowka[[#This Row],[GL_Account]]))/1000,(SUMIFS(AL:AL,AH:AH,Obrotowka[[#This Row],[GL_Account]],AL:AL,"&gt;=0")-SUMIFS(V:V,S:S,Obrotowka[[#This Row],[GL_Account]])+SUMIFS(V:V,T:T,Obrotowka[[#This Row],[GL_Account]])))</f>
        <v>0</v>
      </c>
      <c r="H126" s="18">
        <f>IF($D$5="tak",SUMIFS(AL:AL,AH:AH,Obrotowka[[#This Row],[GL_Account]],AL:AL,"&lt;0")/1000,SUMIFS(AL:AL,AH:AH,Obrotowka[[#This Row],[GL_Account]],AL:AL,"&lt;0"))</f>
        <v>0</v>
      </c>
      <c r="I126" s="18">
        <f>SUM(Obrotowka[[#This Row],[BO]:[MA]])</f>
        <v>0</v>
      </c>
      <c r="J126">
        <f>IF(Obrotowka[[#This Row],[BZ]]=0,0,1)</f>
        <v>0</v>
      </c>
      <c r="K126" s="253"/>
      <c r="AF126" s="18"/>
      <c r="AU126" t="s">
        <v>8228</v>
      </c>
    </row>
    <row r="127" spans="2:47" x14ac:dyDescent="0.3">
      <c r="B127" t="s">
        <v>11671</v>
      </c>
      <c r="C127" t="s">
        <v>11545</v>
      </c>
      <c r="D127" t="s">
        <v>3505</v>
      </c>
      <c r="E127" t="s">
        <v>4326</v>
      </c>
      <c r="F127" s="18">
        <f>IF($D$5="tak",(SUMIFS(AE:AE,AA:AA,Obrotowka[[#This Row],[GL_Account]])-SUMIFS(U:U,S:S,Obrotowka[[#This Row],[GL_Account]])+SUMIFS(U:U,T:T,Obrotowka[[#This Row],[GL_Account]]))/1000,(SUMIFS(AE:AE,AA:AA,Obrotowka[[#This Row],[GL_Account]])-SUMIFS(U:U,S:S,Obrotowka[[#This Row],[GL_Account]])+SUMIFS(U:U,T:T,Obrotowka[[#This Row],[GL_Account]])))</f>
        <v>0</v>
      </c>
      <c r="G127" s="18">
        <f>IF($D$5="tak",(SUMIFS(AL:AL,AH:AH,Obrotowka[[#This Row],[GL_Account]],AL:AL,"&gt;=0")-SUMIFS(V:V,S:S,Obrotowka[[#This Row],[GL_Account]])+SUMIFS(V:V,T:T,Obrotowka[[#This Row],[GL_Account]]))/1000,(SUMIFS(AL:AL,AH:AH,Obrotowka[[#This Row],[GL_Account]],AL:AL,"&gt;=0")-SUMIFS(V:V,S:S,Obrotowka[[#This Row],[GL_Account]])+SUMIFS(V:V,T:T,Obrotowka[[#This Row],[GL_Account]])))</f>
        <v>0</v>
      </c>
      <c r="H127" s="18">
        <f>IF($D$5="tak",SUMIFS(AL:AL,AH:AH,Obrotowka[[#This Row],[GL_Account]],AL:AL,"&lt;0")/1000,SUMIFS(AL:AL,AH:AH,Obrotowka[[#This Row],[GL_Account]],AL:AL,"&lt;0"))</f>
        <v>0</v>
      </c>
      <c r="I127" s="18">
        <f>SUM(Obrotowka[[#This Row],[BO]:[MA]])</f>
        <v>0</v>
      </c>
      <c r="J127">
        <f>IF(Obrotowka[[#This Row],[BZ]]=0,0,1)</f>
        <v>0</v>
      </c>
      <c r="K127" s="253"/>
      <c r="AF127" s="18"/>
      <c r="AU127" t="s">
        <v>8231</v>
      </c>
    </row>
    <row r="128" spans="2:47" x14ac:dyDescent="0.3">
      <c r="B128" t="s">
        <v>11672</v>
      </c>
      <c r="C128" t="s">
        <v>11547</v>
      </c>
      <c r="D128" t="s">
        <v>3505</v>
      </c>
      <c r="E128" t="s">
        <v>4326</v>
      </c>
      <c r="F128" s="18">
        <f>IF($D$5="tak",(SUMIFS(AE:AE,AA:AA,Obrotowka[[#This Row],[GL_Account]])-SUMIFS(U:U,S:S,Obrotowka[[#This Row],[GL_Account]])+SUMIFS(U:U,T:T,Obrotowka[[#This Row],[GL_Account]]))/1000,(SUMIFS(AE:AE,AA:AA,Obrotowka[[#This Row],[GL_Account]])-SUMIFS(U:U,S:S,Obrotowka[[#This Row],[GL_Account]])+SUMIFS(U:U,T:T,Obrotowka[[#This Row],[GL_Account]])))</f>
        <v>0</v>
      </c>
      <c r="G128" s="18">
        <f>IF($D$5="tak",(SUMIFS(AL:AL,AH:AH,Obrotowka[[#This Row],[GL_Account]],AL:AL,"&gt;=0")-SUMIFS(V:V,S:S,Obrotowka[[#This Row],[GL_Account]])+SUMIFS(V:V,T:T,Obrotowka[[#This Row],[GL_Account]]))/1000,(SUMIFS(AL:AL,AH:AH,Obrotowka[[#This Row],[GL_Account]],AL:AL,"&gt;=0")-SUMIFS(V:V,S:S,Obrotowka[[#This Row],[GL_Account]])+SUMIFS(V:V,T:T,Obrotowka[[#This Row],[GL_Account]])))</f>
        <v>0</v>
      </c>
      <c r="H128" s="18">
        <f>IF($D$5="tak",SUMIFS(AL:AL,AH:AH,Obrotowka[[#This Row],[GL_Account]],AL:AL,"&lt;0")/1000,SUMIFS(AL:AL,AH:AH,Obrotowka[[#This Row],[GL_Account]],AL:AL,"&lt;0"))</f>
        <v>0</v>
      </c>
      <c r="I128" s="18">
        <f>SUM(Obrotowka[[#This Row],[BO]:[MA]])</f>
        <v>0</v>
      </c>
      <c r="J128">
        <f>IF(Obrotowka[[#This Row],[BZ]]=0,0,1)</f>
        <v>0</v>
      </c>
      <c r="K128" s="253"/>
      <c r="AF128" s="18"/>
      <c r="AU128" t="s">
        <v>8231</v>
      </c>
    </row>
    <row r="129" spans="2:47" x14ac:dyDescent="0.3">
      <c r="B129" t="s">
        <v>11673</v>
      </c>
      <c r="C129" t="s">
        <v>11674</v>
      </c>
      <c r="D129" t="s">
        <v>3505</v>
      </c>
      <c r="E129" t="s">
        <v>3513</v>
      </c>
      <c r="F129" s="18">
        <f>IF($D$5="tak",(SUMIFS(AE:AE,AA:AA,Obrotowka[[#This Row],[GL_Account]])-SUMIFS(U:U,S:S,Obrotowka[[#This Row],[GL_Account]])+SUMIFS(U:U,T:T,Obrotowka[[#This Row],[GL_Account]]))/1000,(SUMIFS(AE:AE,AA:AA,Obrotowka[[#This Row],[GL_Account]])-SUMIFS(U:U,S:S,Obrotowka[[#This Row],[GL_Account]])+SUMIFS(U:U,T:T,Obrotowka[[#This Row],[GL_Account]])))</f>
        <v>0</v>
      </c>
      <c r="G129" s="18">
        <f>IF($D$5="tak",(SUMIFS(AL:AL,AH:AH,Obrotowka[[#This Row],[GL_Account]],AL:AL,"&gt;=0")-SUMIFS(V:V,S:S,Obrotowka[[#This Row],[GL_Account]])+SUMIFS(V:V,T:T,Obrotowka[[#This Row],[GL_Account]]))/1000,(SUMIFS(AL:AL,AH:AH,Obrotowka[[#This Row],[GL_Account]],AL:AL,"&gt;=0")-SUMIFS(V:V,S:S,Obrotowka[[#This Row],[GL_Account]])+SUMIFS(V:V,T:T,Obrotowka[[#This Row],[GL_Account]])))</f>
        <v>0</v>
      </c>
      <c r="H129" s="18">
        <f>IF($D$5="tak",SUMIFS(AL:AL,AH:AH,Obrotowka[[#This Row],[GL_Account]],AL:AL,"&lt;0")/1000,SUMIFS(AL:AL,AH:AH,Obrotowka[[#This Row],[GL_Account]],AL:AL,"&lt;0"))</f>
        <v>0</v>
      </c>
      <c r="I129" s="18">
        <f>SUM(Obrotowka[[#This Row],[BO]:[MA]])</f>
        <v>0</v>
      </c>
      <c r="J129">
        <f>IF(Obrotowka[[#This Row],[BZ]]=0,0,1)</f>
        <v>0</v>
      </c>
      <c r="K129" s="253"/>
      <c r="AF129" s="18"/>
      <c r="AU129" t="s">
        <v>8234</v>
      </c>
    </row>
    <row r="130" spans="2:47" x14ac:dyDescent="0.3">
      <c r="B130" t="s">
        <v>11675</v>
      </c>
      <c r="C130" t="s">
        <v>11676</v>
      </c>
      <c r="D130" t="s">
        <v>3505</v>
      </c>
      <c r="E130" t="s">
        <v>4326</v>
      </c>
      <c r="F130" s="18">
        <f>IF($D$5="tak",(SUMIFS(AE:AE,AA:AA,Obrotowka[[#This Row],[GL_Account]])-SUMIFS(U:U,S:S,Obrotowka[[#This Row],[GL_Account]])+SUMIFS(U:U,T:T,Obrotowka[[#This Row],[GL_Account]]))/1000,(SUMIFS(AE:AE,AA:AA,Obrotowka[[#This Row],[GL_Account]])-SUMIFS(U:U,S:S,Obrotowka[[#This Row],[GL_Account]])+SUMIFS(U:U,T:T,Obrotowka[[#This Row],[GL_Account]])))</f>
        <v>0</v>
      </c>
      <c r="G130" s="18">
        <f>IF($D$5="tak",(SUMIFS(AL:AL,AH:AH,Obrotowka[[#This Row],[GL_Account]],AL:AL,"&gt;=0")-SUMIFS(V:V,S:S,Obrotowka[[#This Row],[GL_Account]])+SUMIFS(V:V,T:T,Obrotowka[[#This Row],[GL_Account]]))/1000,(SUMIFS(AL:AL,AH:AH,Obrotowka[[#This Row],[GL_Account]],AL:AL,"&gt;=0")-SUMIFS(V:V,S:S,Obrotowka[[#This Row],[GL_Account]])+SUMIFS(V:V,T:T,Obrotowka[[#This Row],[GL_Account]])))</f>
        <v>0</v>
      </c>
      <c r="H130" s="18">
        <f>IF($D$5="tak",SUMIFS(AL:AL,AH:AH,Obrotowka[[#This Row],[GL_Account]],AL:AL,"&lt;0")/1000,SUMIFS(AL:AL,AH:AH,Obrotowka[[#This Row],[GL_Account]],AL:AL,"&lt;0"))</f>
        <v>0</v>
      </c>
      <c r="I130" s="18">
        <f>SUM(Obrotowka[[#This Row],[BO]:[MA]])</f>
        <v>0</v>
      </c>
      <c r="J130">
        <f>IF(Obrotowka[[#This Row],[BZ]]=0,0,1)</f>
        <v>0</v>
      </c>
      <c r="K130" s="253"/>
      <c r="AF130" s="18"/>
      <c r="AU130" t="s">
        <v>8234</v>
      </c>
    </row>
    <row r="131" spans="2:47" x14ac:dyDescent="0.3">
      <c r="B131" t="s">
        <v>11677</v>
      </c>
      <c r="C131" t="s">
        <v>11678</v>
      </c>
      <c r="D131" t="s">
        <v>3505</v>
      </c>
      <c r="E131" t="s">
        <v>3513</v>
      </c>
      <c r="F131" s="18">
        <f>IF($D$5="tak",(SUMIFS(AE:AE,AA:AA,Obrotowka[[#This Row],[GL_Account]])-SUMIFS(U:U,S:S,Obrotowka[[#This Row],[GL_Account]])+SUMIFS(U:U,T:T,Obrotowka[[#This Row],[GL_Account]]))/1000,(SUMIFS(AE:AE,AA:AA,Obrotowka[[#This Row],[GL_Account]])-SUMIFS(U:U,S:S,Obrotowka[[#This Row],[GL_Account]])+SUMIFS(U:U,T:T,Obrotowka[[#This Row],[GL_Account]])))</f>
        <v>0</v>
      </c>
      <c r="G131" s="18">
        <f>IF($D$5="tak",(SUMIFS(AL:AL,AH:AH,Obrotowka[[#This Row],[GL_Account]],AL:AL,"&gt;=0")-SUMIFS(V:V,S:S,Obrotowka[[#This Row],[GL_Account]])+SUMIFS(V:V,T:T,Obrotowka[[#This Row],[GL_Account]]))/1000,(SUMIFS(AL:AL,AH:AH,Obrotowka[[#This Row],[GL_Account]],AL:AL,"&gt;=0")-SUMIFS(V:V,S:S,Obrotowka[[#This Row],[GL_Account]])+SUMIFS(V:V,T:T,Obrotowka[[#This Row],[GL_Account]])))</f>
        <v>0</v>
      </c>
      <c r="H131" s="18">
        <f>IF($D$5="tak",SUMIFS(AL:AL,AH:AH,Obrotowka[[#This Row],[GL_Account]],AL:AL,"&lt;0")/1000,SUMIFS(AL:AL,AH:AH,Obrotowka[[#This Row],[GL_Account]],AL:AL,"&lt;0"))</f>
        <v>0</v>
      </c>
      <c r="I131" s="18">
        <f>SUM(Obrotowka[[#This Row],[BO]:[MA]])</f>
        <v>0</v>
      </c>
      <c r="J131">
        <f>IF(Obrotowka[[#This Row],[BZ]]=0,0,1)</f>
        <v>0</v>
      </c>
      <c r="K131" s="253"/>
      <c r="AF131" s="18"/>
      <c r="AU131" t="s">
        <v>8234</v>
      </c>
    </row>
    <row r="132" spans="2:47" x14ac:dyDescent="0.3">
      <c r="B132" t="s">
        <v>11679</v>
      </c>
      <c r="C132" t="s">
        <v>11680</v>
      </c>
      <c r="D132" t="s">
        <v>3505</v>
      </c>
      <c r="E132" t="s">
        <v>4326</v>
      </c>
      <c r="F132" s="18">
        <f>IF($D$5="tak",(SUMIFS(AE:AE,AA:AA,Obrotowka[[#This Row],[GL_Account]])-SUMIFS(U:U,S:S,Obrotowka[[#This Row],[GL_Account]])+SUMIFS(U:U,T:T,Obrotowka[[#This Row],[GL_Account]]))/1000,(SUMIFS(AE:AE,AA:AA,Obrotowka[[#This Row],[GL_Account]])-SUMIFS(U:U,S:S,Obrotowka[[#This Row],[GL_Account]])+SUMIFS(U:U,T:T,Obrotowka[[#This Row],[GL_Account]])))</f>
        <v>0</v>
      </c>
      <c r="G132" s="18">
        <f>IF($D$5="tak",(SUMIFS(AL:AL,AH:AH,Obrotowka[[#This Row],[GL_Account]],AL:AL,"&gt;=0")-SUMIFS(V:V,S:S,Obrotowka[[#This Row],[GL_Account]])+SUMIFS(V:V,T:T,Obrotowka[[#This Row],[GL_Account]]))/1000,(SUMIFS(AL:AL,AH:AH,Obrotowka[[#This Row],[GL_Account]],AL:AL,"&gt;=0")-SUMIFS(V:V,S:S,Obrotowka[[#This Row],[GL_Account]])+SUMIFS(V:V,T:T,Obrotowka[[#This Row],[GL_Account]])))</f>
        <v>0</v>
      </c>
      <c r="H132" s="18">
        <f>IF($D$5="tak",SUMIFS(AL:AL,AH:AH,Obrotowka[[#This Row],[GL_Account]],AL:AL,"&lt;0")/1000,SUMIFS(AL:AL,AH:AH,Obrotowka[[#This Row],[GL_Account]],AL:AL,"&lt;0"))</f>
        <v>0</v>
      </c>
      <c r="I132" s="18">
        <f>SUM(Obrotowka[[#This Row],[BO]:[MA]])</f>
        <v>0</v>
      </c>
      <c r="J132">
        <f>IF(Obrotowka[[#This Row],[BZ]]=0,0,1)</f>
        <v>0</v>
      </c>
      <c r="K132" s="253"/>
      <c r="AF132" s="18"/>
      <c r="AU132" t="s">
        <v>8234</v>
      </c>
    </row>
    <row r="133" spans="2:47" x14ac:dyDescent="0.3">
      <c r="B133" t="s">
        <v>11681</v>
      </c>
      <c r="C133" t="s">
        <v>11682</v>
      </c>
      <c r="D133" t="s">
        <v>3505</v>
      </c>
      <c r="E133" t="s">
        <v>4326</v>
      </c>
      <c r="F133" s="18">
        <f>IF($D$5="tak",(SUMIFS(AE:AE,AA:AA,Obrotowka[[#This Row],[GL_Account]])-SUMIFS(U:U,S:S,Obrotowka[[#This Row],[GL_Account]])+SUMIFS(U:U,T:T,Obrotowka[[#This Row],[GL_Account]]))/1000,(SUMIFS(AE:AE,AA:AA,Obrotowka[[#This Row],[GL_Account]])-SUMIFS(U:U,S:S,Obrotowka[[#This Row],[GL_Account]])+SUMIFS(U:U,T:T,Obrotowka[[#This Row],[GL_Account]])))</f>
        <v>0</v>
      </c>
      <c r="G133" s="18">
        <f>IF($D$5="tak",(SUMIFS(AL:AL,AH:AH,Obrotowka[[#This Row],[GL_Account]],AL:AL,"&gt;=0")-SUMIFS(V:V,S:S,Obrotowka[[#This Row],[GL_Account]])+SUMIFS(V:V,T:T,Obrotowka[[#This Row],[GL_Account]]))/1000,(SUMIFS(AL:AL,AH:AH,Obrotowka[[#This Row],[GL_Account]],AL:AL,"&gt;=0")-SUMIFS(V:V,S:S,Obrotowka[[#This Row],[GL_Account]])+SUMIFS(V:V,T:T,Obrotowka[[#This Row],[GL_Account]])))</f>
        <v>0</v>
      </c>
      <c r="H133" s="18">
        <f>IF($D$5="tak",SUMIFS(AL:AL,AH:AH,Obrotowka[[#This Row],[GL_Account]],AL:AL,"&lt;0")/1000,SUMIFS(AL:AL,AH:AH,Obrotowka[[#This Row],[GL_Account]],AL:AL,"&lt;0"))</f>
        <v>0</v>
      </c>
      <c r="I133" s="18">
        <f>SUM(Obrotowka[[#This Row],[BO]:[MA]])</f>
        <v>0</v>
      </c>
      <c r="J133">
        <f>IF(Obrotowka[[#This Row],[BZ]]=0,0,1)</f>
        <v>0</v>
      </c>
      <c r="K133" s="253"/>
      <c r="AF133" s="18"/>
      <c r="AU133" t="s">
        <v>8237</v>
      </c>
    </row>
    <row r="134" spans="2:47" x14ac:dyDescent="0.3">
      <c r="B134" t="s">
        <v>11683</v>
      </c>
      <c r="C134" t="s">
        <v>11684</v>
      </c>
      <c r="D134" t="s">
        <v>3505</v>
      </c>
      <c r="E134" t="s">
        <v>4326</v>
      </c>
      <c r="F134" s="18">
        <f>IF($D$5="tak",(SUMIFS(AE:AE,AA:AA,Obrotowka[[#This Row],[GL_Account]])-SUMIFS(U:U,S:S,Obrotowka[[#This Row],[GL_Account]])+SUMIFS(U:U,T:T,Obrotowka[[#This Row],[GL_Account]]))/1000,(SUMIFS(AE:AE,AA:AA,Obrotowka[[#This Row],[GL_Account]])-SUMIFS(U:U,S:S,Obrotowka[[#This Row],[GL_Account]])+SUMIFS(U:U,T:T,Obrotowka[[#This Row],[GL_Account]])))</f>
        <v>0</v>
      </c>
      <c r="G134" s="18">
        <f>IF($D$5="tak",(SUMIFS(AL:AL,AH:AH,Obrotowka[[#This Row],[GL_Account]],AL:AL,"&gt;=0")-SUMIFS(V:V,S:S,Obrotowka[[#This Row],[GL_Account]])+SUMIFS(V:V,T:T,Obrotowka[[#This Row],[GL_Account]]))/1000,(SUMIFS(AL:AL,AH:AH,Obrotowka[[#This Row],[GL_Account]],AL:AL,"&gt;=0")-SUMIFS(V:V,S:S,Obrotowka[[#This Row],[GL_Account]])+SUMIFS(V:V,T:T,Obrotowka[[#This Row],[GL_Account]])))</f>
        <v>0</v>
      </c>
      <c r="H134" s="18">
        <f>IF($D$5="tak",SUMIFS(AL:AL,AH:AH,Obrotowka[[#This Row],[GL_Account]],AL:AL,"&lt;0")/1000,SUMIFS(AL:AL,AH:AH,Obrotowka[[#This Row],[GL_Account]],AL:AL,"&lt;0"))</f>
        <v>0</v>
      </c>
      <c r="I134" s="18">
        <f>SUM(Obrotowka[[#This Row],[BO]:[MA]])</f>
        <v>0</v>
      </c>
      <c r="J134">
        <f>IF(Obrotowka[[#This Row],[BZ]]=0,0,1)</f>
        <v>0</v>
      </c>
      <c r="K134" s="253"/>
      <c r="AF134" s="18"/>
      <c r="AU134" t="s">
        <v>8237</v>
      </c>
    </row>
    <row r="135" spans="2:47" x14ac:dyDescent="0.3">
      <c r="B135" t="s">
        <v>11685</v>
      </c>
      <c r="C135" t="s">
        <v>8257</v>
      </c>
      <c r="D135" t="s">
        <v>3505</v>
      </c>
      <c r="E135" t="s">
        <v>4326</v>
      </c>
      <c r="F135" s="18">
        <f>IF($D$5="tak",(SUMIFS(AE:AE,AA:AA,Obrotowka[[#This Row],[GL_Account]])-SUMIFS(U:U,S:S,Obrotowka[[#This Row],[GL_Account]])+SUMIFS(U:U,T:T,Obrotowka[[#This Row],[GL_Account]]))/1000,(SUMIFS(AE:AE,AA:AA,Obrotowka[[#This Row],[GL_Account]])-SUMIFS(U:U,S:S,Obrotowka[[#This Row],[GL_Account]])+SUMIFS(U:U,T:T,Obrotowka[[#This Row],[GL_Account]])))</f>
        <v>0</v>
      </c>
      <c r="G135" s="18">
        <f>IF($D$5="tak",(SUMIFS(AL:AL,AH:AH,Obrotowka[[#This Row],[GL_Account]],AL:AL,"&gt;=0")-SUMIFS(V:V,S:S,Obrotowka[[#This Row],[GL_Account]])+SUMIFS(V:V,T:T,Obrotowka[[#This Row],[GL_Account]]))/1000,(SUMIFS(AL:AL,AH:AH,Obrotowka[[#This Row],[GL_Account]],AL:AL,"&gt;=0")-SUMIFS(V:V,S:S,Obrotowka[[#This Row],[GL_Account]])+SUMIFS(V:V,T:T,Obrotowka[[#This Row],[GL_Account]])))</f>
        <v>0</v>
      </c>
      <c r="H135" s="18">
        <f>IF($D$5="tak",SUMIFS(AL:AL,AH:AH,Obrotowka[[#This Row],[GL_Account]],AL:AL,"&lt;0")/1000,SUMIFS(AL:AL,AH:AH,Obrotowka[[#This Row],[GL_Account]],AL:AL,"&lt;0"))</f>
        <v>0</v>
      </c>
      <c r="I135" s="18">
        <f>SUM(Obrotowka[[#This Row],[BO]:[MA]])</f>
        <v>0</v>
      </c>
      <c r="J135">
        <f>IF(Obrotowka[[#This Row],[BZ]]=0,0,1)</f>
        <v>0</v>
      </c>
      <c r="K135" s="253"/>
      <c r="AF135" s="18"/>
      <c r="AU135" t="s">
        <v>8261</v>
      </c>
    </row>
    <row r="136" spans="2:47" x14ac:dyDescent="0.3">
      <c r="B136" t="s">
        <v>11686</v>
      </c>
      <c r="C136" t="s">
        <v>11687</v>
      </c>
      <c r="D136" t="s">
        <v>3505</v>
      </c>
      <c r="E136" t="s">
        <v>3513</v>
      </c>
      <c r="F136" s="18">
        <f>IF($D$5="tak",(SUMIFS(AE:AE,AA:AA,Obrotowka[[#This Row],[GL_Account]])-SUMIFS(U:U,S:S,Obrotowka[[#This Row],[GL_Account]])+SUMIFS(U:U,T:T,Obrotowka[[#This Row],[GL_Account]]))/1000,(SUMIFS(AE:AE,AA:AA,Obrotowka[[#This Row],[GL_Account]])-SUMIFS(U:U,S:S,Obrotowka[[#This Row],[GL_Account]])+SUMIFS(U:U,T:T,Obrotowka[[#This Row],[GL_Account]])))</f>
        <v>0</v>
      </c>
      <c r="G136" s="18">
        <f>IF($D$5="tak",(SUMIFS(AL:AL,AH:AH,Obrotowka[[#This Row],[GL_Account]],AL:AL,"&gt;=0")-SUMIFS(V:V,S:S,Obrotowka[[#This Row],[GL_Account]])+SUMIFS(V:V,T:T,Obrotowka[[#This Row],[GL_Account]]))/1000,(SUMIFS(AL:AL,AH:AH,Obrotowka[[#This Row],[GL_Account]],AL:AL,"&gt;=0")-SUMIFS(V:V,S:S,Obrotowka[[#This Row],[GL_Account]])+SUMIFS(V:V,T:T,Obrotowka[[#This Row],[GL_Account]])))</f>
        <v>0</v>
      </c>
      <c r="H136" s="18">
        <f>IF($D$5="tak",SUMIFS(AL:AL,AH:AH,Obrotowka[[#This Row],[GL_Account]],AL:AL,"&lt;0")/1000,SUMIFS(AL:AL,AH:AH,Obrotowka[[#This Row],[GL_Account]],AL:AL,"&lt;0"))</f>
        <v>0</v>
      </c>
      <c r="I136" s="18">
        <f>SUM(Obrotowka[[#This Row],[BO]:[MA]])</f>
        <v>0</v>
      </c>
      <c r="J136">
        <f>IF(Obrotowka[[#This Row],[BZ]]=0,0,1)</f>
        <v>0</v>
      </c>
      <c r="K136" s="253"/>
      <c r="AF136" s="18"/>
      <c r="AU136" t="s">
        <v>8155</v>
      </c>
    </row>
    <row r="137" spans="2:47" x14ac:dyDescent="0.3">
      <c r="B137" t="s">
        <v>11688</v>
      </c>
      <c r="C137" t="s">
        <v>11689</v>
      </c>
      <c r="D137" t="s">
        <v>3505</v>
      </c>
      <c r="E137" t="s">
        <v>4326</v>
      </c>
      <c r="F137" s="18">
        <f>IF($D$5="tak",(SUMIFS(AE:AE,AA:AA,Obrotowka[[#This Row],[GL_Account]])-SUMIFS(U:U,S:S,Obrotowka[[#This Row],[GL_Account]])+SUMIFS(U:U,T:T,Obrotowka[[#This Row],[GL_Account]]))/1000,(SUMIFS(AE:AE,AA:AA,Obrotowka[[#This Row],[GL_Account]])-SUMIFS(U:U,S:S,Obrotowka[[#This Row],[GL_Account]])+SUMIFS(U:U,T:T,Obrotowka[[#This Row],[GL_Account]])))</f>
        <v>0</v>
      </c>
      <c r="G137" s="18">
        <f>IF($D$5="tak",(SUMIFS(AL:AL,AH:AH,Obrotowka[[#This Row],[GL_Account]],AL:AL,"&gt;=0")-SUMIFS(V:V,S:S,Obrotowka[[#This Row],[GL_Account]])+SUMIFS(V:V,T:T,Obrotowka[[#This Row],[GL_Account]]))/1000,(SUMIFS(AL:AL,AH:AH,Obrotowka[[#This Row],[GL_Account]],AL:AL,"&gt;=0")-SUMIFS(V:V,S:S,Obrotowka[[#This Row],[GL_Account]])+SUMIFS(V:V,T:T,Obrotowka[[#This Row],[GL_Account]])))</f>
        <v>0</v>
      </c>
      <c r="H137" s="18">
        <f>IF($D$5="tak",SUMIFS(AL:AL,AH:AH,Obrotowka[[#This Row],[GL_Account]],AL:AL,"&lt;0")/1000,SUMIFS(AL:AL,AH:AH,Obrotowka[[#This Row],[GL_Account]],AL:AL,"&lt;0"))</f>
        <v>0</v>
      </c>
      <c r="I137" s="18">
        <f>SUM(Obrotowka[[#This Row],[BO]:[MA]])</f>
        <v>0</v>
      </c>
      <c r="J137">
        <f>IF(Obrotowka[[#This Row],[BZ]]=0,0,1)</f>
        <v>0</v>
      </c>
      <c r="K137" s="253"/>
      <c r="AF137" s="18"/>
      <c r="AU137" t="s">
        <v>8155</v>
      </c>
    </row>
    <row r="138" spans="2:47" x14ac:dyDescent="0.3">
      <c r="B138" t="s">
        <v>11690</v>
      </c>
      <c r="C138" t="s">
        <v>11691</v>
      </c>
      <c r="D138" t="s">
        <v>3505</v>
      </c>
      <c r="E138" t="s">
        <v>3513</v>
      </c>
      <c r="F138" s="18">
        <f>IF($D$5="tak",(SUMIFS(AE:AE,AA:AA,Obrotowka[[#This Row],[GL_Account]])-SUMIFS(U:U,S:S,Obrotowka[[#This Row],[GL_Account]])+SUMIFS(U:U,T:T,Obrotowka[[#This Row],[GL_Account]]))/1000,(SUMIFS(AE:AE,AA:AA,Obrotowka[[#This Row],[GL_Account]])-SUMIFS(U:U,S:S,Obrotowka[[#This Row],[GL_Account]])+SUMIFS(U:U,T:T,Obrotowka[[#This Row],[GL_Account]])))</f>
        <v>0</v>
      </c>
      <c r="G138" s="18">
        <f>IF($D$5="tak",(SUMIFS(AL:AL,AH:AH,Obrotowka[[#This Row],[GL_Account]],AL:AL,"&gt;=0")-SUMIFS(V:V,S:S,Obrotowka[[#This Row],[GL_Account]])+SUMIFS(V:V,T:T,Obrotowka[[#This Row],[GL_Account]]))/1000,(SUMIFS(AL:AL,AH:AH,Obrotowka[[#This Row],[GL_Account]],AL:AL,"&gt;=0")-SUMIFS(V:V,S:S,Obrotowka[[#This Row],[GL_Account]])+SUMIFS(V:V,T:T,Obrotowka[[#This Row],[GL_Account]])))</f>
        <v>0</v>
      </c>
      <c r="H138" s="18">
        <f>IF($D$5="tak",SUMIFS(AL:AL,AH:AH,Obrotowka[[#This Row],[GL_Account]],AL:AL,"&lt;0")/1000,SUMIFS(AL:AL,AH:AH,Obrotowka[[#This Row],[GL_Account]],AL:AL,"&lt;0"))</f>
        <v>0</v>
      </c>
      <c r="I138" s="18">
        <f>SUM(Obrotowka[[#This Row],[BO]:[MA]])</f>
        <v>0</v>
      </c>
      <c r="J138">
        <f>IF(Obrotowka[[#This Row],[BZ]]=0,0,1)</f>
        <v>0</v>
      </c>
      <c r="K138" s="253"/>
      <c r="AF138" s="18"/>
      <c r="AU138" t="s">
        <v>8155</v>
      </c>
    </row>
    <row r="139" spans="2:47" x14ac:dyDescent="0.3">
      <c r="B139" t="s">
        <v>11692</v>
      </c>
      <c r="C139" t="s">
        <v>11693</v>
      </c>
      <c r="D139" t="s">
        <v>3505</v>
      </c>
      <c r="E139" t="s">
        <v>4326</v>
      </c>
      <c r="F139" s="18">
        <f>IF($D$5="tak",(SUMIFS(AE:AE,AA:AA,Obrotowka[[#This Row],[GL_Account]])-SUMIFS(U:U,S:S,Obrotowka[[#This Row],[GL_Account]])+SUMIFS(U:U,T:T,Obrotowka[[#This Row],[GL_Account]]))/1000,(SUMIFS(AE:AE,AA:AA,Obrotowka[[#This Row],[GL_Account]])-SUMIFS(U:U,S:S,Obrotowka[[#This Row],[GL_Account]])+SUMIFS(U:U,T:T,Obrotowka[[#This Row],[GL_Account]])))</f>
        <v>0</v>
      </c>
      <c r="G139" s="18">
        <f>IF($D$5="tak",(SUMIFS(AL:AL,AH:AH,Obrotowka[[#This Row],[GL_Account]],AL:AL,"&gt;=0")-SUMIFS(V:V,S:S,Obrotowka[[#This Row],[GL_Account]])+SUMIFS(V:V,T:T,Obrotowka[[#This Row],[GL_Account]]))/1000,(SUMIFS(AL:AL,AH:AH,Obrotowka[[#This Row],[GL_Account]],AL:AL,"&gt;=0")-SUMIFS(V:V,S:S,Obrotowka[[#This Row],[GL_Account]])+SUMIFS(V:V,T:T,Obrotowka[[#This Row],[GL_Account]])))</f>
        <v>0</v>
      </c>
      <c r="H139" s="18">
        <f>IF($D$5="tak",SUMIFS(AL:AL,AH:AH,Obrotowka[[#This Row],[GL_Account]],AL:AL,"&lt;0")/1000,SUMIFS(AL:AL,AH:AH,Obrotowka[[#This Row],[GL_Account]],AL:AL,"&lt;0"))</f>
        <v>0</v>
      </c>
      <c r="I139" s="18">
        <f>SUM(Obrotowka[[#This Row],[BO]:[MA]])</f>
        <v>0</v>
      </c>
      <c r="J139">
        <f>IF(Obrotowka[[#This Row],[BZ]]=0,0,1)</f>
        <v>0</v>
      </c>
      <c r="K139" s="253"/>
      <c r="AF139" s="18"/>
      <c r="AU139" t="s">
        <v>8155</v>
      </c>
    </row>
    <row r="140" spans="2:47" x14ac:dyDescent="0.3">
      <c r="B140" t="s">
        <v>11694</v>
      </c>
      <c r="C140" t="s">
        <v>11695</v>
      </c>
      <c r="D140" t="s">
        <v>3505</v>
      </c>
      <c r="E140" t="s">
        <v>3513</v>
      </c>
      <c r="F140" s="18">
        <f>IF($D$5="tak",(SUMIFS(AE:AE,AA:AA,Obrotowka[[#This Row],[GL_Account]])-SUMIFS(U:U,S:S,Obrotowka[[#This Row],[GL_Account]])+SUMIFS(U:U,T:T,Obrotowka[[#This Row],[GL_Account]]))/1000,(SUMIFS(AE:AE,AA:AA,Obrotowka[[#This Row],[GL_Account]])-SUMIFS(U:U,S:S,Obrotowka[[#This Row],[GL_Account]])+SUMIFS(U:U,T:T,Obrotowka[[#This Row],[GL_Account]])))</f>
        <v>0</v>
      </c>
      <c r="G140" s="18">
        <f>IF($D$5="tak",(SUMIFS(AL:AL,AH:AH,Obrotowka[[#This Row],[GL_Account]],AL:AL,"&gt;=0")-SUMIFS(V:V,S:S,Obrotowka[[#This Row],[GL_Account]])+SUMIFS(V:V,T:T,Obrotowka[[#This Row],[GL_Account]]))/1000,(SUMIFS(AL:AL,AH:AH,Obrotowka[[#This Row],[GL_Account]],AL:AL,"&gt;=0")-SUMIFS(V:V,S:S,Obrotowka[[#This Row],[GL_Account]])+SUMIFS(V:V,T:T,Obrotowka[[#This Row],[GL_Account]])))</f>
        <v>0</v>
      </c>
      <c r="H140" s="18">
        <f>IF($D$5="tak",SUMIFS(AL:AL,AH:AH,Obrotowka[[#This Row],[GL_Account]],AL:AL,"&lt;0")/1000,SUMIFS(AL:AL,AH:AH,Obrotowka[[#This Row],[GL_Account]],AL:AL,"&lt;0"))</f>
        <v>0</v>
      </c>
      <c r="I140" s="18">
        <f>SUM(Obrotowka[[#This Row],[BO]:[MA]])</f>
        <v>0</v>
      </c>
      <c r="J140">
        <f>IF(Obrotowka[[#This Row],[BZ]]=0,0,1)</f>
        <v>0</v>
      </c>
      <c r="K140" s="253"/>
      <c r="AF140" s="18"/>
      <c r="AU140" t="s">
        <v>8160</v>
      </c>
    </row>
    <row r="141" spans="2:47" x14ac:dyDescent="0.3">
      <c r="B141" t="s">
        <v>11696</v>
      </c>
      <c r="C141" t="s">
        <v>11697</v>
      </c>
      <c r="D141" t="s">
        <v>3505</v>
      </c>
      <c r="E141" t="s">
        <v>4326</v>
      </c>
      <c r="F141" s="18">
        <f>IF($D$5="tak",(SUMIFS(AE:AE,AA:AA,Obrotowka[[#This Row],[GL_Account]])-SUMIFS(U:U,S:S,Obrotowka[[#This Row],[GL_Account]])+SUMIFS(U:U,T:T,Obrotowka[[#This Row],[GL_Account]]))/1000,(SUMIFS(AE:AE,AA:AA,Obrotowka[[#This Row],[GL_Account]])-SUMIFS(U:U,S:S,Obrotowka[[#This Row],[GL_Account]])+SUMIFS(U:U,T:T,Obrotowka[[#This Row],[GL_Account]])))</f>
        <v>0</v>
      </c>
      <c r="G141" s="18">
        <f>IF($D$5="tak",(SUMIFS(AL:AL,AH:AH,Obrotowka[[#This Row],[GL_Account]],AL:AL,"&gt;=0")-SUMIFS(V:V,S:S,Obrotowka[[#This Row],[GL_Account]])+SUMIFS(V:V,T:T,Obrotowka[[#This Row],[GL_Account]]))/1000,(SUMIFS(AL:AL,AH:AH,Obrotowka[[#This Row],[GL_Account]],AL:AL,"&gt;=0")-SUMIFS(V:V,S:S,Obrotowka[[#This Row],[GL_Account]])+SUMIFS(V:V,T:T,Obrotowka[[#This Row],[GL_Account]])))</f>
        <v>0</v>
      </c>
      <c r="H141" s="18">
        <f>IF($D$5="tak",SUMIFS(AL:AL,AH:AH,Obrotowka[[#This Row],[GL_Account]],AL:AL,"&lt;0")/1000,SUMIFS(AL:AL,AH:AH,Obrotowka[[#This Row],[GL_Account]],AL:AL,"&lt;0"))</f>
        <v>0</v>
      </c>
      <c r="I141" s="18">
        <f>SUM(Obrotowka[[#This Row],[BO]:[MA]])</f>
        <v>0</v>
      </c>
      <c r="J141">
        <f>IF(Obrotowka[[#This Row],[BZ]]=0,0,1)</f>
        <v>0</v>
      </c>
      <c r="K141" s="253"/>
      <c r="AF141" s="18"/>
      <c r="AU141" t="s">
        <v>8160</v>
      </c>
    </row>
    <row r="142" spans="2:47" x14ac:dyDescent="0.3">
      <c r="B142" t="s">
        <v>11698</v>
      </c>
      <c r="C142" t="s">
        <v>11699</v>
      </c>
      <c r="D142" t="s">
        <v>3505</v>
      </c>
      <c r="E142" t="s">
        <v>3513</v>
      </c>
      <c r="F142" s="18">
        <f>IF($D$5="tak",(SUMIFS(AE:AE,AA:AA,Obrotowka[[#This Row],[GL_Account]])-SUMIFS(U:U,S:S,Obrotowka[[#This Row],[GL_Account]])+SUMIFS(U:U,T:T,Obrotowka[[#This Row],[GL_Account]]))/1000,(SUMIFS(AE:AE,AA:AA,Obrotowka[[#This Row],[GL_Account]])-SUMIFS(U:U,S:S,Obrotowka[[#This Row],[GL_Account]])+SUMIFS(U:U,T:T,Obrotowka[[#This Row],[GL_Account]])))</f>
        <v>0</v>
      </c>
      <c r="G142" s="18">
        <f>IF($D$5="tak",(SUMIFS(AL:AL,AH:AH,Obrotowka[[#This Row],[GL_Account]],AL:AL,"&gt;=0")-SUMIFS(V:V,S:S,Obrotowka[[#This Row],[GL_Account]])+SUMIFS(V:V,T:T,Obrotowka[[#This Row],[GL_Account]]))/1000,(SUMIFS(AL:AL,AH:AH,Obrotowka[[#This Row],[GL_Account]],AL:AL,"&gt;=0")-SUMIFS(V:V,S:S,Obrotowka[[#This Row],[GL_Account]])+SUMIFS(V:V,T:T,Obrotowka[[#This Row],[GL_Account]])))</f>
        <v>0</v>
      </c>
      <c r="H142" s="18">
        <f>IF($D$5="tak",SUMIFS(AL:AL,AH:AH,Obrotowka[[#This Row],[GL_Account]],AL:AL,"&lt;0")/1000,SUMIFS(AL:AL,AH:AH,Obrotowka[[#This Row],[GL_Account]],AL:AL,"&lt;0"))</f>
        <v>0</v>
      </c>
      <c r="I142" s="18">
        <f>SUM(Obrotowka[[#This Row],[BO]:[MA]])</f>
        <v>0</v>
      </c>
      <c r="J142">
        <f>IF(Obrotowka[[#This Row],[BZ]]=0,0,1)</f>
        <v>0</v>
      </c>
      <c r="K142" s="253"/>
      <c r="AF142" s="18"/>
      <c r="AU142" t="s">
        <v>8160</v>
      </c>
    </row>
    <row r="143" spans="2:47" x14ac:dyDescent="0.3">
      <c r="B143" t="s">
        <v>11700</v>
      </c>
      <c r="C143" t="s">
        <v>11701</v>
      </c>
      <c r="D143" t="s">
        <v>3505</v>
      </c>
      <c r="E143" t="s">
        <v>4326</v>
      </c>
      <c r="F143" s="18">
        <f>IF($D$5="tak",(SUMIFS(AE:AE,AA:AA,Obrotowka[[#This Row],[GL_Account]])-SUMIFS(U:U,S:S,Obrotowka[[#This Row],[GL_Account]])+SUMIFS(U:U,T:T,Obrotowka[[#This Row],[GL_Account]]))/1000,(SUMIFS(AE:AE,AA:AA,Obrotowka[[#This Row],[GL_Account]])-SUMIFS(U:U,S:S,Obrotowka[[#This Row],[GL_Account]])+SUMIFS(U:U,T:T,Obrotowka[[#This Row],[GL_Account]])))</f>
        <v>0</v>
      </c>
      <c r="G143" s="18">
        <f>IF($D$5="tak",(SUMIFS(AL:AL,AH:AH,Obrotowka[[#This Row],[GL_Account]],AL:AL,"&gt;=0")-SUMIFS(V:V,S:S,Obrotowka[[#This Row],[GL_Account]])+SUMIFS(V:V,T:T,Obrotowka[[#This Row],[GL_Account]]))/1000,(SUMIFS(AL:AL,AH:AH,Obrotowka[[#This Row],[GL_Account]],AL:AL,"&gt;=0")-SUMIFS(V:V,S:S,Obrotowka[[#This Row],[GL_Account]])+SUMIFS(V:V,T:T,Obrotowka[[#This Row],[GL_Account]])))</f>
        <v>0</v>
      </c>
      <c r="H143" s="18">
        <f>IF($D$5="tak",SUMIFS(AL:AL,AH:AH,Obrotowka[[#This Row],[GL_Account]],AL:AL,"&lt;0")/1000,SUMIFS(AL:AL,AH:AH,Obrotowka[[#This Row],[GL_Account]],AL:AL,"&lt;0"))</f>
        <v>0</v>
      </c>
      <c r="I143" s="18">
        <f>SUM(Obrotowka[[#This Row],[BO]:[MA]])</f>
        <v>0</v>
      </c>
      <c r="J143">
        <f>IF(Obrotowka[[#This Row],[BZ]]=0,0,1)</f>
        <v>0</v>
      </c>
      <c r="K143" s="253"/>
      <c r="AF143" s="18"/>
      <c r="AU143" t="s">
        <v>8160</v>
      </c>
    </row>
    <row r="144" spans="2:47" x14ac:dyDescent="0.3">
      <c r="B144" t="s">
        <v>11702</v>
      </c>
      <c r="C144" t="s">
        <v>11703</v>
      </c>
      <c r="D144" t="s">
        <v>3505</v>
      </c>
      <c r="E144" t="s">
        <v>3513</v>
      </c>
      <c r="F144" s="18">
        <f>IF($D$5="tak",(SUMIFS(AE:AE,AA:AA,Obrotowka[[#This Row],[GL_Account]])-SUMIFS(U:U,S:S,Obrotowka[[#This Row],[GL_Account]])+SUMIFS(U:U,T:T,Obrotowka[[#This Row],[GL_Account]]))/1000,(SUMIFS(AE:AE,AA:AA,Obrotowka[[#This Row],[GL_Account]])-SUMIFS(U:U,S:S,Obrotowka[[#This Row],[GL_Account]])+SUMIFS(U:U,T:T,Obrotowka[[#This Row],[GL_Account]])))</f>
        <v>0</v>
      </c>
      <c r="G144" s="18">
        <f>IF($D$5="tak",(SUMIFS(AL:AL,AH:AH,Obrotowka[[#This Row],[GL_Account]],AL:AL,"&gt;=0")-SUMIFS(V:V,S:S,Obrotowka[[#This Row],[GL_Account]])+SUMIFS(V:V,T:T,Obrotowka[[#This Row],[GL_Account]]))/1000,(SUMIFS(AL:AL,AH:AH,Obrotowka[[#This Row],[GL_Account]],AL:AL,"&gt;=0")-SUMIFS(V:V,S:S,Obrotowka[[#This Row],[GL_Account]])+SUMIFS(V:V,T:T,Obrotowka[[#This Row],[GL_Account]])))</f>
        <v>0</v>
      </c>
      <c r="H144" s="18">
        <f>IF($D$5="tak",SUMIFS(AL:AL,AH:AH,Obrotowka[[#This Row],[GL_Account]],AL:AL,"&lt;0")/1000,SUMIFS(AL:AL,AH:AH,Obrotowka[[#This Row],[GL_Account]],AL:AL,"&lt;0"))</f>
        <v>0</v>
      </c>
      <c r="I144" s="18">
        <f>SUM(Obrotowka[[#This Row],[BO]:[MA]])</f>
        <v>0</v>
      </c>
      <c r="J144">
        <f>IF(Obrotowka[[#This Row],[BZ]]=0,0,1)</f>
        <v>0</v>
      </c>
      <c r="K144" s="253"/>
      <c r="AF144" s="18"/>
      <c r="AU144" t="s">
        <v>8186</v>
      </c>
    </row>
    <row r="145" spans="2:47" x14ac:dyDescent="0.3">
      <c r="B145" t="s">
        <v>11704</v>
      </c>
      <c r="C145" t="s">
        <v>11705</v>
      </c>
      <c r="D145" t="s">
        <v>3505</v>
      </c>
      <c r="E145" t="s">
        <v>4326</v>
      </c>
      <c r="F145" s="18">
        <f>IF($D$5="tak",(SUMIFS(AE:AE,AA:AA,Obrotowka[[#This Row],[GL_Account]])-SUMIFS(U:U,S:S,Obrotowka[[#This Row],[GL_Account]])+SUMIFS(U:U,T:T,Obrotowka[[#This Row],[GL_Account]]))/1000,(SUMIFS(AE:AE,AA:AA,Obrotowka[[#This Row],[GL_Account]])-SUMIFS(U:U,S:S,Obrotowka[[#This Row],[GL_Account]])+SUMIFS(U:U,T:T,Obrotowka[[#This Row],[GL_Account]])))</f>
        <v>0</v>
      </c>
      <c r="G145" s="18">
        <f>IF($D$5="tak",(SUMIFS(AL:AL,AH:AH,Obrotowka[[#This Row],[GL_Account]],AL:AL,"&gt;=0")-SUMIFS(V:V,S:S,Obrotowka[[#This Row],[GL_Account]])+SUMIFS(V:V,T:T,Obrotowka[[#This Row],[GL_Account]]))/1000,(SUMIFS(AL:AL,AH:AH,Obrotowka[[#This Row],[GL_Account]],AL:AL,"&gt;=0")-SUMIFS(V:V,S:S,Obrotowka[[#This Row],[GL_Account]])+SUMIFS(V:V,T:T,Obrotowka[[#This Row],[GL_Account]])))</f>
        <v>0</v>
      </c>
      <c r="H145" s="18">
        <f>IF($D$5="tak",SUMIFS(AL:AL,AH:AH,Obrotowka[[#This Row],[GL_Account]],AL:AL,"&lt;0")/1000,SUMIFS(AL:AL,AH:AH,Obrotowka[[#This Row],[GL_Account]],AL:AL,"&lt;0"))</f>
        <v>0</v>
      </c>
      <c r="I145" s="18">
        <f>SUM(Obrotowka[[#This Row],[BO]:[MA]])</f>
        <v>0</v>
      </c>
      <c r="J145">
        <f>IF(Obrotowka[[#This Row],[BZ]]=0,0,1)</f>
        <v>0</v>
      </c>
      <c r="K145" s="253"/>
      <c r="AF145" s="18"/>
      <c r="AU145" t="s">
        <v>8186</v>
      </c>
    </row>
    <row r="146" spans="2:47" x14ac:dyDescent="0.3">
      <c r="B146" t="s">
        <v>11706</v>
      </c>
      <c r="C146" t="s">
        <v>11707</v>
      </c>
      <c r="D146" t="s">
        <v>3505</v>
      </c>
      <c r="E146" t="s">
        <v>3513</v>
      </c>
      <c r="F146" s="18">
        <f>IF($D$5="tak",(SUMIFS(AE:AE,AA:AA,Obrotowka[[#This Row],[GL_Account]])-SUMIFS(U:U,S:S,Obrotowka[[#This Row],[GL_Account]])+SUMIFS(U:U,T:T,Obrotowka[[#This Row],[GL_Account]]))/1000,(SUMIFS(AE:AE,AA:AA,Obrotowka[[#This Row],[GL_Account]])-SUMIFS(U:U,S:S,Obrotowka[[#This Row],[GL_Account]])+SUMIFS(U:U,T:T,Obrotowka[[#This Row],[GL_Account]])))</f>
        <v>0</v>
      </c>
      <c r="G146" s="18">
        <f>IF($D$5="tak",(SUMIFS(AL:AL,AH:AH,Obrotowka[[#This Row],[GL_Account]],AL:AL,"&gt;=0")-SUMIFS(V:V,S:S,Obrotowka[[#This Row],[GL_Account]])+SUMIFS(V:V,T:T,Obrotowka[[#This Row],[GL_Account]]))/1000,(SUMIFS(AL:AL,AH:AH,Obrotowka[[#This Row],[GL_Account]],AL:AL,"&gt;=0")-SUMIFS(V:V,S:S,Obrotowka[[#This Row],[GL_Account]])+SUMIFS(V:V,T:T,Obrotowka[[#This Row],[GL_Account]])))</f>
        <v>0</v>
      </c>
      <c r="H146" s="18">
        <f>IF($D$5="tak",SUMIFS(AL:AL,AH:AH,Obrotowka[[#This Row],[GL_Account]],AL:AL,"&lt;0")/1000,SUMIFS(AL:AL,AH:AH,Obrotowka[[#This Row],[GL_Account]],AL:AL,"&lt;0"))</f>
        <v>0</v>
      </c>
      <c r="I146" s="18">
        <f>SUM(Obrotowka[[#This Row],[BO]:[MA]])</f>
        <v>0</v>
      </c>
      <c r="J146">
        <f>IF(Obrotowka[[#This Row],[BZ]]=0,0,1)</f>
        <v>0</v>
      </c>
      <c r="K146" s="253"/>
      <c r="AF146" s="18"/>
      <c r="AU146" t="s">
        <v>8186</v>
      </c>
    </row>
    <row r="147" spans="2:47" x14ac:dyDescent="0.3">
      <c r="B147" t="s">
        <v>11708</v>
      </c>
      <c r="C147" t="s">
        <v>11709</v>
      </c>
      <c r="D147" t="s">
        <v>3505</v>
      </c>
      <c r="E147" t="s">
        <v>4326</v>
      </c>
      <c r="F147" s="18">
        <f>IF($D$5="tak",(SUMIFS(AE:AE,AA:AA,Obrotowka[[#This Row],[GL_Account]])-SUMIFS(U:U,S:S,Obrotowka[[#This Row],[GL_Account]])+SUMIFS(U:U,T:T,Obrotowka[[#This Row],[GL_Account]]))/1000,(SUMIFS(AE:AE,AA:AA,Obrotowka[[#This Row],[GL_Account]])-SUMIFS(U:U,S:S,Obrotowka[[#This Row],[GL_Account]])+SUMIFS(U:U,T:T,Obrotowka[[#This Row],[GL_Account]])))</f>
        <v>0</v>
      </c>
      <c r="G147" s="18">
        <f>IF($D$5="tak",(SUMIFS(AL:AL,AH:AH,Obrotowka[[#This Row],[GL_Account]],AL:AL,"&gt;=0")-SUMIFS(V:V,S:S,Obrotowka[[#This Row],[GL_Account]])+SUMIFS(V:V,T:T,Obrotowka[[#This Row],[GL_Account]]))/1000,(SUMIFS(AL:AL,AH:AH,Obrotowka[[#This Row],[GL_Account]],AL:AL,"&gt;=0")-SUMIFS(V:V,S:S,Obrotowka[[#This Row],[GL_Account]])+SUMIFS(V:V,T:T,Obrotowka[[#This Row],[GL_Account]])))</f>
        <v>0</v>
      </c>
      <c r="H147" s="18">
        <f>IF($D$5="tak",SUMIFS(AL:AL,AH:AH,Obrotowka[[#This Row],[GL_Account]],AL:AL,"&lt;0")/1000,SUMIFS(AL:AL,AH:AH,Obrotowka[[#This Row],[GL_Account]],AL:AL,"&lt;0"))</f>
        <v>0</v>
      </c>
      <c r="I147" s="18">
        <f>SUM(Obrotowka[[#This Row],[BO]:[MA]])</f>
        <v>0</v>
      </c>
      <c r="J147">
        <f>IF(Obrotowka[[#This Row],[BZ]]=0,0,1)</f>
        <v>0</v>
      </c>
      <c r="K147" s="253"/>
      <c r="AF147" s="18"/>
      <c r="AU147" t="s">
        <v>8186</v>
      </c>
    </row>
    <row r="148" spans="2:47" x14ac:dyDescent="0.3">
      <c r="B148" t="s">
        <v>11710</v>
      </c>
      <c r="C148" t="s">
        <v>11711</v>
      </c>
      <c r="D148" t="s">
        <v>3505</v>
      </c>
      <c r="E148" t="s">
        <v>3513</v>
      </c>
      <c r="F148" s="18">
        <f>IF($D$5="tak",(SUMIFS(AE:AE,AA:AA,Obrotowka[[#This Row],[GL_Account]])-SUMIFS(U:U,S:S,Obrotowka[[#This Row],[GL_Account]])+SUMIFS(U:U,T:T,Obrotowka[[#This Row],[GL_Account]]))/1000,(SUMIFS(AE:AE,AA:AA,Obrotowka[[#This Row],[GL_Account]])-SUMIFS(U:U,S:S,Obrotowka[[#This Row],[GL_Account]])+SUMIFS(U:U,T:T,Obrotowka[[#This Row],[GL_Account]])))</f>
        <v>0</v>
      </c>
      <c r="G148" s="18">
        <f>IF($D$5="tak",(SUMIFS(AL:AL,AH:AH,Obrotowka[[#This Row],[GL_Account]],AL:AL,"&gt;=0")-SUMIFS(V:V,S:S,Obrotowka[[#This Row],[GL_Account]])+SUMIFS(V:V,T:T,Obrotowka[[#This Row],[GL_Account]]))/1000,(SUMIFS(AL:AL,AH:AH,Obrotowka[[#This Row],[GL_Account]],AL:AL,"&gt;=0")-SUMIFS(V:V,S:S,Obrotowka[[#This Row],[GL_Account]])+SUMIFS(V:V,T:T,Obrotowka[[#This Row],[GL_Account]])))</f>
        <v>0</v>
      </c>
      <c r="H148" s="18">
        <f>IF($D$5="tak",SUMIFS(AL:AL,AH:AH,Obrotowka[[#This Row],[GL_Account]],AL:AL,"&lt;0")/1000,SUMIFS(AL:AL,AH:AH,Obrotowka[[#This Row],[GL_Account]],AL:AL,"&lt;0"))</f>
        <v>0</v>
      </c>
      <c r="I148" s="18">
        <f>SUM(Obrotowka[[#This Row],[BO]:[MA]])</f>
        <v>0</v>
      </c>
      <c r="J148">
        <f>IF(Obrotowka[[#This Row],[BZ]]=0,0,1)</f>
        <v>0</v>
      </c>
      <c r="K148" s="253"/>
      <c r="AF148" s="18"/>
      <c r="AU148" t="s">
        <v>8189</v>
      </c>
    </row>
    <row r="149" spans="2:47" x14ac:dyDescent="0.3">
      <c r="B149" t="s">
        <v>11712</v>
      </c>
      <c r="C149" t="s">
        <v>11713</v>
      </c>
      <c r="D149" t="s">
        <v>3505</v>
      </c>
      <c r="E149" t="s">
        <v>4326</v>
      </c>
      <c r="F149" s="18">
        <f>IF($D$5="tak",(SUMIFS(AE:AE,AA:AA,Obrotowka[[#This Row],[GL_Account]])-SUMIFS(U:U,S:S,Obrotowka[[#This Row],[GL_Account]])+SUMIFS(U:U,T:T,Obrotowka[[#This Row],[GL_Account]]))/1000,(SUMIFS(AE:AE,AA:AA,Obrotowka[[#This Row],[GL_Account]])-SUMIFS(U:U,S:S,Obrotowka[[#This Row],[GL_Account]])+SUMIFS(U:U,T:T,Obrotowka[[#This Row],[GL_Account]])))</f>
        <v>0</v>
      </c>
      <c r="G149" s="18">
        <f>IF($D$5="tak",(SUMIFS(AL:AL,AH:AH,Obrotowka[[#This Row],[GL_Account]],AL:AL,"&gt;=0")-SUMIFS(V:V,S:S,Obrotowka[[#This Row],[GL_Account]])+SUMIFS(V:V,T:T,Obrotowka[[#This Row],[GL_Account]]))/1000,(SUMIFS(AL:AL,AH:AH,Obrotowka[[#This Row],[GL_Account]],AL:AL,"&gt;=0")-SUMIFS(V:V,S:S,Obrotowka[[#This Row],[GL_Account]])+SUMIFS(V:V,T:T,Obrotowka[[#This Row],[GL_Account]])))</f>
        <v>0</v>
      </c>
      <c r="H149" s="18">
        <f>IF($D$5="tak",SUMIFS(AL:AL,AH:AH,Obrotowka[[#This Row],[GL_Account]],AL:AL,"&lt;0")/1000,SUMIFS(AL:AL,AH:AH,Obrotowka[[#This Row],[GL_Account]],AL:AL,"&lt;0"))</f>
        <v>0</v>
      </c>
      <c r="I149" s="18">
        <f>SUM(Obrotowka[[#This Row],[BO]:[MA]])</f>
        <v>0</v>
      </c>
      <c r="J149">
        <f>IF(Obrotowka[[#This Row],[BZ]]=0,0,1)</f>
        <v>0</v>
      </c>
      <c r="K149" s="253"/>
      <c r="AF149" s="18"/>
      <c r="AU149" t="s">
        <v>8189</v>
      </c>
    </row>
    <row r="150" spans="2:47" x14ac:dyDescent="0.3">
      <c r="B150" t="s">
        <v>11714</v>
      </c>
      <c r="C150" t="s">
        <v>11715</v>
      </c>
      <c r="D150" t="s">
        <v>3505</v>
      </c>
      <c r="E150" t="s">
        <v>3513</v>
      </c>
      <c r="F150" s="18">
        <f>IF($D$5="tak",(SUMIFS(AE:AE,AA:AA,Obrotowka[[#This Row],[GL_Account]])-SUMIFS(U:U,S:S,Obrotowka[[#This Row],[GL_Account]])+SUMIFS(U:U,T:T,Obrotowka[[#This Row],[GL_Account]]))/1000,(SUMIFS(AE:AE,AA:AA,Obrotowka[[#This Row],[GL_Account]])-SUMIFS(U:U,S:S,Obrotowka[[#This Row],[GL_Account]])+SUMIFS(U:U,T:T,Obrotowka[[#This Row],[GL_Account]])))</f>
        <v>0</v>
      </c>
      <c r="G150" s="18">
        <f>IF($D$5="tak",(SUMIFS(AL:AL,AH:AH,Obrotowka[[#This Row],[GL_Account]],AL:AL,"&gt;=0")-SUMIFS(V:V,S:S,Obrotowka[[#This Row],[GL_Account]])+SUMIFS(V:V,T:T,Obrotowka[[#This Row],[GL_Account]]))/1000,(SUMIFS(AL:AL,AH:AH,Obrotowka[[#This Row],[GL_Account]],AL:AL,"&gt;=0")-SUMIFS(V:V,S:S,Obrotowka[[#This Row],[GL_Account]])+SUMIFS(V:V,T:T,Obrotowka[[#This Row],[GL_Account]])))</f>
        <v>0</v>
      </c>
      <c r="H150" s="18">
        <f>IF($D$5="tak",SUMIFS(AL:AL,AH:AH,Obrotowka[[#This Row],[GL_Account]],AL:AL,"&lt;0")/1000,SUMIFS(AL:AL,AH:AH,Obrotowka[[#This Row],[GL_Account]],AL:AL,"&lt;0"))</f>
        <v>0</v>
      </c>
      <c r="I150" s="18">
        <f>SUM(Obrotowka[[#This Row],[BO]:[MA]])</f>
        <v>0</v>
      </c>
      <c r="J150">
        <f>IF(Obrotowka[[#This Row],[BZ]]=0,0,1)</f>
        <v>0</v>
      </c>
      <c r="K150" s="253"/>
      <c r="AF150" s="18"/>
      <c r="AU150" t="s">
        <v>8189</v>
      </c>
    </row>
    <row r="151" spans="2:47" x14ac:dyDescent="0.3">
      <c r="B151" t="s">
        <v>11716</v>
      </c>
      <c r="C151" t="s">
        <v>11717</v>
      </c>
      <c r="D151" t="s">
        <v>3505</v>
      </c>
      <c r="E151" t="s">
        <v>4326</v>
      </c>
      <c r="F151" s="18">
        <f>IF($D$5="tak",(SUMIFS(AE:AE,AA:AA,Obrotowka[[#This Row],[GL_Account]])-SUMIFS(U:U,S:S,Obrotowka[[#This Row],[GL_Account]])+SUMIFS(U:U,T:T,Obrotowka[[#This Row],[GL_Account]]))/1000,(SUMIFS(AE:AE,AA:AA,Obrotowka[[#This Row],[GL_Account]])-SUMIFS(U:U,S:S,Obrotowka[[#This Row],[GL_Account]])+SUMIFS(U:U,T:T,Obrotowka[[#This Row],[GL_Account]])))</f>
        <v>0</v>
      </c>
      <c r="G151" s="18">
        <f>IF($D$5="tak",(SUMIFS(AL:AL,AH:AH,Obrotowka[[#This Row],[GL_Account]],AL:AL,"&gt;=0")-SUMIFS(V:V,S:S,Obrotowka[[#This Row],[GL_Account]])+SUMIFS(V:V,T:T,Obrotowka[[#This Row],[GL_Account]]))/1000,(SUMIFS(AL:AL,AH:AH,Obrotowka[[#This Row],[GL_Account]],AL:AL,"&gt;=0")-SUMIFS(V:V,S:S,Obrotowka[[#This Row],[GL_Account]])+SUMIFS(V:V,T:T,Obrotowka[[#This Row],[GL_Account]])))</f>
        <v>0</v>
      </c>
      <c r="H151" s="18">
        <f>IF($D$5="tak",SUMIFS(AL:AL,AH:AH,Obrotowka[[#This Row],[GL_Account]],AL:AL,"&lt;0")/1000,SUMIFS(AL:AL,AH:AH,Obrotowka[[#This Row],[GL_Account]],AL:AL,"&lt;0"))</f>
        <v>0</v>
      </c>
      <c r="I151" s="18">
        <f>SUM(Obrotowka[[#This Row],[BO]:[MA]])</f>
        <v>0</v>
      </c>
      <c r="J151">
        <f>IF(Obrotowka[[#This Row],[BZ]]=0,0,1)</f>
        <v>0</v>
      </c>
      <c r="K151" s="253"/>
      <c r="AF151" s="18"/>
      <c r="AU151" t="s">
        <v>8189</v>
      </c>
    </row>
    <row r="152" spans="2:47" x14ac:dyDescent="0.3">
      <c r="B152" t="s">
        <v>11718</v>
      </c>
      <c r="C152" t="s">
        <v>11719</v>
      </c>
      <c r="D152" t="s">
        <v>3505</v>
      </c>
      <c r="E152" t="s">
        <v>3509</v>
      </c>
      <c r="F152" s="18">
        <f>IF($D$5="tak",(SUMIFS(AE:AE,AA:AA,Obrotowka[[#This Row],[GL_Account]])-SUMIFS(U:U,S:S,Obrotowka[[#This Row],[GL_Account]])+SUMIFS(U:U,T:T,Obrotowka[[#This Row],[GL_Account]]))/1000,(SUMIFS(AE:AE,AA:AA,Obrotowka[[#This Row],[GL_Account]])-SUMIFS(U:U,S:S,Obrotowka[[#This Row],[GL_Account]])+SUMIFS(U:U,T:T,Obrotowka[[#This Row],[GL_Account]])))</f>
        <v>0</v>
      </c>
      <c r="G152" s="18">
        <f>IF($D$5="tak",(SUMIFS(AL:AL,AH:AH,Obrotowka[[#This Row],[GL_Account]],AL:AL,"&gt;=0")-SUMIFS(V:V,S:S,Obrotowka[[#This Row],[GL_Account]])+SUMIFS(V:V,T:T,Obrotowka[[#This Row],[GL_Account]]))/1000,(SUMIFS(AL:AL,AH:AH,Obrotowka[[#This Row],[GL_Account]],AL:AL,"&gt;=0")-SUMIFS(V:V,S:S,Obrotowka[[#This Row],[GL_Account]])+SUMIFS(V:V,T:T,Obrotowka[[#This Row],[GL_Account]])))</f>
        <v>0</v>
      </c>
      <c r="H152" s="18">
        <f>IF($D$5="tak",SUMIFS(AL:AL,AH:AH,Obrotowka[[#This Row],[GL_Account]],AL:AL,"&lt;0")/1000,SUMIFS(AL:AL,AH:AH,Obrotowka[[#This Row],[GL_Account]],AL:AL,"&lt;0"))</f>
        <v>0</v>
      </c>
      <c r="I152" s="18">
        <f>SUM(Obrotowka[[#This Row],[BO]:[MA]])</f>
        <v>0</v>
      </c>
      <c r="J152">
        <f>IF(Obrotowka[[#This Row],[BZ]]=0,0,1)</f>
        <v>0</v>
      </c>
      <c r="K152" s="253"/>
      <c r="AF152" s="18"/>
      <c r="AU152" t="s">
        <v>8426</v>
      </c>
    </row>
    <row r="153" spans="2:47" x14ac:dyDescent="0.3">
      <c r="B153" t="s">
        <v>11720</v>
      </c>
      <c r="C153" t="s">
        <v>11721</v>
      </c>
      <c r="D153" t="s">
        <v>3505</v>
      </c>
      <c r="E153" t="s">
        <v>3509</v>
      </c>
      <c r="F153" s="18">
        <f>IF($D$5="tak",(SUMIFS(AE:AE,AA:AA,Obrotowka[[#This Row],[GL_Account]])-SUMIFS(U:U,S:S,Obrotowka[[#This Row],[GL_Account]])+SUMIFS(U:U,T:T,Obrotowka[[#This Row],[GL_Account]]))/1000,(SUMIFS(AE:AE,AA:AA,Obrotowka[[#This Row],[GL_Account]])-SUMIFS(U:U,S:S,Obrotowka[[#This Row],[GL_Account]])+SUMIFS(U:U,T:T,Obrotowka[[#This Row],[GL_Account]])))</f>
        <v>0</v>
      </c>
      <c r="G153" s="18">
        <f>IF($D$5="tak",(SUMIFS(AL:AL,AH:AH,Obrotowka[[#This Row],[GL_Account]],AL:AL,"&gt;=0")-SUMIFS(V:V,S:S,Obrotowka[[#This Row],[GL_Account]])+SUMIFS(V:V,T:T,Obrotowka[[#This Row],[GL_Account]]))/1000,(SUMIFS(AL:AL,AH:AH,Obrotowka[[#This Row],[GL_Account]],AL:AL,"&gt;=0")-SUMIFS(V:V,S:S,Obrotowka[[#This Row],[GL_Account]])+SUMIFS(V:V,T:T,Obrotowka[[#This Row],[GL_Account]])))</f>
        <v>0</v>
      </c>
      <c r="H153" s="18">
        <f>IF($D$5="tak",SUMIFS(AL:AL,AH:AH,Obrotowka[[#This Row],[GL_Account]],AL:AL,"&lt;0")/1000,SUMIFS(AL:AL,AH:AH,Obrotowka[[#This Row],[GL_Account]],AL:AL,"&lt;0"))</f>
        <v>0</v>
      </c>
      <c r="I153" s="18">
        <f>SUM(Obrotowka[[#This Row],[BO]:[MA]])</f>
        <v>0</v>
      </c>
      <c r="J153">
        <f>IF(Obrotowka[[#This Row],[BZ]]=0,0,1)</f>
        <v>0</v>
      </c>
      <c r="K153" s="253"/>
      <c r="AF153" s="18"/>
      <c r="AU153" t="s">
        <v>8426</v>
      </c>
    </row>
    <row r="154" spans="2:47" x14ac:dyDescent="0.3">
      <c r="B154" t="s">
        <v>11722</v>
      </c>
      <c r="C154" t="s">
        <v>11723</v>
      </c>
      <c r="D154" t="s">
        <v>3505</v>
      </c>
      <c r="E154" t="s">
        <v>3509</v>
      </c>
      <c r="F154" s="18">
        <f>IF($D$5="tak",(SUMIFS(AE:AE,AA:AA,Obrotowka[[#This Row],[GL_Account]])-SUMIFS(U:U,S:S,Obrotowka[[#This Row],[GL_Account]])+SUMIFS(U:U,T:T,Obrotowka[[#This Row],[GL_Account]]))/1000,(SUMIFS(AE:AE,AA:AA,Obrotowka[[#This Row],[GL_Account]])-SUMIFS(U:U,S:S,Obrotowka[[#This Row],[GL_Account]])+SUMIFS(U:U,T:T,Obrotowka[[#This Row],[GL_Account]])))</f>
        <v>0</v>
      </c>
      <c r="G154" s="18">
        <f>IF($D$5="tak",(SUMIFS(AL:AL,AH:AH,Obrotowka[[#This Row],[GL_Account]],AL:AL,"&gt;=0")-SUMIFS(V:V,S:S,Obrotowka[[#This Row],[GL_Account]])+SUMIFS(V:V,T:T,Obrotowka[[#This Row],[GL_Account]]))/1000,(SUMIFS(AL:AL,AH:AH,Obrotowka[[#This Row],[GL_Account]],AL:AL,"&gt;=0")-SUMIFS(V:V,S:S,Obrotowka[[#This Row],[GL_Account]])+SUMIFS(V:V,T:T,Obrotowka[[#This Row],[GL_Account]])))</f>
        <v>0</v>
      </c>
      <c r="H154" s="18">
        <f>IF($D$5="tak",SUMIFS(AL:AL,AH:AH,Obrotowka[[#This Row],[GL_Account]],AL:AL,"&lt;0")/1000,SUMIFS(AL:AL,AH:AH,Obrotowka[[#This Row],[GL_Account]],AL:AL,"&lt;0"))</f>
        <v>0</v>
      </c>
      <c r="I154" s="18">
        <f>SUM(Obrotowka[[#This Row],[BO]:[MA]])</f>
        <v>0</v>
      </c>
      <c r="J154">
        <f>IF(Obrotowka[[#This Row],[BZ]]=0,0,1)</f>
        <v>0</v>
      </c>
      <c r="K154" s="253"/>
      <c r="AF154" s="18"/>
      <c r="AU154" t="s">
        <v>8430</v>
      </c>
    </row>
    <row r="155" spans="2:47" x14ac:dyDescent="0.3">
      <c r="B155" t="s">
        <v>11724</v>
      </c>
      <c r="C155" t="s">
        <v>11725</v>
      </c>
      <c r="D155" t="s">
        <v>3505</v>
      </c>
      <c r="E155" t="s">
        <v>3509</v>
      </c>
      <c r="F155" s="18">
        <f>IF($D$5="tak",(SUMIFS(AE:AE,AA:AA,Obrotowka[[#This Row],[GL_Account]])-SUMIFS(U:U,S:S,Obrotowka[[#This Row],[GL_Account]])+SUMIFS(U:U,T:T,Obrotowka[[#This Row],[GL_Account]]))/1000,(SUMIFS(AE:AE,AA:AA,Obrotowka[[#This Row],[GL_Account]])-SUMIFS(U:U,S:S,Obrotowka[[#This Row],[GL_Account]])+SUMIFS(U:U,T:T,Obrotowka[[#This Row],[GL_Account]])))</f>
        <v>0</v>
      </c>
      <c r="G155" s="18">
        <f>IF($D$5="tak",(SUMIFS(AL:AL,AH:AH,Obrotowka[[#This Row],[GL_Account]],AL:AL,"&gt;=0")-SUMIFS(V:V,S:S,Obrotowka[[#This Row],[GL_Account]])+SUMIFS(V:V,T:T,Obrotowka[[#This Row],[GL_Account]]))/1000,(SUMIFS(AL:AL,AH:AH,Obrotowka[[#This Row],[GL_Account]],AL:AL,"&gt;=0")-SUMIFS(V:V,S:S,Obrotowka[[#This Row],[GL_Account]])+SUMIFS(V:V,T:T,Obrotowka[[#This Row],[GL_Account]])))</f>
        <v>0</v>
      </c>
      <c r="H155" s="18">
        <f>IF($D$5="tak",SUMIFS(AL:AL,AH:AH,Obrotowka[[#This Row],[GL_Account]],AL:AL,"&lt;0")/1000,SUMIFS(AL:AL,AH:AH,Obrotowka[[#This Row],[GL_Account]],AL:AL,"&lt;0"))</f>
        <v>0</v>
      </c>
      <c r="I155" s="18">
        <f>SUM(Obrotowka[[#This Row],[BO]:[MA]])</f>
        <v>0</v>
      </c>
      <c r="J155">
        <f>IF(Obrotowka[[#This Row],[BZ]]=0,0,1)</f>
        <v>0</v>
      </c>
      <c r="K155" s="253"/>
      <c r="AF155" s="18"/>
      <c r="AU155" t="s">
        <v>8430</v>
      </c>
    </row>
    <row r="156" spans="2:47" x14ac:dyDescent="0.3">
      <c r="B156" t="s">
        <v>11726</v>
      </c>
      <c r="C156" t="s">
        <v>11727</v>
      </c>
      <c r="D156" t="s">
        <v>3505</v>
      </c>
      <c r="E156" t="s">
        <v>3509</v>
      </c>
      <c r="F156" s="18">
        <f>IF($D$5="tak",(SUMIFS(AE:AE,AA:AA,Obrotowka[[#This Row],[GL_Account]])-SUMIFS(U:U,S:S,Obrotowka[[#This Row],[GL_Account]])+SUMIFS(U:U,T:T,Obrotowka[[#This Row],[GL_Account]]))/1000,(SUMIFS(AE:AE,AA:AA,Obrotowka[[#This Row],[GL_Account]])-SUMIFS(U:U,S:S,Obrotowka[[#This Row],[GL_Account]])+SUMIFS(U:U,T:T,Obrotowka[[#This Row],[GL_Account]])))</f>
        <v>0</v>
      </c>
      <c r="G156" s="18">
        <f>IF($D$5="tak",(SUMIFS(AL:AL,AH:AH,Obrotowka[[#This Row],[GL_Account]],AL:AL,"&gt;=0")-SUMIFS(V:V,S:S,Obrotowka[[#This Row],[GL_Account]])+SUMIFS(V:V,T:T,Obrotowka[[#This Row],[GL_Account]]))/1000,(SUMIFS(AL:AL,AH:AH,Obrotowka[[#This Row],[GL_Account]],AL:AL,"&gt;=0")-SUMIFS(V:V,S:S,Obrotowka[[#This Row],[GL_Account]])+SUMIFS(V:V,T:T,Obrotowka[[#This Row],[GL_Account]])))</f>
        <v>0</v>
      </c>
      <c r="H156" s="18">
        <f>IF($D$5="tak",SUMIFS(AL:AL,AH:AH,Obrotowka[[#This Row],[GL_Account]],AL:AL,"&lt;0")/1000,SUMIFS(AL:AL,AH:AH,Obrotowka[[#This Row],[GL_Account]],AL:AL,"&lt;0"))</f>
        <v>0</v>
      </c>
      <c r="I156" s="18">
        <f>SUM(Obrotowka[[#This Row],[BO]:[MA]])</f>
        <v>0</v>
      </c>
      <c r="J156">
        <f>IF(Obrotowka[[#This Row],[BZ]]=0,0,1)</f>
        <v>0</v>
      </c>
      <c r="K156" s="253"/>
      <c r="AF156" s="18"/>
      <c r="AU156" t="s">
        <v>8461</v>
      </c>
    </row>
    <row r="157" spans="2:47" x14ac:dyDescent="0.3">
      <c r="B157" t="s">
        <v>11728</v>
      </c>
      <c r="C157" t="s">
        <v>11729</v>
      </c>
      <c r="D157" t="s">
        <v>3505</v>
      </c>
      <c r="E157" t="s">
        <v>3509</v>
      </c>
      <c r="F157" s="18">
        <f>IF($D$5="tak",(SUMIFS(AE:AE,AA:AA,Obrotowka[[#This Row],[GL_Account]])-SUMIFS(U:U,S:S,Obrotowka[[#This Row],[GL_Account]])+SUMIFS(U:U,T:T,Obrotowka[[#This Row],[GL_Account]]))/1000,(SUMIFS(AE:AE,AA:AA,Obrotowka[[#This Row],[GL_Account]])-SUMIFS(U:U,S:S,Obrotowka[[#This Row],[GL_Account]])+SUMIFS(U:U,T:T,Obrotowka[[#This Row],[GL_Account]])))</f>
        <v>0</v>
      </c>
      <c r="G157" s="18">
        <f>IF($D$5="tak",(SUMIFS(AL:AL,AH:AH,Obrotowka[[#This Row],[GL_Account]],AL:AL,"&gt;=0")-SUMIFS(V:V,S:S,Obrotowka[[#This Row],[GL_Account]])+SUMIFS(V:V,T:T,Obrotowka[[#This Row],[GL_Account]]))/1000,(SUMIFS(AL:AL,AH:AH,Obrotowka[[#This Row],[GL_Account]],AL:AL,"&gt;=0")-SUMIFS(V:V,S:S,Obrotowka[[#This Row],[GL_Account]])+SUMIFS(V:V,T:T,Obrotowka[[#This Row],[GL_Account]])))</f>
        <v>0</v>
      </c>
      <c r="H157" s="18">
        <f>IF($D$5="tak",SUMIFS(AL:AL,AH:AH,Obrotowka[[#This Row],[GL_Account]],AL:AL,"&lt;0")/1000,SUMIFS(AL:AL,AH:AH,Obrotowka[[#This Row],[GL_Account]],AL:AL,"&lt;0"))</f>
        <v>0</v>
      </c>
      <c r="I157" s="18">
        <f>SUM(Obrotowka[[#This Row],[BO]:[MA]])</f>
        <v>0</v>
      </c>
      <c r="J157">
        <f>IF(Obrotowka[[#This Row],[BZ]]=0,0,1)</f>
        <v>0</v>
      </c>
      <c r="K157" s="253"/>
      <c r="AF157" s="18"/>
      <c r="AU157" t="s">
        <v>8461</v>
      </c>
    </row>
    <row r="158" spans="2:47" x14ac:dyDescent="0.3">
      <c r="B158" t="s">
        <v>11730</v>
      </c>
      <c r="C158" t="s">
        <v>11731</v>
      </c>
      <c r="D158" t="s">
        <v>3505</v>
      </c>
      <c r="E158" t="s">
        <v>3509</v>
      </c>
      <c r="F158" s="18">
        <f>IF($D$5="tak",(SUMIFS(AE:AE,AA:AA,Obrotowka[[#This Row],[GL_Account]])-SUMIFS(U:U,S:S,Obrotowka[[#This Row],[GL_Account]])+SUMIFS(U:U,T:T,Obrotowka[[#This Row],[GL_Account]]))/1000,(SUMIFS(AE:AE,AA:AA,Obrotowka[[#This Row],[GL_Account]])-SUMIFS(U:U,S:S,Obrotowka[[#This Row],[GL_Account]])+SUMIFS(U:U,T:T,Obrotowka[[#This Row],[GL_Account]])))</f>
        <v>0</v>
      </c>
      <c r="G158" s="18">
        <f>IF($D$5="tak",(SUMIFS(AL:AL,AH:AH,Obrotowka[[#This Row],[GL_Account]],AL:AL,"&gt;=0")-SUMIFS(V:V,S:S,Obrotowka[[#This Row],[GL_Account]])+SUMIFS(V:V,T:T,Obrotowka[[#This Row],[GL_Account]]))/1000,(SUMIFS(AL:AL,AH:AH,Obrotowka[[#This Row],[GL_Account]],AL:AL,"&gt;=0")-SUMIFS(V:V,S:S,Obrotowka[[#This Row],[GL_Account]])+SUMIFS(V:V,T:T,Obrotowka[[#This Row],[GL_Account]])))</f>
        <v>0</v>
      </c>
      <c r="H158" s="18">
        <f>IF($D$5="tak",SUMIFS(AL:AL,AH:AH,Obrotowka[[#This Row],[GL_Account]],AL:AL,"&lt;0")/1000,SUMIFS(AL:AL,AH:AH,Obrotowka[[#This Row],[GL_Account]],AL:AL,"&lt;0"))</f>
        <v>0</v>
      </c>
      <c r="I158" s="18">
        <f>SUM(Obrotowka[[#This Row],[BO]:[MA]])</f>
        <v>0</v>
      </c>
      <c r="J158">
        <f>IF(Obrotowka[[#This Row],[BZ]]=0,0,1)</f>
        <v>0</v>
      </c>
      <c r="K158" s="253"/>
      <c r="AF158" s="18"/>
      <c r="AU158" t="s">
        <v>8464</v>
      </c>
    </row>
    <row r="159" spans="2:47" x14ac:dyDescent="0.3">
      <c r="B159" t="s">
        <v>11732</v>
      </c>
      <c r="C159" t="s">
        <v>11733</v>
      </c>
      <c r="D159" t="s">
        <v>3505</v>
      </c>
      <c r="E159" t="s">
        <v>3509</v>
      </c>
      <c r="F159" s="18">
        <f>IF($D$5="tak",(SUMIFS(AE:AE,AA:AA,Obrotowka[[#This Row],[GL_Account]])-SUMIFS(U:U,S:S,Obrotowka[[#This Row],[GL_Account]])+SUMIFS(U:U,T:T,Obrotowka[[#This Row],[GL_Account]]))/1000,(SUMIFS(AE:AE,AA:AA,Obrotowka[[#This Row],[GL_Account]])-SUMIFS(U:U,S:S,Obrotowka[[#This Row],[GL_Account]])+SUMIFS(U:U,T:T,Obrotowka[[#This Row],[GL_Account]])))</f>
        <v>0</v>
      </c>
      <c r="G159" s="18">
        <f>IF($D$5="tak",(SUMIFS(AL:AL,AH:AH,Obrotowka[[#This Row],[GL_Account]],AL:AL,"&gt;=0")-SUMIFS(V:V,S:S,Obrotowka[[#This Row],[GL_Account]])+SUMIFS(V:V,T:T,Obrotowka[[#This Row],[GL_Account]]))/1000,(SUMIFS(AL:AL,AH:AH,Obrotowka[[#This Row],[GL_Account]],AL:AL,"&gt;=0")-SUMIFS(V:V,S:S,Obrotowka[[#This Row],[GL_Account]])+SUMIFS(V:V,T:T,Obrotowka[[#This Row],[GL_Account]])))</f>
        <v>0</v>
      </c>
      <c r="H159" s="18">
        <f>IF($D$5="tak",SUMIFS(AL:AL,AH:AH,Obrotowka[[#This Row],[GL_Account]],AL:AL,"&lt;0")/1000,SUMIFS(AL:AL,AH:AH,Obrotowka[[#This Row],[GL_Account]],AL:AL,"&lt;0"))</f>
        <v>0</v>
      </c>
      <c r="I159" s="18">
        <f>SUM(Obrotowka[[#This Row],[BO]:[MA]])</f>
        <v>0</v>
      </c>
      <c r="J159">
        <f>IF(Obrotowka[[#This Row],[BZ]]=0,0,1)</f>
        <v>0</v>
      </c>
      <c r="K159" s="253"/>
      <c r="AF159" s="18"/>
      <c r="AU159" t="s">
        <v>8464</v>
      </c>
    </row>
    <row r="160" spans="2:47" x14ac:dyDescent="0.3">
      <c r="B160" t="s">
        <v>11734</v>
      </c>
      <c r="C160" t="s">
        <v>11735</v>
      </c>
      <c r="D160" t="s">
        <v>3505</v>
      </c>
      <c r="E160" t="s">
        <v>3509</v>
      </c>
      <c r="F160" s="18">
        <f>IF($D$5="tak",(SUMIFS(AE:AE,AA:AA,Obrotowka[[#This Row],[GL_Account]])-SUMIFS(U:U,S:S,Obrotowka[[#This Row],[GL_Account]])+SUMIFS(U:U,T:T,Obrotowka[[#This Row],[GL_Account]]))/1000,(SUMIFS(AE:AE,AA:AA,Obrotowka[[#This Row],[GL_Account]])-SUMIFS(U:U,S:S,Obrotowka[[#This Row],[GL_Account]])+SUMIFS(U:U,T:T,Obrotowka[[#This Row],[GL_Account]])))</f>
        <v>0</v>
      </c>
      <c r="G160" s="18">
        <f>IF($D$5="tak",(SUMIFS(AL:AL,AH:AH,Obrotowka[[#This Row],[GL_Account]],AL:AL,"&gt;=0")-SUMIFS(V:V,S:S,Obrotowka[[#This Row],[GL_Account]])+SUMIFS(V:V,T:T,Obrotowka[[#This Row],[GL_Account]]))/1000,(SUMIFS(AL:AL,AH:AH,Obrotowka[[#This Row],[GL_Account]],AL:AL,"&gt;=0")-SUMIFS(V:V,S:S,Obrotowka[[#This Row],[GL_Account]])+SUMIFS(V:V,T:T,Obrotowka[[#This Row],[GL_Account]])))</f>
        <v>0</v>
      </c>
      <c r="H160" s="18">
        <f>IF($D$5="tak",SUMIFS(AL:AL,AH:AH,Obrotowka[[#This Row],[GL_Account]],AL:AL,"&lt;0")/1000,SUMIFS(AL:AL,AH:AH,Obrotowka[[#This Row],[GL_Account]],AL:AL,"&lt;0"))</f>
        <v>0</v>
      </c>
      <c r="I160" s="18">
        <f>SUM(Obrotowka[[#This Row],[BO]:[MA]])</f>
        <v>0</v>
      </c>
      <c r="J160">
        <f>IF(Obrotowka[[#This Row],[BZ]]=0,0,1)</f>
        <v>0</v>
      </c>
      <c r="K160" s="253"/>
      <c r="AF160" s="18"/>
      <c r="AU160" t="s">
        <v>8469</v>
      </c>
    </row>
    <row r="161" spans="2:47" x14ac:dyDescent="0.3">
      <c r="B161" t="s">
        <v>11736</v>
      </c>
      <c r="C161" t="s">
        <v>11737</v>
      </c>
      <c r="D161" t="s">
        <v>3505</v>
      </c>
      <c r="E161" t="s">
        <v>3513</v>
      </c>
      <c r="F161" s="18">
        <f>IF($D$5="tak",(SUMIFS(AE:AE,AA:AA,Obrotowka[[#This Row],[GL_Account]])-SUMIFS(U:U,S:S,Obrotowka[[#This Row],[GL_Account]])+SUMIFS(U:U,T:T,Obrotowka[[#This Row],[GL_Account]]))/1000,(SUMIFS(AE:AE,AA:AA,Obrotowka[[#This Row],[GL_Account]])-SUMIFS(U:U,S:S,Obrotowka[[#This Row],[GL_Account]])+SUMIFS(U:U,T:T,Obrotowka[[#This Row],[GL_Account]])))</f>
        <v>0</v>
      </c>
      <c r="G161" s="18">
        <f>IF($D$5="tak",(SUMIFS(AL:AL,AH:AH,Obrotowka[[#This Row],[GL_Account]],AL:AL,"&gt;=0")-SUMIFS(V:V,S:S,Obrotowka[[#This Row],[GL_Account]])+SUMIFS(V:V,T:T,Obrotowka[[#This Row],[GL_Account]]))/1000,(SUMIFS(AL:AL,AH:AH,Obrotowka[[#This Row],[GL_Account]],AL:AL,"&gt;=0")-SUMIFS(V:V,S:S,Obrotowka[[#This Row],[GL_Account]])+SUMIFS(V:V,T:T,Obrotowka[[#This Row],[GL_Account]])))</f>
        <v>0</v>
      </c>
      <c r="H161" s="18">
        <f>IF($D$5="tak",SUMIFS(AL:AL,AH:AH,Obrotowka[[#This Row],[GL_Account]],AL:AL,"&lt;0")/1000,SUMIFS(AL:AL,AH:AH,Obrotowka[[#This Row],[GL_Account]],AL:AL,"&lt;0"))</f>
        <v>0</v>
      </c>
      <c r="I161" s="18">
        <f>SUM(Obrotowka[[#This Row],[BO]:[MA]])</f>
        <v>0</v>
      </c>
      <c r="J161">
        <f>IF(Obrotowka[[#This Row],[BZ]]=0,0,1)</f>
        <v>0</v>
      </c>
      <c r="K161" s="253"/>
      <c r="AF161" s="18"/>
      <c r="AU161" t="s">
        <v>8202</v>
      </c>
    </row>
    <row r="162" spans="2:47" x14ac:dyDescent="0.3">
      <c r="B162" t="s">
        <v>11738</v>
      </c>
      <c r="C162" t="s">
        <v>11739</v>
      </c>
      <c r="D162" t="s">
        <v>3505</v>
      </c>
      <c r="E162" t="s">
        <v>3513</v>
      </c>
      <c r="F162" s="18">
        <f>IF($D$5="tak",(SUMIFS(AE:AE,AA:AA,Obrotowka[[#This Row],[GL_Account]])-SUMIFS(U:U,S:S,Obrotowka[[#This Row],[GL_Account]])+SUMIFS(U:U,T:T,Obrotowka[[#This Row],[GL_Account]]))/1000,(SUMIFS(AE:AE,AA:AA,Obrotowka[[#This Row],[GL_Account]])-SUMIFS(U:U,S:S,Obrotowka[[#This Row],[GL_Account]])+SUMIFS(U:U,T:T,Obrotowka[[#This Row],[GL_Account]])))</f>
        <v>0</v>
      </c>
      <c r="G162" s="18">
        <f>IF($D$5="tak",(SUMIFS(AL:AL,AH:AH,Obrotowka[[#This Row],[GL_Account]],AL:AL,"&gt;=0")-SUMIFS(V:V,S:S,Obrotowka[[#This Row],[GL_Account]])+SUMIFS(V:V,T:T,Obrotowka[[#This Row],[GL_Account]]))/1000,(SUMIFS(AL:AL,AH:AH,Obrotowka[[#This Row],[GL_Account]],AL:AL,"&gt;=0")-SUMIFS(V:V,S:S,Obrotowka[[#This Row],[GL_Account]])+SUMIFS(V:V,T:T,Obrotowka[[#This Row],[GL_Account]])))</f>
        <v>0</v>
      </c>
      <c r="H162" s="18">
        <f>IF($D$5="tak",SUMIFS(AL:AL,AH:AH,Obrotowka[[#This Row],[GL_Account]],AL:AL,"&lt;0")/1000,SUMIFS(AL:AL,AH:AH,Obrotowka[[#This Row],[GL_Account]],AL:AL,"&lt;0"))</f>
        <v>0</v>
      </c>
      <c r="I162" s="18">
        <f>SUM(Obrotowka[[#This Row],[BO]:[MA]])</f>
        <v>0</v>
      </c>
      <c r="J162">
        <f>IF(Obrotowka[[#This Row],[BZ]]=0,0,1)</f>
        <v>0</v>
      </c>
      <c r="K162" s="253"/>
      <c r="AF162" s="18"/>
      <c r="AU162" t="s">
        <v>8202</v>
      </c>
    </row>
    <row r="163" spans="2:47" x14ac:dyDescent="0.3">
      <c r="B163" t="s">
        <v>11740</v>
      </c>
      <c r="C163" t="s">
        <v>11741</v>
      </c>
      <c r="D163" t="s">
        <v>3505</v>
      </c>
      <c r="E163" t="s">
        <v>4326</v>
      </c>
      <c r="F163" s="18">
        <f>IF($D$5="tak",(SUMIFS(AE:AE,AA:AA,Obrotowka[[#This Row],[GL_Account]])-SUMIFS(U:U,S:S,Obrotowka[[#This Row],[GL_Account]])+SUMIFS(U:U,T:T,Obrotowka[[#This Row],[GL_Account]]))/1000,(SUMIFS(AE:AE,AA:AA,Obrotowka[[#This Row],[GL_Account]])-SUMIFS(U:U,S:S,Obrotowka[[#This Row],[GL_Account]])+SUMIFS(U:U,T:T,Obrotowka[[#This Row],[GL_Account]])))</f>
        <v>0</v>
      </c>
      <c r="G163" s="18">
        <f>IF($D$5="tak",(SUMIFS(AL:AL,AH:AH,Obrotowka[[#This Row],[GL_Account]],AL:AL,"&gt;=0")-SUMIFS(V:V,S:S,Obrotowka[[#This Row],[GL_Account]])+SUMIFS(V:V,T:T,Obrotowka[[#This Row],[GL_Account]]))/1000,(SUMIFS(AL:AL,AH:AH,Obrotowka[[#This Row],[GL_Account]],AL:AL,"&gt;=0")-SUMIFS(V:V,S:S,Obrotowka[[#This Row],[GL_Account]])+SUMIFS(V:V,T:T,Obrotowka[[#This Row],[GL_Account]])))</f>
        <v>0</v>
      </c>
      <c r="H163" s="18">
        <f>IF($D$5="tak",SUMIFS(AL:AL,AH:AH,Obrotowka[[#This Row],[GL_Account]],AL:AL,"&lt;0")/1000,SUMIFS(AL:AL,AH:AH,Obrotowka[[#This Row],[GL_Account]],AL:AL,"&lt;0"))</f>
        <v>0</v>
      </c>
      <c r="I163" s="18">
        <f>SUM(Obrotowka[[#This Row],[BO]:[MA]])</f>
        <v>0</v>
      </c>
      <c r="J163">
        <f>IF(Obrotowka[[#This Row],[BZ]]=0,0,1)</f>
        <v>0</v>
      </c>
      <c r="K163" s="253"/>
      <c r="AF163" s="18"/>
      <c r="AU163" t="s">
        <v>8478</v>
      </c>
    </row>
    <row r="164" spans="2:47" x14ac:dyDescent="0.3">
      <c r="B164" t="s">
        <v>11742</v>
      </c>
      <c r="C164" t="s">
        <v>11743</v>
      </c>
      <c r="D164" t="s">
        <v>3505</v>
      </c>
      <c r="E164" t="s">
        <v>4326</v>
      </c>
      <c r="F164" s="18">
        <f>IF($D$5="tak",(SUMIFS(AE:AE,AA:AA,Obrotowka[[#This Row],[GL_Account]])-SUMIFS(U:U,S:S,Obrotowka[[#This Row],[GL_Account]])+SUMIFS(U:U,T:T,Obrotowka[[#This Row],[GL_Account]]))/1000,(SUMIFS(AE:AE,AA:AA,Obrotowka[[#This Row],[GL_Account]])-SUMIFS(U:U,S:S,Obrotowka[[#This Row],[GL_Account]])+SUMIFS(U:U,T:T,Obrotowka[[#This Row],[GL_Account]])))</f>
        <v>0</v>
      </c>
      <c r="G164" s="18">
        <f>IF($D$5="tak",(SUMIFS(AL:AL,AH:AH,Obrotowka[[#This Row],[GL_Account]],AL:AL,"&gt;=0")-SUMIFS(V:V,S:S,Obrotowka[[#This Row],[GL_Account]])+SUMIFS(V:V,T:T,Obrotowka[[#This Row],[GL_Account]]))/1000,(SUMIFS(AL:AL,AH:AH,Obrotowka[[#This Row],[GL_Account]],AL:AL,"&gt;=0")-SUMIFS(V:V,S:S,Obrotowka[[#This Row],[GL_Account]])+SUMIFS(V:V,T:T,Obrotowka[[#This Row],[GL_Account]])))</f>
        <v>0</v>
      </c>
      <c r="H164" s="18">
        <f>IF($D$5="tak",SUMIFS(AL:AL,AH:AH,Obrotowka[[#This Row],[GL_Account]],AL:AL,"&lt;0")/1000,SUMIFS(AL:AL,AH:AH,Obrotowka[[#This Row],[GL_Account]],AL:AL,"&lt;0"))</f>
        <v>0</v>
      </c>
      <c r="I164" s="18">
        <f>SUM(Obrotowka[[#This Row],[BO]:[MA]])</f>
        <v>0</v>
      </c>
      <c r="J164">
        <f>IF(Obrotowka[[#This Row],[BZ]]=0,0,1)</f>
        <v>0</v>
      </c>
      <c r="K164" s="253"/>
      <c r="AF164" s="18"/>
      <c r="AU164" t="s">
        <v>8478</v>
      </c>
    </row>
    <row r="165" spans="2:47" x14ac:dyDescent="0.3">
      <c r="B165" t="s">
        <v>11744</v>
      </c>
      <c r="C165" t="s">
        <v>11745</v>
      </c>
      <c r="D165" t="s">
        <v>3505</v>
      </c>
      <c r="E165" t="s">
        <v>4326</v>
      </c>
      <c r="F165" s="18">
        <f>IF($D$5="tak",(SUMIFS(AE:AE,AA:AA,Obrotowka[[#This Row],[GL_Account]])-SUMIFS(U:U,S:S,Obrotowka[[#This Row],[GL_Account]])+SUMIFS(U:U,T:T,Obrotowka[[#This Row],[GL_Account]]))/1000,(SUMIFS(AE:AE,AA:AA,Obrotowka[[#This Row],[GL_Account]])-SUMIFS(U:U,S:S,Obrotowka[[#This Row],[GL_Account]])+SUMIFS(U:U,T:T,Obrotowka[[#This Row],[GL_Account]])))</f>
        <v>0</v>
      </c>
      <c r="G165" s="18">
        <f>IF($D$5="tak",(SUMIFS(AL:AL,AH:AH,Obrotowka[[#This Row],[GL_Account]],AL:AL,"&gt;=0")-SUMIFS(V:V,S:S,Obrotowka[[#This Row],[GL_Account]])+SUMIFS(V:V,T:T,Obrotowka[[#This Row],[GL_Account]]))/1000,(SUMIFS(AL:AL,AH:AH,Obrotowka[[#This Row],[GL_Account]],AL:AL,"&gt;=0")-SUMIFS(V:V,S:S,Obrotowka[[#This Row],[GL_Account]])+SUMIFS(V:V,T:T,Obrotowka[[#This Row],[GL_Account]])))</f>
        <v>0</v>
      </c>
      <c r="H165" s="18">
        <f>IF($D$5="tak",SUMIFS(AL:AL,AH:AH,Obrotowka[[#This Row],[GL_Account]],AL:AL,"&lt;0")/1000,SUMIFS(AL:AL,AH:AH,Obrotowka[[#This Row],[GL_Account]],AL:AL,"&lt;0"))</f>
        <v>0</v>
      </c>
      <c r="I165" s="18">
        <f>SUM(Obrotowka[[#This Row],[BO]:[MA]])</f>
        <v>0</v>
      </c>
      <c r="J165">
        <f>IF(Obrotowka[[#This Row],[BZ]]=0,0,1)</f>
        <v>0</v>
      </c>
      <c r="K165" s="253"/>
      <c r="AF165" s="18"/>
      <c r="AU165" t="s">
        <v>8478</v>
      </c>
    </row>
    <row r="166" spans="2:47" x14ac:dyDescent="0.3">
      <c r="B166" t="s">
        <v>11746</v>
      </c>
      <c r="C166" t="s">
        <v>11747</v>
      </c>
      <c r="D166" t="s">
        <v>3505</v>
      </c>
      <c r="E166" t="s">
        <v>4326</v>
      </c>
      <c r="F166" s="18">
        <f>IF($D$5="tak",(SUMIFS(AE:AE,AA:AA,Obrotowka[[#This Row],[GL_Account]])-SUMIFS(U:U,S:S,Obrotowka[[#This Row],[GL_Account]])+SUMIFS(U:U,T:T,Obrotowka[[#This Row],[GL_Account]]))/1000,(SUMIFS(AE:AE,AA:AA,Obrotowka[[#This Row],[GL_Account]])-SUMIFS(U:U,S:S,Obrotowka[[#This Row],[GL_Account]])+SUMIFS(U:U,T:T,Obrotowka[[#This Row],[GL_Account]])))</f>
        <v>0</v>
      </c>
      <c r="G166" s="18">
        <f>IF($D$5="tak",(SUMIFS(AL:AL,AH:AH,Obrotowka[[#This Row],[GL_Account]],AL:AL,"&gt;=0")-SUMIFS(V:V,S:S,Obrotowka[[#This Row],[GL_Account]])+SUMIFS(V:V,T:T,Obrotowka[[#This Row],[GL_Account]]))/1000,(SUMIFS(AL:AL,AH:AH,Obrotowka[[#This Row],[GL_Account]],AL:AL,"&gt;=0")-SUMIFS(V:V,S:S,Obrotowka[[#This Row],[GL_Account]])+SUMIFS(V:V,T:T,Obrotowka[[#This Row],[GL_Account]])))</f>
        <v>0</v>
      </c>
      <c r="H166" s="18">
        <f>IF($D$5="tak",SUMIFS(AL:AL,AH:AH,Obrotowka[[#This Row],[GL_Account]],AL:AL,"&lt;0")/1000,SUMIFS(AL:AL,AH:AH,Obrotowka[[#This Row],[GL_Account]],AL:AL,"&lt;0"))</f>
        <v>0</v>
      </c>
      <c r="I166" s="18">
        <f>SUM(Obrotowka[[#This Row],[BO]:[MA]])</f>
        <v>0</v>
      </c>
      <c r="J166">
        <f>IF(Obrotowka[[#This Row],[BZ]]=0,0,1)</f>
        <v>0</v>
      </c>
      <c r="K166" s="253"/>
      <c r="AF166" s="18"/>
      <c r="AU166" t="s">
        <v>8478</v>
      </c>
    </row>
    <row r="167" spans="2:47" x14ac:dyDescent="0.3">
      <c r="B167" t="s">
        <v>11748</v>
      </c>
      <c r="C167" t="s">
        <v>11749</v>
      </c>
      <c r="D167" t="s">
        <v>3505</v>
      </c>
      <c r="E167" t="s">
        <v>4326</v>
      </c>
      <c r="F167" s="18">
        <f>IF($D$5="tak",(SUMIFS(AE:AE,AA:AA,Obrotowka[[#This Row],[GL_Account]])-SUMIFS(U:U,S:S,Obrotowka[[#This Row],[GL_Account]])+SUMIFS(U:U,T:T,Obrotowka[[#This Row],[GL_Account]]))/1000,(SUMIFS(AE:AE,AA:AA,Obrotowka[[#This Row],[GL_Account]])-SUMIFS(U:U,S:S,Obrotowka[[#This Row],[GL_Account]])+SUMIFS(U:U,T:T,Obrotowka[[#This Row],[GL_Account]])))</f>
        <v>0</v>
      </c>
      <c r="G167" s="18">
        <f>IF($D$5="tak",(SUMIFS(AL:AL,AH:AH,Obrotowka[[#This Row],[GL_Account]],AL:AL,"&gt;=0")-SUMIFS(V:V,S:S,Obrotowka[[#This Row],[GL_Account]])+SUMIFS(V:V,T:T,Obrotowka[[#This Row],[GL_Account]]))/1000,(SUMIFS(AL:AL,AH:AH,Obrotowka[[#This Row],[GL_Account]],AL:AL,"&gt;=0")-SUMIFS(V:V,S:S,Obrotowka[[#This Row],[GL_Account]])+SUMIFS(V:V,T:T,Obrotowka[[#This Row],[GL_Account]])))</f>
        <v>0</v>
      </c>
      <c r="H167" s="18">
        <f>IF($D$5="tak",SUMIFS(AL:AL,AH:AH,Obrotowka[[#This Row],[GL_Account]],AL:AL,"&lt;0")/1000,SUMIFS(AL:AL,AH:AH,Obrotowka[[#This Row],[GL_Account]],AL:AL,"&lt;0"))</f>
        <v>0</v>
      </c>
      <c r="I167" s="18">
        <f>SUM(Obrotowka[[#This Row],[BO]:[MA]])</f>
        <v>0</v>
      </c>
      <c r="J167">
        <f>IF(Obrotowka[[#This Row],[BZ]]=0,0,1)</f>
        <v>0</v>
      </c>
      <c r="K167" s="253"/>
      <c r="AF167" s="18"/>
      <c r="AU167" t="s">
        <v>8478</v>
      </c>
    </row>
    <row r="168" spans="2:47" x14ac:dyDescent="0.3">
      <c r="B168" t="s">
        <v>11750</v>
      </c>
      <c r="C168" t="s">
        <v>11751</v>
      </c>
      <c r="D168" t="s">
        <v>3505</v>
      </c>
      <c r="E168" t="s">
        <v>4326</v>
      </c>
      <c r="F168" s="18">
        <f>IF($D$5="tak",(SUMIFS(AE:AE,AA:AA,Obrotowka[[#This Row],[GL_Account]])-SUMIFS(U:U,S:S,Obrotowka[[#This Row],[GL_Account]])+SUMIFS(U:U,T:T,Obrotowka[[#This Row],[GL_Account]]))/1000,(SUMIFS(AE:AE,AA:AA,Obrotowka[[#This Row],[GL_Account]])-SUMIFS(U:U,S:S,Obrotowka[[#This Row],[GL_Account]])+SUMIFS(U:U,T:T,Obrotowka[[#This Row],[GL_Account]])))</f>
        <v>0</v>
      </c>
      <c r="G168" s="18">
        <f>IF($D$5="tak",(SUMIFS(AL:AL,AH:AH,Obrotowka[[#This Row],[GL_Account]],AL:AL,"&gt;=0")-SUMIFS(V:V,S:S,Obrotowka[[#This Row],[GL_Account]])+SUMIFS(V:V,T:T,Obrotowka[[#This Row],[GL_Account]]))/1000,(SUMIFS(AL:AL,AH:AH,Obrotowka[[#This Row],[GL_Account]],AL:AL,"&gt;=0")-SUMIFS(V:V,S:S,Obrotowka[[#This Row],[GL_Account]])+SUMIFS(V:V,T:T,Obrotowka[[#This Row],[GL_Account]])))</f>
        <v>0</v>
      </c>
      <c r="H168" s="18">
        <f>IF($D$5="tak",SUMIFS(AL:AL,AH:AH,Obrotowka[[#This Row],[GL_Account]],AL:AL,"&lt;0")/1000,SUMIFS(AL:AL,AH:AH,Obrotowka[[#This Row],[GL_Account]],AL:AL,"&lt;0"))</f>
        <v>0</v>
      </c>
      <c r="I168" s="18">
        <f>SUM(Obrotowka[[#This Row],[BO]:[MA]])</f>
        <v>0</v>
      </c>
      <c r="J168">
        <f>IF(Obrotowka[[#This Row],[BZ]]=0,0,1)</f>
        <v>0</v>
      </c>
      <c r="K168" s="253"/>
      <c r="AF168" s="18"/>
      <c r="AU168" t="s">
        <v>8478</v>
      </c>
    </row>
    <row r="169" spans="2:47" x14ac:dyDescent="0.3">
      <c r="B169" t="s">
        <v>11752</v>
      </c>
      <c r="C169" t="s">
        <v>11753</v>
      </c>
      <c r="D169" t="s">
        <v>3505</v>
      </c>
      <c r="E169" t="s">
        <v>4326</v>
      </c>
      <c r="F169" s="18">
        <f>IF($D$5="tak",(SUMIFS(AE:AE,AA:AA,Obrotowka[[#This Row],[GL_Account]])-SUMIFS(U:U,S:S,Obrotowka[[#This Row],[GL_Account]])+SUMIFS(U:U,T:T,Obrotowka[[#This Row],[GL_Account]]))/1000,(SUMIFS(AE:AE,AA:AA,Obrotowka[[#This Row],[GL_Account]])-SUMIFS(U:U,S:S,Obrotowka[[#This Row],[GL_Account]])+SUMIFS(U:U,T:T,Obrotowka[[#This Row],[GL_Account]])))</f>
        <v>0</v>
      </c>
      <c r="G169" s="18">
        <f>IF($D$5="tak",(SUMIFS(AL:AL,AH:AH,Obrotowka[[#This Row],[GL_Account]],AL:AL,"&gt;=0")-SUMIFS(V:V,S:S,Obrotowka[[#This Row],[GL_Account]])+SUMIFS(V:V,T:T,Obrotowka[[#This Row],[GL_Account]]))/1000,(SUMIFS(AL:AL,AH:AH,Obrotowka[[#This Row],[GL_Account]],AL:AL,"&gt;=0")-SUMIFS(V:V,S:S,Obrotowka[[#This Row],[GL_Account]])+SUMIFS(V:V,T:T,Obrotowka[[#This Row],[GL_Account]])))</f>
        <v>0</v>
      </c>
      <c r="H169" s="18">
        <f>IF($D$5="tak",SUMIFS(AL:AL,AH:AH,Obrotowka[[#This Row],[GL_Account]],AL:AL,"&lt;0")/1000,SUMIFS(AL:AL,AH:AH,Obrotowka[[#This Row],[GL_Account]],AL:AL,"&lt;0"))</f>
        <v>0</v>
      </c>
      <c r="I169" s="18">
        <f>SUM(Obrotowka[[#This Row],[BO]:[MA]])</f>
        <v>0</v>
      </c>
      <c r="J169">
        <f>IF(Obrotowka[[#This Row],[BZ]]=0,0,1)</f>
        <v>0</v>
      </c>
      <c r="K169" s="253"/>
      <c r="AF169" s="18"/>
      <c r="AU169" t="s">
        <v>8478</v>
      </c>
    </row>
    <row r="170" spans="2:47" x14ac:dyDescent="0.3">
      <c r="B170" t="s">
        <v>11754</v>
      </c>
      <c r="C170" t="s">
        <v>11755</v>
      </c>
      <c r="D170" t="s">
        <v>3505</v>
      </c>
      <c r="E170" t="s">
        <v>4326</v>
      </c>
      <c r="F170" s="18">
        <f>IF($D$5="tak",(SUMIFS(AE:AE,AA:AA,Obrotowka[[#This Row],[GL_Account]])-SUMIFS(U:U,S:S,Obrotowka[[#This Row],[GL_Account]])+SUMIFS(U:U,T:T,Obrotowka[[#This Row],[GL_Account]]))/1000,(SUMIFS(AE:AE,AA:AA,Obrotowka[[#This Row],[GL_Account]])-SUMIFS(U:U,S:S,Obrotowka[[#This Row],[GL_Account]])+SUMIFS(U:U,T:T,Obrotowka[[#This Row],[GL_Account]])))</f>
        <v>0</v>
      </c>
      <c r="G170" s="18">
        <f>IF($D$5="tak",(SUMIFS(AL:AL,AH:AH,Obrotowka[[#This Row],[GL_Account]],AL:AL,"&gt;=0")-SUMIFS(V:V,S:S,Obrotowka[[#This Row],[GL_Account]])+SUMIFS(V:V,T:T,Obrotowka[[#This Row],[GL_Account]]))/1000,(SUMIFS(AL:AL,AH:AH,Obrotowka[[#This Row],[GL_Account]],AL:AL,"&gt;=0")-SUMIFS(V:V,S:S,Obrotowka[[#This Row],[GL_Account]])+SUMIFS(V:V,T:T,Obrotowka[[#This Row],[GL_Account]])))</f>
        <v>0</v>
      </c>
      <c r="H170" s="18">
        <f>IF($D$5="tak",SUMIFS(AL:AL,AH:AH,Obrotowka[[#This Row],[GL_Account]],AL:AL,"&lt;0")/1000,SUMIFS(AL:AL,AH:AH,Obrotowka[[#This Row],[GL_Account]],AL:AL,"&lt;0"))</f>
        <v>0</v>
      </c>
      <c r="I170" s="18">
        <f>SUM(Obrotowka[[#This Row],[BO]:[MA]])</f>
        <v>0</v>
      </c>
      <c r="J170">
        <f>IF(Obrotowka[[#This Row],[BZ]]=0,0,1)</f>
        <v>0</v>
      </c>
      <c r="K170" s="253"/>
      <c r="AF170" s="18"/>
      <c r="AU170" t="s">
        <v>8194</v>
      </c>
    </row>
    <row r="171" spans="2:47" x14ac:dyDescent="0.3">
      <c r="B171" t="s">
        <v>11756</v>
      </c>
      <c r="C171" t="s">
        <v>11757</v>
      </c>
      <c r="D171" t="s">
        <v>3505</v>
      </c>
      <c r="E171" t="s">
        <v>3509</v>
      </c>
      <c r="F171" s="18">
        <f>IF($D$5="tak",(SUMIFS(AE:AE,AA:AA,Obrotowka[[#This Row],[GL_Account]])-SUMIFS(U:U,S:S,Obrotowka[[#This Row],[GL_Account]])+SUMIFS(U:U,T:T,Obrotowka[[#This Row],[GL_Account]]))/1000,(SUMIFS(AE:AE,AA:AA,Obrotowka[[#This Row],[GL_Account]])-SUMIFS(U:U,S:S,Obrotowka[[#This Row],[GL_Account]])+SUMIFS(U:U,T:T,Obrotowka[[#This Row],[GL_Account]])))</f>
        <v>0</v>
      </c>
      <c r="G171" s="18">
        <f>IF($D$5="tak",(SUMIFS(AL:AL,AH:AH,Obrotowka[[#This Row],[GL_Account]],AL:AL,"&gt;=0")-SUMIFS(V:V,S:S,Obrotowka[[#This Row],[GL_Account]])+SUMIFS(V:V,T:T,Obrotowka[[#This Row],[GL_Account]]))/1000,(SUMIFS(AL:AL,AH:AH,Obrotowka[[#This Row],[GL_Account]],AL:AL,"&gt;=0")-SUMIFS(V:V,S:S,Obrotowka[[#This Row],[GL_Account]])+SUMIFS(V:V,T:T,Obrotowka[[#This Row],[GL_Account]])))</f>
        <v>0</v>
      </c>
      <c r="H171" s="18">
        <f>IF($D$5="tak",SUMIFS(AL:AL,AH:AH,Obrotowka[[#This Row],[GL_Account]],AL:AL,"&lt;0")/1000,SUMIFS(AL:AL,AH:AH,Obrotowka[[#This Row],[GL_Account]],AL:AL,"&lt;0"))</f>
        <v>0</v>
      </c>
      <c r="I171" s="18">
        <f>SUM(Obrotowka[[#This Row],[BO]:[MA]])</f>
        <v>0</v>
      </c>
      <c r="J171">
        <f>IF(Obrotowka[[#This Row],[BZ]]=0,0,1)</f>
        <v>0</v>
      </c>
      <c r="K171" s="253"/>
      <c r="AF171" s="18"/>
      <c r="AU171" t="s">
        <v>8478</v>
      </c>
    </row>
    <row r="172" spans="2:47" x14ac:dyDescent="0.3">
      <c r="B172" t="s">
        <v>11758</v>
      </c>
      <c r="C172" t="s">
        <v>11759</v>
      </c>
      <c r="D172" t="s">
        <v>3505</v>
      </c>
      <c r="E172" t="s">
        <v>3509</v>
      </c>
      <c r="F172" s="18">
        <f>IF($D$5="tak",(SUMIFS(AE:AE,AA:AA,Obrotowka[[#This Row],[GL_Account]])-SUMIFS(U:U,S:S,Obrotowka[[#This Row],[GL_Account]])+SUMIFS(U:U,T:T,Obrotowka[[#This Row],[GL_Account]]))/1000,(SUMIFS(AE:AE,AA:AA,Obrotowka[[#This Row],[GL_Account]])-SUMIFS(U:U,S:S,Obrotowka[[#This Row],[GL_Account]])+SUMIFS(U:U,T:T,Obrotowka[[#This Row],[GL_Account]])))</f>
        <v>0</v>
      </c>
      <c r="G172" s="18">
        <f>IF($D$5="tak",(SUMIFS(AL:AL,AH:AH,Obrotowka[[#This Row],[GL_Account]],AL:AL,"&gt;=0")-SUMIFS(V:V,S:S,Obrotowka[[#This Row],[GL_Account]])+SUMIFS(V:V,T:T,Obrotowka[[#This Row],[GL_Account]]))/1000,(SUMIFS(AL:AL,AH:AH,Obrotowka[[#This Row],[GL_Account]],AL:AL,"&gt;=0")-SUMIFS(V:V,S:S,Obrotowka[[#This Row],[GL_Account]])+SUMIFS(V:V,T:T,Obrotowka[[#This Row],[GL_Account]])))</f>
        <v>0</v>
      </c>
      <c r="H172" s="18">
        <f>IF($D$5="tak",SUMIFS(AL:AL,AH:AH,Obrotowka[[#This Row],[GL_Account]],AL:AL,"&lt;0")/1000,SUMIFS(AL:AL,AH:AH,Obrotowka[[#This Row],[GL_Account]],AL:AL,"&lt;0"))</f>
        <v>0</v>
      </c>
      <c r="I172" s="18">
        <f>SUM(Obrotowka[[#This Row],[BO]:[MA]])</f>
        <v>0</v>
      </c>
      <c r="J172">
        <f>IF(Obrotowka[[#This Row],[BZ]]=0,0,1)</f>
        <v>0</v>
      </c>
      <c r="K172" s="253"/>
      <c r="AF172" s="18"/>
      <c r="AU172" t="s">
        <v>8478</v>
      </c>
    </row>
    <row r="173" spans="2:47" x14ac:dyDescent="0.3">
      <c r="B173" t="s">
        <v>11760</v>
      </c>
      <c r="C173" t="s">
        <v>11761</v>
      </c>
      <c r="D173" t="s">
        <v>3505</v>
      </c>
      <c r="E173" t="s">
        <v>3509</v>
      </c>
      <c r="F173" s="18">
        <f>IF($D$5="tak",(SUMIFS(AE:AE,AA:AA,Obrotowka[[#This Row],[GL_Account]])-SUMIFS(U:U,S:S,Obrotowka[[#This Row],[GL_Account]])+SUMIFS(U:U,T:T,Obrotowka[[#This Row],[GL_Account]]))/1000,(SUMIFS(AE:AE,AA:AA,Obrotowka[[#This Row],[GL_Account]])-SUMIFS(U:U,S:S,Obrotowka[[#This Row],[GL_Account]])+SUMIFS(U:U,T:T,Obrotowka[[#This Row],[GL_Account]])))</f>
        <v>0</v>
      </c>
      <c r="G173" s="18">
        <f>IF($D$5="tak",(SUMIFS(AL:AL,AH:AH,Obrotowka[[#This Row],[GL_Account]],AL:AL,"&gt;=0")-SUMIFS(V:V,S:S,Obrotowka[[#This Row],[GL_Account]])+SUMIFS(V:V,T:T,Obrotowka[[#This Row],[GL_Account]]))/1000,(SUMIFS(AL:AL,AH:AH,Obrotowka[[#This Row],[GL_Account]],AL:AL,"&gt;=0")-SUMIFS(V:V,S:S,Obrotowka[[#This Row],[GL_Account]])+SUMIFS(V:V,T:T,Obrotowka[[#This Row],[GL_Account]])))</f>
        <v>0</v>
      </c>
      <c r="H173" s="18">
        <f>IF($D$5="tak",SUMIFS(AL:AL,AH:AH,Obrotowka[[#This Row],[GL_Account]],AL:AL,"&lt;0")/1000,SUMIFS(AL:AL,AH:AH,Obrotowka[[#This Row],[GL_Account]],AL:AL,"&lt;0"))</f>
        <v>0</v>
      </c>
      <c r="I173" s="18">
        <f>SUM(Obrotowka[[#This Row],[BO]:[MA]])</f>
        <v>0</v>
      </c>
      <c r="J173">
        <f>IF(Obrotowka[[#This Row],[BZ]]=0,0,1)</f>
        <v>0</v>
      </c>
      <c r="K173" s="253"/>
      <c r="AF173" s="18"/>
      <c r="AU173" t="s">
        <v>8478</v>
      </c>
    </row>
    <row r="174" spans="2:47" x14ac:dyDescent="0.3">
      <c r="B174" t="s">
        <v>11762</v>
      </c>
      <c r="C174" t="s">
        <v>11763</v>
      </c>
      <c r="D174" t="s">
        <v>3505</v>
      </c>
      <c r="E174" t="s">
        <v>3509</v>
      </c>
      <c r="F174" s="18">
        <f>IF($D$5="tak",(SUMIFS(AE:AE,AA:AA,Obrotowka[[#This Row],[GL_Account]])-SUMIFS(U:U,S:S,Obrotowka[[#This Row],[GL_Account]])+SUMIFS(U:U,T:T,Obrotowka[[#This Row],[GL_Account]]))/1000,(SUMIFS(AE:AE,AA:AA,Obrotowka[[#This Row],[GL_Account]])-SUMIFS(U:U,S:S,Obrotowka[[#This Row],[GL_Account]])+SUMIFS(U:U,T:T,Obrotowka[[#This Row],[GL_Account]])))</f>
        <v>0</v>
      </c>
      <c r="G174" s="18">
        <f>IF($D$5="tak",(SUMIFS(AL:AL,AH:AH,Obrotowka[[#This Row],[GL_Account]],AL:AL,"&gt;=0")-SUMIFS(V:V,S:S,Obrotowka[[#This Row],[GL_Account]])+SUMIFS(V:V,T:T,Obrotowka[[#This Row],[GL_Account]]))/1000,(SUMIFS(AL:AL,AH:AH,Obrotowka[[#This Row],[GL_Account]],AL:AL,"&gt;=0")-SUMIFS(V:V,S:S,Obrotowka[[#This Row],[GL_Account]])+SUMIFS(V:V,T:T,Obrotowka[[#This Row],[GL_Account]])))</f>
        <v>0</v>
      </c>
      <c r="H174" s="18">
        <f>IF($D$5="tak",SUMIFS(AL:AL,AH:AH,Obrotowka[[#This Row],[GL_Account]],AL:AL,"&lt;0")/1000,SUMIFS(AL:AL,AH:AH,Obrotowka[[#This Row],[GL_Account]],AL:AL,"&lt;0"))</f>
        <v>0</v>
      </c>
      <c r="I174" s="18">
        <f>SUM(Obrotowka[[#This Row],[BO]:[MA]])</f>
        <v>0</v>
      </c>
      <c r="J174">
        <f>IF(Obrotowka[[#This Row],[BZ]]=0,0,1)</f>
        <v>0</v>
      </c>
      <c r="K174" s="253"/>
      <c r="AF174" s="18"/>
      <c r="AU174" t="s">
        <v>8478</v>
      </c>
    </row>
    <row r="175" spans="2:47" x14ac:dyDescent="0.3">
      <c r="B175" t="s">
        <v>11764</v>
      </c>
      <c r="C175" t="s">
        <v>11765</v>
      </c>
      <c r="D175" t="s">
        <v>3505</v>
      </c>
      <c r="E175" t="s">
        <v>3509</v>
      </c>
      <c r="F175" s="18">
        <f>IF($D$5="tak",(SUMIFS(AE:AE,AA:AA,Obrotowka[[#This Row],[GL_Account]])-SUMIFS(U:U,S:S,Obrotowka[[#This Row],[GL_Account]])+SUMIFS(U:U,T:T,Obrotowka[[#This Row],[GL_Account]]))/1000,(SUMIFS(AE:AE,AA:AA,Obrotowka[[#This Row],[GL_Account]])-SUMIFS(U:U,S:S,Obrotowka[[#This Row],[GL_Account]])+SUMIFS(U:U,T:T,Obrotowka[[#This Row],[GL_Account]])))</f>
        <v>0</v>
      </c>
      <c r="G175" s="18">
        <f>IF($D$5="tak",(SUMIFS(AL:AL,AH:AH,Obrotowka[[#This Row],[GL_Account]],AL:AL,"&gt;=0")-SUMIFS(V:V,S:S,Obrotowka[[#This Row],[GL_Account]])+SUMIFS(V:V,T:T,Obrotowka[[#This Row],[GL_Account]]))/1000,(SUMIFS(AL:AL,AH:AH,Obrotowka[[#This Row],[GL_Account]],AL:AL,"&gt;=0")-SUMIFS(V:V,S:S,Obrotowka[[#This Row],[GL_Account]])+SUMIFS(V:V,T:T,Obrotowka[[#This Row],[GL_Account]])))</f>
        <v>0</v>
      </c>
      <c r="H175" s="18">
        <f>IF($D$5="tak",SUMIFS(AL:AL,AH:AH,Obrotowka[[#This Row],[GL_Account]],AL:AL,"&lt;0")/1000,SUMIFS(AL:AL,AH:AH,Obrotowka[[#This Row],[GL_Account]],AL:AL,"&lt;0"))</f>
        <v>0</v>
      </c>
      <c r="I175" s="18">
        <f>SUM(Obrotowka[[#This Row],[BO]:[MA]])</f>
        <v>0</v>
      </c>
      <c r="J175">
        <f>IF(Obrotowka[[#This Row],[BZ]]=0,0,1)</f>
        <v>0</v>
      </c>
      <c r="K175" s="253"/>
      <c r="AF175" s="18"/>
      <c r="AU175" t="s">
        <v>8478</v>
      </c>
    </row>
    <row r="176" spans="2:47" x14ac:dyDescent="0.3">
      <c r="B176" t="s">
        <v>11766</v>
      </c>
      <c r="C176" t="s">
        <v>11767</v>
      </c>
      <c r="D176" t="s">
        <v>3505</v>
      </c>
      <c r="E176" t="s">
        <v>4326</v>
      </c>
      <c r="F176" s="18">
        <f>IF($D$5="tak",(SUMIFS(AE:AE,AA:AA,Obrotowka[[#This Row],[GL_Account]])-SUMIFS(U:U,S:S,Obrotowka[[#This Row],[GL_Account]])+SUMIFS(U:U,T:T,Obrotowka[[#This Row],[GL_Account]]))/1000,(SUMIFS(AE:AE,AA:AA,Obrotowka[[#This Row],[GL_Account]])-SUMIFS(U:U,S:S,Obrotowka[[#This Row],[GL_Account]])+SUMIFS(U:U,T:T,Obrotowka[[#This Row],[GL_Account]])))</f>
        <v>0</v>
      </c>
      <c r="G176" s="18">
        <f>IF($D$5="tak",(SUMIFS(AL:AL,AH:AH,Obrotowka[[#This Row],[GL_Account]],AL:AL,"&gt;=0")-SUMIFS(V:V,S:S,Obrotowka[[#This Row],[GL_Account]])+SUMIFS(V:V,T:T,Obrotowka[[#This Row],[GL_Account]]))/1000,(SUMIFS(AL:AL,AH:AH,Obrotowka[[#This Row],[GL_Account]],AL:AL,"&gt;=0")-SUMIFS(V:V,S:S,Obrotowka[[#This Row],[GL_Account]])+SUMIFS(V:V,T:T,Obrotowka[[#This Row],[GL_Account]])))</f>
        <v>0</v>
      </c>
      <c r="H176" s="18">
        <f>IF($D$5="tak",SUMIFS(AL:AL,AH:AH,Obrotowka[[#This Row],[GL_Account]],AL:AL,"&lt;0")/1000,SUMIFS(AL:AL,AH:AH,Obrotowka[[#This Row],[GL_Account]],AL:AL,"&lt;0"))</f>
        <v>0</v>
      </c>
      <c r="I176" s="18">
        <f>SUM(Obrotowka[[#This Row],[BO]:[MA]])</f>
        <v>0</v>
      </c>
      <c r="J176">
        <f>IF(Obrotowka[[#This Row],[BZ]]=0,0,1)</f>
        <v>0</v>
      </c>
      <c r="K176" s="253"/>
      <c r="AF176" s="18"/>
      <c r="AU176" t="s">
        <v>8478</v>
      </c>
    </row>
    <row r="177" spans="2:47" x14ac:dyDescent="0.3">
      <c r="B177" t="s">
        <v>11768</v>
      </c>
      <c r="C177" t="s">
        <v>11769</v>
      </c>
      <c r="D177" t="s">
        <v>3505</v>
      </c>
      <c r="E177" t="s">
        <v>4326</v>
      </c>
      <c r="F177" s="18">
        <f>IF($D$5="tak",(SUMIFS(AE:AE,AA:AA,Obrotowka[[#This Row],[GL_Account]])-SUMIFS(U:U,S:S,Obrotowka[[#This Row],[GL_Account]])+SUMIFS(U:U,T:T,Obrotowka[[#This Row],[GL_Account]]))/1000,(SUMIFS(AE:AE,AA:AA,Obrotowka[[#This Row],[GL_Account]])-SUMIFS(U:U,S:S,Obrotowka[[#This Row],[GL_Account]])+SUMIFS(U:U,T:T,Obrotowka[[#This Row],[GL_Account]])))</f>
        <v>0</v>
      </c>
      <c r="G177" s="18">
        <f>IF($D$5="tak",(SUMIFS(AL:AL,AH:AH,Obrotowka[[#This Row],[GL_Account]],AL:AL,"&gt;=0")-SUMIFS(V:V,S:S,Obrotowka[[#This Row],[GL_Account]])+SUMIFS(V:V,T:T,Obrotowka[[#This Row],[GL_Account]]))/1000,(SUMIFS(AL:AL,AH:AH,Obrotowka[[#This Row],[GL_Account]],AL:AL,"&gt;=0")-SUMIFS(V:V,S:S,Obrotowka[[#This Row],[GL_Account]])+SUMIFS(V:V,T:T,Obrotowka[[#This Row],[GL_Account]])))</f>
        <v>0</v>
      </c>
      <c r="H177" s="18">
        <f>IF($D$5="tak",SUMIFS(AL:AL,AH:AH,Obrotowka[[#This Row],[GL_Account]],AL:AL,"&lt;0")/1000,SUMIFS(AL:AL,AH:AH,Obrotowka[[#This Row],[GL_Account]],AL:AL,"&lt;0"))</f>
        <v>0</v>
      </c>
      <c r="I177" s="18">
        <f>SUM(Obrotowka[[#This Row],[BO]:[MA]])</f>
        <v>0</v>
      </c>
      <c r="J177">
        <f>IF(Obrotowka[[#This Row],[BZ]]=0,0,1)</f>
        <v>0</v>
      </c>
      <c r="K177" s="253"/>
      <c r="AF177" s="18"/>
      <c r="AU177" t="s">
        <v>8194</v>
      </c>
    </row>
    <row r="178" spans="2:47" x14ac:dyDescent="0.3">
      <c r="B178" t="s">
        <v>11770</v>
      </c>
      <c r="C178" t="s">
        <v>11771</v>
      </c>
      <c r="D178" t="s">
        <v>3505</v>
      </c>
      <c r="E178" t="s">
        <v>4326</v>
      </c>
      <c r="F178" s="18">
        <f>IF($D$5="tak",(SUMIFS(AE:AE,AA:AA,Obrotowka[[#This Row],[GL_Account]])-SUMIFS(U:U,S:S,Obrotowka[[#This Row],[GL_Account]])+SUMIFS(U:U,T:T,Obrotowka[[#This Row],[GL_Account]]))/1000,(SUMIFS(AE:AE,AA:AA,Obrotowka[[#This Row],[GL_Account]])-SUMIFS(U:U,S:S,Obrotowka[[#This Row],[GL_Account]])+SUMIFS(U:U,T:T,Obrotowka[[#This Row],[GL_Account]])))</f>
        <v>0</v>
      </c>
      <c r="G178" s="18">
        <f>IF($D$5="tak",(SUMIFS(AL:AL,AH:AH,Obrotowka[[#This Row],[GL_Account]],AL:AL,"&gt;=0")-SUMIFS(V:V,S:S,Obrotowka[[#This Row],[GL_Account]])+SUMIFS(V:V,T:T,Obrotowka[[#This Row],[GL_Account]]))/1000,(SUMIFS(AL:AL,AH:AH,Obrotowka[[#This Row],[GL_Account]],AL:AL,"&gt;=0")-SUMIFS(V:V,S:S,Obrotowka[[#This Row],[GL_Account]])+SUMIFS(V:V,T:T,Obrotowka[[#This Row],[GL_Account]])))</f>
        <v>0</v>
      </c>
      <c r="H178" s="18">
        <f>IF($D$5="tak",SUMIFS(AL:AL,AH:AH,Obrotowka[[#This Row],[GL_Account]],AL:AL,"&lt;0")/1000,SUMIFS(AL:AL,AH:AH,Obrotowka[[#This Row],[GL_Account]],AL:AL,"&lt;0"))</f>
        <v>0</v>
      </c>
      <c r="I178" s="18">
        <f>SUM(Obrotowka[[#This Row],[BO]:[MA]])</f>
        <v>0</v>
      </c>
      <c r="J178">
        <f>IF(Obrotowka[[#This Row],[BZ]]=0,0,1)</f>
        <v>0</v>
      </c>
      <c r="K178" s="253"/>
      <c r="AF178" s="18"/>
      <c r="AU178" t="s">
        <v>8478</v>
      </c>
    </row>
    <row r="179" spans="2:47" x14ac:dyDescent="0.3">
      <c r="B179" t="s">
        <v>11772</v>
      </c>
      <c r="C179" t="s">
        <v>11773</v>
      </c>
      <c r="D179" t="s">
        <v>3505</v>
      </c>
      <c r="E179" t="s">
        <v>4326</v>
      </c>
      <c r="F179" s="18">
        <f>IF($D$5="tak",(SUMIFS(AE:AE,AA:AA,Obrotowka[[#This Row],[GL_Account]])-SUMIFS(U:U,S:S,Obrotowka[[#This Row],[GL_Account]])+SUMIFS(U:U,T:T,Obrotowka[[#This Row],[GL_Account]]))/1000,(SUMIFS(AE:AE,AA:AA,Obrotowka[[#This Row],[GL_Account]])-SUMIFS(U:U,S:S,Obrotowka[[#This Row],[GL_Account]])+SUMIFS(U:U,T:T,Obrotowka[[#This Row],[GL_Account]])))</f>
        <v>0</v>
      </c>
      <c r="G179" s="18">
        <f>IF($D$5="tak",(SUMIFS(AL:AL,AH:AH,Obrotowka[[#This Row],[GL_Account]],AL:AL,"&gt;=0")-SUMIFS(V:V,S:S,Obrotowka[[#This Row],[GL_Account]])+SUMIFS(V:V,T:T,Obrotowka[[#This Row],[GL_Account]]))/1000,(SUMIFS(AL:AL,AH:AH,Obrotowka[[#This Row],[GL_Account]],AL:AL,"&gt;=0")-SUMIFS(V:V,S:S,Obrotowka[[#This Row],[GL_Account]])+SUMIFS(V:V,T:T,Obrotowka[[#This Row],[GL_Account]])))</f>
        <v>0</v>
      </c>
      <c r="H179" s="18">
        <f>IF($D$5="tak",SUMIFS(AL:AL,AH:AH,Obrotowka[[#This Row],[GL_Account]],AL:AL,"&lt;0")/1000,SUMIFS(AL:AL,AH:AH,Obrotowka[[#This Row],[GL_Account]],AL:AL,"&lt;0"))</f>
        <v>0</v>
      </c>
      <c r="I179" s="18">
        <f>SUM(Obrotowka[[#This Row],[BO]:[MA]])</f>
        <v>0</v>
      </c>
      <c r="J179">
        <f>IF(Obrotowka[[#This Row],[BZ]]=0,0,1)</f>
        <v>0</v>
      </c>
      <c r="K179" s="253"/>
      <c r="AF179" s="18"/>
      <c r="AU179" t="s">
        <v>8483</v>
      </c>
    </row>
    <row r="180" spans="2:47" x14ac:dyDescent="0.3">
      <c r="B180" t="s">
        <v>11774</v>
      </c>
      <c r="C180" t="s">
        <v>11775</v>
      </c>
      <c r="D180" t="s">
        <v>3505</v>
      </c>
      <c r="E180" t="s">
        <v>3509</v>
      </c>
      <c r="F180" s="18">
        <f>IF($D$5="tak",(SUMIFS(AE:AE,AA:AA,Obrotowka[[#This Row],[GL_Account]])-SUMIFS(U:U,S:S,Obrotowka[[#This Row],[GL_Account]])+SUMIFS(U:U,T:T,Obrotowka[[#This Row],[GL_Account]]))/1000,(SUMIFS(AE:AE,AA:AA,Obrotowka[[#This Row],[GL_Account]])-SUMIFS(U:U,S:S,Obrotowka[[#This Row],[GL_Account]])+SUMIFS(U:U,T:T,Obrotowka[[#This Row],[GL_Account]])))</f>
        <v>0</v>
      </c>
      <c r="G180" s="18">
        <f>IF($D$5="tak",(SUMIFS(AL:AL,AH:AH,Obrotowka[[#This Row],[GL_Account]],AL:AL,"&gt;=0")-SUMIFS(V:V,S:S,Obrotowka[[#This Row],[GL_Account]])+SUMIFS(V:V,T:T,Obrotowka[[#This Row],[GL_Account]]))/1000,(SUMIFS(AL:AL,AH:AH,Obrotowka[[#This Row],[GL_Account]],AL:AL,"&gt;=0")-SUMIFS(V:V,S:S,Obrotowka[[#This Row],[GL_Account]])+SUMIFS(V:V,T:T,Obrotowka[[#This Row],[GL_Account]])))</f>
        <v>0</v>
      </c>
      <c r="H180" s="18">
        <f>IF($D$5="tak",SUMIFS(AL:AL,AH:AH,Obrotowka[[#This Row],[GL_Account]],AL:AL,"&lt;0")/1000,SUMIFS(AL:AL,AH:AH,Obrotowka[[#This Row],[GL_Account]],AL:AL,"&lt;0"))</f>
        <v>0</v>
      </c>
      <c r="I180" s="18">
        <f>SUM(Obrotowka[[#This Row],[BO]:[MA]])</f>
        <v>0</v>
      </c>
      <c r="J180">
        <f>IF(Obrotowka[[#This Row],[BZ]]=0,0,1)</f>
        <v>0</v>
      </c>
      <c r="K180" s="253"/>
      <c r="AF180" s="18"/>
      <c r="AU180" t="s">
        <v>8486</v>
      </c>
    </row>
    <row r="181" spans="2:47" x14ac:dyDescent="0.3">
      <c r="B181" t="s">
        <v>11776</v>
      </c>
      <c r="C181" t="s">
        <v>11777</v>
      </c>
      <c r="D181" t="s">
        <v>3505</v>
      </c>
      <c r="E181" t="s">
        <v>3509</v>
      </c>
      <c r="F181" s="18">
        <f>IF($D$5="tak",(SUMIFS(AE:AE,AA:AA,Obrotowka[[#This Row],[GL_Account]])-SUMIFS(U:U,S:S,Obrotowka[[#This Row],[GL_Account]])+SUMIFS(U:U,T:T,Obrotowka[[#This Row],[GL_Account]]))/1000,(SUMIFS(AE:AE,AA:AA,Obrotowka[[#This Row],[GL_Account]])-SUMIFS(U:U,S:S,Obrotowka[[#This Row],[GL_Account]])+SUMIFS(U:U,T:T,Obrotowka[[#This Row],[GL_Account]])))</f>
        <v>0</v>
      </c>
      <c r="G181" s="18">
        <f>IF($D$5="tak",(SUMIFS(AL:AL,AH:AH,Obrotowka[[#This Row],[GL_Account]],AL:AL,"&gt;=0")-SUMIFS(V:V,S:S,Obrotowka[[#This Row],[GL_Account]])+SUMIFS(V:V,T:T,Obrotowka[[#This Row],[GL_Account]]))/1000,(SUMIFS(AL:AL,AH:AH,Obrotowka[[#This Row],[GL_Account]],AL:AL,"&gt;=0")-SUMIFS(V:V,S:S,Obrotowka[[#This Row],[GL_Account]])+SUMIFS(V:V,T:T,Obrotowka[[#This Row],[GL_Account]])))</f>
        <v>0</v>
      </c>
      <c r="H181" s="18">
        <f>IF($D$5="tak",SUMIFS(AL:AL,AH:AH,Obrotowka[[#This Row],[GL_Account]],AL:AL,"&lt;0")/1000,SUMIFS(AL:AL,AH:AH,Obrotowka[[#This Row],[GL_Account]],AL:AL,"&lt;0"))</f>
        <v>0</v>
      </c>
      <c r="I181" s="18">
        <f>SUM(Obrotowka[[#This Row],[BO]:[MA]])</f>
        <v>0</v>
      </c>
      <c r="J181">
        <f>IF(Obrotowka[[#This Row],[BZ]]=0,0,1)</f>
        <v>0</v>
      </c>
      <c r="K181" s="253"/>
      <c r="AF181" s="18"/>
      <c r="AU181" t="s">
        <v>8486</v>
      </c>
    </row>
    <row r="182" spans="2:47" x14ac:dyDescent="0.3">
      <c r="B182" t="s">
        <v>11778</v>
      </c>
      <c r="C182" t="s">
        <v>11779</v>
      </c>
      <c r="D182" t="s">
        <v>3505</v>
      </c>
      <c r="E182" t="s">
        <v>3509</v>
      </c>
      <c r="F182" s="18">
        <f>IF($D$5="tak",(SUMIFS(AE:AE,AA:AA,Obrotowka[[#This Row],[GL_Account]])-SUMIFS(U:U,S:S,Obrotowka[[#This Row],[GL_Account]])+SUMIFS(U:U,T:T,Obrotowka[[#This Row],[GL_Account]]))/1000,(SUMIFS(AE:AE,AA:AA,Obrotowka[[#This Row],[GL_Account]])-SUMIFS(U:U,S:S,Obrotowka[[#This Row],[GL_Account]])+SUMIFS(U:U,T:T,Obrotowka[[#This Row],[GL_Account]])))</f>
        <v>0</v>
      </c>
      <c r="G182" s="18">
        <f>IF($D$5="tak",(SUMIFS(AL:AL,AH:AH,Obrotowka[[#This Row],[GL_Account]],AL:AL,"&gt;=0")-SUMIFS(V:V,S:S,Obrotowka[[#This Row],[GL_Account]])+SUMIFS(V:V,T:T,Obrotowka[[#This Row],[GL_Account]]))/1000,(SUMIFS(AL:AL,AH:AH,Obrotowka[[#This Row],[GL_Account]],AL:AL,"&gt;=0")-SUMIFS(V:V,S:S,Obrotowka[[#This Row],[GL_Account]])+SUMIFS(V:V,T:T,Obrotowka[[#This Row],[GL_Account]])))</f>
        <v>0</v>
      </c>
      <c r="H182" s="18">
        <f>IF($D$5="tak",SUMIFS(AL:AL,AH:AH,Obrotowka[[#This Row],[GL_Account]],AL:AL,"&lt;0")/1000,SUMIFS(AL:AL,AH:AH,Obrotowka[[#This Row],[GL_Account]],AL:AL,"&lt;0"))</f>
        <v>0</v>
      </c>
      <c r="I182" s="18">
        <f>SUM(Obrotowka[[#This Row],[BO]:[MA]])</f>
        <v>0</v>
      </c>
      <c r="J182">
        <f>IF(Obrotowka[[#This Row],[BZ]]=0,0,1)</f>
        <v>0</v>
      </c>
      <c r="K182" s="253"/>
      <c r="AF182" s="18"/>
      <c r="AU182" t="s">
        <v>8486</v>
      </c>
    </row>
    <row r="183" spans="2:47" x14ac:dyDescent="0.3">
      <c r="B183" t="s">
        <v>11780</v>
      </c>
      <c r="C183" t="s">
        <v>7459</v>
      </c>
      <c r="D183" t="s">
        <v>3505</v>
      </c>
      <c r="E183" t="s">
        <v>3513</v>
      </c>
      <c r="F183" s="18">
        <f>IF($D$5="tak",(SUMIFS(AE:AE,AA:AA,Obrotowka[[#This Row],[GL_Account]])-SUMIFS(U:U,S:S,Obrotowka[[#This Row],[GL_Account]])+SUMIFS(U:U,T:T,Obrotowka[[#This Row],[GL_Account]]))/1000,(SUMIFS(AE:AE,AA:AA,Obrotowka[[#This Row],[GL_Account]])-SUMIFS(U:U,S:S,Obrotowka[[#This Row],[GL_Account]])+SUMIFS(U:U,T:T,Obrotowka[[#This Row],[GL_Account]])))</f>
        <v>0</v>
      </c>
      <c r="G183" s="18">
        <f>IF($D$5="tak",(SUMIFS(AL:AL,AH:AH,Obrotowka[[#This Row],[GL_Account]],AL:AL,"&gt;=0")-SUMIFS(V:V,S:S,Obrotowka[[#This Row],[GL_Account]])+SUMIFS(V:V,T:T,Obrotowka[[#This Row],[GL_Account]]))/1000,(SUMIFS(AL:AL,AH:AH,Obrotowka[[#This Row],[GL_Account]],AL:AL,"&gt;=0")-SUMIFS(V:V,S:S,Obrotowka[[#This Row],[GL_Account]])+SUMIFS(V:V,T:T,Obrotowka[[#This Row],[GL_Account]])))</f>
        <v>0</v>
      </c>
      <c r="H183" s="18">
        <f>IF($D$5="tak",SUMIFS(AL:AL,AH:AH,Obrotowka[[#This Row],[GL_Account]],AL:AL,"&lt;0")/1000,SUMIFS(AL:AL,AH:AH,Obrotowka[[#This Row],[GL_Account]],AL:AL,"&lt;0"))</f>
        <v>0</v>
      </c>
      <c r="I183" s="18">
        <f>SUM(Obrotowka[[#This Row],[BO]:[MA]])</f>
        <v>0</v>
      </c>
      <c r="J183">
        <f>IF(Obrotowka[[#This Row],[BZ]]=0,0,1)</f>
        <v>0</v>
      </c>
      <c r="K183" s="253"/>
      <c r="AF183" s="18"/>
      <c r="AU183" t="s">
        <v>11445</v>
      </c>
    </row>
    <row r="184" spans="2:47" x14ac:dyDescent="0.3">
      <c r="B184" t="s">
        <v>11781</v>
      </c>
      <c r="C184" t="s">
        <v>11782</v>
      </c>
      <c r="D184" t="s">
        <v>3505</v>
      </c>
      <c r="E184" t="s">
        <v>4326</v>
      </c>
      <c r="F184" s="18">
        <f>IF($D$5="tak",(SUMIFS(AE:AE,AA:AA,Obrotowka[[#This Row],[GL_Account]])-SUMIFS(U:U,S:S,Obrotowka[[#This Row],[GL_Account]])+SUMIFS(U:U,T:T,Obrotowka[[#This Row],[GL_Account]]))/1000,(SUMIFS(AE:AE,AA:AA,Obrotowka[[#This Row],[GL_Account]])-SUMIFS(U:U,S:S,Obrotowka[[#This Row],[GL_Account]])+SUMIFS(U:U,T:T,Obrotowka[[#This Row],[GL_Account]])))</f>
        <v>0</v>
      </c>
      <c r="G184" s="18">
        <f>IF($D$5="tak",(SUMIFS(AL:AL,AH:AH,Obrotowka[[#This Row],[GL_Account]],AL:AL,"&gt;=0")-SUMIFS(V:V,S:S,Obrotowka[[#This Row],[GL_Account]])+SUMIFS(V:V,T:T,Obrotowka[[#This Row],[GL_Account]]))/1000,(SUMIFS(AL:AL,AH:AH,Obrotowka[[#This Row],[GL_Account]],AL:AL,"&gt;=0")-SUMIFS(V:V,S:S,Obrotowka[[#This Row],[GL_Account]])+SUMIFS(V:V,T:T,Obrotowka[[#This Row],[GL_Account]])))</f>
        <v>0</v>
      </c>
      <c r="H184" s="18">
        <f>IF($D$5="tak",SUMIFS(AL:AL,AH:AH,Obrotowka[[#This Row],[GL_Account]],AL:AL,"&lt;0")/1000,SUMIFS(AL:AL,AH:AH,Obrotowka[[#This Row],[GL_Account]],AL:AL,"&lt;0"))</f>
        <v>0</v>
      </c>
      <c r="I184" s="18">
        <f>SUM(Obrotowka[[#This Row],[BO]:[MA]])</f>
        <v>0</v>
      </c>
      <c r="J184">
        <f>IF(Obrotowka[[#This Row],[BZ]]=0,0,1)</f>
        <v>0</v>
      </c>
      <c r="K184" s="253"/>
      <c r="AF184" s="18"/>
      <c r="AU184" t="s">
        <v>8486</v>
      </c>
    </row>
    <row r="185" spans="2:47" x14ac:dyDescent="0.3">
      <c r="B185" t="s">
        <v>11783</v>
      </c>
      <c r="C185" t="s">
        <v>11784</v>
      </c>
      <c r="D185" t="s">
        <v>3505</v>
      </c>
      <c r="E185" t="s">
        <v>4326</v>
      </c>
      <c r="F185" s="18">
        <f>IF($D$5="tak",(SUMIFS(AE:AE,AA:AA,Obrotowka[[#This Row],[GL_Account]])-SUMIFS(U:U,S:S,Obrotowka[[#This Row],[GL_Account]])+SUMIFS(U:U,T:T,Obrotowka[[#This Row],[GL_Account]]))/1000,(SUMIFS(AE:AE,AA:AA,Obrotowka[[#This Row],[GL_Account]])-SUMIFS(U:U,S:S,Obrotowka[[#This Row],[GL_Account]])+SUMIFS(U:U,T:T,Obrotowka[[#This Row],[GL_Account]])))</f>
        <v>0</v>
      </c>
      <c r="G185" s="18">
        <f>IF($D$5="tak",(SUMIFS(AL:AL,AH:AH,Obrotowka[[#This Row],[GL_Account]],AL:AL,"&gt;=0")-SUMIFS(V:V,S:S,Obrotowka[[#This Row],[GL_Account]])+SUMIFS(V:V,T:T,Obrotowka[[#This Row],[GL_Account]]))/1000,(SUMIFS(AL:AL,AH:AH,Obrotowka[[#This Row],[GL_Account]],AL:AL,"&gt;=0")-SUMIFS(V:V,S:S,Obrotowka[[#This Row],[GL_Account]])+SUMIFS(V:V,T:T,Obrotowka[[#This Row],[GL_Account]])))</f>
        <v>0</v>
      </c>
      <c r="H185" s="18">
        <f>IF($D$5="tak",SUMIFS(AL:AL,AH:AH,Obrotowka[[#This Row],[GL_Account]],AL:AL,"&lt;0")/1000,SUMIFS(AL:AL,AH:AH,Obrotowka[[#This Row],[GL_Account]],AL:AL,"&lt;0"))</f>
        <v>0</v>
      </c>
      <c r="I185" s="18">
        <f>SUM(Obrotowka[[#This Row],[BO]:[MA]])</f>
        <v>0</v>
      </c>
      <c r="J185">
        <f>IF(Obrotowka[[#This Row],[BZ]]=0,0,1)</f>
        <v>0</v>
      </c>
      <c r="K185" s="253"/>
      <c r="AF185" s="18"/>
      <c r="AU185" t="s">
        <v>8486</v>
      </c>
    </row>
    <row r="186" spans="2:47" x14ac:dyDescent="0.3">
      <c r="B186" t="s">
        <v>11785</v>
      </c>
      <c r="C186" t="s">
        <v>11786</v>
      </c>
      <c r="D186" t="s">
        <v>3505</v>
      </c>
      <c r="E186" t="s">
        <v>3513</v>
      </c>
      <c r="F186" s="18">
        <f>IF($D$5="tak",(SUMIFS(AE:AE,AA:AA,Obrotowka[[#This Row],[GL_Account]])-SUMIFS(U:U,S:S,Obrotowka[[#This Row],[GL_Account]])+SUMIFS(U:U,T:T,Obrotowka[[#This Row],[GL_Account]]))/1000,(SUMIFS(AE:AE,AA:AA,Obrotowka[[#This Row],[GL_Account]])-SUMIFS(U:U,S:S,Obrotowka[[#This Row],[GL_Account]])+SUMIFS(U:U,T:T,Obrotowka[[#This Row],[GL_Account]])))</f>
        <v>0</v>
      </c>
      <c r="G186" s="18">
        <f>IF($D$5="tak",(SUMIFS(AL:AL,AH:AH,Obrotowka[[#This Row],[GL_Account]],AL:AL,"&gt;=0")-SUMIFS(V:V,S:S,Obrotowka[[#This Row],[GL_Account]])+SUMIFS(V:V,T:T,Obrotowka[[#This Row],[GL_Account]]))/1000,(SUMIFS(AL:AL,AH:AH,Obrotowka[[#This Row],[GL_Account]],AL:AL,"&gt;=0")-SUMIFS(V:V,S:S,Obrotowka[[#This Row],[GL_Account]])+SUMIFS(V:V,T:T,Obrotowka[[#This Row],[GL_Account]])))</f>
        <v>0</v>
      </c>
      <c r="H186" s="18">
        <f>IF($D$5="tak",SUMIFS(AL:AL,AH:AH,Obrotowka[[#This Row],[GL_Account]],AL:AL,"&lt;0")/1000,SUMIFS(AL:AL,AH:AH,Obrotowka[[#This Row],[GL_Account]],AL:AL,"&lt;0"))</f>
        <v>0</v>
      </c>
      <c r="I186" s="18">
        <f>SUM(Obrotowka[[#This Row],[BO]:[MA]])</f>
        <v>0</v>
      </c>
      <c r="J186">
        <f>IF(Obrotowka[[#This Row],[BZ]]=0,0,1)</f>
        <v>0</v>
      </c>
      <c r="K186" s="253"/>
      <c r="AF186" s="18"/>
      <c r="AU186" t="s">
        <v>8433</v>
      </c>
    </row>
    <row r="187" spans="2:47" x14ac:dyDescent="0.3">
      <c r="B187" t="s">
        <v>11787</v>
      </c>
      <c r="C187" t="s">
        <v>11788</v>
      </c>
      <c r="D187" t="s">
        <v>3505</v>
      </c>
      <c r="E187" t="s">
        <v>3513</v>
      </c>
      <c r="F187" s="18">
        <f>IF($D$5="tak",(SUMIFS(AE:AE,AA:AA,Obrotowka[[#This Row],[GL_Account]])-SUMIFS(U:U,S:S,Obrotowka[[#This Row],[GL_Account]])+SUMIFS(U:U,T:T,Obrotowka[[#This Row],[GL_Account]]))/1000,(SUMIFS(AE:AE,AA:AA,Obrotowka[[#This Row],[GL_Account]])-SUMIFS(U:U,S:S,Obrotowka[[#This Row],[GL_Account]])+SUMIFS(U:U,T:T,Obrotowka[[#This Row],[GL_Account]])))</f>
        <v>0</v>
      </c>
      <c r="G187" s="18">
        <f>IF($D$5="tak",(SUMIFS(AL:AL,AH:AH,Obrotowka[[#This Row],[GL_Account]],AL:AL,"&gt;=0")-SUMIFS(V:V,S:S,Obrotowka[[#This Row],[GL_Account]])+SUMIFS(V:V,T:T,Obrotowka[[#This Row],[GL_Account]]))/1000,(SUMIFS(AL:AL,AH:AH,Obrotowka[[#This Row],[GL_Account]],AL:AL,"&gt;=0")-SUMIFS(V:V,S:S,Obrotowka[[#This Row],[GL_Account]])+SUMIFS(V:V,T:T,Obrotowka[[#This Row],[GL_Account]])))</f>
        <v>0</v>
      </c>
      <c r="H187" s="18">
        <f>IF($D$5="tak",SUMIFS(AL:AL,AH:AH,Obrotowka[[#This Row],[GL_Account]],AL:AL,"&lt;0")/1000,SUMIFS(AL:AL,AH:AH,Obrotowka[[#This Row],[GL_Account]],AL:AL,"&lt;0"))</f>
        <v>0</v>
      </c>
      <c r="I187" s="18">
        <f>SUM(Obrotowka[[#This Row],[BO]:[MA]])</f>
        <v>0</v>
      </c>
      <c r="J187">
        <f>IF(Obrotowka[[#This Row],[BZ]]=0,0,1)</f>
        <v>0</v>
      </c>
      <c r="K187" s="253"/>
      <c r="AF187" s="18"/>
      <c r="AU187" t="s">
        <v>8380</v>
      </c>
    </row>
    <row r="188" spans="2:47" x14ac:dyDescent="0.3">
      <c r="B188" t="s">
        <v>11789</v>
      </c>
      <c r="C188" t="s">
        <v>11790</v>
      </c>
      <c r="D188" t="s">
        <v>3505</v>
      </c>
      <c r="E188" t="s">
        <v>3513</v>
      </c>
      <c r="F188" s="18">
        <f>IF($D$5="tak",(SUMIFS(AE:AE,AA:AA,Obrotowka[[#This Row],[GL_Account]])-SUMIFS(U:U,S:S,Obrotowka[[#This Row],[GL_Account]])+SUMIFS(U:U,T:T,Obrotowka[[#This Row],[GL_Account]]))/1000,(SUMIFS(AE:AE,AA:AA,Obrotowka[[#This Row],[GL_Account]])-SUMIFS(U:U,S:S,Obrotowka[[#This Row],[GL_Account]])+SUMIFS(U:U,T:T,Obrotowka[[#This Row],[GL_Account]])))</f>
        <v>0</v>
      </c>
      <c r="G188" s="18">
        <f>IF($D$5="tak",(SUMIFS(AL:AL,AH:AH,Obrotowka[[#This Row],[GL_Account]],AL:AL,"&gt;=0")-SUMIFS(V:V,S:S,Obrotowka[[#This Row],[GL_Account]])+SUMIFS(V:V,T:T,Obrotowka[[#This Row],[GL_Account]]))/1000,(SUMIFS(AL:AL,AH:AH,Obrotowka[[#This Row],[GL_Account]],AL:AL,"&gt;=0")-SUMIFS(V:V,S:S,Obrotowka[[#This Row],[GL_Account]])+SUMIFS(V:V,T:T,Obrotowka[[#This Row],[GL_Account]])))</f>
        <v>0</v>
      </c>
      <c r="H188" s="18">
        <f>IF($D$5="tak",SUMIFS(AL:AL,AH:AH,Obrotowka[[#This Row],[GL_Account]],AL:AL,"&lt;0")/1000,SUMIFS(AL:AL,AH:AH,Obrotowka[[#This Row],[GL_Account]],AL:AL,"&lt;0"))</f>
        <v>0</v>
      </c>
      <c r="I188" s="18">
        <f>SUM(Obrotowka[[#This Row],[BO]:[MA]])</f>
        <v>0</v>
      </c>
      <c r="J188">
        <f>IF(Obrotowka[[#This Row],[BZ]]=0,0,1)</f>
        <v>0</v>
      </c>
      <c r="K188" s="253"/>
      <c r="AF188" s="18"/>
      <c r="AU188" t="s">
        <v>8486</v>
      </c>
    </row>
    <row r="189" spans="2:47" x14ac:dyDescent="0.3">
      <c r="B189" t="s">
        <v>11791</v>
      </c>
      <c r="C189" t="s">
        <v>11792</v>
      </c>
      <c r="D189" t="s">
        <v>3505</v>
      </c>
      <c r="E189" t="s">
        <v>3513</v>
      </c>
      <c r="F189" s="18">
        <f>IF($D$5="tak",(SUMIFS(AE:AE,AA:AA,Obrotowka[[#This Row],[GL_Account]])-SUMIFS(U:U,S:S,Obrotowka[[#This Row],[GL_Account]])+SUMIFS(U:U,T:T,Obrotowka[[#This Row],[GL_Account]]))/1000,(SUMIFS(AE:AE,AA:AA,Obrotowka[[#This Row],[GL_Account]])-SUMIFS(U:U,S:S,Obrotowka[[#This Row],[GL_Account]])+SUMIFS(U:U,T:T,Obrotowka[[#This Row],[GL_Account]])))</f>
        <v>0</v>
      </c>
      <c r="G189" s="18">
        <f>IF($D$5="tak",(SUMIFS(AL:AL,AH:AH,Obrotowka[[#This Row],[GL_Account]],AL:AL,"&gt;=0")-SUMIFS(V:V,S:S,Obrotowka[[#This Row],[GL_Account]])+SUMIFS(V:V,T:T,Obrotowka[[#This Row],[GL_Account]]))/1000,(SUMIFS(AL:AL,AH:AH,Obrotowka[[#This Row],[GL_Account]],AL:AL,"&gt;=0")-SUMIFS(V:V,S:S,Obrotowka[[#This Row],[GL_Account]])+SUMIFS(V:V,T:T,Obrotowka[[#This Row],[GL_Account]])))</f>
        <v>0</v>
      </c>
      <c r="H189" s="18">
        <f>IF($D$5="tak",SUMIFS(AL:AL,AH:AH,Obrotowka[[#This Row],[GL_Account]],AL:AL,"&lt;0")/1000,SUMIFS(AL:AL,AH:AH,Obrotowka[[#This Row],[GL_Account]],AL:AL,"&lt;0"))</f>
        <v>0</v>
      </c>
      <c r="I189" s="18">
        <f>SUM(Obrotowka[[#This Row],[BO]:[MA]])</f>
        <v>0</v>
      </c>
      <c r="J189">
        <f>IF(Obrotowka[[#This Row],[BZ]]=0,0,1)</f>
        <v>0</v>
      </c>
      <c r="K189" s="253"/>
      <c r="AF189" s="18"/>
      <c r="AU189" t="s">
        <v>8412</v>
      </c>
    </row>
    <row r="190" spans="2:47" x14ac:dyDescent="0.3">
      <c r="B190" t="s">
        <v>11793</v>
      </c>
      <c r="C190" t="s">
        <v>11794</v>
      </c>
      <c r="D190" t="s">
        <v>3505</v>
      </c>
      <c r="E190" t="s">
        <v>3509</v>
      </c>
      <c r="F190" s="18">
        <f>IF($D$5="tak",(SUMIFS(AE:AE,AA:AA,Obrotowka[[#This Row],[GL_Account]])-SUMIFS(U:U,S:S,Obrotowka[[#This Row],[GL_Account]])+SUMIFS(U:U,T:T,Obrotowka[[#This Row],[GL_Account]]))/1000,(SUMIFS(AE:AE,AA:AA,Obrotowka[[#This Row],[GL_Account]])-SUMIFS(U:U,S:S,Obrotowka[[#This Row],[GL_Account]])+SUMIFS(U:U,T:T,Obrotowka[[#This Row],[GL_Account]])))</f>
        <v>0</v>
      </c>
      <c r="G190" s="18">
        <f>IF($D$5="tak",(SUMIFS(AL:AL,AH:AH,Obrotowka[[#This Row],[GL_Account]],AL:AL,"&gt;=0")-SUMIFS(V:V,S:S,Obrotowka[[#This Row],[GL_Account]])+SUMIFS(V:V,T:T,Obrotowka[[#This Row],[GL_Account]]))/1000,(SUMIFS(AL:AL,AH:AH,Obrotowka[[#This Row],[GL_Account]],AL:AL,"&gt;=0")-SUMIFS(V:V,S:S,Obrotowka[[#This Row],[GL_Account]])+SUMIFS(V:V,T:T,Obrotowka[[#This Row],[GL_Account]])))</f>
        <v>0</v>
      </c>
      <c r="H190" s="18">
        <f>IF($D$5="tak",SUMIFS(AL:AL,AH:AH,Obrotowka[[#This Row],[GL_Account]],AL:AL,"&lt;0")/1000,SUMIFS(AL:AL,AH:AH,Obrotowka[[#This Row],[GL_Account]],AL:AL,"&lt;0"))</f>
        <v>0</v>
      </c>
      <c r="I190" s="18">
        <f>SUM(Obrotowka[[#This Row],[BO]:[MA]])</f>
        <v>0</v>
      </c>
      <c r="J190">
        <f>IF(Obrotowka[[#This Row],[BZ]]=0,0,1)</f>
        <v>0</v>
      </c>
      <c r="K190" s="253"/>
      <c r="AF190" s="18"/>
      <c r="AU190" t="s">
        <v>8165</v>
      </c>
    </row>
    <row r="191" spans="2:47" x14ac:dyDescent="0.3">
      <c r="B191" t="s">
        <v>11795</v>
      </c>
      <c r="C191" t="s">
        <v>11796</v>
      </c>
      <c r="D191" t="s">
        <v>3505</v>
      </c>
      <c r="E191" t="s">
        <v>3509</v>
      </c>
      <c r="F191" s="18">
        <f>IF($D$5="tak",(SUMIFS(AE:AE,AA:AA,Obrotowka[[#This Row],[GL_Account]])-SUMIFS(U:U,S:S,Obrotowka[[#This Row],[GL_Account]])+SUMIFS(U:U,T:T,Obrotowka[[#This Row],[GL_Account]]))/1000,(SUMIFS(AE:AE,AA:AA,Obrotowka[[#This Row],[GL_Account]])-SUMIFS(U:U,S:S,Obrotowka[[#This Row],[GL_Account]])+SUMIFS(U:U,T:T,Obrotowka[[#This Row],[GL_Account]])))</f>
        <v>0</v>
      </c>
      <c r="G191" s="18">
        <f>IF($D$5="tak",(SUMIFS(AL:AL,AH:AH,Obrotowka[[#This Row],[GL_Account]],AL:AL,"&gt;=0")-SUMIFS(V:V,S:S,Obrotowka[[#This Row],[GL_Account]])+SUMIFS(V:V,T:T,Obrotowka[[#This Row],[GL_Account]]))/1000,(SUMIFS(AL:AL,AH:AH,Obrotowka[[#This Row],[GL_Account]],AL:AL,"&gt;=0")-SUMIFS(V:V,S:S,Obrotowka[[#This Row],[GL_Account]])+SUMIFS(V:V,T:T,Obrotowka[[#This Row],[GL_Account]])))</f>
        <v>0</v>
      </c>
      <c r="H191" s="18">
        <f>IF($D$5="tak",SUMIFS(AL:AL,AH:AH,Obrotowka[[#This Row],[GL_Account]],AL:AL,"&lt;0")/1000,SUMIFS(AL:AL,AH:AH,Obrotowka[[#This Row],[GL_Account]],AL:AL,"&lt;0"))</f>
        <v>0</v>
      </c>
      <c r="I191" s="18">
        <f>SUM(Obrotowka[[#This Row],[BO]:[MA]])</f>
        <v>0</v>
      </c>
      <c r="J191">
        <f>IF(Obrotowka[[#This Row],[BZ]]=0,0,1)</f>
        <v>0</v>
      </c>
      <c r="K191" s="253"/>
      <c r="AF191" s="18"/>
      <c r="AU191" t="s">
        <v>8018</v>
      </c>
    </row>
    <row r="192" spans="2:47" x14ac:dyDescent="0.3">
      <c r="B192" t="s">
        <v>11797</v>
      </c>
      <c r="C192" t="s">
        <v>11798</v>
      </c>
      <c r="D192" t="s">
        <v>3505</v>
      </c>
      <c r="E192" t="s">
        <v>3509</v>
      </c>
      <c r="F192" s="18">
        <f>IF($D$5="tak",(SUMIFS(AE:AE,AA:AA,Obrotowka[[#This Row],[GL_Account]])-SUMIFS(U:U,S:S,Obrotowka[[#This Row],[GL_Account]])+SUMIFS(U:U,T:T,Obrotowka[[#This Row],[GL_Account]]))/1000,(SUMIFS(AE:AE,AA:AA,Obrotowka[[#This Row],[GL_Account]])-SUMIFS(U:U,S:S,Obrotowka[[#This Row],[GL_Account]])+SUMIFS(U:U,T:T,Obrotowka[[#This Row],[GL_Account]])))</f>
        <v>0</v>
      </c>
      <c r="G192" s="18">
        <f>IF($D$5="tak",(SUMIFS(AL:AL,AH:AH,Obrotowka[[#This Row],[GL_Account]],AL:AL,"&gt;=0")-SUMIFS(V:V,S:S,Obrotowka[[#This Row],[GL_Account]])+SUMIFS(V:V,T:T,Obrotowka[[#This Row],[GL_Account]]))/1000,(SUMIFS(AL:AL,AH:AH,Obrotowka[[#This Row],[GL_Account]],AL:AL,"&gt;=0")-SUMIFS(V:V,S:S,Obrotowka[[#This Row],[GL_Account]])+SUMIFS(V:V,T:T,Obrotowka[[#This Row],[GL_Account]])))</f>
        <v>0</v>
      </c>
      <c r="H192" s="18">
        <f>IF($D$5="tak",SUMIFS(AL:AL,AH:AH,Obrotowka[[#This Row],[GL_Account]],AL:AL,"&lt;0")/1000,SUMIFS(AL:AL,AH:AH,Obrotowka[[#This Row],[GL_Account]],AL:AL,"&lt;0"))</f>
        <v>0</v>
      </c>
      <c r="I192" s="18">
        <f>SUM(Obrotowka[[#This Row],[BO]:[MA]])</f>
        <v>0</v>
      </c>
      <c r="J192">
        <f>IF(Obrotowka[[#This Row],[BZ]]=0,0,1)</f>
        <v>0</v>
      </c>
      <c r="K192" s="253"/>
      <c r="AF192" s="18"/>
      <c r="AU192" t="s">
        <v>8197</v>
      </c>
    </row>
    <row r="193" spans="2:47" x14ac:dyDescent="0.3">
      <c r="B193" t="s">
        <v>11799</v>
      </c>
      <c r="C193" t="s">
        <v>11800</v>
      </c>
      <c r="D193" t="s">
        <v>3505</v>
      </c>
      <c r="E193" t="s">
        <v>3509</v>
      </c>
      <c r="F193" s="18">
        <f>IF($D$5="tak",(SUMIFS(AE:AE,AA:AA,Obrotowka[[#This Row],[GL_Account]])-SUMIFS(U:U,S:S,Obrotowka[[#This Row],[GL_Account]])+SUMIFS(U:U,T:T,Obrotowka[[#This Row],[GL_Account]]))/1000,(SUMIFS(AE:AE,AA:AA,Obrotowka[[#This Row],[GL_Account]])-SUMIFS(U:U,S:S,Obrotowka[[#This Row],[GL_Account]])+SUMIFS(U:U,T:T,Obrotowka[[#This Row],[GL_Account]])))</f>
        <v>0</v>
      </c>
      <c r="G193" s="18">
        <f>IF($D$5="tak",(SUMIFS(AL:AL,AH:AH,Obrotowka[[#This Row],[GL_Account]],AL:AL,"&gt;=0")-SUMIFS(V:V,S:S,Obrotowka[[#This Row],[GL_Account]])+SUMIFS(V:V,T:T,Obrotowka[[#This Row],[GL_Account]]))/1000,(SUMIFS(AL:AL,AH:AH,Obrotowka[[#This Row],[GL_Account]],AL:AL,"&gt;=0")-SUMIFS(V:V,S:S,Obrotowka[[#This Row],[GL_Account]])+SUMIFS(V:V,T:T,Obrotowka[[#This Row],[GL_Account]])))</f>
        <v>0</v>
      </c>
      <c r="H193" s="18">
        <f>IF($D$5="tak",SUMIFS(AL:AL,AH:AH,Obrotowka[[#This Row],[GL_Account]],AL:AL,"&lt;0")/1000,SUMIFS(AL:AL,AH:AH,Obrotowka[[#This Row],[GL_Account]],AL:AL,"&lt;0"))</f>
        <v>0</v>
      </c>
      <c r="I193" s="18">
        <f>SUM(Obrotowka[[#This Row],[BO]:[MA]])</f>
        <v>0</v>
      </c>
      <c r="J193">
        <f>IF(Obrotowka[[#This Row],[BZ]]=0,0,1)</f>
        <v>0</v>
      </c>
      <c r="K193" s="253"/>
      <c r="AF193" s="18"/>
      <c r="AU193" t="s">
        <v>8027</v>
      </c>
    </row>
    <row r="194" spans="2:47" x14ac:dyDescent="0.3">
      <c r="B194" t="s">
        <v>11801</v>
      </c>
      <c r="C194" t="s">
        <v>11802</v>
      </c>
      <c r="D194" t="s">
        <v>3505</v>
      </c>
      <c r="E194" t="s">
        <v>4326</v>
      </c>
      <c r="F194" s="18">
        <f>IF($D$5="tak",(SUMIFS(AE:AE,AA:AA,Obrotowka[[#This Row],[GL_Account]])-SUMIFS(U:U,S:S,Obrotowka[[#This Row],[GL_Account]])+SUMIFS(U:U,T:T,Obrotowka[[#This Row],[GL_Account]]))/1000,(SUMIFS(AE:AE,AA:AA,Obrotowka[[#This Row],[GL_Account]])-SUMIFS(U:U,S:S,Obrotowka[[#This Row],[GL_Account]])+SUMIFS(U:U,T:T,Obrotowka[[#This Row],[GL_Account]])))</f>
        <v>0</v>
      </c>
      <c r="G194" s="18">
        <f>IF($D$5="tak",(SUMIFS(AL:AL,AH:AH,Obrotowka[[#This Row],[GL_Account]],AL:AL,"&gt;=0")-SUMIFS(V:V,S:S,Obrotowka[[#This Row],[GL_Account]])+SUMIFS(V:V,T:T,Obrotowka[[#This Row],[GL_Account]]))/1000,(SUMIFS(AL:AL,AH:AH,Obrotowka[[#This Row],[GL_Account]],AL:AL,"&gt;=0")-SUMIFS(V:V,S:S,Obrotowka[[#This Row],[GL_Account]])+SUMIFS(V:V,T:T,Obrotowka[[#This Row],[GL_Account]])))</f>
        <v>0</v>
      </c>
      <c r="H194" s="18">
        <f>IF($D$5="tak",SUMIFS(AL:AL,AH:AH,Obrotowka[[#This Row],[GL_Account]],AL:AL,"&lt;0")/1000,SUMIFS(AL:AL,AH:AH,Obrotowka[[#This Row],[GL_Account]],AL:AL,"&lt;0"))</f>
        <v>0</v>
      </c>
      <c r="I194" s="18">
        <f>SUM(Obrotowka[[#This Row],[BO]:[MA]])</f>
        <v>0</v>
      </c>
      <c r="J194">
        <f>IF(Obrotowka[[#This Row],[BZ]]=0,0,1)</f>
        <v>0</v>
      </c>
      <c r="K194" s="253"/>
      <c r="AF194" s="18"/>
      <c r="AU194" t="s">
        <v>8486</v>
      </c>
    </row>
    <row r="195" spans="2:47" x14ac:dyDescent="0.3">
      <c r="B195" t="s">
        <v>11803</v>
      </c>
      <c r="C195" t="s">
        <v>11804</v>
      </c>
      <c r="D195" t="s">
        <v>3505</v>
      </c>
      <c r="E195" t="s">
        <v>4326</v>
      </c>
      <c r="F195" s="18">
        <f>IF($D$5="tak",(SUMIFS(AE:AE,AA:AA,Obrotowka[[#This Row],[GL_Account]])-SUMIFS(U:U,S:S,Obrotowka[[#This Row],[GL_Account]])+SUMIFS(U:U,T:T,Obrotowka[[#This Row],[GL_Account]]))/1000,(SUMIFS(AE:AE,AA:AA,Obrotowka[[#This Row],[GL_Account]])-SUMIFS(U:U,S:S,Obrotowka[[#This Row],[GL_Account]])+SUMIFS(U:U,T:T,Obrotowka[[#This Row],[GL_Account]])))</f>
        <v>0</v>
      </c>
      <c r="G195" s="18">
        <f>IF($D$5="tak",(SUMIFS(AL:AL,AH:AH,Obrotowka[[#This Row],[GL_Account]],AL:AL,"&gt;=0")-SUMIFS(V:V,S:S,Obrotowka[[#This Row],[GL_Account]])+SUMIFS(V:V,T:T,Obrotowka[[#This Row],[GL_Account]]))/1000,(SUMIFS(AL:AL,AH:AH,Obrotowka[[#This Row],[GL_Account]],AL:AL,"&gt;=0")-SUMIFS(V:V,S:S,Obrotowka[[#This Row],[GL_Account]])+SUMIFS(V:V,T:T,Obrotowka[[#This Row],[GL_Account]])))</f>
        <v>0</v>
      </c>
      <c r="H195" s="18">
        <f>IF($D$5="tak",SUMIFS(AL:AL,AH:AH,Obrotowka[[#This Row],[GL_Account]],AL:AL,"&lt;0")/1000,SUMIFS(AL:AL,AH:AH,Obrotowka[[#This Row],[GL_Account]],AL:AL,"&lt;0"))</f>
        <v>0</v>
      </c>
      <c r="I195" s="18">
        <f>SUM(Obrotowka[[#This Row],[BO]:[MA]])</f>
        <v>0</v>
      </c>
      <c r="J195">
        <f>IF(Obrotowka[[#This Row],[BZ]]=0,0,1)</f>
        <v>0</v>
      </c>
      <c r="K195" s="253"/>
      <c r="AF195" s="18"/>
      <c r="AU195" t="s">
        <v>8412</v>
      </c>
    </row>
    <row r="196" spans="2:47" x14ac:dyDescent="0.3">
      <c r="B196" t="s">
        <v>11805</v>
      </c>
      <c r="C196" t="s">
        <v>11806</v>
      </c>
      <c r="D196" t="s">
        <v>3505</v>
      </c>
      <c r="E196" t="s">
        <v>3509</v>
      </c>
      <c r="F196" s="18">
        <f>IF($D$5="tak",(SUMIFS(AE:AE,AA:AA,Obrotowka[[#This Row],[GL_Account]])-SUMIFS(U:U,S:S,Obrotowka[[#This Row],[GL_Account]])+SUMIFS(U:U,T:T,Obrotowka[[#This Row],[GL_Account]]))/1000,(SUMIFS(AE:AE,AA:AA,Obrotowka[[#This Row],[GL_Account]])-SUMIFS(U:U,S:S,Obrotowka[[#This Row],[GL_Account]])+SUMIFS(U:U,T:T,Obrotowka[[#This Row],[GL_Account]])))</f>
        <v>0</v>
      </c>
      <c r="G196" s="18">
        <f>IF($D$5="tak",(SUMIFS(AL:AL,AH:AH,Obrotowka[[#This Row],[GL_Account]],AL:AL,"&gt;=0")-SUMIFS(V:V,S:S,Obrotowka[[#This Row],[GL_Account]])+SUMIFS(V:V,T:T,Obrotowka[[#This Row],[GL_Account]]))/1000,(SUMIFS(AL:AL,AH:AH,Obrotowka[[#This Row],[GL_Account]],AL:AL,"&gt;=0")-SUMIFS(V:V,S:S,Obrotowka[[#This Row],[GL_Account]])+SUMIFS(V:V,T:T,Obrotowka[[#This Row],[GL_Account]])))</f>
        <v>0</v>
      </c>
      <c r="H196" s="18">
        <f>IF($D$5="tak",SUMIFS(AL:AL,AH:AH,Obrotowka[[#This Row],[GL_Account]],AL:AL,"&lt;0")/1000,SUMIFS(AL:AL,AH:AH,Obrotowka[[#This Row],[GL_Account]],AL:AL,"&lt;0"))</f>
        <v>0</v>
      </c>
      <c r="I196" s="18">
        <f>SUM(Obrotowka[[#This Row],[BO]:[MA]])</f>
        <v>0</v>
      </c>
      <c r="J196">
        <f>IF(Obrotowka[[#This Row],[BZ]]=0,0,1)</f>
        <v>0</v>
      </c>
      <c r="K196" s="253"/>
      <c r="AF196" s="18"/>
      <c r="AU196" t="s">
        <v>8433</v>
      </c>
    </row>
    <row r="197" spans="2:47" x14ac:dyDescent="0.3">
      <c r="B197" t="s">
        <v>11807</v>
      </c>
      <c r="C197" t="s">
        <v>11808</v>
      </c>
      <c r="D197" t="s">
        <v>3505</v>
      </c>
      <c r="E197" t="s">
        <v>3509</v>
      </c>
      <c r="F197" s="18">
        <f>IF($D$5="tak",(SUMIFS(AE:AE,AA:AA,Obrotowka[[#This Row],[GL_Account]])-SUMIFS(U:U,S:S,Obrotowka[[#This Row],[GL_Account]])+SUMIFS(U:U,T:T,Obrotowka[[#This Row],[GL_Account]]))/1000,(SUMIFS(AE:AE,AA:AA,Obrotowka[[#This Row],[GL_Account]])-SUMIFS(U:U,S:S,Obrotowka[[#This Row],[GL_Account]])+SUMIFS(U:U,T:T,Obrotowka[[#This Row],[GL_Account]])))</f>
        <v>0</v>
      </c>
      <c r="G197" s="18">
        <f>IF($D$5="tak",(SUMIFS(AL:AL,AH:AH,Obrotowka[[#This Row],[GL_Account]],AL:AL,"&gt;=0")-SUMIFS(V:V,S:S,Obrotowka[[#This Row],[GL_Account]])+SUMIFS(V:V,T:T,Obrotowka[[#This Row],[GL_Account]]))/1000,(SUMIFS(AL:AL,AH:AH,Obrotowka[[#This Row],[GL_Account]],AL:AL,"&gt;=0")-SUMIFS(V:V,S:S,Obrotowka[[#This Row],[GL_Account]])+SUMIFS(V:V,T:T,Obrotowka[[#This Row],[GL_Account]])))</f>
        <v>0</v>
      </c>
      <c r="H197" s="18">
        <f>IF($D$5="tak",SUMIFS(AL:AL,AH:AH,Obrotowka[[#This Row],[GL_Account]],AL:AL,"&lt;0")/1000,SUMIFS(AL:AL,AH:AH,Obrotowka[[#This Row],[GL_Account]],AL:AL,"&lt;0"))</f>
        <v>0</v>
      </c>
      <c r="I197" s="18">
        <f>SUM(Obrotowka[[#This Row],[BO]:[MA]])</f>
        <v>0</v>
      </c>
      <c r="J197">
        <f>IF(Obrotowka[[#This Row],[BZ]]=0,0,1)</f>
        <v>0</v>
      </c>
      <c r="K197" s="253"/>
      <c r="AF197" s="18"/>
      <c r="AU197" t="s">
        <v>8486</v>
      </c>
    </row>
    <row r="198" spans="2:47" x14ac:dyDescent="0.3">
      <c r="B198" t="s">
        <v>11809</v>
      </c>
      <c r="C198" t="s">
        <v>11810</v>
      </c>
      <c r="D198" t="s">
        <v>3505</v>
      </c>
      <c r="E198" t="s">
        <v>4326</v>
      </c>
      <c r="F198" s="18">
        <f>IF($D$5="tak",(SUMIFS(AE:AE,AA:AA,Obrotowka[[#This Row],[GL_Account]])-SUMIFS(U:U,S:S,Obrotowka[[#This Row],[GL_Account]])+SUMIFS(U:U,T:T,Obrotowka[[#This Row],[GL_Account]]))/1000,(SUMIFS(AE:AE,AA:AA,Obrotowka[[#This Row],[GL_Account]])-SUMIFS(U:U,S:S,Obrotowka[[#This Row],[GL_Account]])+SUMIFS(U:U,T:T,Obrotowka[[#This Row],[GL_Account]])))</f>
        <v>0</v>
      </c>
      <c r="G198" s="18">
        <f>IF($D$5="tak",(SUMIFS(AL:AL,AH:AH,Obrotowka[[#This Row],[GL_Account]],AL:AL,"&gt;=0")-SUMIFS(V:V,S:S,Obrotowka[[#This Row],[GL_Account]])+SUMIFS(V:V,T:T,Obrotowka[[#This Row],[GL_Account]]))/1000,(SUMIFS(AL:AL,AH:AH,Obrotowka[[#This Row],[GL_Account]],AL:AL,"&gt;=0")-SUMIFS(V:V,S:S,Obrotowka[[#This Row],[GL_Account]])+SUMIFS(V:V,T:T,Obrotowka[[#This Row],[GL_Account]])))</f>
        <v>0</v>
      </c>
      <c r="H198" s="18">
        <f>IF($D$5="tak",SUMIFS(AL:AL,AH:AH,Obrotowka[[#This Row],[GL_Account]],AL:AL,"&lt;0")/1000,SUMIFS(AL:AL,AH:AH,Obrotowka[[#This Row],[GL_Account]],AL:AL,"&lt;0"))</f>
        <v>0</v>
      </c>
      <c r="I198" s="18">
        <f>SUM(Obrotowka[[#This Row],[BO]:[MA]])</f>
        <v>0</v>
      </c>
      <c r="J198">
        <f>IF(Obrotowka[[#This Row],[BZ]]=0,0,1)</f>
        <v>0</v>
      </c>
      <c r="K198" s="253"/>
      <c r="AF198" s="18"/>
      <c r="AU198" t="s">
        <v>8433</v>
      </c>
    </row>
    <row r="199" spans="2:47" x14ac:dyDescent="0.3">
      <c r="B199" t="s">
        <v>11811</v>
      </c>
      <c r="C199" t="s">
        <v>11812</v>
      </c>
      <c r="D199" t="s">
        <v>3505</v>
      </c>
      <c r="E199" t="s">
        <v>4326</v>
      </c>
      <c r="F199" s="18">
        <f>IF($D$5="tak",(SUMIFS(AE:AE,AA:AA,Obrotowka[[#This Row],[GL_Account]])-SUMIFS(U:U,S:S,Obrotowka[[#This Row],[GL_Account]])+SUMIFS(U:U,T:T,Obrotowka[[#This Row],[GL_Account]]))/1000,(SUMIFS(AE:AE,AA:AA,Obrotowka[[#This Row],[GL_Account]])-SUMIFS(U:U,S:S,Obrotowka[[#This Row],[GL_Account]])+SUMIFS(U:U,T:T,Obrotowka[[#This Row],[GL_Account]])))</f>
        <v>0</v>
      </c>
      <c r="G199" s="18">
        <f>IF($D$5="tak",(SUMIFS(AL:AL,AH:AH,Obrotowka[[#This Row],[GL_Account]],AL:AL,"&gt;=0")-SUMIFS(V:V,S:S,Obrotowka[[#This Row],[GL_Account]])+SUMIFS(V:V,T:T,Obrotowka[[#This Row],[GL_Account]]))/1000,(SUMIFS(AL:AL,AH:AH,Obrotowka[[#This Row],[GL_Account]],AL:AL,"&gt;=0")-SUMIFS(V:V,S:S,Obrotowka[[#This Row],[GL_Account]])+SUMIFS(V:V,T:T,Obrotowka[[#This Row],[GL_Account]])))</f>
        <v>0</v>
      </c>
      <c r="H199" s="18">
        <f>IF($D$5="tak",SUMIFS(AL:AL,AH:AH,Obrotowka[[#This Row],[GL_Account]],AL:AL,"&lt;0")/1000,SUMIFS(AL:AL,AH:AH,Obrotowka[[#This Row],[GL_Account]],AL:AL,"&lt;0"))</f>
        <v>0</v>
      </c>
      <c r="I199" s="18">
        <f>SUM(Obrotowka[[#This Row],[BO]:[MA]])</f>
        <v>0</v>
      </c>
      <c r="J199">
        <f>IF(Obrotowka[[#This Row],[BZ]]=0,0,1)</f>
        <v>0</v>
      </c>
      <c r="K199" s="253"/>
      <c r="AF199" s="18"/>
      <c r="AU199" t="s">
        <v>8486</v>
      </c>
    </row>
    <row r="200" spans="2:47" x14ac:dyDescent="0.3">
      <c r="B200" t="s">
        <v>11813</v>
      </c>
      <c r="C200" t="s">
        <v>11814</v>
      </c>
      <c r="D200" t="s">
        <v>3505</v>
      </c>
      <c r="E200" t="s">
        <v>3513</v>
      </c>
      <c r="F200" s="18">
        <f>IF($D$5="tak",(SUMIFS(AE:AE,AA:AA,Obrotowka[[#This Row],[GL_Account]])-SUMIFS(U:U,S:S,Obrotowka[[#This Row],[GL_Account]])+SUMIFS(U:U,T:T,Obrotowka[[#This Row],[GL_Account]]))/1000,(SUMIFS(AE:AE,AA:AA,Obrotowka[[#This Row],[GL_Account]])-SUMIFS(U:U,S:S,Obrotowka[[#This Row],[GL_Account]])+SUMIFS(U:U,T:T,Obrotowka[[#This Row],[GL_Account]])))</f>
        <v>0</v>
      </c>
      <c r="G200" s="18">
        <f>IF($D$5="tak",(SUMIFS(AL:AL,AH:AH,Obrotowka[[#This Row],[GL_Account]],AL:AL,"&gt;=0")-SUMIFS(V:V,S:S,Obrotowka[[#This Row],[GL_Account]])+SUMIFS(V:V,T:T,Obrotowka[[#This Row],[GL_Account]]))/1000,(SUMIFS(AL:AL,AH:AH,Obrotowka[[#This Row],[GL_Account]],AL:AL,"&gt;=0")-SUMIFS(V:V,S:S,Obrotowka[[#This Row],[GL_Account]])+SUMIFS(V:V,T:T,Obrotowka[[#This Row],[GL_Account]])))</f>
        <v>0</v>
      </c>
      <c r="H200" s="18">
        <f>IF($D$5="tak",SUMIFS(AL:AL,AH:AH,Obrotowka[[#This Row],[GL_Account]],AL:AL,"&lt;0")/1000,SUMIFS(AL:AL,AH:AH,Obrotowka[[#This Row],[GL_Account]],AL:AL,"&lt;0"))</f>
        <v>0</v>
      </c>
      <c r="I200" s="18">
        <f>SUM(Obrotowka[[#This Row],[BO]:[MA]])</f>
        <v>0</v>
      </c>
      <c r="J200">
        <f>IF(Obrotowka[[#This Row],[BZ]]=0,0,1)</f>
        <v>0</v>
      </c>
      <c r="K200" s="253"/>
      <c r="AF200" s="18"/>
      <c r="AU200" t="s">
        <v>8165</v>
      </c>
    </row>
    <row r="201" spans="2:47" x14ac:dyDescent="0.3">
      <c r="B201" t="s">
        <v>11815</v>
      </c>
      <c r="C201" t="s">
        <v>11816</v>
      </c>
      <c r="D201" t="s">
        <v>3505</v>
      </c>
      <c r="E201" t="s">
        <v>3513</v>
      </c>
      <c r="F201" s="18">
        <f>IF($D$5="tak",(SUMIFS(AE:AE,AA:AA,Obrotowka[[#This Row],[GL_Account]])-SUMIFS(U:U,S:S,Obrotowka[[#This Row],[GL_Account]])+SUMIFS(U:U,T:T,Obrotowka[[#This Row],[GL_Account]]))/1000,(SUMIFS(AE:AE,AA:AA,Obrotowka[[#This Row],[GL_Account]])-SUMIFS(U:U,S:S,Obrotowka[[#This Row],[GL_Account]])+SUMIFS(U:U,T:T,Obrotowka[[#This Row],[GL_Account]])))</f>
        <v>0</v>
      </c>
      <c r="G201" s="18">
        <f>IF($D$5="tak",(SUMIFS(AL:AL,AH:AH,Obrotowka[[#This Row],[GL_Account]],AL:AL,"&gt;=0")-SUMIFS(V:V,S:S,Obrotowka[[#This Row],[GL_Account]])+SUMIFS(V:V,T:T,Obrotowka[[#This Row],[GL_Account]]))/1000,(SUMIFS(AL:AL,AH:AH,Obrotowka[[#This Row],[GL_Account]],AL:AL,"&gt;=0")-SUMIFS(V:V,S:S,Obrotowka[[#This Row],[GL_Account]])+SUMIFS(V:V,T:T,Obrotowka[[#This Row],[GL_Account]])))</f>
        <v>0</v>
      </c>
      <c r="H201" s="18">
        <f>IF($D$5="tak",SUMIFS(AL:AL,AH:AH,Obrotowka[[#This Row],[GL_Account]],AL:AL,"&lt;0")/1000,SUMIFS(AL:AL,AH:AH,Obrotowka[[#This Row],[GL_Account]],AL:AL,"&lt;0"))</f>
        <v>0</v>
      </c>
      <c r="I201" s="18">
        <f>SUM(Obrotowka[[#This Row],[BO]:[MA]])</f>
        <v>0</v>
      </c>
      <c r="J201">
        <f>IF(Obrotowka[[#This Row],[BZ]]=0,0,1)</f>
        <v>0</v>
      </c>
      <c r="K201" s="253"/>
      <c r="AF201" s="18"/>
      <c r="AU201" t="s">
        <v>8197</v>
      </c>
    </row>
    <row r="202" spans="2:47" x14ac:dyDescent="0.3">
      <c r="B202" t="s">
        <v>11817</v>
      </c>
      <c r="C202" t="s">
        <v>11818</v>
      </c>
      <c r="D202" t="s">
        <v>3505</v>
      </c>
      <c r="E202" t="s">
        <v>3513</v>
      </c>
      <c r="F202" s="18">
        <f>IF($D$5="tak",(SUMIFS(AE:AE,AA:AA,Obrotowka[[#This Row],[GL_Account]])-SUMIFS(U:U,S:S,Obrotowka[[#This Row],[GL_Account]])+SUMIFS(U:U,T:T,Obrotowka[[#This Row],[GL_Account]]))/1000,(SUMIFS(AE:AE,AA:AA,Obrotowka[[#This Row],[GL_Account]])-SUMIFS(U:U,S:S,Obrotowka[[#This Row],[GL_Account]])+SUMIFS(U:U,T:T,Obrotowka[[#This Row],[GL_Account]])))</f>
        <v>0</v>
      </c>
      <c r="G202" s="18">
        <f>IF($D$5="tak",(SUMIFS(AL:AL,AH:AH,Obrotowka[[#This Row],[GL_Account]],AL:AL,"&gt;=0")-SUMIFS(V:V,S:S,Obrotowka[[#This Row],[GL_Account]])+SUMIFS(V:V,T:T,Obrotowka[[#This Row],[GL_Account]]))/1000,(SUMIFS(AL:AL,AH:AH,Obrotowka[[#This Row],[GL_Account]],AL:AL,"&gt;=0")-SUMIFS(V:V,S:S,Obrotowka[[#This Row],[GL_Account]])+SUMIFS(V:V,T:T,Obrotowka[[#This Row],[GL_Account]])))</f>
        <v>0</v>
      </c>
      <c r="H202" s="18">
        <f>IF($D$5="tak",SUMIFS(AL:AL,AH:AH,Obrotowka[[#This Row],[GL_Account]],AL:AL,"&lt;0")/1000,SUMIFS(AL:AL,AH:AH,Obrotowka[[#This Row],[GL_Account]],AL:AL,"&lt;0"))</f>
        <v>0</v>
      </c>
      <c r="I202" s="18">
        <f>SUM(Obrotowka[[#This Row],[BO]:[MA]])</f>
        <v>0</v>
      </c>
      <c r="J202">
        <f>IF(Obrotowka[[#This Row],[BZ]]=0,0,1)</f>
        <v>0</v>
      </c>
      <c r="K202" s="253"/>
      <c r="AF202" s="18"/>
      <c r="AU202" t="s">
        <v>8165</v>
      </c>
    </row>
    <row r="203" spans="2:47" x14ac:dyDescent="0.3">
      <c r="B203" t="s">
        <v>11819</v>
      </c>
      <c r="C203" t="s">
        <v>11820</v>
      </c>
      <c r="D203" t="s">
        <v>3505</v>
      </c>
      <c r="E203" t="s">
        <v>3513</v>
      </c>
      <c r="F203" s="18">
        <f>IF($D$5="tak",(SUMIFS(AE:AE,AA:AA,Obrotowka[[#This Row],[GL_Account]])-SUMIFS(U:U,S:S,Obrotowka[[#This Row],[GL_Account]])+SUMIFS(U:U,T:T,Obrotowka[[#This Row],[GL_Account]]))/1000,(SUMIFS(AE:AE,AA:AA,Obrotowka[[#This Row],[GL_Account]])-SUMIFS(U:U,S:S,Obrotowka[[#This Row],[GL_Account]])+SUMIFS(U:U,T:T,Obrotowka[[#This Row],[GL_Account]])))</f>
        <v>0</v>
      </c>
      <c r="G203" s="18">
        <f>IF($D$5="tak",(SUMIFS(AL:AL,AH:AH,Obrotowka[[#This Row],[GL_Account]],AL:AL,"&gt;=0")-SUMIFS(V:V,S:S,Obrotowka[[#This Row],[GL_Account]])+SUMIFS(V:V,T:T,Obrotowka[[#This Row],[GL_Account]]))/1000,(SUMIFS(AL:AL,AH:AH,Obrotowka[[#This Row],[GL_Account]],AL:AL,"&gt;=0")-SUMIFS(V:V,S:S,Obrotowka[[#This Row],[GL_Account]])+SUMIFS(V:V,T:T,Obrotowka[[#This Row],[GL_Account]])))</f>
        <v>0</v>
      </c>
      <c r="H203" s="18">
        <f>IF($D$5="tak",SUMIFS(AL:AL,AH:AH,Obrotowka[[#This Row],[GL_Account]],AL:AL,"&lt;0")/1000,SUMIFS(AL:AL,AH:AH,Obrotowka[[#This Row],[GL_Account]],AL:AL,"&lt;0"))</f>
        <v>0</v>
      </c>
      <c r="I203" s="18">
        <f>SUM(Obrotowka[[#This Row],[BO]:[MA]])</f>
        <v>0</v>
      </c>
      <c r="J203">
        <f>IF(Obrotowka[[#This Row],[BZ]]=0,0,1)</f>
        <v>0</v>
      </c>
      <c r="K203" s="253"/>
      <c r="AF203" s="18"/>
      <c r="AU203" t="s">
        <v>8197</v>
      </c>
    </row>
    <row r="204" spans="2:47" x14ac:dyDescent="0.3">
      <c r="B204" t="s">
        <v>11821</v>
      </c>
      <c r="C204" t="s">
        <v>11822</v>
      </c>
      <c r="D204" t="s">
        <v>3505</v>
      </c>
      <c r="E204" t="s">
        <v>3513</v>
      </c>
      <c r="F204" s="18">
        <f>IF($D$5="tak",(SUMIFS(AE:AE,AA:AA,Obrotowka[[#This Row],[GL_Account]])-SUMIFS(U:U,S:S,Obrotowka[[#This Row],[GL_Account]])+SUMIFS(U:U,T:T,Obrotowka[[#This Row],[GL_Account]]))/1000,(SUMIFS(AE:AE,AA:AA,Obrotowka[[#This Row],[GL_Account]])-SUMIFS(U:U,S:S,Obrotowka[[#This Row],[GL_Account]])+SUMIFS(U:U,T:T,Obrotowka[[#This Row],[GL_Account]])))</f>
        <v>0</v>
      </c>
      <c r="G204" s="18">
        <f>IF($D$5="tak",(SUMIFS(AL:AL,AH:AH,Obrotowka[[#This Row],[GL_Account]],AL:AL,"&gt;=0")-SUMIFS(V:V,S:S,Obrotowka[[#This Row],[GL_Account]])+SUMIFS(V:V,T:T,Obrotowka[[#This Row],[GL_Account]]))/1000,(SUMIFS(AL:AL,AH:AH,Obrotowka[[#This Row],[GL_Account]],AL:AL,"&gt;=0")-SUMIFS(V:V,S:S,Obrotowka[[#This Row],[GL_Account]])+SUMIFS(V:V,T:T,Obrotowka[[#This Row],[GL_Account]])))</f>
        <v>0</v>
      </c>
      <c r="H204" s="18">
        <f>IF($D$5="tak",SUMIFS(AL:AL,AH:AH,Obrotowka[[#This Row],[GL_Account]],AL:AL,"&lt;0")/1000,SUMIFS(AL:AL,AH:AH,Obrotowka[[#This Row],[GL_Account]],AL:AL,"&lt;0"))</f>
        <v>0</v>
      </c>
      <c r="I204" s="18">
        <f>SUM(Obrotowka[[#This Row],[BO]:[MA]])</f>
        <v>0</v>
      </c>
      <c r="J204">
        <f>IF(Obrotowka[[#This Row],[BZ]]=0,0,1)</f>
        <v>0</v>
      </c>
      <c r="K204" s="253"/>
      <c r="AF204" s="18"/>
      <c r="AU204" t="s">
        <v>8165</v>
      </c>
    </row>
    <row r="205" spans="2:47" x14ac:dyDescent="0.3">
      <c r="B205" t="s">
        <v>11823</v>
      </c>
      <c r="C205" t="s">
        <v>11824</v>
      </c>
      <c r="D205" t="s">
        <v>3505</v>
      </c>
      <c r="E205" t="s">
        <v>3513</v>
      </c>
      <c r="F205" s="18">
        <f>IF($D$5="tak",(SUMIFS(AE:AE,AA:AA,Obrotowka[[#This Row],[GL_Account]])-SUMIFS(U:U,S:S,Obrotowka[[#This Row],[GL_Account]])+SUMIFS(U:U,T:T,Obrotowka[[#This Row],[GL_Account]]))/1000,(SUMIFS(AE:AE,AA:AA,Obrotowka[[#This Row],[GL_Account]])-SUMIFS(U:U,S:S,Obrotowka[[#This Row],[GL_Account]])+SUMIFS(U:U,T:T,Obrotowka[[#This Row],[GL_Account]])))</f>
        <v>0</v>
      </c>
      <c r="G205" s="18">
        <f>IF($D$5="tak",(SUMIFS(AL:AL,AH:AH,Obrotowka[[#This Row],[GL_Account]],AL:AL,"&gt;=0")-SUMIFS(V:V,S:S,Obrotowka[[#This Row],[GL_Account]])+SUMIFS(V:V,T:T,Obrotowka[[#This Row],[GL_Account]]))/1000,(SUMIFS(AL:AL,AH:AH,Obrotowka[[#This Row],[GL_Account]],AL:AL,"&gt;=0")-SUMIFS(V:V,S:S,Obrotowka[[#This Row],[GL_Account]])+SUMIFS(V:V,T:T,Obrotowka[[#This Row],[GL_Account]])))</f>
        <v>0</v>
      </c>
      <c r="H205" s="18">
        <f>IF($D$5="tak",SUMIFS(AL:AL,AH:AH,Obrotowka[[#This Row],[GL_Account]],AL:AL,"&lt;0")/1000,SUMIFS(AL:AL,AH:AH,Obrotowka[[#This Row],[GL_Account]],AL:AL,"&lt;0"))</f>
        <v>0</v>
      </c>
      <c r="I205" s="18">
        <f>SUM(Obrotowka[[#This Row],[BO]:[MA]])</f>
        <v>0</v>
      </c>
      <c r="J205">
        <f>IF(Obrotowka[[#This Row],[BZ]]=0,0,1)</f>
        <v>0</v>
      </c>
      <c r="K205" s="253"/>
      <c r="AF205" s="18"/>
      <c r="AU205" t="s">
        <v>8197</v>
      </c>
    </row>
    <row r="206" spans="2:47" x14ac:dyDescent="0.3">
      <c r="B206" t="s">
        <v>11825</v>
      </c>
      <c r="C206" t="s">
        <v>11826</v>
      </c>
      <c r="D206" t="s">
        <v>3505</v>
      </c>
      <c r="E206" t="s">
        <v>4326</v>
      </c>
      <c r="F206" s="18">
        <f>IF($D$5="tak",(SUMIFS(AE:AE,AA:AA,Obrotowka[[#This Row],[GL_Account]])-SUMIFS(U:U,S:S,Obrotowka[[#This Row],[GL_Account]])+SUMIFS(U:U,T:T,Obrotowka[[#This Row],[GL_Account]]))/1000,(SUMIFS(AE:AE,AA:AA,Obrotowka[[#This Row],[GL_Account]])-SUMIFS(U:U,S:S,Obrotowka[[#This Row],[GL_Account]])+SUMIFS(U:U,T:T,Obrotowka[[#This Row],[GL_Account]])))</f>
        <v>0</v>
      </c>
      <c r="G206" s="18">
        <f>IF($D$5="tak",(SUMIFS(AL:AL,AH:AH,Obrotowka[[#This Row],[GL_Account]],AL:AL,"&gt;=0")-SUMIFS(V:V,S:S,Obrotowka[[#This Row],[GL_Account]])+SUMIFS(V:V,T:T,Obrotowka[[#This Row],[GL_Account]]))/1000,(SUMIFS(AL:AL,AH:AH,Obrotowka[[#This Row],[GL_Account]],AL:AL,"&gt;=0")-SUMIFS(V:V,S:S,Obrotowka[[#This Row],[GL_Account]])+SUMIFS(V:V,T:T,Obrotowka[[#This Row],[GL_Account]])))</f>
        <v>0</v>
      </c>
      <c r="H206" s="18">
        <f>IF($D$5="tak",SUMIFS(AL:AL,AH:AH,Obrotowka[[#This Row],[GL_Account]],AL:AL,"&lt;0")/1000,SUMIFS(AL:AL,AH:AH,Obrotowka[[#This Row],[GL_Account]],AL:AL,"&lt;0"))</f>
        <v>0</v>
      </c>
      <c r="I206" s="18">
        <f>SUM(Obrotowka[[#This Row],[BO]:[MA]])</f>
        <v>0</v>
      </c>
      <c r="J206">
        <f>IF(Obrotowka[[#This Row],[BZ]]=0,0,1)</f>
        <v>0</v>
      </c>
      <c r="K206" s="253"/>
      <c r="AF206" s="18"/>
      <c r="AU206" t="s">
        <v>8165</v>
      </c>
    </row>
    <row r="207" spans="2:47" x14ac:dyDescent="0.3">
      <c r="B207" t="s">
        <v>11827</v>
      </c>
      <c r="C207" t="s">
        <v>11828</v>
      </c>
      <c r="D207" t="s">
        <v>3505</v>
      </c>
      <c r="E207" t="s">
        <v>4326</v>
      </c>
      <c r="F207" s="18">
        <f>IF($D$5="tak",(SUMIFS(AE:AE,AA:AA,Obrotowka[[#This Row],[GL_Account]])-SUMIFS(U:U,S:S,Obrotowka[[#This Row],[GL_Account]])+SUMIFS(U:U,T:T,Obrotowka[[#This Row],[GL_Account]]))/1000,(SUMIFS(AE:AE,AA:AA,Obrotowka[[#This Row],[GL_Account]])-SUMIFS(U:U,S:S,Obrotowka[[#This Row],[GL_Account]])+SUMIFS(U:U,T:T,Obrotowka[[#This Row],[GL_Account]])))</f>
        <v>0</v>
      </c>
      <c r="G207" s="18">
        <f>IF($D$5="tak",(SUMIFS(AL:AL,AH:AH,Obrotowka[[#This Row],[GL_Account]],AL:AL,"&gt;=0")-SUMIFS(V:V,S:S,Obrotowka[[#This Row],[GL_Account]])+SUMIFS(V:V,T:T,Obrotowka[[#This Row],[GL_Account]]))/1000,(SUMIFS(AL:AL,AH:AH,Obrotowka[[#This Row],[GL_Account]],AL:AL,"&gt;=0")-SUMIFS(V:V,S:S,Obrotowka[[#This Row],[GL_Account]])+SUMIFS(V:V,T:T,Obrotowka[[#This Row],[GL_Account]])))</f>
        <v>0</v>
      </c>
      <c r="H207" s="18">
        <f>IF($D$5="tak",SUMIFS(AL:AL,AH:AH,Obrotowka[[#This Row],[GL_Account]],AL:AL,"&lt;0")/1000,SUMIFS(AL:AL,AH:AH,Obrotowka[[#This Row],[GL_Account]],AL:AL,"&lt;0"))</f>
        <v>0</v>
      </c>
      <c r="I207" s="18">
        <f>SUM(Obrotowka[[#This Row],[BO]:[MA]])</f>
        <v>0</v>
      </c>
      <c r="J207">
        <f>IF(Obrotowka[[#This Row],[BZ]]=0,0,1)</f>
        <v>0</v>
      </c>
      <c r="K207" s="253"/>
      <c r="AF207" s="18"/>
      <c r="AU207" t="s">
        <v>8197</v>
      </c>
    </row>
    <row r="208" spans="2:47" x14ac:dyDescent="0.3">
      <c r="B208" t="s">
        <v>11829</v>
      </c>
      <c r="C208" t="s">
        <v>11830</v>
      </c>
      <c r="D208" t="s">
        <v>3505</v>
      </c>
      <c r="E208" t="s">
        <v>4326</v>
      </c>
      <c r="F208" s="18">
        <f>IF($D$5="tak",(SUMIFS(AE:AE,AA:AA,Obrotowka[[#This Row],[GL_Account]])-SUMIFS(U:U,S:S,Obrotowka[[#This Row],[GL_Account]])+SUMIFS(U:U,T:T,Obrotowka[[#This Row],[GL_Account]]))/1000,(SUMIFS(AE:AE,AA:AA,Obrotowka[[#This Row],[GL_Account]])-SUMIFS(U:U,S:S,Obrotowka[[#This Row],[GL_Account]])+SUMIFS(U:U,T:T,Obrotowka[[#This Row],[GL_Account]])))</f>
        <v>0</v>
      </c>
      <c r="G208" s="18">
        <f>IF($D$5="tak",(SUMIFS(AL:AL,AH:AH,Obrotowka[[#This Row],[GL_Account]],AL:AL,"&gt;=0")-SUMIFS(V:V,S:S,Obrotowka[[#This Row],[GL_Account]])+SUMIFS(V:V,T:T,Obrotowka[[#This Row],[GL_Account]]))/1000,(SUMIFS(AL:AL,AH:AH,Obrotowka[[#This Row],[GL_Account]],AL:AL,"&gt;=0")-SUMIFS(V:V,S:S,Obrotowka[[#This Row],[GL_Account]])+SUMIFS(V:V,T:T,Obrotowka[[#This Row],[GL_Account]])))</f>
        <v>0</v>
      </c>
      <c r="H208" s="18">
        <f>IF($D$5="tak",SUMIFS(AL:AL,AH:AH,Obrotowka[[#This Row],[GL_Account]],AL:AL,"&lt;0")/1000,SUMIFS(AL:AL,AH:AH,Obrotowka[[#This Row],[GL_Account]],AL:AL,"&lt;0"))</f>
        <v>0</v>
      </c>
      <c r="I208" s="18">
        <f>SUM(Obrotowka[[#This Row],[BO]:[MA]])</f>
        <v>0</v>
      </c>
      <c r="J208">
        <f>IF(Obrotowka[[#This Row],[BZ]]=0,0,1)</f>
        <v>0</v>
      </c>
      <c r="K208" s="253"/>
      <c r="AF208" s="18"/>
      <c r="AU208" t="s">
        <v>8165</v>
      </c>
    </row>
    <row r="209" spans="2:47" x14ac:dyDescent="0.3">
      <c r="B209" t="s">
        <v>11831</v>
      </c>
      <c r="C209" t="s">
        <v>11832</v>
      </c>
      <c r="D209" t="s">
        <v>3505</v>
      </c>
      <c r="E209" t="s">
        <v>4326</v>
      </c>
      <c r="F209" s="18">
        <f>IF($D$5="tak",(SUMIFS(AE:AE,AA:AA,Obrotowka[[#This Row],[GL_Account]])-SUMIFS(U:U,S:S,Obrotowka[[#This Row],[GL_Account]])+SUMIFS(U:U,T:T,Obrotowka[[#This Row],[GL_Account]]))/1000,(SUMIFS(AE:AE,AA:AA,Obrotowka[[#This Row],[GL_Account]])-SUMIFS(U:U,S:S,Obrotowka[[#This Row],[GL_Account]])+SUMIFS(U:U,T:T,Obrotowka[[#This Row],[GL_Account]])))</f>
        <v>0</v>
      </c>
      <c r="G209" s="18">
        <f>IF($D$5="tak",(SUMIFS(AL:AL,AH:AH,Obrotowka[[#This Row],[GL_Account]],AL:AL,"&gt;=0")-SUMIFS(V:V,S:S,Obrotowka[[#This Row],[GL_Account]])+SUMIFS(V:V,T:T,Obrotowka[[#This Row],[GL_Account]]))/1000,(SUMIFS(AL:AL,AH:AH,Obrotowka[[#This Row],[GL_Account]],AL:AL,"&gt;=0")-SUMIFS(V:V,S:S,Obrotowka[[#This Row],[GL_Account]])+SUMIFS(V:V,T:T,Obrotowka[[#This Row],[GL_Account]])))</f>
        <v>0</v>
      </c>
      <c r="H209" s="18">
        <f>IF($D$5="tak",SUMIFS(AL:AL,AH:AH,Obrotowka[[#This Row],[GL_Account]],AL:AL,"&lt;0")/1000,SUMIFS(AL:AL,AH:AH,Obrotowka[[#This Row],[GL_Account]],AL:AL,"&lt;0"))</f>
        <v>0</v>
      </c>
      <c r="I209" s="18">
        <f>SUM(Obrotowka[[#This Row],[BO]:[MA]])</f>
        <v>0</v>
      </c>
      <c r="J209">
        <f>IF(Obrotowka[[#This Row],[BZ]]=0,0,1)</f>
        <v>0</v>
      </c>
      <c r="K209" s="253"/>
      <c r="AF209" s="18"/>
      <c r="AU209" t="s">
        <v>8197</v>
      </c>
    </row>
    <row r="210" spans="2:47" x14ac:dyDescent="0.3">
      <c r="B210" t="s">
        <v>11833</v>
      </c>
      <c r="C210" t="s">
        <v>11834</v>
      </c>
      <c r="D210" t="s">
        <v>3505</v>
      </c>
      <c r="E210" t="s">
        <v>4326</v>
      </c>
      <c r="F210" s="18">
        <f>IF($D$5="tak",(SUMIFS(AE:AE,AA:AA,Obrotowka[[#This Row],[GL_Account]])-SUMIFS(U:U,S:S,Obrotowka[[#This Row],[GL_Account]])+SUMIFS(U:U,T:T,Obrotowka[[#This Row],[GL_Account]]))/1000,(SUMIFS(AE:AE,AA:AA,Obrotowka[[#This Row],[GL_Account]])-SUMIFS(U:U,S:S,Obrotowka[[#This Row],[GL_Account]])+SUMIFS(U:U,T:T,Obrotowka[[#This Row],[GL_Account]])))</f>
        <v>0</v>
      </c>
      <c r="G210" s="18">
        <f>IF($D$5="tak",(SUMIFS(AL:AL,AH:AH,Obrotowka[[#This Row],[GL_Account]],AL:AL,"&gt;=0")-SUMIFS(V:V,S:S,Obrotowka[[#This Row],[GL_Account]])+SUMIFS(V:V,T:T,Obrotowka[[#This Row],[GL_Account]]))/1000,(SUMIFS(AL:AL,AH:AH,Obrotowka[[#This Row],[GL_Account]],AL:AL,"&gt;=0")-SUMIFS(V:V,S:S,Obrotowka[[#This Row],[GL_Account]])+SUMIFS(V:V,T:T,Obrotowka[[#This Row],[GL_Account]])))</f>
        <v>0</v>
      </c>
      <c r="H210" s="18">
        <f>IF($D$5="tak",SUMIFS(AL:AL,AH:AH,Obrotowka[[#This Row],[GL_Account]],AL:AL,"&lt;0")/1000,SUMIFS(AL:AL,AH:AH,Obrotowka[[#This Row],[GL_Account]],AL:AL,"&lt;0"))</f>
        <v>0</v>
      </c>
      <c r="I210" s="18">
        <f>SUM(Obrotowka[[#This Row],[BO]:[MA]])</f>
        <v>0</v>
      </c>
      <c r="J210">
        <f>IF(Obrotowka[[#This Row],[BZ]]=0,0,1)</f>
        <v>0</v>
      </c>
      <c r="K210" s="253"/>
      <c r="AF210" s="18"/>
      <c r="AU210" t="s">
        <v>8433</v>
      </c>
    </row>
    <row r="211" spans="2:47" x14ac:dyDescent="0.3">
      <c r="B211" t="s">
        <v>11835</v>
      </c>
      <c r="C211" t="s">
        <v>11836</v>
      </c>
      <c r="D211" t="s">
        <v>3505</v>
      </c>
      <c r="E211" t="s">
        <v>4326</v>
      </c>
      <c r="F211" s="18">
        <f>IF($D$5="tak",(SUMIFS(AE:AE,AA:AA,Obrotowka[[#This Row],[GL_Account]])-SUMIFS(U:U,S:S,Obrotowka[[#This Row],[GL_Account]])+SUMIFS(U:U,T:T,Obrotowka[[#This Row],[GL_Account]]))/1000,(SUMIFS(AE:AE,AA:AA,Obrotowka[[#This Row],[GL_Account]])-SUMIFS(U:U,S:S,Obrotowka[[#This Row],[GL_Account]])+SUMIFS(U:U,T:T,Obrotowka[[#This Row],[GL_Account]])))</f>
        <v>0</v>
      </c>
      <c r="G211" s="18">
        <f>IF($D$5="tak",(SUMIFS(AL:AL,AH:AH,Obrotowka[[#This Row],[GL_Account]],AL:AL,"&gt;=0")-SUMIFS(V:V,S:S,Obrotowka[[#This Row],[GL_Account]])+SUMIFS(V:V,T:T,Obrotowka[[#This Row],[GL_Account]]))/1000,(SUMIFS(AL:AL,AH:AH,Obrotowka[[#This Row],[GL_Account]],AL:AL,"&gt;=0")-SUMIFS(V:V,S:S,Obrotowka[[#This Row],[GL_Account]])+SUMIFS(V:V,T:T,Obrotowka[[#This Row],[GL_Account]])))</f>
        <v>0</v>
      </c>
      <c r="H211" s="18">
        <f>IF($D$5="tak",SUMIFS(AL:AL,AH:AH,Obrotowka[[#This Row],[GL_Account]],AL:AL,"&lt;0")/1000,SUMIFS(AL:AL,AH:AH,Obrotowka[[#This Row],[GL_Account]],AL:AL,"&lt;0"))</f>
        <v>0</v>
      </c>
      <c r="I211" s="18">
        <f>SUM(Obrotowka[[#This Row],[BO]:[MA]])</f>
        <v>0</v>
      </c>
      <c r="J211">
        <f>IF(Obrotowka[[#This Row],[BZ]]=0,0,1)</f>
        <v>0</v>
      </c>
      <c r="K211" s="253"/>
      <c r="AF211" s="18"/>
      <c r="AU211" t="s">
        <v>8486</v>
      </c>
    </row>
    <row r="212" spans="2:47" x14ac:dyDescent="0.3">
      <c r="B212" t="s">
        <v>11837</v>
      </c>
      <c r="C212" t="s">
        <v>11838</v>
      </c>
      <c r="D212" t="s">
        <v>3505</v>
      </c>
      <c r="E212" t="s">
        <v>4326</v>
      </c>
      <c r="F212" s="18">
        <f>IF($D$5="tak",(SUMIFS(AE:AE,AA:AA,Obrotowka[[#This Row],[GL_Account]])-SUMIFS(U:U,S:S,Obrotowka[[#This Row],[GL_Account]])+SUMIFS(U:U,T:T,Obrotowka[[#This Row],[GL_Account]]))/1000,(SUMIFS(AE:AE,AA:AA,Obrotowka[[#This Row],[GL_Account]])-SUMIFS(U:U,S:S,Obrotowka[[#This Row],[GL_Account]])+SUMIFS(U:U,T:T,Obrotowka[[#This Row],[GL_Account]])))</f>
        <v>0</v>
      </c>
      <c r="G212" s="18">
        <f>IF($D$5="tak",(SUMIFS(AL:AL,AH:AH,Obrotowka[[#This Row],[GL_Account]],AL:AL,"&gt;=0")-SUMIFS(V:V,S:S,Obrotowka[[#This Row],[GL_Account]])+SUMIFS(V:V,T:T,Obrotowka[[#This Row],[GL_Account]]))/1000,(SUMIFS(AL:AL,AH:AH,Obrotowka[[#This Row],[GL_Account]],AL:AL,"&gt;=0")-SUMIFS(V:V,S:S,Obrotowka[[#This Row],[GL_Account]])+SUMIFS(V:V,T:T,Obrotowka[[#This Row],[GL_Account]])))</f>
        <v>0</v>
      </c>
      <c r="H212" s="18">
        <f>IF($D$5="tak",SUMIFS(AL:AL,AH:AH,Obrotowka[[#This Row],[GL_Account]],AL:AL,"&lt;0")/1000,SUMIFS(AL:AL,AH:AH,Obrotowka[[#This Row],[GL_Account]],AL:AL,"&lt;0"))</f>
        <v>0</v>
      </c>
      <c r="I212" s="18">
        <f>SUM(Obrotowka[[#This Row],[BO]:[MA]])</f>
        <v>0</v>
      </c>
      <c r="J212">
        <f>IF(Obrotowka[[#This Row],[BZ]]=0,0,1)</f>
        <v>0</v>
      </c>
      <c r="K212" s="253"/>
      <c r="AF212" s="18"/>
      <c r="AU212" t="s">
        <v>8165</v>
      </c>
    </row>
    <row r="213" spans="2:47" x14ac:dyDescent="0.3">
      <c r="B213" t="s">
        <v>11839</v>
      </c>
      <c r="C213" t="s">
        <v>11840</v>
      </c>
      <c r="D213" t="s">
        <v>3505</v>
      </c>
      <c r="E213" t="s">
        <v>4326</v>
      </c>
      <c r="F213" s="18">
        <f>IF($D$5="tak",(SUMIFS(AE:AE,AA:AA,Obrotowka[[#This Row],[GL_Account]])-SUMIFS(U:U,S:S,Obrotowka[[#This Row],[GL_Account]])+SUMIFS(U:U,T:T,Obrotowka[[#This Row],[GL_Account]]))/1000,(SUMIFS(AE:AE,AA:AA,Obrotowka[[#This Row],[GL_Account]])-SUMIFS(U:U,S:S,Obrotowka[[#This Row],[GL_Account]])+SUMIFS(U:U,T:T,Obrotowka[[#This Row],[GL_Account]])))</f>
        <v>0</v>
      </c>
      <c r="G213" s="18">
        <f>IF($D$5="tak",(SUMIFS(AL:AL,AH:AH,Obrotowka[[#This Row],[GL_Account]],AL:AL,"&gt;=0")-SUMIFS(V:V,S:S,Obrotowka[[#This Row],[GL_Account]])+SUMIFS(V:V,T:T,Obrotowka[[#This Row],[GL_Account]]))/1000,(SUMIFS(AL:AL,AH:AH,Obrotowka[[#This Row],[GL_Account]],AL:AL,"&gt;=0")-SUMIFS(V:V,S:S,Obrotowka[[#This Row],[GL_Account]])+SUMIFS(V:V,T:T,Obrotowka[[#This Row],[GL_Account]])))</f>
        <v>0</v>
      </c>
      <c r="H213" s="18">
        <f>IF($D$5="tak",SUMIFS(AL:AL,AH:AH,Obrotowka[[#This Row],[GL_Account]],AL:AL,"&lt;0")/1000,SUMIFS(AL:AL,AH:AH,Obrotowka[[#This Row],[GL_Account]],AL:AL,"&lt;0"))</f>
        <v>0</v>
      </c>
      <c r="I213" s="18">
        <f>SUM(Obrotowka[[#This Row],[BO]:[MA]])</f>
        <v>0</v>
      </c>
      <c r="J213">
        <f>IF(Obrotowka[[#This Row],[BZ]]=0,0,1)</f>
        <v>0</v>
      </c>
      <c r="K213" s="253"/>
      <c r="AF213" s="18"/>
      <c r="AU213" t="s">
        <v>8197</v>
      </c>
    </row>
    <row r="214" spans="2:47" x14ac:dyDescent="0.3">
      <c r="B214" t="s">
        <v>11841</v>
      </c>
      <c r="C214" t="s">
        <v>11842</v>
      </c>
      <c r="D214" t="s">
        <v>3505</v>
      </c>
      <c r="E214" t="s">
        <v>3509</v>
      </c>
      <c r="F214" s="18">
        <f>IF($D$5="tak",(SUMIFS(AE:AE,AA:AA,Obrotowka[[#This Row],[GL_Account]])-SUMIFS(U:U,S:S,Obrotowka[[#This Row],[GL_Account]])+SUMIFS(U:U,T:T,Obrotowka[[#This Row],[GL_Account]]))/1000,(SUMIFS(AE:AE,AA:AA,Obrotowka[[#This Row],[GL_Account]])-SUMIFS(U:U,S:S,Obrotowka[[#This Row],[GL_Account]])+SUMIFS(U:U,T:T,Obrotowka[[#This Row],[GL_Account]])))</f>
        <v>0</v>
      </c>
      <c r="G214" s="18">
        <f>IF($D$5="tak",(SUMIFS(AL:AL,AH:AH,Obrotowka[[#This Row],[GL_Account]],AL:AL,"&gt;=0")-SUMIFS(V:V,S:S,Obrotowka[[#This Row],[GL_Account]])+SUMIFS(V:V,T:T,Obrotowka[[#This Row],[GL_Account]]))/1000,(SUMIFS(AL:AL,AH:AH,Obrotowka[[#This Row],[GL_Account]],AL:AL,"&gt;=0")-SUMIFS(V:V,S:S,Obrotowka[[#This Row],[GL_Account]])+SUMIFS(V:V,T:T,Obrotowka[[#This Row],[GL_Account]])))</f>
        <v>0</v>
      </c>
      <c r="H214" s="18">
        <f>IF($D$5="tak",SUMIFS(AL:AL,AH:AH,Obrotowka[[#This Row],[GL_Account]],AL:AL,"&lt;0")/1000,SUMIFS(AL:AL,AH:AH,Obrotowka[[#This Row],[GL_Account]],AL:AL,"&lt;0"))</f>
        <v>0</v>
      </c>
      <c r="I214" s="18">
        <f>SUM(Obrotowka[[#This Row],[BO]:[MA]])</f>
        <v>0</v>
      </c>
      <c r="J214">
        <f>IF(Obrotowka[[#This Row],[BZ]]=0,0,1)</f>
        <v>0</v>
      </c>
      <c r="K214" s="253"/>
      <c r="AF214" s="18"/>
      <c r="AU214" t="s">
        <v>8433</v>
      </c>
    </row>
    <row r="215" spans="2:47" x14ac:dyDescent="0.3">
      <c r="B215" t="s">
        <v>11843</v>
      </c>
      <c r="C215" t="s">
        <v>11844</v>
      </c>
      <c r="D215" t="s">
        <v>3505</v>
      </c>
      <c r="E215" t="s">
        <v>4326</v>
      </c>
      <c r="F215" s="18">
        <f>IF($D$5="tak",(SUMIFS(AE:AE,AA:AA,Obrotowka[[#This Row],[GL_Account]])-SUMIFS(U:U,S:S,Obrotowka[[#This Row],[GL_Account]])+SUMIFS(U:U,T:T,Obrotowka[[#This Row],[GL_Account]]))/1000,(SUMIFS(AE:AE,AA:AA,Obrotowka[[#This Row],[GL_Account]])-SUMIFS(U:U,S:S,Obrotowka[[#This Row],[GL_Account]])+SUMIFS(U:U,T:T,Obrotowka[[#This Row],[GL_Account]])))</f>
        <v>0</v>
      </c>
      <c r="G215" s="18">
        <f>IF($D$5="tak",(SUMIFS(AL:AL,AH:AH,Obrotowka[[#This Row],[GL_Account]],AL:AL,"&gt;=0")-SUMIFS(V:V,S:S,Obrotowka[[#This Row],[GL_Account]])+SUMIFS(V:V,T:T,Obrotowka[[#This Row],[GL_Account]]))/1000,(SUMIFS(AL:AL,AH:AH,Obrotowka[[#This Row],[GL_Account]],AL:AL,"&gt;=0")-SUMIFS(V:V,S:S,Obrotowka[[#This Row],[GL_Account]])+SUMIFS(V:V,T:T,Obrotowka[[#This Row],[GL_Account]])))</f>
        <v>0</v>
      </c>
      <c r="H215" s="18">
        <f>IF($D$5="tak",SUMIFS(AL:AL,AH:AH,Obrotowka[[#This Row],[GL_Account]],AL:AL,"&lt;0")/1000,SUMIFS(AL:AL,AH:AH,Obrotowka[[#This Row],[GL_Account]],AL:AL,"&lt;0"))</f>
        <v>0</v>
      </c>
      <c r="I215" s="18">
        <f>SUM(Obrotowka[[#This Row],[BO]:[MA]])</f>
        <v>0</v>
      </c>
      <c r="J215">
        <f>IF(Obrotowka[[#This Row],[BZ]]=0,0,1)</f>
        <v>0</v>
      </c>
      <c r="K215" s="253"/>
      <c r="AF215" s="18"/>
      <c r="AU215" t="s">
        <v>8433</v>
      </c>
    </row>
    <row r="216" spans="2:47" x14ac:dyDescent="0.3">
      <c r="B216" t="s">
        <v>11845</v>
      </c>
      <c r="C216" t="s">
        <v>11846</v>
      </c>
      <c r="D216" t="s">
        <v>3505</v>
      </c>
      <c r="E216" t="s">
        <v>3509</v>
      </c>
      <c r="F216" s="18">
        <f>IF($D$5="tak",(SUMIFS(AE:AE,AA:AA,Obrotowka[[#This Row],[GL_Account]])-SUMIFS(U:U,S:S,Obrotowka[[#This Row],[GL_Account]])+SUMIFS(U:U,T:T,Obrotowka[[#This Row],[GL_Account]]))/1000,(SUMIFS(AE:AE,AA:AA,Obrotowka[[#This Row],[GL_Account]])-SUMIFS(U:U,S:S,Obrotowka[[#This Row],[GL_Account]])+SUMIFS(U:U,T:T,Obrotowka[[#This Row],[GL_Account]])))</f>
        <v>0</v>
      </c>
      <c r="G216" s="18">
        <f>IF($D$5="tak",(SUMIFS(AL:AL,AH:AH,Obrotowka[[#This Row],[GL_Account]],AL:AL,"&gt;=0")-SUMIFS(V:V,S:S,Obrotowka[[#This Row],[GL_Account]])+SUMIFS(V:V,T:T,Obrotowka[[#This Row],[GL_Account]]))/1000,(SUMIFS(AL:AL,AH:AH,Obrotowka[[#This Row],[GL_Account]],AL:AL,"&gt;=0")-SUMIFS(V:V,S:S,Obrotowka[[#This Row],[GL_Account]])+SUMIFS(V:V,T:T,Obrotowka[[#This Row],[GL_Account]])))</f>
        <v>0</v>
      </c>
      <c r="H216" s="18">
        <f>IF($D$5="tak",SUMIFS(AL:AL,AH:AH,Obrotowka[[#This Row],[GL_Account]],AL:AL,"&lt;0")/1000,SUMIFS(AL:AL,AH:AH,Obrotowka[[#This Row],[GL_Account]],AL:AL,"&lt;0"))</f>
        <v>0</v>
      </c>
      <c r="I216" s="18">
        <f>SUM(Obrotowka[[#This Row],[BO]:[MA]])</f>
        <v>0</v>
      </c>
      <c r="J216">
        <f>IF(Obrotowka[[#This Row],[BZ]]=0,0,1)</f>
        <v>0</v>
      </c>
      <c r="K216" s="253"/>
      <c r="AF216" s="18"/>
      <c r="AU216" t="s">
        <v>8433</v>
      </c>
    </row>
    <row r="217" spans="2:47" x14ac:dyDescent="0.3">
      <c r="B217" t="s">
        <v>11847</v>
      </c>
      <c r="C217" t="s">
        <v>11848</v>
      </c>
      <c r="D217" t="s">
        <v>3505</v>
      </c>
      <c r="E217" t="s">
        <v>4326</v>
      </c>
      <c r="F217" s="18">
        <f>IF($D$5="tak",(SUMIFS(AE:AE,AA:AA,Obrotowka[[#This Row],[GL_Account]])-SUMIFS(U:U,S:S,Obrotowka[[#This Row],[GL_Account]])+SUMIFS(U:U,T:T,Obrotowka[[#This Row],[GL_Account]]))/1000,(SUMIFS(AE:AE,AA:AA,Obrotowka[[#This Row],[GL_Account]])-SUMIFS(U:U,S:S,Obrotowka[[#This Row],[GL_Account]])+SUMIFS(U:U,T:T,Obrotowka[[#This Row],[GL_Account]])))</f>
        <v>0</v>
      </c>
      <c r="G217" s="18">
        <f>IF($D$5="tak",(SUMIFS(AL:AL,AH:AH,Obrotowka[[#This Row],[GL_Account]],AL:AL,"&gt;=0")-SUMIFS(V:V,S:S,Obrotowka[[#This Row],[GL_Account]])+SUMIFS(V:V,T:T,Obrotowka[[#This Row],[GL_Account]]))/1000,(SUMIFS(AL:AL,AH:AH,Obrotowka[[#This Row],[GL_Account]],AL:AL,"&gt;=0")-SUMIFS(V:V,S:S,Obrotowka[[#This Row],[GL_Account]])+SUMIFS(V:V,T:T,Obrotowka[[#This Row],[GL_Account]])))</f>
        <v>0</v>
      </c>
      <c r="H217" s="18">
        <f>IF($D$5="tak",SUMIFS(AL:AL,AH:AH,Obrotowka[[#This Row],[GL_Account]],AL:AL,"&lt;0")/1000,SUMIFS(AL:AL,AH:AH,Obrotowka[[#This Row],[GL_Account]],AL:AL,"&lt;0"))</f>
        <v>0</v>
      </c>
      <c r="I217" s="18">
        <f>SUM(Obrotowka[[#This Row],[BO]:[MA]])</f>
        <v>0</v>
      </c>
      <c r="J217">
        <f>IF(Obrotowka[[#This Row],[BZ]]=0,0,1)</f>
        <v>0</v>
      </c>
      <c r="K217" s="253"/>
      <c r="AF217" s="18"/>
      <c r="AU217" t="s">
        <v>8433</v>
      </c>
    </row>
    <row r="218" spans="2:47" x14ac:dyDescent="0.3">
      <c r="B218" t="s">
        <v>11849</v>
      </c>
      <c r="C218" t="s">
        <v>11850</v>
      </c>
      <c r="D218" t="s">
        <v>3505</v>
      </c>
      <c r="E218" t="s">
        <v>3509</v>
      </c>
      <c r="F218" s="18">
        <f>IF($D$5="tak",(SUMIFS(AE:AE,AA:AA,Obrotowka[[#This Row],[GL_Account]])-SUMIFS(U:U,S:S,Obrotowka[[#This Row],[GL_Account]])+SUMIFS(U:U,T:T,Obrotowka[[#This Row],[GL_Account]]))/1000,(SUMIFS(AE:AE,AA:AA,Obrotowka[[#This Row],[GL_Account]])-SUMIFS(U:U,S:S,Obrotowka[[#This Row],[GL_Account]])+SUMIFS(U:U,T:T,Obrotowka[[#This Row],[GL_Account]])))</f>
        <v>0</v>
      </c>
      <c r="G218" s="18">
        <f>IF($D$5="tak",(SUMIFS(AL:AL,AH:AH,Obrotowka[[#This Row],[GL_Account]],AL:AL,"&gt;=0")-SUMIFS(V:V,S:S,Obrotowka[[#This Row],[GL_Account]])+SUMIFS(V:V,T:T,Obrotowka[[#This Row],[GL_Account]]))/1000,(SUMIFS(AL:AL,AH:AH,Obrotowka[[#This Row],[GL_Account]],AL:AL,"&gt;=0")-SUMIFS(V:V,S:S,Obrotowka[[#This Row],[GL_Account]])+SUMIFS(V:V,T:T,Obrotowka[[#This Row],[GL_Account]])))</f>
        <v>0</v>
      </c>
      <c r="H218" s="18">
        <f>IF($D$5="tak",SUMIFS(AL:AL,AH:AH,Obrotowka[[#This Row],[GL_Account]],AL:AL,"&lt;0")/1000,SUMIFS(AL:AL,AH:AH,Obrotowka[[#This Row],[GL_Account]],AL:AL,"&lt;0"))</f>
        <v>0</v>
      </c>
      <c r="I218" s="18">
        <f>SUM(Obrotowka[[#This Row],[BO]:[MA]])</f>
        <v>0</v>
      </c>
      <c r="J218">
        <f>IF(Obrotowka[[#This Row],[BZ]]=0,0,1)</f>
        <v>0</v>
      </c>
      <c r="K218" s="253"/>
      <c r="AF218" s="18"/>
      <c r="AU218" t="s">
        <v>8380</v>
      </c>
    </row>
    <row r="219" spans="2:47" x14ac:dyDescent="0.3">
      <c r="B219" t="s">
        <v>11851</v>
      </c>
      <c r="C219" t="s">
        <v>11852</v>
      </c>
      <c r="D219" t="s">
        <v>3505</v>
      </c>
      <c r="E219" t="s">
        <v>4326</v>
      </c>
      <c r="F219" s="18">
        <f>IF($D$5="tak",(SUMIFS(AE:AE,AA:AA,Obrotowka[[#This Row],[GL_Account]])-SUMIFS(U:U,S:S,Obrotowka[[#This Row],[GL_Account]])+SUMIFS(U:U,T:T,Obrotowka[[#This Row],[GL_Account]]))/1000,(SUMIFS(AE:AE,AA:AA,Obrotowka[[#This Row],[GL_Account]])-SUMIFS(U:U,S:S,Obrotowka[[#This Row],[GL_Account]])+SUMIFS(U:U,T:T,Obrotowka[[#This Row],[GL_Account]])))</f>
        <v>0</v>
      </c>
      <c r="G219" s="18">
        <f>IF($D$5="tak",(SUMIFS(AL:AL,AH:AH,Obrotowka[[#This Row],[GL_Account]],AL:AL,"&gt;=0")-SUMIFS(V:V,S:S,Obrotowka[[#This Row],[GL_Account]])+SUMIFS(V:V,T:T,Obrotowka[[#This Row],[GL_Account]]))/1000,(SUMIFS(AL:AL,AH:AH,Obrotowka[[#This Row],[GL_Account]],AL:AL,"&gt;=0")-SUMIFS(V:V,S:S,Obrotowka[[#This Row],[GL_Account]])+SUMIFS(V:V,T:T,Obrotowka[[#This Row],[GL_Account]])))</f>
        <v>0</v>
      </c>
      <c r="H219" s="18">
        <f>IF($D$5="tak",SUMIFS(AL:AL,AH:AH,Obrotowka[[#This Row],[GL_Account]],AL:AL,"&lt;0")/1000,SUMIFS(AL:AL,AH:AH,Obrotowka[[#This Row],[GL_Account]],AL:AL,"&lt;0"))</f>
        <v>0</v>
      </c>
      <c r="I219" s="18">
        <f>SUM(Obrotowka[[#This Row],[BO]:[MA]])</f>
        <v>0</v>
      </c>
      <c r="J219">
        <f>IF(Obrotowka[[#This Row],[BZ]]=0,0,1)</f>
        <v>0</v>
      </c>
      <c r="K219" s="253"/>
      <c r="AF219" s="18"/>
      <c r="AU219" t="s">
        <v>8380</v>
      </c>
    </row>
    <row r="220" spans="2:47" x14ac:dyDescent="0.3">
      <c r="B220" t="s">
        <v>11853</v>
      </c>
      <c r="C220" t="s">
        <v>11854</v>
      </c>
      <c r="D220" t="s">
        <v>3505</v>
      </c>
      <c r="E220" t="s">
        <v>3509</v>
      </c>
      <c r="F220" s="18">
        <f>IF($D$5="tak",(SUMIFS(AE:AE,AA:AA,Obrotowka[[#This Row],[GL_Account]])-SUMIFS(U:U,S:S,Obrotowka[[#This Row],[GL_Account]])+SUMIFS(U:U,T:T,Obrotowka[[#This Row],[GL_Account]]))/1000,(SUMIFS(AE:AE,AA:AA,Obrotowka[[#This Row],[GL_Account]])-SUMIFS(U:U,S:S,Obrotowka[[#This Row],[GL_Account]])+SUMIFS(U:U,T:T,Obrotowka[[#This Row],[GL_Account]])))</f>
        <v>0</v>
      </c>
      <c r="G220" s="18">
        <f>IF($D$5="tak",(SUMIFS(AL:AL,AH:AH,Obrotowka[[#This Row],[GL_Account]],AL:AL,"&gt;=0")-SUMIFS(V:V,S:S,Obrotowka[[#This Row],[GL_Account]])+SUMIFS(V:V,T:T,Obrotowka[[#This Row],[GL_Account]]))/1000,(SUMIFS(AL:AL,AH:AH,Obrotowka[[#This Row],[GL_Account]],AL:AL,"&gt;=0")-SUMIFS(V:V,S:S,Obrotowka[[#This Row],[GL_Account]])+SUMIFS(V:V,T:T,Obrotowka[[#This Row],[GL_Account]])))</f>
        <v>0</v>
      </c>
      <c r="H220" s="18">
        <f>IF($D$5="tak",SUMIFS(AL:AL,AH:AH,Obrotowka[[#This Row],[GL_Account]],AL:AL,"&lt;0")/1000,SUMIFS(AL:AL,AH:AH,Obrotowka[[#This Row],[GL_Account]],AL:AL,"&lt;0"))</f>
        <v>0</v>
      </c>
      <c r="I220" s="18">
        <f>SUM(Obrotowka[[#This Row],[BO]:[MA]])</f>
        <v>0</v>
      </c>
      <c r="J220">
        <f>IF(Obrotowka[[#This Row],[BZ]]=0,0,1)</f>
        <v>0</v>
      </c>
      <c r="K220" s="253"/>
      <c r="AF220" s="18"/>
      <c r="AU220" t="s">
        <v>8433</v>
      </c>
    </row>
    <row r="221" spans="2:47" x14ac:dyDescent="0.3">
      <c r="B221" t="s">
        <v>11855</v>
      </c>
      <c r="C221" t="s">
        <v>11856</v>
      </c>
      <c r="D221" t="s">
        <v>3505</v>
      </c>
      <c r="E221" t="s">
        <v>4326</v>
      </c>
      <c r="F221" s="18">
        <f>IF($D$5="tak",(SUMIFS(AE:AE,AA:AA,Obrotowka[[#This Row],[GL_Account]])-SUMIFS(U:U,S:S,Obrotowka[[#This Row],[GL_Account]])+SUMIFS(U:U,T:T,Obrotowka[[#This Row],[GL_Account]]))/1000,(SUMIFS(AE:AE,AA:AA,Obrotowka[[#This Row],[GL_Account]])-SUMIFS(U:U,S:S,Obrotowka[[#This Row],[GL_Account]])+SUMIFS(U:U,T:T,Obrotowka[[#This Row],[GL_Account]])))</f>
        <v>0</v>
      </c>
      <c r="G221" s="18">
        <f>IF($D$5="tak",(SUMIFS(AL:AL,AH:AH,Obrotowka[[#This Row],[GL_Account]],AL:AL,"&gt;=0")-SUMIFS(V:V,S:S,Obrotowka[[#This Row],[GL_Account]])+SUMIFS(V:V,T:T,Obrotowka[[#This Row],[GL_Account]]))/1000,(SUMIFS(AL:AL,AH:AH,Obrotowka[[#This Row],[GL_Account]],AL:AL,"&gt;=0")-SUMIFS(V:V,S:S,Obrotowka[[#This Row],[GL_Account]])+SUMIFS(V:V,T:T,Obrotowka[[#This Row],[GL_Account]])))</f>
        <v>0</v>
      </c>
      <c r="H221" s="18">
        <f>IF($D$5="tak",SUMIFS(AL:AL,AH:AH,Obrotowka[[#This Row],[GL_Account]],AL:AL,"&lt;0")/1000,SUMIFS(AL:AL,AH:AH,Obrotowka[[#This Row],[GL_Account]],AL:AL,"&lt;0"))</f>
        <v>0</v>
      </c>
      <c r="I221" s="18">
        <f>SUM(Obrotowka[[#This Row],[BO]:[MA]])</f>
        <v>0</v>
      </c>
      <c r="J221">
        <f>IF(Obrotowka[[#This Row],[BZ]]=0,0,1)</f>
        <v>0</v>
      </c>
      <c r="K221" s="253"/>
      <c r="AF221" s="18"/>
      <c r="AU221" t="s">
        <v>8380</v>
      </c>
    </row>
    <row r="222" spans="2:47" x14ac:dyDescent="0.3">
      <c r="B222" t="s">
        <v>11857</v>
      </c>
      <c r="C222" t="s">
        <v>11858</v>
      </c>
      <c r="D222" t="s">
        <v>3505</v>
      </c>
      <c r="E222" t="s">
        <v>3509</v>
      </c>
      <c r="F222" s="18">
        <f>IF($D$5="tak",(SUMIFS(AE:AE,AA:AA,Obrotowka[[#This Row],[GL_Account]])-SUMIFS(U:U,S:S,Obrotowka[[#This Row],[GL_Account]])+SUMIFS(U:U,T:T,Obrotowka[[#This Row],[GL_Account]]))/1000,(SUMIFS(AE:AE,AA:AA,Obrotowka[[#This Row],[GL_Account]])-SUMIFS(U:U,S:S,Obrotowka[[#This Row],[GL_Account]])+SUMIFS(U:U,T:T,Obrotowka[[#This Row],[GL_Account]])))</f>
        <v>0</v>
      </c>
      <c r="G222" s="18">
        <f>IF($D$5="tak",(SUMIFS(AL:AL,AH:AH,Obrotowka[[#This Row],[GL_Account]],AL:AL,"&gt;=0")-SUMIFS(V:V,S:S,Obrotowka[[#This Row],[GL_Account]])+SUMIFS(V:V,T:T,Obrotowka[[#This Row],[GL_Account]]))/1000,(SUMIFS(AL:AL,AH:AH,Obrotowka[[#This Row],[GL_Account]],AL:AL,"&gt;=0")-SUMIFS(V:V,S:S,Obrotowka[[#This Row],[GL_Account]])+SUMIFS(V:V,T:T,Obrotowka[[#This Row],[GL_Account]])))</f>
        <v>0</v>
      </c>
      <c r="H222" s="18">
        <f>IF($D$5="tak",SUMIFS(AL:AL,AH:AH,Obrotowka[[#This Row],[GL_Account]],AL:AL,"&lt;0")/1000,SUMIFS(AL:AL,AH:AH,Obrotowka[[#This Row],[GL_Account]],AL:AL,"&lt;0"))</f>
        <v>0</v>
      </c>
      <c r="I222" s="18">
        <f>SUM(Obrotowka[[#This Row],[BO]:[MA]])</f>
        <v>0</v>
      </c>
      <c r="J222">
        <f>IF(Obrotowka[[#This Row],[BZ]]=0,0,1)</f>
        <v>0</v>
      </c>
      <c r="K222" s="253"/>
      <c r="AF222" s="18"/>
      <c r="AU222" t="s">
        <v>8450</v>
      </c>
    </row>
    <row r="223" spans="2:47" x14ac:dyDescent="0.3">
      <c r="B223" t="s">
        <v>11859</v>
      </c>
      <c r="C223" t="s">
        <v>11860</v>
      </c>
      <c r="D223" t="s">
        <v>3505</v>
      </c>
      <c r="E223" t="s">
        <v>4326</v>
      </c>
      <c r="F223" s="18">
        <f>IF($D$5="tak",(SUMIFS(AE:AE,AA:AA,Obrotowka[[#This Row],[GL_Account]])-SUMIFS(U:U,S:S,Obrotowka[[#This Row],[GL_Account]])+SUMIFS(U:U,T:T,Obrotowka[[#This Row],[GL_Account]]))/1000,(SUMIFS(AE:AE,AA:AA,Obrotowka[[#This Row],[GL_Account]])-SUMIFS(U:U,S:S,Obrotowka[[#This Row],[GL_Account]])+SUMIFS(U:U,T:T,Obrotowka[[#This Row],[GL_Account]])))</f>
        <v>0</v>
      </c>
      <c r="G223" s="18">
        <f>IF($D$5="tak",(SUMIFS(AL:AL,AH:AH,Obrotowka[[#This Row],[GL_Account]],AL:AL,"&gt;=0")-SUMIFS(V:V,S:S,Obrotowka[[#This Row],[GL_Account]])+SUMIFS(V:V,T:T,Obrotowka[[#This Row],[GL_Account]]))/1000,(SUMIFS(AL:AL,AH:AH,Obrotowka[[#This Row],[GL_Account]],AL:AL,"&gt;=0")-SUMIFS(V:V,S:S,Obrotowka[[#This Row],[GL_Account]])+SUMIFS(V:V,T:T,Obrotowka[[#This Row],[GL_Account]])))</f>
        <v>0</v>
      </c>
      <c r="H223" s="18">
        <f>IF($D$5="tak",SUMIFS(AL:AL,AH:AH,Obrotowka[[#This Row],[GL_Account]],AL:AL,"&lt;0")/1000,SUMIFS(AL:AL,AH:AH,Obrotowka[[#This Row],[GL_Account]],AL:AL,"&lt;0"))</f>
        <v>0</v>
      </c>
      <c r="I223" s="18">
        <f>SUM(Obrotowka[[#This Row],[BO]:[MA]])</f>
        <v>0</v>
      </c>
      <c r="J223">
        <f>IF(Obrotowka[[#This Row],[BZ]]=0,0,1)</f>
        <v>0</v>
      </c>
      <c r="K223" s="253"/>
      <c r="AF223" s="18"/>
      <c r="AU223" t="s">
        <v>8450</v>
      </c>
    </row>
    <row r="224" spans="2:47" x14ac:dyDescent="0.3">
      <c r="B224" t="s">
        <v>11861</v>
      </c>
      <c r="C224" t="s">
        <v>11862</v>
      </c>
      <c r="D224" t="s">
        <v>3505</v>
      </c>
      <c r="E224" t="s">
        <v>3509</v>
      </c>
      <c r="F224" s="18">
        <f>IF($D$5="tak",(SUMIFS(AE:AE,AA:AA,Obrotowka[[#This Row],[GL_Account]])-SUMIFS(U:U,S:S,Obrotowka[[#This Row],[GL_Account]])+SUMIFS(U:U,T:T,Obrotowka[[#This Row],[GL_Account]]))/1000,(SUMIFS(AE:AE,AA:AA,Obrotowka[[#This Row],[GL_Account]])-SUMIFS(U:U,S:S,Obrotowka[[#This Row],[GL_Account]])+SUMIFS(U:U,T:T,Obrotowka[[#This Row],[GL_Account]])))</f>
        <v>0</v>
      </c>
      <c r="G224" s="18">
        <f>IF($D$5="tak",(SUMIFS(AL:AL,AH:AH,Obrotowka[[#This Row],[GL_Account]],AL:AL,"&gt;=0")-SUMIFS(V:V,S:S,Obrotowka[[#This Row],[GL_Account]])+SUMIFS(V:V,T:T,Obrotowka[[#This Row],[GL_Account]]))/1000,(SUMIFS(AL:AL,AH:AH,Obrotowka[[#This Row],[GL_Account]],AL:AL,"&gt;=0")-SUMIFS(V:V,S:S,Obrotowka[[#This Row],[GL_Account]])+SUMIFS(V:V,T:T,Obrotowka[[#This Row],[GL_Account]])))</f>
        <v>0</v>
      </c>
      <c r="H224" s="18">
        <f>IF($D$5="tak",SUMIFS(AL:AL,AH:AH,Obrotowka[[#This Row],[GL_Account]],AL:AL,"&lt;0")/1000,SUMIFS(AL:AL,AH:AH,Obrotowka[[#This Row],[GL_Account]],AL:AL,"&lt;0"))</f>
        <v>0</v>
      </c>
      <c r="I224" s="18">
        <f>SUM(Obrotowka[[#This Row],[BO]:[MA]])</f>
        <v>0</v>
      </c>
      <c r="J224">
        <f>IF(Obrotowka[[#This Row],[BZ]]=0,0,1)</f>
        <v>0</v>
      </c>
      <c r="K224" s="253"/>
      <c r="AF224" s="18"/>
      <c r="AU224" t="s">
        <v>8450</v>
      </c>
    </row>
    <row r="225" spans="2:47" x14ac:dyDescent="0.3">
      <c r="B225" t="s">
        <v>11863</v>
      </c>
      <c r="C225" t="s">
        <v>11864</v>
      </c>
      <c r="D225" t="s">
        <v>3505</v>
      </c>
      <c r="E225" t="s">
        <v>4326</v>
      </c>
      <c r="F225" s="18">
        <f>IF($D$5="tak",(SUMIFS(AE:AE,AA:AA,Obrotowka[[#This Row],[GL_Account]])-SUMIFS(U:U,S:S,Obrotowka[[#This Row],[GL_Account]])+SUMIFS(U:U,T:T,Obrotowka[[#This Row],[GL_Account]]))/1000,(SUMIFS(AE:AE,AA:AA,Obrotowka[[#This Row],[GL_Account]])-SUMIFS(U:U,S:S,Obrotowka[[#This Row],[GL_Account]])+SUMIFS(U:U,T:T,Obrotowka[[#This Row],[GL_Account]])))</f>
        <v>0</v>
      </c>
      <c r="G225" s="18">
        <f>IF($D$5="tak",(SUMIFS(AL:AL,AH:AH,Obrotowka[[#This Row],[GL_Account]],AL:AL,"&gt;=0")-SUMIFS(V:V,S:S,Obrotowka[[#This Row],[GL_Account]])+SUMIFS(V:V,T:T,Obrotowka[[#This Row],[GL_Account]]))/1000,(SUMIFS(AL:AL,AH:AH,Obrotowka[[#This Row],[GL_Account]],AL:AL,"&gt;=0")-SUMIFS(V:V,S:S,Obrotowka[[#This Row],[GL_Account]])+SUMIFS(V:V,T:T,Obrotowka[[#This Row],[GL_Account]])))</f>
        <v>0</v>
      </c>
      <c r="H225" s="18">
        <f>IF($D$5="tak",SUMIFS(AL:AL,AH:AH,Obrotowka[[#This Row],[GL_Account]],AL:AL,"&lt;0")/1000,SUMIFS(AL:AL,AH:AH,Obrotowka[[#This Row],[GL_Account]],AL:AL,"&lt;0"))</f>
        <v>0</v>
      </c>
      <c r="I225" s="18">
        <f>SUM(Obrotowka[[#This Row],[BO]:[MA]])</f>
        <v>0</v>
      </c>
      <c r="J225">
        <f>IF(Obrotowka[[#This Row],[BZ]]=0,0,1)</f>
        <v>0</v>
      </c>
      <c r="K225" s="253"/>
      <c r="AF225" s="18"/>
      <c r="AU225" t="s">
        <v>8450</v>
      </c>
    </row>
    <row r="226" spans="2:47" x14ac:dyDescent="0.3">
      <c r="B226" t="s">
        <v>11865</v>
      </c>
      <c r="C226" t="s">
        <v>11866</v>
      </c>
      <c r="D226" t="s">
        <v>3505</v>
      </c>
      <c r="E226" t="s">
        <v>3509</v>
      </c>
      <c r="F226" s="18">
        <f>IF($D$5="tak",(SUMIFS(AE:AE,AA:AA,Obrotowka[[#This Row],[GL_Account]])-SUMIFS(U:U,S:S,Obrotowka[[#This Row],[GL_Account]])+SUMIFS(U:U,T:T,Obrotowka[[#This Row],[GL_Account]]))/1000,(SUMIFS(AE:AE,AA:AA,Obrotowka[[#This Row],[GL_Account]])-SUMIFS(U:U,S:S,Obrotowka[[#This Row],[GL_Account]])+SUMIFS(U:U,T:T,Obrotowka[[#This Row],[GL_Account]])))</f>
        <v>0</v>
      </c>
      <c r="G226" s="18">
        <f>IF($D$5="tak",(SUMIFS(AL:AL,AH:AH,Obrotowka[[#This Row],[GL_Account]],AL:AL,"&gt;=0")-SUMIFS(V:V,S:S,Obrotowka[[#This Row],[GL_Account]])+SUMIFS(V:V,T:T,Obrotowka[[#This Row],[GL_Account]]))/1000,(SUMIFS(AL:AL,AH:AH,Obrotowka[[#This Row],[GL_Account]],AL:AL,"&gt;=0")-SUMIFS(V:V,S:S,Obrotowka[[#This Row],[GL_Account]])+SUMIFS(V:V,T:T,Obrotowka[[#This Row],[GL_Account]])))</f>
        <v>0</v>
      </c>
      <c r="H226" s="18">
        <f>IF($D$5="tak",SUMIFS(AL:AL,AH:AH,Obrotowka[[#This Row],[GL_Account]],AL:AL,"&lt;0")/1000,SUMIFS(AL:AL,AH:AH,Obrotowka[[#This Row],[GL_Account]],AL:AL,"&lt;0"))</f>
        <v>0</v>
      </c>
      <c r="I226" s="18">
        <f>SUM(Obrotowka[[#This Row],[BO]:[MA]])</f>
        <v>0</v>
      </c>
      <c r="J226">
        <f>IF(Obrotowka[[#This Row],[BZ]]=0,0,1)</f>
        <v>0</v>
      </c>
      <c r="K226" s="253"/>
      <c r="AF226" s="18"/>
      <c r="AU226" t="s">
        <v>8394</v>
      </c>
    </row>
    <row r="227" spans="2:47" x14ac:dyDescent="0.3">
      <c r="B227" t="s">
        <v>11867</v>
      </c>
      <c r="C227" t="s">
        <v>11868</v>
      </c>
      <c r="D227" t="s">
        <v>3505</v>
      </c>
      <c r="E227" t="s">
        <v>4326</v>
      </c>
      <c r="F227" s="18">
        <f>IF($D$5="tak",(SUMIFS(AE:AE,AA:AA,Obrotowka[[#This Row],[GL_Account]])-SUMIFS(U:U,S:S,Obrotowka[[#This Row],[GL_Account]])+SUMIFS(U:U,T:T,Obrotowka[[#This Row],[GL_Account]]))/1000,(SUMIFS(AE:AE,AA:AA,Obrotowka[[#This Row],[GL_Account]])-SUMIFS(U:U,S:S,Obrotowka[[#This Row],[GL_Account]])+SUMIFS(U:U,T:T,Obrotowka[[#This Row],[GL_Account]])))</f>
        <v>0</v>
      </c>
      <c r="G227" s="18">
        <f>IF($D$5="tak",(SUMIFS(AL:AL,AH:AH,Obrotowka[[#This Row],[GL_Account]],AL:AL,"&gt;=0")-SUMIFS(V:V,S:S,Obrotowka[[#This Row],[GL_Account]])+SUMIFS(V:V,T:T,Obrotowka[[#This Row],[GL_Account]]))/1000,(SUMIFS(AL:AL,AH:AH,Obrotowka[[#This Row],[GL_Account]],AL:AL,"&gt;=0")-SUMIFS(V:V,S:S,Obrotowka[[#This Row],[GL_Account]])+SUMIFS(V:V,T:T,Obrotowka[[#This Row],[GL_Account]])))</f>
        <v>0</v>
      </c>
      <c r="H227" s="18">
        <f>IF($D$5="tak",SUMIFS(AL:AL,AH:AH,Obrotowka[[#This Row],[GL_Account]],AL:AL,"&lt;0")/1000,SUMIFS(AL:AL,AH:AH,Obrotowka[[#This Row],[GL_Account]],AL:AL,"&lt;0"))</f>
        <v>0</v>
      </c>
      <c r="I227" s="18">
        <f>SUM(Obrotowka[[#This Row],[BO]:[MA]])</f>
        <v>0</v>
      </c>
      <c r="J227">
        <f>IF(Obrotowka[[#This Row],[BZ]]=0,0,1)</f>
        <v>0</v>
      </c>
      <c r="K227" s="253"/>
      <c r="AF227" s="18"/>
      <c r="AU227" t="s">
        <v>8394</v>
      </c>
    </row>
    <row r="228" spans="2:47" x14ac:dyDescent="0.3">
      <c r="B228" t="s">
        <v>11869</v>
      </c>
      <c r="C228" t="s">
        <v>11870</v>
      </c>
      <c r="D228" t="s">
        <v>3505</v>
      </c>
      <c r="E228" t="s">
        <v>3509</v>
      </c>
      <c r="F228" s="18">
        <f>IF($D$5="tak",(SUMIFS(AE:AE,AA:AA,Obrotowka[[#This Row],[GL_Account]])-SUMIFS(U:U,S:S,Obrotowka[[#This Row],[GL_Account]])+SUMIFS(U:U,T:T,Obrotowka[[#This Row],[GL_Account]]))/1000,(SUMIFS(AE:AE,AA:AA,Obrotowka[[#This Row],[GL_Account]])-SUMIFS(U:U,S:S,Obrotowka[[#This Row],[GL_Account]])+SUMIFS(U:U,T:T,Obrotowka[[#This Row],[GL_Account]])))</f>
        <v>0</v>
      </c>
      <c r="G228" s="18">
        <f>IF($D$5="tak",(SUMIFS(AL:AL,AH:AH,Obrotowka[[#This Row],[GL_Account]],AL:AL,"&gt;=0")-SUMIFS(V:V,S:S,Obrotowka[[#This Row],[GL_Account]])+SUMIFS(V:V,T:T,Obrotowka[[#This Row],[GL_Account]]))/1000,(SUMIFS(AL:AL,AH:AH,Obrotowka[[#This Row],[GL_Account]],AL:AL,"&gt;=0")-SUMIFS(V:V,S:S,Obrotowka[[#This Row],[GL_Account]])+SUMIFS(V:V,T:T,Obrotowka[[#This Row],[GL_Account]])))</f>
        <v>0</v>
      </c>
      <c r="H228" s="18">
        <f>IF($D$5="tak",SUMIFS(AL:AL,AH:AH,Obrotowka[[#This Row],[GL_Account]],AL:AL,"&lt;0")/1000,SUMIFS(AL:AL,AH:AH,Obrotowka[[#This Row],[GL_Account]],AL:AL,"&lt;0"))</f>
        <v>0</v>
      </c>
      <c r="I228" s="18">
        <f>SUM(Obrotowka[[#This Row],[BO]:[MA]])</f>
        <v>0</v>
      </c>
      <c r="J228">
        <f>IF(Obrotowka[[#This Row],[BZ]]=0,0,1)</f>
        <v>0</v>
      </c>
      <c r="K228" s="253"/>
      <c r="AF228" s="18"/>
      <c r="AU228" t="s">
        <v>8450</v>
      </c>
    </row>
    <row r="229" spans="2:47" x14ac:dyDescent="0.3">
      <c r="B229" t="s">
        <v>11871</v>
      </c>
      <c r="C229" t="s">
        <v>11872</v>
      </c>
      <c r="D229" t="s">
        <v>3505</v>
      </c>
      <c r="E229" t="s">
        <v>4326</v>
      </c>
      <c r="F229" s="18">
        <f>IF($D$5="tak",(SUMIFS(AE:AE,AA:AA,Obrotowka[[#This Row],[GL_Account]])-SUMIFS(U:U,S:S,Obrotowka[[#This Row],[GL_Account]])+SUMIFS(U:U,T:T,Obrotowka[[#This Row],[GL_Account]]))/1000,(SUMIFS(AE:AE,AA:AA,Obrotowka[[#This Row],[GL_Account]])-SUMIFS(U:U,S:S,Obrotowka[[#This Row],[GL_Account]])+SUMIFS(U:U,T:T,Obrotowka[[#This Row],[GL_Account]])))</f>
        <v>0</v>
      </c>
      <c r="G229" s="18">
        <f>IF($D$5="tak",(SUMIFS(AL:AL,AH:AH,Obrotowka[[#This Row],[GL_Account]],AL:AL,"&gt;=0")-SUMIFS(V:V,S:S,Obrotowka[[#This Row],[GL_Account]])+SUMIFS(V:V,T:T,Obrotowka[[#This Row],[GL_Account]]))/1000,(SUMIFS(AL:AL,AH:AH,Obrotowka[[#This Row],[GL_Account]],AL:AL,"&gt;=0")-SUMIFS(V:V,S:S,Obrotowka[[#This Row],[GL_Account]])+SUMIFS(V:V,T:T,Obrotowka[[#This Row],[GL_Account]])))</f>
        <v>0</v>
      </c>
      <c r="H229" s="18">
        <f>IF($D$5="tak",SUMIFS(AL:AL,AH:AH,Obrotowka[[#This Row],[GL_Account]],AL:AL,"&lt;0")/1000,SUMIFS(AL:AL,AH:AH,Obrotowka[[#This Row],[GL_Account]],AL:AL,"&lt;0"))</f>
        <v>0</v>
      </c>
      <c r="I229" s="18">
        <f>SUM(Obrotowka[[#This Row],[BO]:[MA]])</f>
        <v>0</v>
      </c>
      <c r="J229">
        <f>IF(Obrotowka[[#This Row],[BZ]]=0,0,1)</f>
        <v>0</v>
      </c>
      <c r="K229" s="253"/>
      <c r="AF229" s="18"/>
      <c r="AU229" t="s">
        <v>8394</v>
      </c>
    </row>
    <row r="230" spans="2:47" x14ac:dyDescent="0.3">
      <c r="B230" t="s">
        <v>11873</v>
      </c>
      <c r="C230" t="s">
        <v>11874</v>
      </c>
      <c r="D230" t="s">
        <v>3505</v>
      </c>
      <c r="E230" t="s">
        <v>4326</v>
      </c>
      <c r="F230" s="18">
        <f>IF($D$5="tak",(SUMIFS(AE:AE,AA:AA,Obrotowka[[#This Row],[GL_Account]])-SUMIFS(U:U,S:S,Obrotowka[[#This Row],[GL_Account]])+SUMIFS(U:U,T:T,Obrotowka[[#This Row],[GL_Account]]))/1000,(SUMIFS(AE:AE,AA:AA,Obrotowka[[#This Row],[GL_Account]])-SUMIFS(U:U,S:S,Obrotowka[[#This Row],[GL_Account]])+SUMIFS(U:U,T:T,Obrotowka[[#This Row],[GL_Account]])))</f>
        <v>0</v>
      </c>
      <c r="G230" s="18">
        <f>IF($D$5="tak",(SUMIFS(AL:AL,AH:AH,Obrotowka[[#This Row],[GL_Account]],AL:AL,"&gt;=0")-SUMIFS(V:V,S:S,Obrotowka[[#This Row],[GL_Account]])+SUMIFS(V:V,T:T,Obrotowka[[#This Row],[GL_Account]]))/1000,(SUMIFS(AL:AL,AH:AH,Obrotowka[[#This Row],[GL_Account]],AL:AL,"&gt;=0")-SUMIFS(V:V,S:S,Obrotowka[[#This Row],[GL_Account]])+SUMIFS(V:V,T:T,Obrotowka[[#This Row],[GL_Account]])))</f>
        <v>0</v>
      </c>
      <c r="H230" s="18">
        <f>IF($D$5="tak",SUMIFS(AL:AL,AH:AH,Obrotowka[[#This Row],[GL_Account]],AL:AL,"&lt;0")/1000,SUMIFS(AL:AL,AH:AH,Obrotowka[[#This Row],[GL_Account]],AL:AL,"&lt;0"))</f>
        <v>0</v>
      </c>
      <c r="I230" s="18">
        <f>SUM(Obrotowka[[#This Row],[BO]:[MA]])</f>
        <v>0</v>
      </c>
      <c r="J230">
        <f>IF(Obrotowka[[#This Row],[BZ]]=0,0,1)</f>
        <v>0</v>
      </c>
      <c r="K230" s="253"/>
      <c r="AF230" s="18"/>
      <c r="AU230" t="s">
        <v>8433</v>
      </c>
    </row>
    <row r="231" spans="2:47" x14ac:dyDescent="0.3">
      <c r="B231" t="s">
        <v>11875</v>
      </c>
      <c r="C231" t="s">
        <v>11876</v>
      </c>
      <c r="D231" t="s">
        <v>3505</v>
      </c>
      <c r="E231" t="s">
        <v>4326</v>
      </c>
      <c r="F231" s="18">
        <f>IF($D$5="tak",(SUMIFS(AE:AE,AA:AA,Obrotowka[[#This Row],[GL_Account]])-SUMIFS(U:U,S:S,Obrotowka[[#This Row],[GL_Account]])+SUMIFS(U:U,T:T,Obrotowka[[#This Row],[GL_Account]]))/1000,(SUMIFS(AE:AE,AA:AA,Obrotowka[[#This Row],[GL_Account]])-SUMIFS(U:U,S:S,Obrotowka[[#This Row],[GL_Account]])+SUMIFS(U:U,T:T,Obrotowka[[#This Row],[GL_Account]])))</f>
        <v>0</v>
      </c>
      <c r="G231" s="18">
        <f>IF($D$5="tak",(SUMIFS(AL:AL,AH:AH,Obrotowka[[#This Row],[GL_Account]],AL:AL,"&gt;=0")-SUMIFS(V:V,S:S,Obrotowka[[#This Row],[GL_Account]])+SUMIFS(V:V,T:T,Obrotowka[[#This Row],[GL_Account]]))/1000,(SUMIFS(AL:AL,AH:AH,Obrotowka[[#This Row],[GL_Account]],AL:AL,"&gt;=0")-SUMIFS(V:V,S:S,Obrotowka[[#This Row],[GL_Account]])+SUMIFS(V:V,T:T,Obrotowka[[#This Row],[GL_Account]])))</f>
        <v>0</v>
      </c>
      <c r="H231" s="18">
        <f>IF($D$5="tak",SUMIFS(AL:AL,AH:AH,Obrotowka[[#This Row],[GL_Account]],AL:AL,"&lt;0")/1000,SUMIFS(AL:AL,AH:AH,Obrotowka[[#This Row],[GL_Account]],AL:AL,"&lt;0"))</f>
        <v>0</v>
      </c>
      <c r="I231" s="18">
        <f>SUM(Obrotowka[[#This Row],[BO]:[MA]])</f>
        <v>0</v>
      </c>
      <c r="J231">
        <f>IF(Obrotowka[[#This Row],[BZ]]=0,0,1)</f>
        <v>0</v>
      </c>
      <c r="K231" s="253"/>
      <c r="AF231" s="18"/>
      <c r="AU231" t="s">
        <v>8380</v>
      </c>
    </row>
    <row r="232" spans="2:47" x14ac:dyDescent="0.3">
      <c r="B232" t="s">
        <v>11877</v>
      </c>
      <c r="C232" t="s">
        <v>11878</v>
      </c>
      <c r="D232" t="s">
        <v>3505</v>
      </c>
      <c r="E232" t="s">
        <v>4326</v>
      </c>
      <c r="F232" s="18">
        <f>IF($D$5="tak",(SUMIFS(AE:AE,AA:AA,Obrotowka[[#This Row],[GL_Account]])-SUMIFS(U:U,S:S,Obrotowka[[#This Row],[GL_Account]])+SUMIFS(U:U,T:T,Obrotowka[[#This Row],[GL_Account]]))/1000,(SUMIFS(AE:AE,AA:AA,Obrotowka[[#This Row],[GL_Account]])-SUMIFS(U:U,S:S,Obrotowka[[#This Row],[GL_Account]])+SUMIFS(U:U,T:T,Obrotowka[[#This Row],[GL_Account]])))</f>
        <v>0</v>
      </c>
      <c r="G232" s="18">
        <f>IF($D$5="tak",(SUMIFS(AL:AL,AH:AH,Obrotowka[[#This Row],[GL_Account]],AL:AL,"&gt;=0")-SUMIFS(V:V,S:S,Obrotowka[[#This Row],[GL_Account]])+SUMIFS(V:V,T:T,Obrotowka[[#This Row],[GL_Account]]))/1000,(SUMIFS(AL:AL,AH:AH,Obrotowka[[#This Row],[GL_Account]],AL:AL,"&gt;=0")-SUMIFS(V:V,S:S,Obrotowka[[#This Row],[GL_Account]])+SUMIFS(V:V,T:T,Obrotowka[[#This Row],[GL_Account]])))</f>
        <v>0</v>
      </c>
      <c r="H232" s="18">
        <f>IF($D$5="tak",SUMIFS(AL:AL,AH:AH,Obrotowka[[#This Row],[GL_Account]],AL:AL,"&lt;0")/1000,SUMIFS(AL:AL,AH:AH,Obrotowka[[#This Row],[GL_Account]],AL:AL,"&lt;0"))</f>
        <v>0</v>
      </c>
      <c r="I232" s="18">
        <f>SUM(Obrotowka[[#This Row],[BO]:[MA]])</f>
        <v>0</v>
      </c>
      <c r="J232">
        <f>IF(Obrotowka[[#This Row],[BZ]]=0,0,1)</f>
        <v>0</v>
      </c>
      <c r="K232" s="253"/>
      <c r="AF232" s="18"/>
      <c r="AU232" t="s">
        <v>8453</v>
      </c>
    </row>
    <row r="233" spans="2:47" x14ac:dyDescent="0.3">
      <c r="B233" t="s">
        <v>11879</v>
      </c>
      <c r="C233" t="s">
        <v>11880</v>
      </c>
      <c r="D233" t="s">
        <v>3505</v>
      </c>
      <c r="E233" t="s">
        <v>4326</v>
      </c>
      <c r="F233" s="18">
        <f>IF($D$5="tak",(SUMIFS(AE:AE,AA:AA,Obrotowka[[#This Row],[GL_Account]])-SUMIFS(U:U,S:S,Obrotowka[[#This Row],[GL_Account]])+SUMIFS(U:U,T:T,Obrotowka[[#This Row],[GL_Account]]))/1000,(SUMIFS(AE:AE,AA:AA,Obrotowka[[#This Row],[GL_Account]])-SUMIFS(U:U,S:S,Obrotowka[[#This Row],[GL_Account]])+SUMIFS(U:U,T:T,Obrotowka[[#This Row],[GL_Account]])))</f>
        <v>0</v>
      </c>
      <c r="G233" s="18">
        <f>IF($D$5="tak",(SUMIFS(AL:AL,AH:AH,Obrotowka[[#This Row],[GL_Account]],AL:AL,"&gt;=0")-SUMIFS(V:V,S:S,Obrotowka[[#This Row],[GL_Account]])+SUMIFS(V:V,T:T,Obrotowka[[#This Row],[GL_Account]]))/1000,(SUMIFS(AL:AL,AH:AH,Obrotowka[[#This Row],[GL_Account]],AL:AL,"&gt;=0")-SUMIFS(V:V,S:S,Obrotowka[[#This Row],[GL_Account]])+SUMIFS(V:V,T:T,Obrotowka[[#This Row],[GL_Account]])))</f>
        <v>0</v>
      </c>
      <c r="H233" s="18">
        <f>IF($D$5="tak",SUMIFS(AL:AL,AH:AH,Obrotowka[[#This Row],[GL_Account]],AL:AL,"&lt;0")/1000,SUMIFS(AL:AL,AH:AH,Obrotowka[[#This Row],[GL_Account]],AL:AL,"&lt;0"))</f>
        <v>0</v>
      </c>
      <c r="I233" s="18">
        <f>SUM(Obrotowka[[#This Row],[BO]:[MA]])</f>
        <v>0</v>
      </c>
      <c r="J233">
        <f>IF(Obrotowka[[#This Row],[BZ]]=0,0,1)</f>
        <v>0</v>
      </c>
      <c r="K233" s="253"/>
      <c r="AF233" s="18"/>
      <c r="AU233" t="s">
        <v>8399</v>
      </c>
    </row>
    <row r="234" spans="2:47" x14ac:dyDescent="0.3">
      <c r="B234" t="s">
        <v>11881</v>
      </c>
      <c r="C234" t="s">
        <v>11882</v>
      </c>
      <c r="D234" t="s">
        <v>3505</v>
      </c>
      <c r="E234" t="s">
        <v>4326</v>
      </c>
      <c r="F234" s="18">
        <f>IF($D$5="tak",(SUMIFS(AE:AE,AA:AA,Obrotowka[[#This Row],[GL_Account]])-SUMIFS(U:U,S:S,Obrotowka[[#This Row],[GL_Account]])+SUMIFS(U:U,T:T,Obrotowka[[#This Row],[GL_Account]]))/1000,(SUMIFS(AE:AE,AA:AA,Obrotowka[[#This Row],[GL_Account]])-SUMIFS(U:U,S:S,Obrotowka[[#This Row],[GL_Account]])+SUMIFS(U:U,T:T,Obrotowka[[#This Row],[GL_Account]])))</f>
        <v>0</v>
      </c>
      <c r="G234" s="18">
        <f>IF($D$5="tak",(SUMIFS(AL:AL,AH:AH,Obrotowka[[#This Row],[GL_Account]],AL:AL,"&gt;=0")-SUMIFS(V:V,S:S,Obrotowka[[#This Row],[GL_Account]])+SUMIFS(V:V,T:T,Obrotowka[[#This Row],[GL_Account]]))/1000,(SUMIFS(AL:AL,AH:AH,Obrotowka[[#This Row],[GL_Account]],AL:AL,"&gt;=0")-SUMIFS(V:V,S:S,Obrotowka[[#This Row],[GL_Account]])+SUMIFS(V:V,T:T,Obrotowka[[#This Row],[GL_Account]])))</f>
        <v>0</v>
      </c>
      <c r="H234" s="18">
        <f>IF($D$5="tak",SUMIFS(AL:AL,AH:AH,Obrotowka[[#This Row],[GL_Account]],AL:AL,"&lt;0")/1000,SUMIFS(AL:AL,AH:AH,Obrotowka[[#This Row],[GL_Account]],AL:AL,"&lt;0"))</f>
        <v>0</v>
      </c>
      <c r="I234" s="18">
        <f>SUM(Obrotowka[[#This Row],[BO]:[MA]])</f>
        <v>0</v>
      </c>
      <c r="J234">
        <f>IF(Obrotowka[[#This Row],[BZ]]=0,0,1)</f>
        <v>0</v>
      </c>
      <c r="K234" s="253"/>
      <c r="AF234" s="18"/>
      <c r="AU234" t="s">
        <v>8433</v>
      </c>
    </row>
    <row r="235" spans="2:47" x14ac:dyDescent="0.3">
      <c r="B235" t="s">
        <v>11883</v>
      </c>
      <c r="C235" t="s">
        <v>11884</v>
      </c>
      <c r="D235" t="s">
        <v>3505</v>
      </c>
      <c r="E235" t="s">
        <v>4326</v>
      </c>
      <c r="F235" s="18">
        <f>IF($D$5="tak",(SUMIFS(AE:AE,AA:AA,Obrotowka[[#This Row],[GL_Account]])-SUMIFS(U:U,S:S,Obrotowka[[#This Row],[GL_Account]])+SUMIFS(U:U,T:T,Obrotowka[[#This Row],[GL_Account]]))/1000,(SUMIFS(AE:AE,AA:AA,Obrotowka[[#This Row],[GL_Account]])-SUMIFS(U:U,S:S,Obrotowka[[#This Row],[GL_Account]])+SUMIFS(U:U,T:T,Obrotowka[[#This Row],[GL_Account]])))</f>
        <v>0</v>
      </c>
      <c r="G235" s="18">
        <f>IF($D$5="tak",(SUMIFS(AL:AL,AH:AH,Obrotowka[[#This Row],[GL_Account]],AL:AL,"&gt;=0")-SUMIFS(V:V,S:S,Obrotowka[[#This Row],[GL_Account]])+SUMIFS(V:V,T:T,Obrotowka[[#This Row],[GL_Account]]))/1000,(SUMIFS(AL:AL,AH:AH,Obrotowka[[#This Row],[GL_Account]],AL:AL,"&gt;=0")-SUMIFS(V:V,S:S,Obrotowka[[#This Row],[GL_Account]])+SUMIFS(V:V,T:T,Obrotowka[[#This Row],[GL_Account]])))</f>
        <v>0</v>
      </c>
      <c r="H235" s="18">
        <f>IF($D$5="tak",SUMIFS(AL:AL,AH:AH,Obrotowka[[#This Row],[GL_Account]],AL:AL,"&lt;0")/1000,SUMIFS(AL:AL,AH:AH,Obrotowka[[#This Row],[GL_Account]],AL:AL,"&lt;0"))</f>
        <v>0</v>
      </c>
      <c r="I235" s="18">
        <f>SUM(Obrotowka[[#This Row],[BO]:[MA]])</f>
        <v>0</v>
      </c>
      <c r="J235">
        <f>IF(Obrotowka[[#This Row],[BZ]]=0,0,1)</f>
        <v>0</v>
      </c>
      <c r="K235" s="253"/>
      <c r="AF235" s="18"/>
      <c r="AU235" t="s">
        <v>8380</v>
      </c>
    </row>
    <row r="236" spans="2:47" x14ac:dyDescent="0.3">
      <c r="B236" t="s">
        <v>11885</v>
      </c>
      <c r="C236" t="s">
        <v>11886</v>
      </c>
      <c r="D236" t="s">
        <v>3505</v>
      </c>
      <c r="E236" t="s">
        <v>4326</v>
      </c>
      <c r="F236" s="18">
        <f>IF($D$5="tak",(SUMIFS(AE:AE,AA:AA,Obrotowka[[#This Row],[GL_Account]])-SUMIFS(U:U,S:S,Obrotowka[[#This Row],[GL_Account]])+SUMIFS(U:U,T:T,Obrotowka[[#This Row],[GL_Account]]))/1000,(SUMIFS(AE:AE,AA:AA,Obrotowka[[#This Row],[GL_Account]])-SUMIFS(U:U,S:S,Obrotowka[[#This Row],[GL_Account]])+SUMIFS(U:U,T:T,Obrotowka[[#This Row],[GL_Account]])))</f>
        <v>0</v>
      </c>
      <c r="G236" s="18">
        <f>IF($D$5="tak",(SUMIFS(AL:AL,AH:AH,Obrotowka[[#This Row],[GL_Account]],AL:AL,"&gt;=0")-SUMIFS(V:V,S:S,Obrotowka[[#This Row],[GL_Account]])+SUMIFS(V:V,T:T,Obrotowka[[#This Row],[GL_Account]]))/1000,(SUMIFS(AL:AL,AH:AH,Obrotowka[[#This Row],[GL_Account]],AL:AL,"&gt;=0")-SUMIFS(V:V,S:S,Obrotowka[[#This Row],[GL_Account]])+SUMIFS(V:V,T:T,Obrotowka[[#This Row],[GL_Account]])))</f>
        <v>0</v>
      </c>
      <c r="H236" s="18">
        <f>IF($D$5="tak",SUMIFS(AL:AL,AH:AH,Obrotowka[[#This Row],[GL_Account]],AL:AL,"&lt;0")/1000,SUMIFS(AL:AL,AH:AH,Obrotowka[[#This Row],[GL_Account]],AL:AL,"&lt;0"))</f>
        <v>0</v>
      </c>
      <c r="I236" s="18">
        <f>SUM(Obrotowka[[#This Row],[BO]:[MA]])</f>
        <v>0</v>
      </c>
      <c r="J236">
        <f>IF(Obrotowka[[#This Row],[BZ]]=0,0,1)</f>
        <v>0</v>
      </c>
      <c r="K236" s="253"/>
      <c r="AF236" s="18"/>
      <c r="AU236" t="s">
        <v>8456</v>
      </c>
    </row>
    <row r="237" spans="2:47" x14ac:dyDescent="0.3">
      <c r="B237" t="s">
        <v>11887</v>
      </c>
      <c r="C237" t="s">
        <v>11888</v>
      </c>
      <c r="D237" t="s">
        <v>3505</v>
      </c>
      <c r="E237" t="s">
        <v>4326</v>
      </c>
      <c r="F237" s="18">
        <f>IF($D$5="tak",(SUMIFS(AE:AE,AA:AA,Obrotowka[[#This Row],[GL_Account]])-SUMIFS(U:U,S:S,Obrotowka[[#This Row],[GL_Account]])+SUMIFS(U:U,T:T,Obrotowka[[#This Row],[GL_Account]]))/1000,(SUMIFS(AE:AE,AA:AA,Obrotowka[[#This Row],[GL_Account]])-SUMIFS(U:U,S:S,Obrotowka[[#This Row],[GL_Account]])+SUMIFS(U:U,T:T,Obrotowka[[#This Row],[GL_Account]])))</f>
        <v>0</v>
      </c>
      <c r="G237" s="18">
        <f>IF($D$5="tak",(SUMIFS(AL:AL,AH:AH,Obrotowka[[#This Row],[GL_Account]],AL:AL,"&gt;=0")-SUMIFS(V:V,S:S,Obrotowka[[#This Row],[GL_Account]])+SUMIFS(V:V,T:T,Obrotowka[[#This Row],[GL_Account]]))/1000,(SUMIFS(AL:AL,AH:AH,Obrotowka[[#This Row],[GL_Account]],AL:AL,"&gt;=0")-SUMIFS(V:V,S:S,Obrotowka[[#This Row],[GL_Account]])+SUMIFS(V:V,T:T,Obrotowka[[#This Row],[GL_Account]])))</f>
        <v>0</v>
      </c>
      <c r="H237" s="18">
        <f>IF($D$5="tak",SUMIFS(AL:AL,AH:AH,Obrotowka[[#This Row],[GL_Account]],AL:AL,"&lt;0")/1000,SUMIFS(AL:AL,AH:AH,Obrotowka[[#This Row],[GL_Account]],AL:AL,"&lt;0"))</f>
        <v>0</v>
      </c>
      <c r="I237" s="18">
        <f>SUM(Obrotowka[[#This Row],[BO]:[MA]])</f>
        <v>0</v>
      </c>
      <c r="J237">
        <f>IF(Obrotowka[[#This Row],[BZ]]=0,0,1)</f>
        <v>0</v>
      </c>
      <c r="K237" s="253"/>
      <c r="AF237" s="18"/>
      <c r="AU237" t="s">
        <v>8404</v>
      </c>
    </row>
    <row r="238" spans="2:47" x14ac:dyDescent="0.3">
      <c r="B238" t="s">
        <v>11889</v>
      </c>
      <c r="C238" t="s">
        <v>9885</v>
      </c>
      <c r="D238" t="s">
        <v>3505</v>
      </c>
      <c r="E238" t="s">
        <v>4326</v>
      </c>
      <c r="F238" s="18">
        <f>IF($D$5="tak",(SUMIFS(AE:AE,AA:AA,Obrotowka[[#This Row],[GL_Account]])-SUMIFS(U:U,S:S,Obrotowka[[#This Row],[GL_Account]])+SUMIFS(U:U,T:T,Obrotowka[[#This Row],[GL_Account]]))/1000,(SUMIFS(AE:AE,AA:AA,Obrotowka[[#This Row],[GL_Account]])-SUMIFS(U:U,S:S,Obrotowka[[#This Row],[GL_Account]])+SUMIFS(U:U,T:T,Obrotowka[[#This Row],[GL_Account]])))</f>
        <v>0</v>
      </c>
      <c r="G238" s="18">
        <f>IF($D$5="tak",(SUMIFS(AL:AL,AH:AH,Obrotowka[[#This Row],[GL_Account]],AL:AL,"&gt;=0")-SUMIFS(V:V,S:S,Obrotowka[[#This Row],[GL_Account]])+SUMIFS(V:V,T:T,Obrotowka[[#This Row],[GL_Account]]))/1000,(SUMIFS(AL:AL,AH:AH,Obrotowka[[#This Row],[GL_Account]],AL:AL,"&gt;=0")-SUMIFS(V:V,S:S,Obrotowka[[#This Row],[GL_Account]])+SUMIFS(V:V,T:T,Obrotowka[[#This Row],[GL_Account]])))</f>
        <v>0</v>
      </c>
      <c r="H238" s="18">
        <f>IF($D$5="tak",SUMIFS(AL:AL,AH:AH,Obrotowka[[#This Row],[GL_Account]],AL:AL,"&lt;0")/1000,SUMIFS(AL:AL,AH:AH,Obrotowka[[#This Row],[GL_Account]],AL:AL,"&lt;0"))</f>
        <v>0</v>
      </c>
      <c r="I238" s="18">
        <f>SUM(Obrotowka[[#This Row],[BO]:[MA]])</f>
        <v>0</v>
      </c>
      <c r="J238">
        <f>IF(Obrotowka[[#This Row],[BZ]]=0,0,1)</f>
        <v>0</v>
      </c>
      <c r="K238" s="253"/>
      <c r="AF238" s="18"/>
      <c r="AU238" t="s">
        <v>8473</v>
      </c>
    </row>
    <row r="239" spans="2:47" x14ac:dyDescent="0.3">
      <c r="B239" t="s">
        <v>11890</v>
      </c>
      <c r="C239" t="s">
        <v>11891</v>
      </c>
      <c r="D239" t="s">
        <v>3505</v>
      </c>
      <c r="E239" t="s">
        <v>4326</v>
      </c>
      <c r="F239" s="18">
        <f>IF($D$5="tak",(SUMIFS(AE:AE,AA:AA,Obrotowka[[#This Row],[GL_Account]])-SUMIFS(U:U,S:S,Obrotowka[[#This Row],[GL_Account]])+SUMIFS(U:U,T:T,Obrotowka[[#This Row],[GL_Account]]))/1000,(SUMIFS(AE:AE,AA:AA,Obrotowka[[#This Row],[GL_Account]])-SUMIFS(U:U,S:S,Obrotowka[[#This Row],[GL_Account]])+SUMIFS(U:U,T:T,Obrotowka[[#This Row],[GL_Account]])))</f>
        <v>0</v>
      </c>
      <c r="G239" s="18">
        <f>IF($D$5="tak",(SUMIFS(AL:AL,AH:AH,Obrotowka[[#This Row],[GL_Account]],AL:AL,"&gt;=0")-SUMIFS(V:V,S:S,Obrotowka[[#This Row],[GL_Account]])+SUMIFS(V:V,T:T,Obrotowka[[#This Row],[GL_Account]]))/1000,(SUMIFS(AL:AL,AH:AH,Obrotowka[[#This Row],[GL_Account]],AL:AL,"&gt;=0")-SUMIFS(V:V,S:S,Obrotowka[[#This Row],[GL_Account]])+SUMIFS(V:V,T:T,Obrotowka[[#This Row],[GL_Account]])))</f>
        <v>0</v>
      </c>
      <c r="H239" s="18">
        <f>IF($D$5="tak",SUMIFS(AL:AL,AH:AH,Obrotowka[[#This Row],[GL_Account]],AL:AL,"&lt;0")/1000,SUMIFS(AL:AL,AH:AH,Obrotowka[[#This Row],[GL_Account]],AL:AL,"&lt;0"))</f>
        <v>0</v>
      </c>
      <c r="I239" s="18">
        <f>SUM(Obrotowka[[#This Row],[BO]:[MA]])</f>
        <v>0</v>
      </c>
      <c r="J239">
        <f>IF(Obrotowka[[#This Row],[BZ]]=0,0,1)</f>
        <v>0</v>
      </c>
      <c r="K239" s="253"/>
      <c r="AF239" s="18"/>
      <c r="AU239" t="s">
        <v>8165</v>
      </c>
    </row>
    <row r="240" spans="2:47" x14ac:dyDescent="0.3">
      <c r="B240" t="s">
        <v>11892</v>
      </c>
      <c r="C240" t="s">
        <v>11893</v>
      </c>
      <c r="D240" t="s">
        <v>3505</v>
      </c>
      <c r="E240" t="s">
        <v>4326</v>
      </c>
      <c r="F240" s="18">
        <f>IF($D$5="tak",(SUMIFS(AE:AE,AA:AA,Obrotowka[[#This Row],[GL_Account]])-SUMIFS(U:U,S:S,Obrotowka[[#This Row],[GL_Account]])+SUMIFS(U:U,T:T,Obrotowka[[#This Row],[GL_Account]]))/1000,(SUMIFS(AE:AE,AA:AA,Obrotowka[[#This Row],[GL_Account]])-SUMIFS(U:U,S:S,Obrotowka[[#This Row],[GL_Account]])+SUMIFS(U:U,T:T,Obrotowka[[#This Row],[GL_Account]])))</f>
        <v>0</v>
      </c>
      <c r="G240" s="18">
        <f>IF($D$5="tak",(SUMIFS(AL:AL,AH:AH,Obrotowka[[#This Row],[GL_Account]],AL:AL,"&gt;=0")-SUMIFS(V:V,S:S,Obrotowka[[#This Row],[GL_Account]])+SUMIFS(V:V,T:T,Obrotowka[[#This Row],[GL_Account]]))/1000,(SUMIFS(AL:AL,AH:AH,Obrotowka[[#This Row],[GL_Account]],AL:AL,"&gt;=0")-SUMIFS(V:V,S:S,Obrotowka[[#This Row],[GL_Account]])+SUMIFS(V:V,T:T,Obrotowka[[#This Row],[GL_Account]])))</f>
        <v>0</v>
      </c>
      <c r="H240" s="18">
        <f>IF($D$5="tak",SUMIFS(AL:AL,AH:AH,Obrotowka[[#This Row],[GL_Account]],AL:AL,"&lt;0")/1000,SUMIFS(AL:AL,AH:AH,Obrotowka[[#This Row],[GL_Account]],AL:AL,"&lt;0"))</f>
        <v>0</v>
      </c>
      <c r="I240" s="18">
        <f>SUM(Obrotowka[[#This Row],[BO]:[MA]])</f>
        <v>0</v>
      </c>
      <c r="J240">
        <f>IF(Obrotowka[[#This Row],[BZ]]=0,0,1)</f>
        <v>0</v>
      </c>
      <c r="K240" s="253"/>
      <c r="AF240" s="18"/>
      <c r="AU240" t="s">
        <v>8486</v>
      </c>
    </row>
    <row r="241" spans="2:47" x14ac:dyDescent="0.3">
      <c r="B241" t="s">
        <v>11894</v>
      </c>
      <c r="C241" t="s">
        <v>11895</v>
      </c>
      <c r="D241" t="s">
        <v>3505</v>
      </c>
      <c r="E241" t="s">
        <v>4326</v>
      </c>
      <c r="F241" s="18">
        <f>IF($D$5="tak",(SUMIFS(AE:AE,AA:AA,Obrotowka[[#This Row],[GL_Account]])-SUMIFS(U:U,S:S,Obrotowka[[#This Row],[GL_Account]])+SUMIFS(U:U,T:T,Obrotowka[[#This Row],[GL_Account]]))/1000,(SUMIFS(AE:AE,AA:AA,Obrotowka[[#This Row],[GL_Account]])-SUMIFS(U:U,S:S,Obrotowka[[#This Row],[GL_Account]])+SUMIFS(U:U,T:T,Obrotowka[[#This Row],[GL_Account]])))</f>
        <v>0</v>
      </c>
      <c r="G241" s="18">
        <f>IF($D$5="tak",(SUMIFS(AL:AL,AH:AH,Obrotowka[[#This Row],[GL_Account]],AL:AL,"&gt;=0")-SUMIFS(V:V,S:S,Obrotowka[[#This Row],[GL_Account]])+SUMIFS(V:V,T:T,Obrotowka[[#This Row],[GL_Account]]))/1000,(SUMIFS(AL:AL,AH:AH,Obrotowka[[#This Row],[GL_Account]],AL:AL,"&gt;=0")-SUMIFS(V:V,S:S,Obrotowka[[#This Row],[GL_Account]])+SUMIFS(V:V,T:T,Obrotowka[[#This Row],[GL_Account]])))</f>
        <v>0</v>
      </c>
      <c r="H241" s="18">
        <f>IF($D$5="tak",SUMIFS(AL:AL,AH:AH,Obrotowka[[#This Row],[GL_Account]],AL:AL,"&lt;0")/1000,SUMIFS(AL:AL,AH:AH,Obrotowka[[#This Row],[GL_Account]],AL:AL,"&lt;0"))</f>
        <v>0</v>
      </c>
      <c r="I241" s="18">
        <f>SUM(Obrotowka[[#This Row],[BO]:[MA]])</f>
        <v>0</v>
      </c>
      <c r="J241">
        <f>IF(Obrotowka[[#This Row],[BZ]]=0,0,1)</f>
        <v>0</v>
      </c>
      <c r="K241" s="253"/>
      <c r="AF241" s="18"/>
      <c r="AU241" t="s">
        <v>8486</v>
      </c>
    </row>
    <row r="242" spans="2:47" x14ac:dyDescent="0.3">
      <c r="B242" t="s">
        <v>11896</v>
      </c>
      <c r="C242" t="s">
        <v>11897</v>
      </c>
      <c r="D242" t="s">
        <v>3505</v>
      </c>
      <c r="E242" t="s">
        <v>4326</v>
      </c>
      <c r="F242" s="18">
        <f>IF($D$5="tak",(SUMIFS(AE:AE,AA:AA,Obrotowka[[#This Row],[GL_Account]])-SUMIFS(U:U,S:S,Obrotowka[[#This Row],[GL_Account]])+SUMIFS(U:U,T:T,Obrotowka[[#This Row],[GL_Account]]))/1000,(SUMIFS(AE:AE,AA:AA,Obrotowka[[#This Row],[GL_Account]])-SUMIFS(U:U,S:S,Obrotowka[[#This Row],[GL_Account]])+SUMIFS(U:U,T:T,Obrotowka[[#This Row],[GL_Account]])))</f>
        <v>0</v>
      </c>
      <c r="G242" s="18">
        <f>IF($D$5="tak",(SUMIFS(AL:AL,AH:AH,Obrotowka[[#This Row],[GL_Account]],AL:AL,"&gt;=0")-SUMIFS(V:V,S:S,Obrotowka[[#This Row],[GL_Account]])+SUMIFS(V:V,T:T,Obrotowka[[#This Row],[GL_Account]]))/1000,(SUMIFS(AL:AL,AH:AH,Obrotowka[[#This Row],[GL_Account]],AL:AL,"&gt;=0")-SUMIFS(V:V,S:S,Obrotowka[[#This Row],[GL_Account]])+SUMIFS(V:V,T:T,Obrotowka[[#This Row],[GL_Account]])))</f>
        <v>0</v>
      </c>
      <c r="H242" s="18">
        <f>IF($D$5="tak",SUMIFS(AL:AL,AH:AH,Obrotowka[[#This Row],[GL_Account]],AL:AL,"&lt;0")/1000,SUMIFS(AL:AL,AH:AH,Obrotowka[[#This Row],[GL_Account]],AL:AL,"&lt;0"))</f>
        <v>0</v>
      </c>
      <c r="I242" s="18">
        <f>SUM(Obrotowka[[#This Row],[BO]:[MA]])</f>
        <v>0</v>
      </c>
      <c r="J242">
        <f>IF(Obrotowka[[#This Row],[BZ]]=0,0,1)</f>
        <v>0</v>
      </c>
      <c r="K242" s="253"/>
      <c r="AF242" s="18"/>
      <c r="AU242" t="s">
        <v>8486</v>
      </c>
    </row>
    <row r="243" spans="2:47" x14ac:dyDescent="0.3">
      <c r="B243" t="s">
        <v>11898</v>
      </c>
      <c r="C243" t="s">
        <v>11899</v>
      </c>
      <c r="D243" t="s">
        <v>3505</v>
      </c>
      <c r="E243" t="s">
        <v>4326</v>
      </c>
      <c r="F243" s="18">
        <f>IF($D$5="tak",(SUMIFS(AE:AE,AA:AA,Obrotowka[[#This Row],[GL_Account]])-SUMIFS(U:U,S:S,Obrotowka[[#This Row],[GL_Account]])+SUMIFS(U:U,T:T,Obrotowka[[#This Row],[GL_Account]]))/1000,(SUMIFS(AE:AE,AA:AA,Obrotowka[[#This Row],[GL_Account]])-SUMIFS(U:U,S:S,Obrotowka[[#This Row],[GL_Account]])+SUMIFS(U:U,T:T,Obrotowka[[#This Row],[GL_Account]])))</f>
        <v>0</v>
      </c>
      <c r="G243" s="18">
        <f>IF($D$5="tak",(SUMIFS(AL:AL,AH:AH,Obrotowka[[#This Row],[GL_Account]],AL:AL,"&gt;=0")-SUMIFS(V:V,S:S,Obrotowka[[#This Row],[GL_Account]])+SUMIFS(V:V,T:T,Obrotowka[[#This Row],[GL_Account]]))/1000,(SUMIFS(AL:AL,AH:AH,Obrotowka[[#This Row],[GL_Account]],AL:AL,"&gt;=0")-SUMIFS(V:V,S:S,Obrotowka[[#This Row],[GL_Account]])+SUMIFS(V:V,T:T,Obrotowka[[#This Row],[GL_Account]])))</f>
        <v>0</v>
      </c>
      <c r="H243" s="18">
        <f>IF($D$5="tak",SUMIFS(AL:AL,AH:AH,Obrotowka[[#This Row],[GL_Account]],AL:AL,"&lt;0")/1000,SUMIFS(AL:AL,AH:AH,Obrotowka[[#This Row],[GL_Account]],AL:AL,"&lt;0"))</f>
        <v>0</v>
      </c>
      <c r="I243" s="18">
        <f>SUM(Obrotowka[[#This Row],[BO]:[MA]])</f>
        <v>0</v>
      </c>
      <c r="J243">
        <f>IF(Obrotowka[[#This Row],[BZ]]=0,0,1)</f>
        <v>0</v>
      </c>
      <c r="K243" s="253"/>
      <c r="AF243" s="18"/>
      <c r="AU243" t="s">
        <v>8486</v>
      </c>
    </row>
    <row r="244" spans="2:47" x14ac:dyDescent="0.3">
      <c r="B244" t="s">
        <v>11900</v>
      </c>
      <c r="C244" t="s">
        <v>8116</v>
      </c>
      <c r="D244" t="s">
        <v>3505</v>
      </c>
      <c r="E244" t="s">
        <v>4326</v>
      </c>
      <c r="F244" s="18">
        <f>IF($D$5="tak",(SUMIFS(AE:AE,AA:AA,Obrotowka[[#This Row],[GL_Account]])-SUMIFS(U:U,S:S,Obrotowka[[#This Row],[GL_Account]])+SUMIFS(U:U,T:T,Obrotowka[[#This Row],[GL_Account]]))/1000,(SUMIFS(AE:AE,AA:AA,Obrotowka[[#This Row],[GL_Account]])-SUMIFS(U:U,S:S,Obrotowka[[#This Row],[GL_Account]])+SUMIFS(U:U,T:T,Obrotowka[[#This Row],[GL_Account]])))</f>
        <v>0</v>
      </c>
      <c r="G244" s="18">
        <f>IF($D$5="tak",(SUMIFS(AL:AL,AH:AH,Obrotowka[[#This Row],[GL_Account]],AL:AL,"&gt;=0")-SUMIFS(V:V,S:S,Obrotowka[[#This Row],[GL_Account]])+SUMIFS(V:V,T:T,Obrotowka[[#This Row],[GL_Account]]))/1000,(SUMIFS(AL:AL,AH:AH,Obrotowka[[#This Row],[GL_Account]],AL:AL,"&gt;=0")-SUMIFS(V:V,S:S,Obrotowka[[#This Row],[GL_Account]])+SUMIFS(V:V,T:T,Obrotowka[[#This Row],[GL_Account]])))</f>
        <v>0</v>
      </c>
      <c r="H244" s="18">
        <f>IF($D$5="tak",SUMIFS(AL:AL,AH:AH,Obrotowka[[#This Row],[GL_Account]],AL:AL,"&lt;0")/1000,SUMIFS(AL:AL,AH:AH,Obrotowka[[#This Row],[GL_Account]],AL:AL,"&lt;0"))</f>
        <v>0</v>
      </c>
      <c r="I244" s="18">
        <f>SUM(Obrotowka[[#This Row],[BO]:[MA]])</f>
        <v>0</v>
      </c>
      <c r="J244">
        <f>IF(Obrotowka[[#This Row],[BZ]]=0,0,1)</f>
        <v>0</v>
      </c>
      <c r="K244" s="253"/>
      <c r="AF244" s="18"/>
      <c r="AU244" t="s">
        <v>8120</v>
      </c>
    </row>
    <row r="245" spans="2:47" x14ac:dyDescent="0.3">
      <c r="B245" t="s">
        <v>11901</v>
      </c>
      <c r="C245" t="s">
        <v>11902</v>
      </c>
      <c r="D245" t="s">
        <v>3505</v>
      </c>
      <c r="E245" t="s">
        <v>4326</v>
      </c>
      <c r="F245" s="18">
        <f>IF($D$5="tak",(SUMIFS(AE:AE,AA:AA,Obrotowka[[#This Row],[GL_Account]])-SUMIFS(U:U,S:S,Obrotowka[[#This Row],[GL_Account]])+SUMIFS(U:U,T:T,Obrotowka[[#This Row],[GL_Account]]))/1000,(SUMIFS(AE:AE,AA:AA,Obrotowka[[#This Row],[GL_Account]])-SUMIFS(U:U,S:S,Obrotowka[[#This Row],[GL_Account]])+SUMIFS(U:U,T:T,Obrotowka[[#This Row],[GL_Account]])))</f>
        <v>0</v>
      </c>
      <c r="G245" s="18">
        <f>IF($D$5="tak",(SUMIFS(AL:AL,AH:AH,Obrotowka[[#This Row],[GL_Account]],AL:AL,"&gt;=0")-SUMIFS(V:V,S:S,Obrotowka[[#This Row],[GL_Account]])+SUMIFS(V:V,T:T,Obrotowka[[#This Row],[GL_Account]]))/1000,(SUMIFS(AL:AL,AH:AH,Obrotowka[[#This Row],[GL_Account]],AL:AL,"&gt;=0")-SUMIFS(V:V,S:S,Obrotowka[[#This Row],[GL_Account]])+SUMIFS(V:V,T:T,Obrotowka[[#This Row],[GL_Account]])))</f>
        <v>0</v>
      </c>
      <c r="H245" s="18">
        <f>IF($D$5="tak",SUMIFS(AL:AL,AH:AH,Obrotowka[[#This Row],[GL_Account]],AL:AL,"&lt;0")/1000,SUMIFS(AL:AL,AH:AH,Obrotowka[[#This Row],[GL_Account]],AL:AL,"&lt;0"))</f>
        <v>0</v>
      </c>
      <c r="I245" s="18">
        <f>SUM(Obrotowka[[#This Row],[BO]:[MA]])</f>
        <v>0</v>
      </c>
      <c r="J245">
        <f>IF(Obrotowka[[#This Row],[BZ]]=0,0,1)</f>
        <v>0</v>
      </c>
      <c r="K245" s="253"/>
      <c r="AF245" s="18"/>
      <c r="AU245" t="s">
        <v>8120</v>
      </c>
    </row>
    <row r="246" spans="2:47" x14ac:dyDescent="0.3">
      <c r="B246" t="s">
        <v>11903</v>
      </c>
      <c r="C246" t="s">
        <v>11904</v>
      </c>
      <c r="D246" t="s">
        <v>3505</v>
      </c>
      <c r="E246" t="s">
        <v>4326</v>
      </c>
      <c r="F246" s="18">
        <f>IF($D$5="tak",(SUMIFS(AE:AE,AA:AA,Obrotowka[[#This Row],[GL_Account]])-SUMIFS(U:U,S:S,Obrotowka[[#This Row],[GL_Account]])+SUMIFS(U:U,T:T,Obrotowka[[#This Row],[GL_Account]]))/1000,(SUMIFS(AE:AE,AA:AA,Obrotowka[[#This Row],[GL_Account]])-SUMIFS(U:U,S:S,Obrotowka[[#This Row],[GL_Account]])+SUMIFS(U:U,T:T,Obrotowka[[#This Row],[GL_Account]])))</f>
        <v>0</v>
      </c>
      <c r="G246" s="18">
        <f>IF($D$5="tak",(SUMIFS(AL:AL,AH:AH,Obrotowka[[#This Row],[GL_Account]],AL:AL,"&gt;=0")-SUMIFS(V:V,S:S,Obrotowka[[#This Row],[GL_Account]])+SUMIFS(V:V,T:T,Obrotowka[[#This Row],[GL_Account]]))/1000,(SUMIFS(AL:AL,AH:AH,Obrotowka[[#This Row],[GL_Account]],AL:AL,"&gt;=0")-SUMIFS(V:V,S:S,Obrotowka[[#This Row],[GL_Account]])+SUMIFS(V:V,T:T,Obrotowka[[#This Row],[GL_Account]])))</f>
        <v>0</v>
      </c>
      <c r="H246" s="18">
        <f>IF($D$5="tak",SUMIFS(AL:AL,AH:AH,Obrotowka[[#This Row],[GL_Account]],AL:AL,"&lt;0")/1000,SUMIFS(AL:AL,AH:AH,Obrotowka[[#This Row],[GL_Account]],AL:AL,"&lt;0"))</f>
        <v>0</v>
      </c>
      <c r="I246" s="18">
        <f>SUM(Obrotowka[[#This Row],[BO]:[MA]])</f>
        <v>0</v>
      </c>
      <c r="J246">
        <f>IF(Obrotowka[[#This Row],[BZ]]=0,0,1)</f>
        <v>0</v>
      </c>
      <c r="K246" s="253"/>
      <c r="AF246" s="18"/>
      <c r="AU246" t="s">
        <v>8120</v>
      </c>
    </row>
    <row r="247" spans="2:47" x14ac:dyDescent="0.3">
      <c r="B247" t="s">
        <v>11905</v>
      </c>
      <c r="C247" t="s">
        <v>11906</v>
      </c>
      <c r="D247" t="s">
        <v>3505</v>
      </c>
      <c r="E247" t="s">
        <v>4326</v>
      </c>
      <c r="F247" s="18">
        <f>IF($D$5="tak",(SUMIFS(AE:AE,AA:AA,Obrotowka[[#This Row],[GL_Account]])-SUMIFS(U:U,S:S,Obrotowka[[#This Row],[GL_Account]])+SUMIFS(U:U,T:T,Obrotowka[[#This Row],[GL_Account]]))/1000,(SUMIFS(AE:AE,AA:AA,Obrotowka[[#This Row],[GL_Account]])-SUMIFS(U:U,S:S,Obrotowka[[#This Row],[GL_Account]])+SUMIFS(U:U,T:T,Obrotowka[[#This Row],[GL_Account]])))</f>
        <v>0</v>
      </c>
      <c r="G247" s="18">
        <f>IF($D$5="tak",(SUMIFS(AL:AL,AH:AH,Obrotowka[[#This Row],[GL_Account]],AL:AL,"&gt;=0")-SUMIFS(V:V,S:S,Obrotowka[[#This Row],[GL_Account]])+SUMIFS(V:V,T:T,Obrotowka[[#This Row],[GL_Account]]))/1000,(SUMIFS(AL:AL,AH:AH,Obrotowka[[#This Row],[GL_Account]],AL:AL,"&gt;=0")-SUMIFS(V:V,S:S,Obrotowka[[#This Row],[GL_Account]])+SUMIFS(V:V,T:T,Obrotowka[[#This Row],[GL_Account]])))</f>
        <v>0</v>
      </c>
      <c r="H247" s="18">
        <f>IF($D$5="tak",SUMIFS(AL:AL,AH:AH,Obrotowka[[#This Row],[GL_Account]],AL:AL,"&lt;0")/1000,SUMIFS(AL:AL,AH:AH,Obrotowka[[#This Row],[GL_Account]],AL:AL,"&lt;0"))</f>
        <v>0</v>
      </c>
      <c r="I247" s="18">
        <f>SUM(Obrotowka[[#This Row],[BO]:[MA]])</f>
        <v>0</v>
      </c>
      <c r="J247">
        <f>IF(Obrotowka[[#This Row],[BZ]]=0,0,1)</f>
        <v>0</v>
      </c>
      <c r="K247" s="253"/>
      <c r="AF247" s="18"/>
      <c r="AU247" t="s">
        <v>8120</v>
      </c>
    </row>
    <row r="248" spans="2:47" x14ac:dyDescent="0.3">
      <c r="B248" t="s">
        <v>11907</v>
      </c>
      <c r="C248" t="s">
        <v>8131</v>
      </c>
      <c r="D248" t="s">
        <v>3505</v>
      </c>
      <c r="E248" t="s">
        <v>4326</v>
      </c>
      <c r="F248" s="18">
        <f>IF($D$5="tak",(SUMIFS(AE:AE,AA:AA,Obrotowka[[#This Row],[GL_Account]])-SUMIFS(U:U,S:S,Obrotowka[[#This Row],[GL_Account]])+SUMIFS(U:U,T:T,Obrotowka[[#This Row],[GL_Account]]))/1000,(SUMIFS(AE:AE,AA:AA,Obrotowka[[#This Row],[GL_Account]])-SUMIFS(U:U,S:S,Obrotowka[[#This Row],[GL_Account]])+SUMIFS(U:U,T:T,Obrotowka[[#This Row],[GL_Account]])))</f>
        <v>0</v>
      </c>
      <c r="G248" s="18">
        <f>IF($D$5="tak",(SUMIFS(AL:AL,AH:AH,Obrotowka[[#This Row],[GL_Account]],AL:AL,"&gt;=0")-SUMIFS(V:V,S:S,Obrotowka[[#This Row],[GL_Account]])+SUMIFS(V:V,T:T,Obrotowka[[#This Row],[GL_Account]]))/1000,(SUMIFS(AL:AL,AH:AH,Obrotowka[[#This Row],[GL_Account]],AL:AL,"&gt;=0")-SUMIFS(V:V,S:S,Obrotowka[[#This Row],[GL_Account]])+SUMIFS(V:V,T:T,Obrotowka[[#This Row],[GL_Account]])))</f>
        <v>0</v>
      </c>
      <c r="H248" s="18">
        <f>IF($D$5="tak",SUMIFS(AL:AL,AH:AH,Obrotowka[[#This Row],[GL_Account]],AL:AL,"&lt;0")/1000,SUMIFS(AL:AL,AH:AH,Obrotowka[[#This Row],[GL_Account]],AL:AL,"&lt;0"))</f>
        <v>0</v>
      </c>
      <c r="I248" s="18">
        <f>SUM(Obrotowka[[#This Row],[BO]:[MA]])</f>
        <v>0</v>
      </c>
      <c r="J248">
        <f>IF(Obrotowka[[#This Row],[BZ]]=0,0,1)</f>
        <v>0</v>
      </c>
      <c r="K248" s="253"/>
      <c r="AF248" s="18"/>
      <c r="AU248" t="s">
        <v>8135</v>
      </c>
    </row>
    <row r="249" spans="2:47" x14ac:dyDescent="0.3">
      <c r="B249" t="s">
        <v>11908</v>
      </c>
      <c r="C249" t="s">
        <v>11909</v>
      </c>
      <c r="D249" t="s">
        <v>3505</v>
      </c>
      <c r="E249" t="s">
        <v>4326</v>
      </c>
      <c r="F249" s="18">
        <f>IF($D$5="tak",(SUMIFS(AE:AE,AA:AA,Obrotowka[[#This Row],[GL_Account]])-SUMIFS(U:U,S:S,Obrotowka[[#This Row],[GL_Account]])+SUMIFS(U:U,T:T,Obrotowka[[#This Row],[GL_Account]]))/1000,(SUMIFS(AE:AE,AA:AA,Obrotowka[[#This Row],[GL_Account]])-SUMIFS(U:U,S:S,Obrotowka[[#This Row],[GL_Account]])+SUMIFS(U:U,T:T,Obrotowka[[#This Row],[GL_Account]])))</f>
        <v>0</v>
      </c>
      <c r="G249" s="18">
        <f>IF($D$5="tak",(SUMIFS(AL:AL,AH:AH,Obrotowka[[#This Row],[GL_Account]],AL:AL,"&gt;=0")-SUMIFS(V:V,S:S,Obrotowka[[#This Row],[GL_Account]])+SUMIFS(V:V,T:T,Obrotowka[[#This Row],[GL_Account]]))/1000,(SUMIFS(AL:AL,AH:AH,Obrotowka[[#This Row],[GL_Account]],AL:AL,"&gt;=0")-SUMIFS(V:V,S:S,Obrotowka[[#This Row],[GL_Account]])+SUMIFS(V:V,T:T,Obrotowka[[#This Row],[GL_Account]])))</f>
        <v>0</v>
      </c>
      <c r="H249" s="18">
        <f>IF($D$5="tak",SUMIFS(AL:AL,AH:AH,Obrotowka[[#This Row],[GL_Account]],AL:AL,"&lt;0")/1000,SUMIFS(AL:AL,AH:AH,Obrotowka[[#This Row],[GL_Account]],AL:AL,"&lt;0"))</f>
        <v>0</v>
      </c>
      <c r="I249" s="18">
        <f>SUM(Obrotowka[[#This Row],[BO]:[MA]])</f>
        <v>0</v>
      </c>
      <c r="J249">
        <f>IF(Obrotowka[[#This Row],[BZ]]=0,0,1)</f>
        <v>0</v>
      </c>
      <c r="K249" s="253"/>
      <c r="AF249" s="18"/>
      <c r="AU249" t="s">
        <v>8135</v>
      </c>
    </row>
    <row r="250" spans="2:47" x14ac:dyDescent="0.3">
      <c r="B250" t="s">
        <v>11910</v>
      </c>
      <c r="C250" t="s">
        <v>11911</v>
      </c>
      <c r="D250" t="s">
        <v>3505</v>
      </c>
      <c r="E250" t="s">
        <v>4326</v>
      </c>
      <c r="F250" s="18">
        <f>IF($D$5="tak",(SUMIFS(AE:AE,AA:AA,Obrotowka[[#This Row],[GL_Account]])-SUMIFS(U:U,S:S,Obrotowka[[#This Row],[GL_Account]])+SUMIFS(U:U,T:T,Obrotowka[[#This Row],[GL_Account]]))/1000,(SUMIFS(AE:AE,AA:AA,Obrotowka[[#This Row],[GL_Account]])-SUMIFS(U:U,S:S,Obrotowka[[#This Row],[GL_Account]])+SUMIFS(U:U,T:T,Obrotowka[[#This Row],[GL_Account]])))</f>
        <v>0</v>
      </c>
      <c r="G250" s="18">
        <f>IF($D$5="tak",(SUMIFS(AL:AL,AH:AH,Obrotowka[[#This Row],[GL_Account]],AL:AL,"&gt;=0")-SUMIFS(V:V,S:S,Obrotowka[[#This Row],[GL_Account]])+SUMIFS(V:V,T:T,Obrotowka[[#This Row],[GL_Account]]))/1000,(SUMIFS(AL:AL,AH:AH,Obrotowka[[#This Row],[GL_Account]],AL:AL,"&gt;=0")-SUMIFS(V:V,S:S,Obrotowka[[#This Row],[GL_Account]])+SUMIFS(V:V,T:T,Obrotowka[[#This Row],[GL_Account]])))</f>
        <v>0</v>
      </c>
      <c r="H250" s="18">
        <f>IF($D$5="tak",SUMIFS(AL:AL,AH:AH,Obrotowka[[#This Row],[GL_Account]],AL:AL,"&lt;0")/1000,SUMIFS(AL:AL,AH:AH,Obrotowka[[#This Row],[GL_Account]],AL:AL,"&lt;0"))</f>
        <v>0</v>
      </c>
      <c r="I250" s="18">
        <f>SUM(Obrotowka[[#This Row],[BO]:[MA]])</f>
        <v>0</v>
      </c>
      <c r="J250">
        <f>IF(Obrotowka[[#This Row],[BZ]]=0,0,1)</f>
        <v>0</v>
      </c>
      <c r="K250" s="253"/>
      <c r="AF250" s="18"/>
      <c r="AU250" t="s">
        <v>8135</v>
      </c>
    </row>
    <row r="251" spans="2:47" x14ac:dyDescent="0.3">
      <c r="B251" t="s">
        <v>11912</v>
      </c>
      <c r="C251" t="s">
        <v>11913</v>
      </c>
      <c r="D251" t="s">
        <v>3505</v>
      </c>
      <c r="E251" t="s">
        <v>4326</v>
      </c>
      <c r="F251" s="18">
        <f>IF($D$5="tak",(SUMIFS(AE:AE,AA:AA,Obrotowka[[#This Row],[GL_Account]])-SUMIFS(U:U,S:S,Obrotowka[[#This Row],[GL_Account]])+SUMIFS(U:U,T:T,Obrotowka[[#This Row],[GL_Account]]))/1000,(SUMIFS(AE:AE,AA:AA,Obrotowka[[#This Row],[GL_Account]])-SUMIFS(U:U,S:S,Obrotowka[[#This Row],[GL_Account]])+SUMIFS(U:U,T:T,Obrotowka[[#This Row],[GL_Account]])))</f>
        <v>0</v>
      </c>
      <c r="G251" s="18">
        <f>IF($D$5="tak",(SUMIFS(AL:AL,AH:AH,Obrotowka[[#This Row],[GL_Account]],AL:AL,"&gt;=0")-SUMIFS(V:V,S:S,Obrotowka[[#This Row],[GL_Account]])+SUMIFS(V:V,T:T,Obrotowka[[#This Row],[GL_Account]]))/1000,(SUMIFS(AL:AL,AH:AH,Obrotowka[[#This Row],[GL_Account]],AL:AL,"&gt;=0")-SUMIFS(V:V,S:S,Obrotowka[[#This Row],[GL_Account]])+SUMIFS(V:V,T:T,Obrotowka[[#This Row],[GL_Account]])))</f>
        <v>0</v>
      </c>
      <c r="H251" s="18">
        <f>IF($D$5="tak",SUMIFS(AL:AL,AH:AH,Obrotowka[[#This Row],[GL_Account]],AL:AL,"&lt;0")/1000,SUMIFS(AL:AL,AH:AH,Obrotowka[[#This Row],[GL_Account]],AL:AL,"&lt;0"))</f>
        <v>0</v>
      </c>
      <c r="I251" s="18">
        <f>SUM(Obrotowka[[#This Row],[BO]:[MA]])</f>
        <v>0</v>
      </c>
      <c r="J251">
        <f>IF(Obrotowka[[#This Row],[BZ]]=0,0,1)</f>
        <v>0</v>
      </c>
      <c r="K251" s="253"/>
      <c r="AF251" s="18"/>
      <c r="AU251" t="s">
        <v>8135</v>
      </c>
    </row>
    <row r="252" spans="2:47" x14ac:dyDescent="0.3">
      <c r="B252" t="s">
        <v>11914</v>
      </c>
      <c r="C252" t="s">
        <v>11915</v>
      </c>
      <c r="D252" t="s">
        <v>3505</v>
      </c>
      <c r="E252" t="s">
        <v>4326</v>
      </c>
      <c r="F252" s="18">
        <f>IF($D$5="tak",(SUMIFS(AE:AE,AA:AA,Obrotowka[[#This Row],[GL_Account]])-SUMIFS(U:U,S:S,Obrotowka[[#This Row],[GL_Account]])+SUMIFS(U:U,T:T,Obrotowka[[#This Row],[GL_Account]]))/1000,(SUMIFS(AE:AE,AA:AA,Obrotowka[[#This Row],[GL_Account]])-SUMIFS(U:U,S:S,Obrotowka[[#This Row],[GL_Account]])+SUMIFS(U:U,T:T,Obrotowka[[#This Row],[GL_Account]])))</f>
        <v>0</v>
      </c>
      <c r="G252" s="18">
        <f>IF($D$5="tak",(SUMIFS(AL:AL,AH:AH,Obrotowka[[#This Row],[GL_Account]],AL:AL,"&gt;=0")-SUMIFS(V:V,S:S,Obrotowka[[#This Row],[GL_Account]])+SUMIFS(V:V,T:T,Obrotowka[[#This Row],[GL_Account]]))/1000,(SUMIFS(AL:AL,AH:AH,Obrotowka[[#This Row],[GL_Account]],AL:AL,"&gt;=0")-SUMIFS(V:V,S:S,Obrotowka[[#This Row],[GL_Account]])+SUMIFS(V:V,T:T,Obrotowka[[#This Row],[GL_Account]])))</f>
        <v>0</v>
      </c>
      <c r="H252" s="18">
        <f>IF($D$5="tak",SUMIFS(AL:AL,AH:AH,Obrotowka[[#This Row],[GL_Account]],AL:AL,"&lt;0")/1000,SUMIFS(AL:AL,AH:AH,Obrotowka[[#This Row],[GL_Account]],AL:AL,"&lt;0"))</f>
        <v>0</v>
      </c>
      <c r="I252" s="18">
        <f>SUM(Obrotowka[[#This Row],[BO]:[MA]])</f>
        <v>0</v>
      </c>
      <c r="J252">
        <f>IF(Obrotowka[[#This Row],[BZ]]=0,0,1)</f>
        <v>0</v>
      </c>
      <c r="K252" s="253"/>
      <c r="AF252" s="18"/>
      <c r="AU252" t="s">
        <v>8140</v>
      </c>
    </row>
    <row r="253" spans="2:47" x14ac:dyDescent="0.3">
      <c r="B253" t="s">
        <v>11916</v>
      </c>
      <c r="C253" t="s">
        <v>11917</v>
      </c>
      <c r="D253" t="s">
        <v>11918</v>
      </c>
      <c r="E253" t="s">
        <v>4185</v>
      </c>
      <c r="F253" s="18">
        <f>IF($D$5="tak",(SUMIFS(AE:AE,AA:AA,Obrotowka[[#This Row],[GL_Account]])-SUMIFS(U:U,S:S,Obrotowka[[#This Row],[GL_Account]])+SUMIFS(U:U,T:T,Obrotowka[[#This Row],[GL_Account]]))/1000,(SUMIFS(AE:AE,AA:AA,Obrotowka[[#This Row],[GL_Account]])-SUMIFS(U:U,S:S,Obrotowka[[#This Row],[GL_Account]])+SUMIFS(U:U,T:T,Obrotowka[[#This Row],[GL_Account]])))</f>
        <v>0</v>
      </c>
      <c r="G253" s="18">
        <f>IF($D$5="tak",(SUMIFS(AL:AL,AH:AH,Obrotowka[[#This Row],[GL_Account]],AL:AL,"&gt;=0")-SUMIFS(V:V,S:S,Obrotowka[[#This Row],[GL_Account]])+SUMIFS(V:V,T:T,Obrotowka[[#This Row],[GL_Account]]))/1000,(SUMIFS(AL:AL,AH:AH,Obrotowka[[#This Row],[GL_Account]],AL:AL,"&gt;=0")-SUMIFS(V:V,S:S,Obrotowka[[#This Row],[GL_Account]])+SUMIFS(V:V,T:T,Obrotowka[[#This Row],[GL_Account]])))</f>
        <v>0</v>
      </c>
      <c r="H253" s="18">
        <f>IF($D$5="tak",SUMIFS(AL:AL,AH:AH,Obrotowka[[#This Row],[GL_Account]],AL:AL,"&lt;0")/1000,SUMIFS(AL:AL,AH:AH,Obrotowka[[#This Row],[GL_Account]],AL:AL,"&lt;0"))</f>
        <v>0</v>
      </c>
      <c r="I253" s="18">
        <f>SUM(Obrotowka[[#This Row],[BO]:[MA]])</f>
        <v>0</v>
      </c>
      <c r="J253">
        <f>IF(Obrotowka[[#This Row],[BZ]]=0,0,1)</f>
        <v>0</v>
      </c>
      <c r="K253" s="253"/>
      <c r="AF253" s="18"/>
      <c r="AU253" t="s">
        <v>8550</v>
      </c>
    </row>
    <row r="254" spans="2:47" x14ac:dyDescent="0.3">
      <c r="B254" t="s">
        <v>11919</v>
      </c>
      <c r="C254" t="s">
        <v>11920</v>
      </c>
      <c r="D254" t="s">
        <v>11918</v>
      </c>
      <c r="E254" t="s">
        <v>4185</v>
      </c>
      <c r="F254" s="18">
        <f>IF($D$5="tak",(SUMIFS(AE:AE,AA:AA,Obrotowka[[#This Row],[GL_Account]])-SUMIFS(U:U,S:S,Obrotowka[[#This Row],[GL_Account]])+SUMIFS(U:U,T:T,Obrotowka[[#This Row],[GL_Account]]))/1000,(SUMIFS(AE:AE,AA:AA,Obrotowka[[#This Row],[GL_Account]])-SUMIFS(U:U,S:S,Obrotowka[[#This Row],[GL_Account]])+SUMIFS(U:U,T:T,Obrotowka[[#This Row],[GL_Account]])))</f>
        <v>0</v>
      </c>
      <c r="G254" s="18">
        <f>IF($D$5="tak",(SUMIFS(AL:AL,AH:AH,Obrotowka[[#This Row],[GL_Account]],AL:AL,"&gt;=0")-SUMIFS(V:V,S:S,Obrotowka[[#This Row],[GL_Account]])+SUMIFS(V:V,T:T,Obrotowka[[#This Row],[GL_Account]]))/1000,(SUMIFS(AL:AL,AH:AH,Obrotowka[[#This Row],[GL_Account]],AL:AL,"&gt;=0")-SUMIFS(V:V,S:S,Obrotowka[[#This Row],[GL_Account]])+SUMIFS(V:V,T:T,Obrotowka[[#This Row],[GL_Account]])))</f>
        <v>0</v>
      </c>
      <c r="H254" s="18">
        <f>IF($D$5="tak",SUMIFS(AL:AL,AH:AH,Obrotowka[[#This Row],[GL_Account]],AL:AL,"&lt;0")/1000,SUMIFS(AL:AL,AH:AH,Obrotowka[[#This Row],[GL_Account]],AL:AL,"&lt;0"))</f>
        <v>0</v>
      </c>
      <c r="I254" s="18">
        <f>SUM(Obrotowka[[#This Row],[BO]:[MA]])</f>
        <v>0</v>
      </c>
      <c r="J254">
        <f>IF(Obrotowka[[#This Row],[BZ]]=0,0,1)</f>
        <v>0</v>
      </c>
      <c r="K254" s="253"/>
      <c r="AF254" s="18"/>
      <c r="AU254" t="s">
        <v>8550</v>
      </c>
    </row>
    <row r="255" spans="2:47" x14ac:dyDescent="0.3">
      <c r="B255" t="s">
        <v>11921</v>
      </c>
      <c r="C255" t="s">
        <v>11922</v>
      </c>
      <c r="D255" t="s">
        <v>11918</v>
      </c>
      <c r="E255" t="s">
        <v>4185</v>
      </c>
      <c r="F255" s="18">
        <f>IF($D$5="tak",(SUMIFS(AE:AE,AA:AA,Obrotowka[[#This Row],[GL_Account]])-SUMIFS(U:U,S:S,Obrotowka[[#This Row],[GL_Account]])+SUMIFS(U:U,T:T,Obrotowka[[#This Row],[GL_Account]]))/1000,(SUMIFS(AE:AE,AA:AA,Obrotowka[[#This Row],[GL_Account]])-SUMIFS(U:U,S:S,Obrotowka[[#This Row],[GL_Account]])+SUMIFS(U:U,T:T,Obrotowka[[#This Row],[GL_Account]])))</f>
        <v>0</v>
      </c>
      <c r="G255" s="18">
        <f>IF($D$5="tak",(SUMIFS(AL:AL,AH:AH,Obrotowka[[#This Row],[GL_Account]],AL:AL,"&gt;=0")-SUMIFS(V:V,S:S,Obrotowka[[#This Row],[GL_Account]])+SUMIFS(V:V,T:T,Obrotowka[[#This Row],[GL_Account]]))/1000,(SUMIFS(AL:AL,AH:AH,Obrotowka[[#This Row],[GL_Account]],AL:AL,"&gt;=0")-SUMIFS(V:V,S:S,Obrotowka[[#This Row],[GL_Account]])+SUMIFS(V:V,T:T,Obrotowka[[#This Row],[GL_Account]])))</f>
        <v>0</v>
      </c>
      <c r="H255" s="18">
        <f>IF($D$5="tak",SUMIFS(AL:AL,AH:AH,Obrotowka[[#This Row],[GL_Account]],AL:AL,"&lt;0")/1000,SUMIFS(AL:AL,AH:AH,Obrotowka[[#This Row],[GL_Account]],AL:AL,"&lt;0"))</f>
        <v>0</v>
      </c>
      <c r="I255" s="18">
        <f>SUM(Obrotowka[[#This Row],[BO]:[MA]])</f>
        <v>0</v>
      </c>
      <c r="J255">
        <f>IF(Obrotowka[[#This Row],[BZ]]=0,0,1)</f>
        <v>0</v>
      </c>
      <c r="K255" s="253"/>
      <c r="AF255" s="18"/>
      <c r="AU255" t="s">
        <v>8550</v>
      </c>
    </row>
    <row r="256" spans="2:47" x14ac:dyDescent="0.3">
      <c r="B256" t="s">
        <v>11923</v>
      </c>
      <c r="C256" t="s">
        <v>11924</v>
      </c>
      <c r="D256" t="s">
        <v>11918</v>
      </c>
      <c r="E256" t="s">
        <v>4185</v>
      </c>
      <c r="F256" s="18">
        <f>IF($D$5="tak",(SUMIFS(AE:AE,AA:AA,Obrotowka[[#This Row],[GL_Account]])-SUMIFS(U:U,S:S,Obrotowka[[#This Row],[GL_Account]])+SUMIFS(U:U,T:T,Obrotowka[[#This Row],[GL_Account]]))/1000,(SUMIFS(AE:AE,AA:AA,Obrotowka[[#This Row],[GL_Account]])-SUMIFS(U:U,S:S,Obrotowka[[#This Row],[GL_Account]])+SUMIFS(U:U,T:T,Obrotowka[[#This Row],[GL_Account]])))</f>
        <v>0</v>
      </c>
      <c r="G256" s="18">
        <f>IF($D$5="tak",(SUMIFS(AL:AL,AH:AH,Obrotowka[[#This Row],[GL_Account]],AL:AL,"&gt;=0")-SUMIFS(V:V,S:S,Obrotowka[[#This Row],[GL_Account]])+SUMIFS(V:V,T:T,Obrotowka[[#This Row],[GL_Account]]))/1000,(SUMIFS(AL:AL,AH:AH,Obrotowka[[#This Row],[GL_Account]],AL:AL,"&gt;=0")-SUMIFS(V:V,S:S,Obrotowka[[#This Row],[GL_Account]])+SUMIFS(V:V,T:T,Obrotowka[[#This Row],[GL_Account]])))</f>
        <v>0</v>
      </c>
      <c r="H256" s="18">
        <f>IF($D$5="tak",SUMIFS(AL:AL,AH:AH,Obrotowka[[#This Row],[GL_Account]],AL:AL,"&lt;0")/1000,SUMIFS(AL:AL,AH:AH,Obrotowka[[#This Row],[GL_Account]],AL:AL,"&lt;0"))</f>
        <v>0</v>
      </c>
      <c r="I256" s="18">
        <f>SUM(Obrotowka[[#This Row],[BO]:[MA]])</f>
        <v>0</v>
      </c>
      <c r="J256">
        <f>IF(Obrotowka[[#This Row],[BZ]]=0,0,1)</f>
        <v>0</v>
      </c>
      <c r="K256" s="253"/>
      <c r="AF256" s="18"/>
      <c r="AU256" t="s">
        <v>8550</v>
      </c>
    </row>
    <row r="257" spans="2:47" x14ac:dyDescent="0.3">
      <c r="B257" t="s">
        <v>11925</v>
      </c>
      <c r="C257" t="s">
        <v>11926</v>
      </c>
      <c r="D257" t="s">
        <v>11918</v>
      </c>
      <c r="E257" t="s">
        <v>4185</v>
      </c>
      <c r="F257" s="18">
        <f>IF($D$5="tak",(SUMIFS(AE:AE,AA:AA,Obrotowka[[#This Row],[GL_Account]])-SUMIFS(U:U,S:S,Obrotowka[[#This Row],[GL_Account]])+SUMIFS(U:U,T:T,Obrotowka[[#This Row],[GL_Account]]))/1000,(SUMIFS(AE:AE,AA:AA,Obrotowka[[#This Row],[GL_Account]])-SUMIFS(U:U,S:S,Obrotowka[[#This Row],[GL_Account]])+SUMIFS(U:U,T:T,Obrotowka[[#This Row],[GL_Account]])))</f>
        <v>0</v>
      </c>
      <c r="G257" s="18">
        <f>IF($D$5="tak",(SUMIFS(AL:AL,AH:AH,Obrotowka[[#This Row],[GL_Account]],AL:AL,"&gt;=0")-SUMIFS(V:V,S:S,Obrotowka[[#This Row],[GL_Account]])+SUMIFS(V:V,T:T,Obrotowka[[#This Row],[GL_Account]]))/1000,(SUMIFS(AL:AL,AH:AH,Obrotowka[[#This Row],[GL_Account]],AL:AL,"&gt;=0")-SUMIFS(V:V,S:S,Obrotowka[[#This Row],[GL_Account]])+SUMIFS(V:V,T:T,Obrotowka[[#This Row],[GL_Account]])))</f>
        <v>0</v>
      </c>
      <c r="H257" s="18">
        <f>IF($D$5="tak",SUMIFS(AL:AL,AH:AH,Obrotowka[[#This Row],[GL_Account]],AL:AL,"&lt;0")/1000,SUMIFS(AL:AL,AH:AH,Obrotowka[[#This Row],[GL_Account]],AL:AL,"&lt;0"))</f>
        <v>0</v>
      </c>
      <c r="I257" s="18">
        <f>SUM(Obrotowka[[#This Row],[BO]:[MA]])</f>
        <v>0</v>
      </c>
      <c r="J257">
        <f>IF(Obrotowka[[#This Row],[BZ]]=0,0,1)</f>
        <v>0</v>
      </c>
      <c r="K257" s="253"/>
      <c r="AF257" s="18"/>
      <c r="AU257" t="s">
        <v>8555</v>
      </c>
    </row>
    <row r="258" spans="2:47" x14ac:dyDescent="0.3">
      <c r="B258" t="s">
        <v>11927</v>
      </c>
      <c r="C258" t="s">
        <v>11928</v>
      </c>
      <c r="D258" t="s">
        <v>11918</v>
      </c>
      <c r="E258" t="s">
        <v>4185</v>
      </c>
      <c r="F258" s="18">
        <f>IF($D$5="tak",(SUMIFS(AE:AE,AA:AA,Obrotowka[[#This Row],[GL_Account]])-SUMIFS(U:U,S:S,Obrotowka[[#This Row],[GL_Account]])+SUMIFS(U:U,T:T,Obrotowka[[#This Row],[GL_Account]]))/1000,(SUMIFS(AE:AE,AA:AA,Obrotowka[[#This Row],[GL_Account]])-SUMIFS(U:U,S:S,Obrotowka[[#This Row],[GL_Account]])+SUMIFS(U:U,T:T,Obrotowka[[#This Row],[GL_Account]])))</f>
        <v>0</v>
      </c>
      <c r="G258" s="18">
        <f>IF($D$5="tak",(SUMIFS(AL:AL,AH:AH,Obrotowka[[#This Row],[GL_Account]],AL:AL,"&gt;=0")-SUMIFS(V:V,S:S,Obrotowka[[#This Row],[GL_Account]])+SUMIFS(V:V,T:T,Obrotowka[[#This Row],[GL_Account]]))/1000,(SUMIFS(AL:AL,AH:AH,Obrotowka[[#This Row],[GL_Account]],AL:AL,"&gt;=0")-SUMIFS(V:V,S:S,Obrotowka[[#This Row],[GL_Account]])+SUMIFS(V:V,T:T,Obrotowka[[#This Row],[GL_Account]])))</f>
        <v>0</v>
      </c>
      <c r="H258" s="18">
        <f>IF($D$5="tak",SUMIFS(AL:AL,AH:AH,Obrotowka[[#This Row],[GL_Account]],AL:AL,"&lt;0")/1000,SUMIFS(AL:AL,AH:AH,Obrotowka[[#This Row],[GL_Account]],AL:AL,"&lt;0"))</f>
        <v>0</v>
      </c>
      <c r="I258" s="18">
        <f>SUM(Obrotowka[[#This Row],[BO]:[MA]])</f>
        <v>0</v>
      </c>
      <c r="J258">
        <f>IF(Obrotowka[[#This Row],[BZ]]=0,0,1)</f>
        <v>0</v>
      </c>
      <c r="K258" s="253"/>
      <c r="AF258" s="18"/>
      <c r="AU258" t="s">
        <v>8555</v>
      </c>
    </row>
    <row r="259" spans="2:47" x14ac:dyDescent="0.3">
      <c r="B259" t="s">
        <v>11929</v>
      </c>
      <c r="C259" t="s">
        <v>11930</v>
      </c>
      <c r="D259" t="s">
        <v>11918</v>
      </c>
      <c r="E259" t="s">
        <v>4185</v>
      </c>
      <c r="F259" s="18">
        <f>IF($D$5="tak",(SUMIFS(AE:AE,AA:AA,Obrotowka[[#This Row],[GL_Account]])-SUMIFS(U:U,S:S,Obrotowka[[#This Row],[GL_Account]])+SUMIFS(U:U,T:T,Obrotowka[[#This Row],[GL_Account]]))/1000,(SUMIFS(AE:AE,AA:AA,Obrotowka[[#This Row],[GL_Account]])-SUMIFS(U:U,S:S,Obrotowka[[#This Row],[GL_Account]])+SUMIFS(U:U,T:T,Obrotowka[[#This Row],[GL_Account]])))</f>
        <v>0</v>
      </c>
      <c r="G259" s="18">
        <f>IF($D$5="tak",(SUMIFS(AL:AL,AH:AH,Obrotowka[[#This Row],[GL_Account]],AL:AL,"&gt;=0")-SUMIFS(V:V,S:S,Obrotowka[[#This Row],[GL_Account]])+SUMIFS(V:V,T:T,Obrotowka[[#This Row],[GL_Account]]))/1000,(SUMIFS(AL:AL,AH:AH,Obrotowka[[#This Row],[GL_Account]],AL:AL,"&gt;=0")-SUMIFS(V:V,S:S,Obrotowka[[#This Row],[GL_Account]])+SUMIFS(V:V,T:T,Obrotowka[[#This Row],[GL_Account]])))</f>
        <v>0</v>
      </c>
      <c r="H259" s="18">
        <f>IF($D$5="tak",SUMIFS(AL:AL,AH:AH,Obrotowka[[#This Row],[GL_Account]],AL:AL,"&lt;0")/1000,SUMIFS(AL:AL,AH:AH,Obrotowka[[#This Row],[GL_Account]],AL:AL,"&lt;0"))</f>
        <v>0</v>
      </c>
      <c r="I259" s="18">
        <f>SUM(Obrotowka[[#This Row],[BO]:[MA]])</f>
        <v>0</v>
      </c>
      <c r="J259">
        <f>IF(Obrotowka[[#This Row],[BZ]]=0,0,1)</f>
        <v>0</v>
      </c>
      <c r="K259" s="253"/>
      <c r="AF259" s="18"/>
      <c r="AU259" t="s">
        <v>8560</v>
      </c>
    </row>
    <row r="260" spans="2:47" x14ac:dyDescent="0.3">
      <c r="B260" t="s">
        <v>11931</v>
      </c>
      <c r="C260" t="s">
        <v>11932</v>
      </c>
      <c r="D260" t="s">
        <v>11918</v>
      </c>
      <c r="E260" t="s">
        <v>4185</v>
      </c>
      <c r="F260" s="18">
        <f>IF($D$5="tak",(SUMIFS(AE:AE,AA:AA,Obrotowka[[#This Row],[GL_Account]])-SUMIFS(U:U,S:S,Obrotowka[[#This Row],[GL_Account]])+SUMIFS(U:U,T:T,Obrotowka[[#This Row],[GL_Account]]))/1000,(SUMIFS(AE:AE,AA:AA,Obrotowka[[#This Row],[GL_Account]])-SUMIFS(U:U,S:S,Obrotowka[[#This Row],[GL_Account]])+SUMIFS(U:U,T:T,Obrotowka[[#This Row],[GL_Account]])))</f>
        <v>0</v>
      </c>
      <c r="G260" s="18">
        <f>IF($D$5="tak",(SUMIFS(AL:AL,AH:AH,Obrotowka[[#This Row],[GL_Account]],AL:AL,"&gt;=0")-SUMIFS(V:V,S:S,Obrotowka[[#This Row],[GL_Account]])+SUMIFS(V:V,T:T,Obrotowka[[#This Row],[GL_Account]]))/1000,(SUMIFS(AL:AL,AH:AH,Obrotowka[[#This Row],[GL_Account]],AL:AL,"&gt;=0")-SUMIFS(V:V,S:S,Obrotowka[[#This Row],[GL_Account]])+SUMIFS(V:V,T:T,Obrotowka[[#This Row],[GL_Account]])))</f>
        <v>0</v>
      </c>
      <c r="H260" s="18">
        <f>IF($D$5="tak",SUMIFS(AL:AL,AH:AH,Obrotowka[[#This Row],[GL_Account]],AL:AL,"&lt;0")/1000,SUMIFS(AL:AL,AH:AH,Obrotowka[[#This Row],[GL_Account]],AL:AL,"&lt;0"))</f>
        <v>0</v>
      </c>
      <c r="I260" s="18">
        <f>SUM(Obrotowka[[#This Row],[BO]:[MA]])</f>
        <v>0</v>
      </c>
      <c r="J260">
        <f>IF(Obrotowka[[#This Row],[BZ]]=0,0,1)</f>
        <v>0</v>
      </c>
      <c r="K260" s="253"/>
      <c r="AF260" s="18"/>
      <c r="AU260" t="s">
        <v>8560</v>
      </c>
    </row>
    <row r="261" spans="2:47" x14ac:dyDescent="0.3">
      <c r="B261" t="s">
        <v>11933</v>
      </c>
      <c r="C261" t="s">
        <v>11934</v>
      </c>
      <c r="D261" t="s">
        <v>11918</v>
      </c>
      <c r="E261" t="s">
        <v>4185</v>
      </c>
      <c r="F261" s="18">
        <f>IF($D$5="tak",(SUMIFS(AE:AE,AA:AA,Obrotowka[[#This Row],[GL_Account]])-SUMIFS(U:U,S:S,Obrotowka[[#This Row],[GL_Account]])+SUMIFS(U:U,T:T,Obrotowka[[#This Row],[GL_Account]]))/1000,(SUMIFS(AE:AE,AA:AA,Obrotowka[[#This Row],[GL_Account]])-SUMIFS(U:U,S:S,Obrotowka[[#This Row],[GL_Account]])+SUMIFS(U:U,T:T,Obrotowka[[#This Row],[GL_Account]])))</f>
        <v>0</v>
      </c>
      <c r="G261" s="18">
        <f>IF($D$5="tak",(SUMIFS(AL:AL,AH:AH,Obrotowka[[#This Row],[GL_Account]],AL:AL,"&gt;=0")-SUMIFS(V:V,S:S,Obrotowka[[#This Row],[GL_Account]])+SUMIFS(V:V,T:T,Obrotowka[[#This Row],[GL_Account]]))/1000,(SUMIFS(AL:AL,AH:AH,Obrotowka[[#This Row],[GL_Account]],AL:AL,"&gt;=0")-SUMIFS(V:V,S:S,Obrotowka[[#This Row],[GL_Account]])+SUMIFS(V:V,T:T,Obrotowka[[#This Row],[GL_Account]])))</f>
        <v>0</v>
      </c>
      <c r="H261" s="18">
        <f>IF($D$5="tak",SUMIFS(AL:AL,AH:AH,Obrotowka[[#This Row],[GL_Account]],AL:AL,"&lt;0")/1000,SUMIFS(AL:AL,AH:AH,Obrotowka[[#This Row],[GL_Account]],AL:AL,"&lt;0"))</f>
        <v>0</v>
      </c>
      <c r="I261" s="18">
        <f>SUM(Obrotowka[[#This Row],[BO]:[MA]])</f>
        <v>0</v>
      </c>
      <c r="J261">
        <f>IF(Obrotowka[[#This Row],[BZ]]=0,0,1)</f>
        <v>0</v>
      </c>
      <c r="K261" s="253"/>
      <c r="AF261" s="18"/>
      <c r="AU261" t="s">
        <v>8560</v>
      </c>
    </row>
    <row r="262" spans="2:47" x14ac:dyDescent="0.3">
      <c r="B262" t="s">
        <v>11935</v>
      </c>
      <c r="C262" t="s">
        <v>11936</v>
      </c>
      <c r="D262" t="s">
        <v>11918</v>
      </c>
      <c r="E262" t="s">
        <v>4185</v>
      </c>
      <c r="F262" s="18">
        <f>IF($D$5="tak",(SUMIFS(AE:AE,AA:AA,Obrotowka[[#This Row],[GL_Account]])-SUMIFS(U:U,S:S,Obrotowka[[#This Row],[GL_Account]])+SUMIFS(U:U,T:T,Obrotowka[[#This Row],[GL_Account]]))/1000,(SUMIFS(AE:AE,AA:AA,Obrotowka[[#This Row],[GL_Account]])-SUMIFS(U:U,S:S,Obrotowka[[#This Row],[GL_Account]])+SUMIFS(U:U,T:T,Obrotowka[[#This Row],[GL_Account]])))</f>
        <v>0</v>
      </c>
      <c r="G262" s="18">
        <f>IF($D$5="tak",(SUMIFS(AL:AL,AH:AH,Obrotowka[[#This Row],[GL_Account]],AL:AL,"&gt;=0")-SUMIFS(V:V,S:S,Obrotowka[[#This Row],[GL_Account]])+SUMIFS(V:V,T:T,Obrotowka[[#This Row],[GL_Account]]))/1000,(SUMIFS(AL:AL,AH:AH,Obrotowka[[#This Row],[GL_Account]],AL:AL,"&gt;=0")-SUMIFS(V:V,S:S,Obrotowka[[#This Row],[GL_Account]])+SUMIFS(V:V,T:T,Obrotowka[[#This Row],[GL_Account]])))</f>
        <v>0</v>
      </c>
      <c r="H262" s="18">
        <f>IF($D$5="tak",SUMIFS(AL:AL,AH:AH,Obrotowka[[#This Row],[GL_Account]],AL:AL,"&lt;0")/1000,SUMIFS(AL:AL,AH:AH,Obrotowka[[#This Row],[GL_Account]],AL:AL,"&lt;0"))</f>
        <v>0</v>
      </c>
      <c r="I262" s="18">
        <f>SUM(Obrotowka[[#This Row],[BO]:[MA]])</f>
        <v>0</v>
      </c>
      <c r="J262">
        <f>IF(Obrotowka[[#This Row],[BZ]]=0,0,1)</f>
        <v>0</v>
      </c>
      <c r="K262" s="253"/>
      <c r="AF262" s="18"/>
      <c r="AU262" t="s">
        <v>8570</v>
      </c>
    </row>
    <row r="263" spans="2:47" x14ac:dyDescent="0.3">
      <c r="B263" t="s">
        <v>11937</v>
      </c>
      <c r="C263" t="s">
        <v>11938</v>
      </c>
      <c r="D263" t="s">
        <v>11918</v>
      </c>
      <c r="E263" t="s">
        <v>4185</v>
      </c>
      <c r="F263" s="18">
        <f>IF($D$5="tak",(SUMIFS(AE:AE,AA:AA,Obrotowka[[#This Row],[GL_Account]])-SUMIFS(U:U,S:S,Obrotowka[[#This Row],[GL_Account]])+SUMIFS(U:U,T:T,Obrotowka[[#This Row],[GL_Account]]))/1000,(SUMIFS(AE:AE,AA:AA,Obrotowka[[#This Row],[GL_Account]])-SUMIFS(U:U,S:S,Obrotowka[[#This Row],[GL_Account]])+SUMIFS(U:U,T:T,Obrotowka[[#This Row],[GL_Account]])))</f>
        <v>0</v>
      </c>
      <c r="G263" s="18">
        <f>IF($D$5="tak",(SUMIFS(AL:AL,AH:AH,Obrotowka[[#This Row],[GL_Account]],AL:AL,"&gt;=0")-SUMIFS(V:V,S:S,Obrotowka[[#This Row],[GL_Account]])+SUMIFS(V:V,T:T,Obrotowka[[#This Row],[GL_Account]]))/1000,(SUMIFS(AL:AL,AH:AH,Obrotowka[[#This Row],[GL_Account]],AL:AL,"&gt;=0")-SUMIFS(V:V,S:S,Obrotowka[[#This Row],[GL_Account]])+SUMIFS(V:V,T:T,Obrotowka[[#This Row],[GL_Account]])))</f>
        <v>0</v>
      </c>
      <c r="H263" s="18">
        <f>IF($D$5="tak",SUMIFS(AL:AL,AH:AH,Obrotowka[[#This Row],[GL_Account]],AL:AL,"&lt;0")/1000,SUMIFS(AL:AL,AH:AH,Obrotowka[[#This Row],[GL_Account]],AL:AL,"&lt;0"))</f>
        <v>0</v>
      </c>
      <c r="I263" s="18">
        <f>SUM(Obrotowka[[#This Row],[BO]:[MA]])</f>
        <v>0</v>
      </c>
      <c r="J263">
        <f>IF(Obrotowka[[#This Row],[BZ]]=0,0,1)</f>
        <v>0</v>
      </c>
      <c r="K263" s="253"/>
      <c r="AF263" s="18"/>
      <c r="AU263" t="s">
        <v>8565</v>
      </c>
    </row>
    <row r="264" spans="2:47" x14ac:dyDescent="0.3">
      <c r="B264" t="s">
        <v>11939</v>
      </c>
      <c r="C264" t="s">
        <v>11940</v>
      </c>
      <c r="D264" t="s">
        <v>11918</v>
      </c>
      <c r="E264" t="s">
        <v>4185</v>
      </c>
      <c r="F264" s="18">
        <f>IF($D$5="tak",(SUMIFS(AE:AE,AA:AA,Obrotowka[[#This Row],[GL_Account]])-SUMIFS(U:U,S:S,Obrotowka[[#This Row],[GL_Account]])+SUMIFS(U:U,T:T,Obrotowka[[#This Row],[GL_Account]]))/1000,(SUMIFS(AE:AE,AA:AA,Obrotowka[[#This Row],[GL_Account]])-SUMIFS(U:U,S:S,Obrotowka[[#This Row],[GL_Account]])+SUMIFS(U:U,T:T,Obrotowka[[#This Row],[GL_Account]])))</f>
        <v>0</v>
      </c>
      <c r="G264" s="18">
        <f>IF($D$5="tak",(SUMIFS(AL:AL,AH:AH,Obrotowka[[#This Row],[GL_Account]],AL:AL,"&gt;=0")-SUMIFS(V:V,S:S,Obrotowka[[#This Row],[GL_Account]])+SUMIFS(V:V,T:T,Obrotowka[[#This Row],[GL_Account]]))/1000,(SUMIFS(AL:AL,AH:AH,Obrotowka[[#This Row],[GL_Account]],AL:AL,"&gt;=0")-SUMIFS(V:V,S:S,Obrotowka[[#This Row],[GL_Account]])+SUMIFS(V:V,T:T,Obrotowka[[#This Row],[GL_Account]])))</f>
        <v>0</v>
      </c>
      <c r="H264" s="18">
        <f>IF($D$5="tak",SUMIFS(AL:AL,AH:AH,Obrotowka[[#This Row],[GL_Account]],AL:AL,"&lt;0")/1000,SUMIFS(AL:AL,AH:AH,Obrotowka[[#This Row],[GL_Account]],AL:AL,"&lt;0"))</f>
        <v>0</v>
      </c>
      <c r="I264" s="18">
        <f>SUM(Obrotowka[[#This Row],[BO]:[MA]])</f>
        <v>0</v>
      </c>
      <c r="J264">
        <f>IF(Obrotowka[[#This Row],[BZ]]=0,0,1)</f>
        <v>0</v>
      </c>
      <c r="K264" s="253"/>
      <c r="AF264" s="18"/>
      <c r="AU264" t="s">
        <v>8575</v>
      </c>
    </row>
    <row r="265" spans="2:47" x14ac:dyDescent="0.3">
      <c r="B265" t="s">
        <v>11941</v>
      </c>
      <c r="C265" t="s">
        <v>11942</v>
      </c>
      <c r="D265" t="s">
        <v>11918</v>
      </c>
      <c r="E265" t="s">
        <v>4185</v>
      </c>
      <c r="F265" s="18">
        <f>IF($D$5="tak",(SUMIFS(AE:AE,AA:AA,Obrotowka[[#This Row],[GL_Account]])-SUMIFS(U:U,S:S,Obrotowka[[#This Row],[GL_Account]])+SUMIFS(U:U,T:T,Obrotowka[[#This Row],[GL_Account]]))/1000,(SUMIFS(AE:AE,AA:AA,Obrotowka[[#This Row],[GL_Account]])-SUMIFS(U:U,S:S,Obrotowka[[#This Row],[GL_Account]])+SUMIFS(U:U,T:T,Obrotowka[[#This Row],[GL_Account]])))</f>
        <v>0</v>
      </c>
      <c r="G265" s="18">
        <f>IF($D$5="tak",(SUMIFS(AL:AL,AH:AH,Obrotowka[[#This Row],[GL_Account]],AL:AL,"&gt;=0")-SUMIFS(V:V,S:S,Obrotowka[[#This Row],[GL_Account]])+SUMIFS(V:V,T:T,Obrotowka[[#This Row],[GL_Account]]))/1000,(SUMIFS(AL:AL,AH:AH,Obrotowka[[#This Row],[GL_Account]],AL:AL,"&gt;=0")-SUMIFS(V:V,S:S,Obrotowka[[#This Row],[GL_Account]])+SUMIFS(V:V,T:T,Obrotowka[[#This Row],[GL_Account]])))</f>
        <v>0</v>
      </c>
      <c r="H265" s="18">
        <f>IF($D$5="tak",SUMIFS(AL:AL,AH:AH,Obrotowka[[#This Row],[GL_Account]],AL:AL,"&lt;0")/1000,SUMIFS(AL:AL,AH:AH,Obrotowka[[#This Row],[GL_Account]],AL:AL,"&lt;0"))</f>
        <v>0</v>
      </c>
      <c r="I265" s="18">
        <f>SUM(Obrotowka[[#This Row],[BO]:[MA]])</f>
        <v>0</v>
      </c>
      <c r="J265">
        <f>IF(Obrotowka[[#This Row],[BZ]]=0,0,1)</f>
        <v>0</v>
      </c>
      <c r="K265" s="253"/>
      <c r="AF265" s="18"/>
      <c r="AU265" t="s">
        <v>8575</v>
      </c>
    </row>
    <row r="266" spans="2:47" x14ac:dyDescent="0.3">
      <c r="B266" t="s">
        <v>11943</v>
      </c>
      <c r="C266" t="s">
        <v>11944</v>
      </c>
      <c r="D266" t="s">
        <v>11918</v>
      </c>
      <c r="E266" t="s">
        <v>4185</v>
      </c>
      <c r="F266" s="18">
        <f>IF($D$5="tak",(SUMIFS(AE:AE,AA:AA,Obrotowka[[#This Row],[GL_Account]])-SUMIFS(U:U,S:S,Obrotowka[[#This Row],[GL_Account]])+SUMIFS(U:U,T:T,Obrotowka[[#This Row],[GL_Account]]))/1000,(SUMIFS(AE:AE,AA:AA,Obrotowka[[#This Row],[GL_Account]])-SUMIFS(U:U,S:S,Obrotowka[[#This Row],[GL_Account]])+SUMIFS(U:U,T:T,Obrotowka[[#This Row],[GL_Account]])))</f>
        <v>0</v>
      </c>
      <c r="G266" s="18">
        <f>IF($D$5="tak",(SUMIFS(AL:AL,AH:AH,Obrotowka[[#This Row],[GL_Account]],AL:AL,"&gt;=0")-SUMIFS(V:V,S:S,Obrotowka[[#This Row],[GL_Account]])+SUMIFS(V:V,T:T,Obrotowka[[#This Row],[GL_Account]]))/1000,(SUMIFS(AL:AL,AH:AH,Obrotowka[[#This Row],[GL_Account]],AL:AL,"&gt;=0")-SUMIFS(V:V,S:S,Obrotowka[[#This Row],[GL_Account]])+SUMIFS(V:V,T:T,Obrotowka[[#This Row],[GL_Account]])))</f>
        <v>0</v>
      </c>
      <c r="H266" s="18">
        <f>IF($D$5="tak",SUMIFS(AL:AL,AH:AH,Obrotowka[[#This Row],[GL_Account]],AL:AL,"&lt;0")/1000,SUMIFS(AL:AL,AH:AH,Obrotowka[[#This Row],[GL_Account]],AL:AL,"&lt;0"))</f>
        <v>0</v>
      </c>
      <c r="I266" s="18">
        <f>SUM(Obrotowka[[#This Row],[BO]:[MA]])</f>
        <v>0</v>
      </c>
      <c r="J266">
        <f>IF(Obrotowka[[#This Row],[BZ]]=0,0,1)</f>
        <v>0</v>
      </c>
      <c r="K266" s="253"/>
      <c r="AF266" s="18"/>
      <c r="AU266" t="s">
        <v>8575</v>
      </c>
    </row>
    <row r="267" spans="2:47" x14ac:dyDescent="0.3">
      <c r="B267" t="s">
        <v>11945</v>
      </c>
      <c r="C267" t="s">
        <v>11946</v>
      </c>
      <c r="D267" t="s">
        <v>11918</v>
      </c>
      <c r="E267" t="s">
        <v>4185</v>
      </c>
      <c r="F267" s="18">
        <f>IF($D$5="tak",(SUMIFS(AE:AE,AA:AA,Obrotowka[[#This Row],[GL_Account]])-SUMIFS(U:U,S:S,Obrotowka[[#This Row],[GL_Account]])+SUMIFS(U:U,T:T,Obrotowka[[#This Row],[GL_Account]]))/1000,(SUMIFS(AE:AE,AA:AA,Obrotowka[[#This Row],[GL_Account]])-SUMIFS(U:U,S:S,Obrotowka[[#This Row],[GL_Account]])+SUMIFS(U:U,T:T,Obrotowka[[#This Row],[GL_Account]])))</f>
        <v>0</v>
      </c>
      <c r="G267" s="18">
        <f>IF($D$5="tak",(SUMIFS(AL:AL,AH:AH,Obrotowka[[#This Row],[GL_Account]],AL:AL,"&gt;=0")-SUMIFS(V:V,S:S,Obrotowka[[#This Row],[GL_Account]])+SUMIFS(V:V,T:T,Obrotowka[[#This Row],[GL_Account]]))/1000,(SUMIFS(AL:AL,AH:AH,Obrotowka[[#This Row],[GL_Account]],AL:AL,"&gt;=0")-SUMIFS(V:V,S:S,Obrotowka[[#This Row],[GL_Account]])+SUMIFS(V:V,T:T,Obrotowka[[#This Row],[GL_Account]])))</f>
        <v>0</v>
      </c>
      <c r="H267" s="18">
        <f>IF($D$5="tak",SUMIFS(AL:AL,AH:AH,Obrotowka[[#This Row],[GL_Account]],AL:AL,"&lt;0")/1000,SUMIFS(AL:AL,AH:AH,Obrotowka[[#This Row],[GL_Account]],AL:AL,"&lt;0"))</f>
        <v>0</v>
      </c>
      <c r="I267" s="18">
        <f>SUM(Obrotowka[[#This Row],[BO]:[MA]])</f>
        <v>0</v>
      </c>
      <c r="J267">
        <f>IF(Obrotowka[[#This Row],[BZ]]=0,0,1)</f>
        <v>0</v>
      </c>
      <c r="K267" s="253"/>
      <c r="AF267" s="18"/>
      <c r="AU267" t="s">
        <v>8575</v>
      </c>
    </row>
    <row r="268" spans="2:47" x14ac:dyDescent="0.3">
      <c r="B268" t="s">
        <v>11947</v>
      </c>
      <c r="C268" t="s">
        <v>11948</v>
      </c>
      <c r="D268" t="s">
        <v>11918</v>
      </c>
      <c r="E268" t="s">
        <v>4185</v>
      </c>
      <c r="F268" s="18">
        <f>IF($D$5="tak",(SUMIFS(AE:AE,AA:AA,Obrotowka[[#This Row],[GL_Account]])-SUMIFS(U:U,S:S,Obrotowka[[#This Row],[GL_Account]])+SUMIFS(U:U,T:T,Obrotowka[[#This Row],[GL_Account]]))/1000,(SUMIFS(AE:AE,AA:AA,Obrotowka[[#This Row],[GL_Account]])-SUMIFS(U:U,S:S,Obrotowka[[#This Row],[GL_Account]])+SUMIFS(U:U,T:T,Obrotowka[[#This Row],[GL_Account]])))</f>
        <v>0</v>
      </c>
      <c r="G268" s="18">
        <f>IF($D$5="tak",(SUMIFS(AL:AL,AH:AH,Obrotowka[[#This Row],[GL_Account]],AL:AL,"&gt;=0")-SUMIFS(V:V,S:S,Obrotowka[[#This Row],[GL_Account]])+SUMIFS(V:V,T:T,Obrotowka[[#This Row],[GL_Account]]))/1000,(SUMIFS(AL:AL,AH:AH,Obrotowka[[#This Row],[GL_Account]],AL:AL,"&gt;=0")-SUMIFS(V:V,S:S,Obrotowka[[#This Row],[GL_Account]])+SUMIFS(V:V,T:T,Obrotowka[[#This Row],[GL_Account]])))</f>
        <v>0</v>
      </c>
      <c r="H268" s="18">
        <f>IF($D$5="tak",SUMIFS(AL:AL,AH:AH,Obrotowka[[#This Row],[GL_Account]],AL:AL,"&lt;0")/1000,SUMIFS(AL:AL,AH:AH,Obrotowka[[#This Row],[GL_Account]],AL:AL,"&lt;0"))</f>
        <v>0</v>
      </c>
      <c r="I268" s="18">
        <f>SUM(Obrotowka[[#This Row],[BO]:[MA]])</f>
        <v>0</v>
      </c>
      <c r="J268">
        <f>IF(Obrotowka[[#This Row],[BZ]]=0,0,1)</f>
        <v>0</v>
      </c>
      <c r="K268" s="253"/>
      <c r="AF268" s="18"/>
      <c r="AU268" t="s">
        <v>8575</v>
      </c>
    </row>
    <row r="269" spans="2:47" x14ac:dyDescent="0.3">
      <c r="B269" t="s">
        <v>11949</v>
      </c>
      <c r="C269" t="s">
        <v>11950</v>
      </c>
      <c r="D269" t="s">
        <v>11918</v>
      </c>
      <c r="E269" t="s">
        <v>4185</v>
      </c>
      <c r="F269" s="18">
        <f>IF($D$5="tak",(SUMIFS(AE:AE,AA:AA,Obrotowka[[#This Row],[GL_Account]])-SUMIFS(U:U,S:S,Obrotowka[[#This Row],[GL_Account]])+SUMIFS(U:U,T:T,Obrotowka[[#This Row],[GL_Account]]))/1000,(SUMIFS(AE:AE,AA:AA,Obrotowka[[#This Row],[GL_Account]])-SUMIFS(U:U,S:S,Obrotowka[[#This Row],[GL_Account]])+SUMIFS(U:U,T:T,Obrotowka[[#This Row],[GL_Account]])))</f>
        <v>0</v>
      </c>
      <c r="G269" s="18">
        <f>IF($D$5="tak",(SUMIFS(AL:AL,AH:AH,Obrotowka[[#This Row],[GL_Account]],AL:AL,"&gt;=0")-SUMIFS(V:V,S:S,Obrotowka[[#This Row],[GL_Account]])+SUMIFS(V:V,T:T,Obrotowka[[#This Row],[GL_Account]]))/1000,(SUMIFS(AL:AL,AH:AH,Obrotowka[[#This Row],[GL_Account]],AL:AL,"&gt;=0")-SUMIFS(V:V,S:S,Obrotowka[[#This Row],[GL_Account]])+SUMIFS(V:V,T:T,Obrotowka[[#This Row],[GL_Account]])))</f>
        <v>0</v>
      </c>
      <c r="H269" s="18">
        <f>IF($D$5="tak",SUMIFS(AL:AL,AH:AH,Obrotowka[[#This Row],[GL_Account]],AL:AL,"&lt;0")/1000,SUMIFS(AL:AL,AH:AH,Obrotowka[[#This Row],[GL_Account]],AL:AL,"&lt;0"))</f>
        <v>0</v>
      </c>
      <c r="I269" s="18">
        <f>SUM(Obrotowka[[#This Row],[BO]:[MA]])</f>
        <v>0</v>
      </c>
      <c r="J269">
        <f>IF(Obrotowka[[#This Row],[BZ]]=0,0,1)</f>
        <v>0</v>
      </c>
      <c r="K269" s="253"/>
      <c r="AF269" s="18"/>
      <c r="AU269" t="s">
        <v>8575</v>
      </c>
    </row>
    <row r="270" spans="2:47" x14ac:dyDescent="0.3">
      <c r="B270" t="s">
        <v>11951</v>
      </c>
      <c r="C270" t="s">
        <v>11952</v>
      </c>
      <c r="D270" t="s">
        <v>11918</v>
      </c>
      <c r="E270" t="s">
        <v>4185</v>
      </c>
      <c r="F270" s="18">
        <f>IF($D$5="tak",(SUMIFS(AE:AE,AA:AA,Obrotowka[[#This Row],[GL_Account]])-SUMIFS(U:U,S:S,Obrotowka[[#This Row],[GL_Account]])+SUMIFS(U:U,T:T,Obrotowka[[#This Row],[GL_Account]]))/1000,(SUMIFS(AE:AE,AA:AA,Obrotowka[[#This Row],[GL_Account]])-SUMIFS(U:U,S:S,Obrotowka[[#This Row],[GL_Account]])+SUMIFS(U:U,T:T,Obrotowka[[#This Row],[GL_Account]])))</f>
        <v>0</v>
      </c>
      <c r="G270" s="18">
        <f>IF($D$5="tak",(SUMIFS(AL:AL,AH:AH,Obrotowka[[#This Row],[GL_Account]],AL:AL,"&gt;=0")-SUMIFS(V:V,S:S,Obrotowka[[#This Row],[GL_Account]])+SUMIFS(V:V,T:T,Obrotowka[[#This Row],[GL_Account]]))/1000,(SUMIFS(AL:AL,AH:AH,Obrotowka[[#This Row],[GL_Account]],AL:AL,"&gt;=0")-SUMIFS(V:V,S:S,Obrotowka[[#This Row],[GL_Account]])+SUMIFS(V:V,T:T,Obrotowka[[#This Row],[GL_Account]])))</f>
        <v>0</v>
      </c>
      <c r="H270" s="18">
        <f>IF($D$5="tak",SUMIFS(AL:AL,AH:AH,Obrotowka[[#This Row],[GL_Account]],AL:AL,"&lt;0")/1000,SUMIFS(AL:AL,AH:AH,Obrotowka[[#This Row],[GL_Account]],AL:AL,"&lt;0"))</f>
        <v>0</v>
      </c>
      <c r="I270" s="18">
        <f>SUM(Obrotowka[[#This Row],[BO]:[MA]])</f>
        <v>0</v>
      </c>
      <c r="J270">
        <f>IF(Obrotowka[[#This Row],[BZ]]=0,0,1)</f>
        <v>0</v>
      </c>
      <c r="K270" s="253"/>
      <c r="AF270" s="18"/>
      <c r="AU270" t="s">
        <v>8580</v>
      </c>
    </row>
    <row r="271" spans="2:47" x14ac:dyDescent="0.3">
      <c r="B271" t="s">
        <v>11953</v>
      </c>
      <c r="C271" t="s">
        <v>11954</v>
      </c>
      <c r="D271" t="s">
        <v>11918</v>
      </c>
      <c r="E271" t="s">
        <v>4185</v>
      </c>
      <c r="F271" s="18">
        <f>IF($D$5="tak",(SUMIFS(AE:AE,AA:AA,Obrotowka[[#This Row],[GL_Account]])-SUMIFS(U:U,S:S,Obrotowka[[#This Row],[GL_Account]])+SUMIFS(U:U,T:T,Obrotowka[[#This Row],[GL_Account]]))/1000,(SUMIFS(AE:AE,AA:AA,Obrotowka[[#This Row],[GL_Account]])-SUMIFS(U:U,S:S,Obrotowka[[#This Row],[GL_Account]])+SUMIFS(U:U,T:T,Obrotowka[[#This Row],[GL_Account]])))</f>
        <v>0</v>
      </c>
      <c r="G271" s="18">
        <f>IF($D$5="tak",(SUMIFS(AL:AL,AH:AH,Obrotowka[[#This Row],[GL_Account]],AL:AL,"&gt;=0")-SUMIFS(V:V,S:S,Obrotowka[[#This Row],[GL_Account]])+SUMIFS(V:V,T:T,Obrotowka[[#This Row],[GL_Account]]))/1000,(SUMIFS(AL:AL,AH:AH,Obrotowka[[#This Row],[GL_Account]],AL:AL,"&gt;=0")-SUMIFS(V:V,S:S,Obrotowka[[#This Row],[GL_Account]])+SUMIFS(V:V,T:T,Obrotowka[[#This Row],[GL_Account]])))</f>
        <v>0</v>
      </c>
      <c r="H271" s="18">
        <f>IF($D$5="tak",SUMIFS(AL:AL,AH:AH,Obrotowka[[#This Row],[GL_Account]],AL:AL,"&lt;0")/1000,SUMIFS(AL:AL,AH:AH,Obrotowka[[#This Row],[GL_Account]],AL:AL,"&lt;0"))</f>
        <v>0</v>
      </c>
      <c r="I271" s="18">
        <f>SUM(Obrotowka[[#This Row],[BO]:[MA]])</f>
        <v>0</v>
      </c>
      <c r="J271">
        <f>IF(Obrotowka[[#This Row],[BZ]]=0,0,1)</f>
        <v>0</v>
      </c>
      <c r="K271" s="253"/>
      <c r="AF271" s="18"/>
      <c r="AU271" t="s">
        <v>8580</v>
      </c>
    </row>
    <row r="272" spans="2:47" x14ac:dyDescent="0.3">
      <c r="B272" t="s">
        <v>11955</v>
      </c>
      <c r="C272" t="s">
        <v>11956</v>
      </c>
      <c r="D272" t="s">
        <v>11918</v>
      </c>
      <c r="E272" t="s">
        <v>4185</v>
      </c>
      <c r="F272" s="18">
        <f>IF($D$5="tak",(SUMIFS(AE:AE,AA:AA,Obrotowka[[#This Row],[GL_Account]])-SUMIFS(U:U,S:S,Obrotowka[[#This Row],[GL_Account]])+SUMIFS(U:U,T:T,Obrotowka[[#This Row],[GL_Account]]))/1000,(SUMIFS(AE:AE,AA:AA,Obrotowka[[#This Row],[GL_Account]])-SUMIFS(U:U,S:S,Obrotowka[[#This Row],[GL_Account]])+SUMIFS(U:U,T:T,Obrotowka[[#This Row],[GL_Account]])))</f>
        <v>0</v>
      </c>
      <c r="G272" s="18">
        <f>IF($D$5="tak",(SUMIFS(AL:AL,AH:AH,Obrotowka[[#This Row],[GL_Account]],AL:AL,"&gt;=0")-SUMIFS(V:V,S:S,Obrotowka[[#This Row],[GL_Account]])+SUMIFS(V:V,T:T,Obrotowka[[#This Row],[GL_Account]]))/1000,(SUMIFS(AL:AL,AH:AH,Obrotowka[[#This Row],[GL_Account]],AL:AL,"&gt;=0")-SUMIFS(V:V,S:S,Obrotowka[[#This Row],[GL_Account]])+SUMIFS(V:V,T:T,Obrotowka[[#This Row],[GL_Account]])))</f>
        <v>0</v>
      </c>
      <c r="H272" s="18">
        <f>IF($D$5="tak",SUMIFS(AL:AL,AH:AH,Obrotowka[[#This Row],[GL_Account]],AL:AL,"&lt;0")/1000,SUMIFS(AL:AL,AH:AH,Obrotowka[[#This Row],[GL_Account]],AL:AL,"&lt;0"))</f>
        <v>0</v>
      </c>
      <c r="I272" s="18">
        <f>SUM(Obrotowka[[#This Row],[BO]:[MA]])</f>
        <v>0</v>
      </c>
      <c r="J272">
        <f>IF(Obrotowka[[#This Row],[BZ]]=0,0,1)</f>
        <v>0</v>
      </c>
      <c r="K272" s="253"/>
      <c r="AF272" s="18"/>
      <c r="AU272" t="s">
        <v>8580</v>
      </c>
    </row>
    <row r="273" spans="2:47" x14ac:dyDescent="0.3">
      <c r="B273" t="s">
        <v>11957</v>
      </c>
      <c r="C273" t="s">
        <v>11958</v>
      </c>
      <c r="D273" t="s">
        <v>11918</v>
      </c>
      <c r="E273" t="s">
        <v>4185</v>
      </c>
      <c r="F273" s="18">
        <f>IF($D$5="tak",(SUMIFS(AE:AE,AA:AA,Obrotowka[[#This Row],[GL_Account]])-SUMIFS(U:U,S:S,Obrotowka[[#This Row],[GL_Account]])+SUMIFS(U:U,T:T,Obrotowka[[#This Row],[GL_Account]]))/1000,(SUMIFS(AE:AE,AA:AA,Obrotowka[[#This Row],[GL_Account]])-SUMIFS(U:U,S:S,Obrotowka[[#This Row],[GL_Account]])+SUMIFS(U:U,T:T,Obrotowka[[#This Row],[GL_Account]])))</f>
        <v>0</v>
      </c>
      <c r="G273" s="18">
        <f>IF($D$5="tak",(SUMIFS(AL:AL,AH:AH,Obrotowka[[#This Row],[GL_Account]],AL:AL,"&gt;=0")-SUMIFS(V:V,S:S,Obrotowka[[#This Row],[GL_Account]])+SUMIFS(V:V,T:T,Obrotowka[[#This Row],[GL_Account]]))/1000,(SUMIFS(AL:AL,AH:AH,Obrotowka[[#This Row],[GL_Account]],AL:AL,"&gt;=0")-SUMIFS(V:V,S:S,Obrotowka[[#This Row],[GL_Account]])+SUMIFS(V:V,T:T,Obrotowka[[#This Row],[GL_Account]])))</f>
        <v>0</v>
      </c>
      <c r="H273" s="18">
        <f>IF($D$5="tak",SUMIFS(AL:AL,AH:AH,Obrotowka[[#This Row],[GL_Account]],AL:AL,"&lt;0")/1000,SUMIFS(AL:AL,AH:AH,Obrotowka[[#This Row],[GL_Account]],AL:AL,"&lt;0"))</f>
        <v>0</v>
      </c>
      <c r="I273" s="18">
        <f>SUM(Obrotowka[[#This Row],[BO]:[MA]])</f>
        <v>0</v>
      </c>
      <c r="J273">
        <f>IF(Obrotowka[[#This Row],[BZ]]=0,0,1)</f>
        <v>0</v>
      </c>
      <c r="K273" s="253"/>
      <c r="AF273" s="18"/>
      <c r="AU273" t="s">
        <v>8580</v>
      </c>
    </row>
    <row r="274" spans="2:47" x14ac:dyDescent="0.3">
      <c r="B274" t="s">
        <v>11959</v>
      </c>
      <c r="C274" t="s">
        <v>11960</v>
      </c>
      <c r="D274" t="s">
        <v>11918</v>
      </c>
      <c r="E274" t="s">
        <v>4185</v>
      </c>
      <c r="F274" s="18">
        <f>IF($D$5="tak",(SUMIFS(AE:AE,AA:AA,Obrotowka[[#This Row],[GL_Account]])-SUMIFS(U:U,S:S,Obrotowka[[#This Row],[GL_Account]])+SUMIFS(U:U,T:T,Obrotowka[[#This Row],[GL_Account]]))/1000,(SUMIFS(AE:AE,AA:AA,Obrotowka[[#This Row],[GL_Account]])-SUMIFS(U:U,S:S,Obrotowka[[#This Row],[GL_Account]])+SUMIFS(U:U,T:T,Obrotowka[[#This Row],[GL_Account]])))</f>
        <v>0</v>
      </c>
      <c r="G274" s="18">
        <f>IF($D$5="tak",(SUMIFS(AL:AL,AH:AH,Obrotowka[[#This Row],[GL_Account]],AL:AL,"&gt;=0")-SUMIFS(V:V,S:S,Obrotowka[[#This Row],[GL_Account]])+SUMIFS(V:V,T:T,Obrotowka[[#This Row],[GL_Account]]))/1000,(SUMIFS(AL:AL,AH:AH,Obrotowka[[#This Row],[GL_Account]],AL:AL,"&gt;=0")-SUMIFS(V:V,S:S,Obrotowka[[#This Row],[GL_Account]])+SUMIFS(V:V,T:T,Obrotowka[[#This Row],[GL_Account]])))</f>
        <v>0</v>
      </c>
      <c r="H274" s="18">
        <f>IF($D$5="tak",SUMIFS(AL:AL,AH:AH,Obrotowka[[#This Row],[GL_Account]],AL:AL,"&lt;0")/1000,SUMIFS(AL:AL,AH:AH,Obrotowka[[#This Row],[GL_Account]],AL:AL,"&lt;0"))</f>
        <v>0</v>
      </c>
      <c r="I274" s="18">
        <f>SUM(Obrotowka[[#This Row],[BO]:[MA]])</f>
        <v>0</v>
      </c>
      <c r="J274">
        <f>IF(Obrotowka[[#This Row],[BZ]]=0,0,1)</f>
        <v>0</v>
      </c>
      <c r="K274" s="253"/>
      <c r="AF274" s="18"/>
      <c r="AU274" t="s">
        <v>8589</v>
      </c>
    </row>
    <row r="275" spans="2:47" x14ac:dyDescent="0.3">
      <c r="B275" t="s">
        <v>11961</v>
      </c>
      <c r="C275" t="s">
        <v>11962</v>
      </c>
      <c r="D275" t="s">
        <v>11918</v>
      </c>
      <c r="E275" t="s">
        <v>4185</v>
      </c>
      <c r="F275" s="18">
        <f>IF($D$5="tak",(SUMIFS(AE:AE,AA:AA,Obrotowka[[#This Row],[GL_Account]])-SUMIFS(U:U,S:S,Obrotowka[[#This Row],[GL_Account]])+SUMIFS(U:U,T:T,Obrotowka[[#This Row],[GL_Account]]))/1000,(SUMIFS(AE:AE,AA:AA,Obrotowka[[#This Row],[GL_Account]])-SUMIFS(U:U,S:S,Obrotowka[[#This Row],[GL_Account]])+SUMIFS(U:U,T:T,Obrotowka[[#This Row],[GL_Account]])))</f>
        <v>0</v>
      </c>
      <c r="G275" s="18">
        <f>IF($D$5="tak",(SUMIFS(AL:AL,AH:AH,Obrotowka[[#This Row],[GL_Account]],AL:AL,"&gt;=0")-SUMIFS(V:V,S:S,Obrotowka[[#This Row],[GL_Account]])+SUMIFS(V:V,T:T,Obrotowka[[#This Row],[GL_Account]]))/1000,(SUMIFS(AL:AL,AH:AH,Obrotowka[[#This Row],[GL_Account]],AL:AL,"&gt;=0")-SUMIFS(V:V,S:S,Obrotowka[[#This Row],[GL_Account]])+SUMIFS(V:V,T:T,Obrotowka[[#This Row],[GL_Account]])))</f>
        <v>0</v>
      </c>
      <c r="H275" s="18">
        <f>IF($D$5="tak",SUMIFS(AL:AL,AH:AH,Obrotowka[[#This Row],[GL_Account]],AL:AL,"&lt;0")/1000,SUMIFS(AL:AL,AH:AH,Obrotowka[[#This Row],[GL_Account]],AL:AL,"&lt;0"))</f>
        <v>0</v>
      </c>
      <c r="I275" s="18">
        <f>SUM(Obrotowka[[#This Row],[BO]:[MA]])</f>
        <v>0</v>
      </c>
      <c r="J275">
        <f>IF(Obrotowka[[#This Row],[BZ]]=0,0,1)</f>
        <v>0</v>
      </c>
      <c r="K275" s="253"/>
      <c r="AF275" s="18"/>
      <c r="AU275" t="s">
        <v>8589</v>
      </c>
    </row>
    <row r="276" spans="2:47" x14ac:dyDescent="0.3">
      <c r="B276" t="s">
        <v>11963</v>
      </c>
      <c r="C276" t="s">
        <v>11964</v>
      </c>
      <c r="D276" t="s">
        <v>11918</v>
      </c>
      <c r="E276" t="s">
        <v>4185</v>
      </c>
      <c r="F276" s="18">
        <f>IF($D$5="tak",(SUMIFS(AE:AE,AA:AA,Obrotowka[[#This Row],[GL_Account]])-SUMIFS(U:U,S:S,Obrotowka[[#This Row],[GL_Account]])+SUMIFS(U:U,T:T,Obrotowka[[#This Row],[GL_Account]]))/1000,(SUMIFS(AE:AE,AA:AA,Obrotowka[[#This Row],[GL_Account]])-SUMIFS(U:U,S:S,Obrotowka[[#This Row],[GL_Account]])+SUMIFS(U:U,T:T,Obrotowka[[#This Row],[GL_Account]])))</f>
        <v>0</v>
      </c>
      <c r="G276" s="18">
        <f>IF($D$5="tak",(SUMIFS(AL:AL,AH:AH,Obrotowka[[#This Row],[GL_Account]],AL:AL,"&gt;=0")-SUMIFS(V:V,S:S,Obrotowka[[#This Row],[GL_Account]])+SUMIFS(V:V,T:T,Obrotowka[[#This Row],[GL_Account]]))/1000,(SUMIFS(AL:AL,AH:AH,Obrotowka[[#This Row],[GL_Account]],AL:AL,"&gt;=0")-SUMIFS(V:V,S:S,Obrotowka[[#This Row],[GL_Account]])+SUMIFS(V:V,T:T,Obrotowka[[#This Row],[GL_Account]])))</f>
        <v>0</v>
      </c>
      <c r="H276" s="18">
        <f>IF($D$5="tak",SUMIFS(AL:AL,AH:AH,Obrotowka[[#This Row],[GL_Account]],AL:AL,"&lt;0")/1000,SUMIFS(AL:AL,AH:AH,Obrotowka[[#This Row],[GL_Account]],AL:AL,"&lt;0"))</f>
        <v>0</v>
      </c>
      <c r="I276" s="18">
        <f>SUM(Obrotowka[[#This Row],[BO]:[MA]])</f>
        <v>0</v>
      </c>
      <c r="J276">
        <f>IF(Obrotowka[[#This Row],[BZ]]=0,0,1)</f>
        <v>0</v>
      </c>
      <c r="K276" s="253"/>
      <c r="AF276" s="18"/>
      <c r="AU276" t="s">
        <v>8589</v>
      </c>
    </row>
    <row r="277" spans="2:47" x14ac:dyDescent="0.3">
      <c r="B277" t="s">
        <v>11965</v>
      </c>
      <c r="C277" t="s">
        <v>11966</v>
      </c>
      <c r="D277" t="s">
        <v>11918</v>
      </c>
      <c r="E277" t="s">
        <v>4185</v>
      </c>
      <c r="F277" s="18">
        <f>IF($D$5="tak",(SUMIFS(AE:AE,AA:AA,Obrotowka[[#This Row],[GL_Account]])-SUMIFS(U:U,S:S,Obrotowka[[#This Row],[GL_Account]])+SUMIFS(U:U,T:T,Obrotowka[[#This Row],[GL_Account]]))/1000,(SUMIFS(AE:AE,AA:AA,Obrotowka[[#This Row],[GL_Account]])-SUMIFS(U:U,S:S,Obrotowka[[#This Row],[GL_Account]])+SUMIFS(U:U,T:T,Obrotowka[[#This Row],[GL_Account]])))</f>
        <v>0</v>
      </c>
      <c r="G277" s="18">
        <f>IF($D$5="tak",(SUMIFS(AL:AL,AH:AH,Obrotowka[[#This Row],[GL_Account]],AL:AL,"&gt;=0")-SUMIFS(V:V,S:S,Obrotowka[[#This Row],[GL_Account]])+SUMIFS(V:V,T:T,Obrotowka[[#This Row],[GL_Account]]))/1000,(SUMIFS(AL:AL,AH:AH,Obrotowka[[#This Row],[GL_Account]],AL:AL,"&gt;=0")-SUMIFS(V:V,S:S,Obrotowka[[#This Row],[GL_Account]])+SUMIFS(V:V,T:T,Obrotowka[[#This Row],[GL_Account]])))</f>
        <v>0</v>
      </c>
      <c r="H277" s="18">
        <f>IF($D$5="tak",SUMIFS(AL:AL,AH:AH,Obrotowka[[#This Row],[GL_Account]],AL:AL,"&lt;0")/1000,SUMIFS(AL:AL,AH:AH,Obrotowka[[#This Row],[GL_Account]],AL:AL,"&lt;0"))</f>
        <v>0</v>
      </c>
      <c r="I277" s="18">
        <f>SUM(Obrotowka[[#This Row],[BO]:[MA]])</f>
        <v>0</v>
      </c>
      <c r="J277">
        <f>IF(Obrotowka[[#This Row],[BZ]]=0,0,1)</f>
        <v>0</v>
      </c>
      <c r="K277" s="253"/>
      <c r="AF277" s="18"/>
      <c r="AU277" t="s">
        <v>8589</v>
      </c>
    </row>
    <row r="278" spans="2:47" x14ac:dyDescent="0.3">
      <c r="B278" t="s">
        <v>11967</v>
      </c>
      <c r="C278" t="s">
        <v>11968</v>
      </c>
      <c r="D278" t="s">
        <v>11918</v>
      </c>
      <c r="E278" t="s">
        <v>4185</v>
      </c>
      <c r="F278" s="18">
        <f>IF($D$5="tak",(SUMIFS(AE:AE,AA:AA,Obrotowka[[#This Row],[GL_Account]])-SUMIFS(U:U,S:S,Obrotowka[[#This Row],[GL_Account]])+SUMIFS(U:U,T:T,Obrotowka[[#This Row],[GL_Account]]))/1000,(SUMIFS(AE:AE,AA:AA,Obrotowka[[#This Row],[GL_Account]])-SUMIFS(U:U,S:S,Obrotowka[[#This Row],[GL_Account]])+SUMIFS(U:U,T:T,Obrotowka[[#This Row],[GL_Account]])))</f>
        <v>0</v>
      </c>
      <c r="G278" s="18">
        <f>IF($D$5="tak",(SUMIFS(AL:AL,AH:AH,Obrotowka[[#This Row],[GL_Account]],AL:AL,"&gt;=0")-SUMIFS(V:V,S:S,Obrotowka[[#This Row],[GL_Account]])+SUMIFS(V:V,T:T,Obrotowka[[#This Row],[GL_Account]]))/1000,(SUMIFS(AL:AL,AH:AH,Obrotowka[[#This Row],[GL_Account]],AL:AL,"&gt;=0")-SUMIFS(V:V,S:S,Obrotowka[[#This Row],[GL_Account]])+SUMIFS(V:V,T:T,Obrotowka[[#This Row],[GL_Account]])))</f>
        <v>0</v>
      </c>
      <c r="H278" s="18">
        <f>IF($D$5="tak",SUMIFS(AL:AL,AH:AH,Obrotowka[[#This Row],[GL_Account]],AL:AL,"&lt;0")/1000,SUMIFS(AL:AL,AH:AH,Obrotowka[[#This Row],[GL_Account]],AL:AL,"&lt;0"))</f>
        <v>0</v>
      </c>
      <c r="I278" s="18">
        <f>SUM(Obrotowka[[#This Row],[BO]:[MA]])</f>
        <v>0</v>
      </c>
      <c r="J278">
        <f>IF(Obrotowka[[#This Row],[BZ]]=0,0,1)</f>
        <v>0</v>
      </c>
      <c r="K278" s="253"/>
      <c r="AF278" s="18"/>
      <c r="AU278" t="s">
        <v>8589</v>
      </c>
    </row>
    <row r="279" spans="2:47" x14ac:dyDescent="0.3">
      <c r="B279" t="s">
        <v>11969</v>
      </c>
      <c r="C279" t="s">
        <v>11970</v>
      </c>
      <c r="D279" t="s">
        <v>11918</v>
      </c>
      <c r="E279" t="s">
        <v>4185</v>
      </c>
      <c r="F279" s="18">
        <f>IF($D$5="tak",(SUMIFS(AE:AE,AA:AA,Obrotowka[[#This Row],[GL_Account]])-SUMIFS(U:U,S:S,Obrotowka[[#This Row],[GL_Account]])+SUMIFS(U:U,T:T,Obrotowka[[#This Row],[GL_Account]]))/1000,(SUMIFS(AE:AE,AA:AA,Obrotowka[[#This Row],[GL_Account]])-SUMIFS(U:U,S:S,Obrotowka[[#This Row],[GL_Account]])+SUMIFS(U:U,T:T,Obrotowka[[#This Row],[GL_Account]])))</f>
        <v>0</v>
      </c>
      <c r="G279" s="18">
        <f>IF($D$5="tak",(SUMIFS(AL:AL,AH:AH,Obrotowka[[#This Row],[GL_Account]],AL:AL,"&gt;=0")-SUMIFS(V:V,S:S,Obrotowka[[#This Row],[GL_Account]])+SUMIFS(V:V,T:T,Obrotowka[[#This Row],[GL_Account]]))/1000,(SUMIFS(AL:AL,AH:AH,Obrotowka[[#This Row],[GL_Account]],AL:AL,"&gt;=0")-SUMIFS(V:V,S:S,Obrotowka[[#This Row],[GL_Account]])+SUMIFS(V:V,T:T,Obrotowka[[#This Row],[GL_Account]])))</f>
        <v>0</v>
      </c>
      <c r="H279" s="18">
        <f>IF($D$5="tak",SUMIFS(AL:AL,AH:AH,Obrotowka[[#This Row],[GL_Account]],AL:AL,"&lt;0")/1000,SUMIFS(AL:AL,AH:AH,Obrotowka[[#This Row],[GL_Account]],AL:AL,"&lt;0"))</f>
        <v>0</v>
      </c>
      <c r="I279" s="18">
        <f>SUM(Obrotowka[[#This Row],[BO]:[MA]])</f>
        <v>0</v>
      </c>
      <c r="J279">
        <f>IF(Obrotowka[[#This Row],[BZ]]=0,0,1)</f>
        <v>0</v>
      </c>
      <c r="K279" s="253"/>
      <c r="AF279" s="18"/>
      <c r="AU279" t="s">
        <v>11971</v>
      </c>
    </row>
    <row r="280" spans="2:47" x14ac:dyDescent="0.3">
      <c r="B280" t="s">
        <v>11972</v>
      </c>
      <c r="C280" t="s">
        <v>11973</v>
      </c>
      <c r="D280" t="s">
        <v>11918</v>
      </c>
      <c r="E280" t="s">
        <v>4185</v>
      </c>
      <c r="F280" s="18">
        <f>IF($D$5="tak",(SUMIFS(AE:AE,AA:AA,Obrotowka[[#This Row],[GL_Account]])-SUMIFS(U:U,S:S,Obrotowka[[#This Row],[GL_Account]])+SUMIFS(U:U,T:T,Obrotowka[[#This Row],[GL_Account]]))/1000,(SUMIFS(AE:AE,AA:AA,Obrotowka[[#This Row],[GL_Account]])-SUMIFS(U:U,S:S,Obrotowka[[#This Row],[GL_Account]])+SUMIFS(U:U,T:T,Obrotowka[[#This Row],[GL_Account]])))</f>
        <v>0</v>
      </c>
      <c r="G280" s="18">
        <f>IF($D$5="tak",(SUMIFS(AL:AL,AH:AH,Obrotowka[[#This Row],[GL_Account]],AL:AL,"&gt;=0")-SUMIFS(V:V,S:S,Obrotowka[[#This Row],[GL_Account]])+SUMIFS(V:V,T:T,Obrotowka[[#This Row],[GL_Account]]))/1000,(SUMIFS(AL:AL,AH:AH,Obrotowka[[#This Row],[GL_Account]],AL:AL,"&gt;=0")-SUMIFS(V:V,S:S,Obrotowka[[#This Row],[GL_Account]])+SUMIFS(V:V,T:T,Obrotowka[[#This Row],[GL_Account]])))</f>
        <v>0</v>
      </c>
      <c r="H280" s="18">
        <f>IF($D$5="tak",SUMIFS(AL:AL,AH:AH,Obrotowka[[#This Row],[GL_Account]],AL:AL,"&lt;0")/1000,SUMIFS(AL:AL,AH:AH,Obrotowka[[#This Row],[GL_Account]],AL:AL,"&lt;0"))</f>
        <v>0</v>
      </c>
      <c r="I280" s="18">
        <f>SUM(Obrotowka[[#This Row],[BO]:[MA]])</f>
        <v>0</v>
      </c>
      <c r="J280">
        <f>IF(Obrotowka[[#This Row],[BZ]]=0,0,1)</f>
        <v>0</v>
      </c>
      <c r="K280" s="253"/>
      <c r="AF280" s="18"/>
      <c r="AU280" t="s">
        <v>11971</v>
      </c>
    </row>
    <row r="281" spans="2:47" x14ac:dyDescent="0.3">
      <c r="B281" t="s">
        <v>11974</v>
      </c>
      <c r="C281" t="s">
        <v>11975</v>
      </c>
      <c r="D281" t="s">
        <v>11918</v>
      </c>
      <c r="E281" t="s">
        <v>4185</v>
      </c>
      <c r="F281" s="18">
        <f>IF($D$5="tak",(SUMIFS(AE:AE,AA:AA,Obrotowka[[#This Row],[GL_Account]])-SUMIFS(U:U,S:S,Obrotowka[[#This Row],[GL_Account]])+SUMIFS(U:U,T:T,Obrotowka[[#This Row],[GL_Account]]))/1000,(SUMIFS(AE:AE,AA:AA,Obrotowka[[#This Row],[GL_Account]])-SUMIFS(U:U,S:S,Obrotowka[[#This Row],[GL_Account]])+SUMIFS(U:U,T:T,Obrotowka[[#This Row],[GL_Account]])))</f>
        <v>0</v>
      </c>
      <c r="G281" s="18">
        <f>IF($D$5="tak",(SUMIFS(AL:AL,AH:AH,Obrotowka[[#This Row],[GL_Account]],AL:AL,"&gt;=0")-SUMIFS(V:V,S:S,Obrotowka[[#This Row],[GL_Account]])+SUMIFS(V:V,T:T,Obrotowka[[#This Row],[GL_Account]]))/1000,(SUMIFS(AL:AL,AH:AH,Obrotowka[[#This Row],[GL_Account]],AL:AL,"&gt;=0")-SUMIFS(V:V,S:S,Obrotowka[[#This Row],[GL_Account]])+SUMIFS(V:V,T:T,Obrotowka[[#This Row],[GL_Account]])))</f>
        <v>0</v>
      </c>
      <c r="H281" s="18">
        <f>IF($D$5="tak",SUMIFS(AL:AL,AH:AH,Obrotowka[[#This Row],[GL_Account]],AL:AL,"&lt;0")/1000,SUMIFS(AL:AL,AH:AH,Obrotowka[[#This Row],[GL_Account]],AL:AL,"&lt;0"))</f>
        <v>0</v>
      </c>
      <c r="I281" s="18">
        <f>SUM(Obrotowka[[#This Row],[BO]:[MA]])</f>
        <v>0</v>
      </c>
      <c r="J281">
        <f>IF(Obrotowka[[#This Row],[BZ]]=0,0,1)</f>
        <v>0</v>
      </c>
      <c r="K281" s="253"/>
      <c r="AF281" s="18"/>
      <c r="AU281" t="s">
        <v>11971</v>
      </c>
    </row>
    <row r="282" spans="2:47" x14ac:dyDescent="0.3">
      <c r="B282" t="s">
        <v>11976</v>
      </c>
      <c r="C282" t="s">
        <v>11977</v>
      </c>
      <c r="D282" t="s">
        <v>11918</v>
      </c>
      <c r="E282" t="s">
        <v>4185</v>
      </c>
      <c r="F282" s="18">
        <f>IF($D$5="tak",(SUMIFS(AE:AE,AA:AA,Obrotowka[[#This Row],[GL_Account]])-SUMIFS(U:U,S:S,Obrotowka[[#This Row],[GL_Account]])+SUMIFS(U:U,T:T,Obrotowka[[#This Row],[GL_Account]]))/1000,(SUMIFS(AE:AE,AA:AA,Obrotowka[[#This Row],[GL_Account]])-SUMIFS(U:U,S:S,Obrotowka[[#This Row],[GL_Account]])+SUMIFS(U:U,T:T,Obrotowka[[#This Row],[GL_Account]])))</f>
        <v>0</v>
      </c>
      <c r="G282" s="18">
        <f>IF($D$5="tak",(SUMIFS(AL:AL,AH:AH,Obrotowka[[#This Row],[GL_Account]],AL:AL,"&gt;=0")-SUMIFS(V:V,S:S,Obrotowka[[#This Row],[GL_Account]])+SUMIFS(V:V,T:T,Obrotowka[[#This Row],[GL_Account]]))/1000,(SUMIFS(AL:AL,AH:AH,Obrotowka[[#This Row],[GL_Account]],AL:AL,"&gt;=0")-SUMIFS(V:V,S:S,Obrotowka[[#This Row],[GL_Account]])+SUMIFS(V:V,T:T,Obrotowka[[#This Row],[GL_Account]])))</f>
        <v>0</v>
      </c>
      <c r="H282" s="18">
        <f>IF($D$5="tak",SUMIFS(AL:AL,AH:AH,Obrotowka[[#This Row],[GL_Account]],AL:AL,"&lt;0")/1000,SUMIFS(AL:AL,AH:AH,Obrotowka[[#This Row],[GL_Account]],AL:AL,"&lt;0"))</f>
        <v>0</v>
      </c>
      <c r="I282" s="18">
        <f>SUM(Obrotowka[[#This Row],[BO]:[MA]])</f>
        <v>0</v>
      </c>
      <c r="J282">
        <f>IF(Obrotowka[[#This Row],[BZ]]=0,0,1)</f>
        <v>0</v>
      </c>
      <c r="K282" s="253"/>
      <c r="AF282" s="18"/>
      <c r="AU282" t="s">
        <v>11971</v>
      </c>
    </row>
    <row r="283" spans="2:47" x14ac:dyDescent="0.3">
      <c r="B283" t="s">
        <v>11978</v>
      </c>
      <c r="C283" t="s">
        <v>8760</v>
      </c>
      <c r="D283" t="s">
        <v>11918</v>
      </c>
      <c r="E283" t="s">
        <v>4185</v>
      </c>
      <c r="F283" s="18">
        <f>IF($D$5="tak",(SUMIFS(AE:AE,AA:AA,Obrotowka[[#This Row],[GL_Account]])-SUMIFS(U:U,S:S,Obrotowka[[#This Row],[GL_Account]])+SUMIFS(U:U,T:T,Obrotowka[[#This Row],[GL_Account]]))/1000,(SUMIFS(AE:AE,AA:AA,Obrotowka[[#This Row],[GL_Account]])-SUMIFS(U:U,S:S,Obrotowka[[#This Row],[GL_Account]])+SUMIFS(U:U,T:T,Obrotowka[[#This Row],[GL_Account]])))</f>
        <v>0</v>
      </c>
      <c r="G283" s="18">
        <f>IF($D$5="tak",(SUMIFS(AL:AL,AH:AH,Obrotowka[[#This Row],[GL_Account]],AL:AL,"&gt;=0")-SUMIFS(V:V,S:S,Obrotowka[[#This Row],[GL_Account]])+SUMIFS(V:V,T:T,Obrotowka[[#This Row],[GL_Account]]))/1000,(SUMIFS(AL:AL,AH:AH,Obrotowka[[#This Row],[GL_Account]],AL:AL,"&gt;=0")-SUMIFS(V:V,S:S,Obrotowka[[#This Row],[GL_Account]])+SUMIFS(V:V,T:T,Obrotowka[[#This Row],[GL_Account]])))</f>
        <v>0</v>
      </c>
      <c r="H283" s="18">
        <f>IF($D$5="tak",SUMIFS(AL:AL,AH:AH,Obrotowka[[#This Row],[GL_Account]],AL:AL,"&lt;0")/1000,SUMIFS(AL:AL,AH:AH,Obrotowka[[#This Row],[GL_Account]],AL:AL,"&lt;0"))</f>
        <v>0</v>
      </c>
      <c r="I283" s="18">
        <f>SUM(Obrotowka[[#This Row],[BO]:[MA]])</f>
        <v>0</v>
      </c>
      <c r="J283">
        <f>IF(Obrotowka[[#This Row],[BZ]]=0,0,1)</f>
        <v>0</v>
      </c>
      <c r="K283" s="253"/>
      <c r="AF283" s="18"/>
      <c r="AU283" t="s">
        <v>11971</v>
      </c>
    </row>
    <row r="284" spans="2:47" x14ac:dyDescent="0.3">
      <c r="B284" t="s">
        <v>11979</v>
      </c>
      <c r="C284" t="s">
        <v>11980</v>
      </c>
      <c r="D284" t="s">
        <v>11918</v>
      </c>
      <c r="E284" t="s">
        <v>4185</v>
      </c>
      <c r="F284" s="18">
        <f>IF($D$5="tak",(SUMIFS(AE:AE,AA:AA,Obrotowka[[#This Row],[GL_Account]])-SUMIFS(U:U,S:S,Obrotowka[[#This Row],[GL_Account]])+SUMIFS(U:U,T:T,Obrotowka[[#This Row],[GL_Account]]))/1000,(SUMIFS(AE:AE,AA:AA,Obrotowka[[#This Row],[GL_Account]])-SUMIFS(U:U,S:S,Obrotowka[[#This Row],[GL_Account]])+SUMIFS(U:U,T:T,Obrotowka[[#This Row],[GL_Account]])))</f>
        <v>0</v>
      </c>
      <c r="G284" s="18">
        <f>IF($D$5="tak",(SUMIFS(AL:AL,AH:AH,Obrotowka[[#This Row],[GL_Account]],AL:AL,"&gt;=0")-SUMIFS(V:V,S:S,Obrotowka[[#This Row],[GL_Account]])+SUMIFS(V:V,T:T,Obrotowka[[#This Row],[GL_Account]]))/1000,(SUMIFS(AL:AL,AH:AH,Obrotowka[[#This Row],[GL_Account]],AL:AL,"&gt;=0")-SUMIFS(V:V,S:S,Obrotowka[[#This Row],[GL_Account]])+SUMIFS(V:V,T:T,Obrotowka[[#This Row],[GL_Account]])))</f>
        <v>0</v>
      </c>
      <c r="H284" s="18">
        <f>IF($D$5="tak",SUMIFS(AL:AL,AH:AH,Obrotowka[[#This Row],[GL_Account]],AL:AL,"&lt;0")/1000,SUMIFS(AL:AL,AH:AH,Obrotowka[[#This Row],[GL_Account]],AL:AL,"&lt;0"))</f>
        <v>0</v>
      </c>
      <c r="I284" s="18">
        <f>SUM(Obrotowka[[#This Row],[BO]:[MA]])</f>
        <v>0</v>
      </c>
      <c r="J284">
        <f>IF(Obrotowka[[#This Row],[BZ]]=0,0,1)</f>
        <v>0</v>
      </c>
      <c r="K284" s="253"/>
      <c r="AF284" s="18"/>
      <c r="AU284" t="s">
        <v>11971</v>
      </c>
    </row>
    <row r="285" spans="2:47" x14ac:dyDescent="0.3">
      <c r="B285" t="s">
        <v>11981</v>
      </c>
      <c r="C285" t="s">
        <v>11982</v>
      </c>
      <c r="D285" t="s">
        <v>11918</v>
      </c>
      <c r="E285" t="s">
        <v>4185</v>
      </c>
      <c r="F285" s="18">
        <f>IF($D$5="tak",(SUMIFS(AE:AE,AA:AA,Obrotowka[[#This Row],[GL_Account]])-SUMIFS(U:U,S:S,Obrotowka[[#This Row],[GL_Account]])+SUMIFS(U:U,T:T,Obrotowka[[#This Row],[GL_Account]]))/1000,(SUMIFS(AE:AE,AA:AA,Obrotowka[[#This Row],[GL_Account]])-SUMIFS(U:U,S:S,Obrotowka[[#This Row],[GL_Account]])+SUMIFS(U:U,T:T,Obrotowka[[#This Row],[GL_Account]])))</f>
        <v>0</v>
      </c>
      <c r="G285" s="18">
        <f>IF($D$5="tak",(SUMIFS(AL:AL,AH:AH,Obrotowka[[#This Row],[GL_Account]],AL:AL,"&gt;=0")-SUMIFS(V:V,S:S,Obrotowka[[#This Row],[GL_Account]])+SUMIFS(V:V,T:T,Obrotowka[[#This Row],[GL_Account]]))/1000,(SUMIFS(AL:AL,AH:AH,Obrotowka[[#This Row],[GL_Account]],AL:AL,"&gt;=0")-SUMIFS(V:V,S:S,Obrotowka[[#This Row],[GL_Account]])+SUMIFS(V:V,T:T,Obrotowka[[#This Row],[GL_Account]])))</f>
        <v>0</v>
      </c>
      <c r="H285" s="18">
        <f>IF($D$5="tak",SUMIFS(AL:AL,AH:AH,Obrotowka[[#This Row],[GL_Account]],AL:AL,"&lt;0")/1000,SUMIFS(AL:AL,AH:AH,Obrotowka[[#This Row],[GL_Account]],AL:AL,"&lt;0"))</f>
        <v>0</v>
      </c>
      <c r="I285" s="18">
        <f>SUM(Obrotowka[[#This Row],[BO]:[MA]])</f>
        <v>0</v>
      </c>
      <c r="J285">
        <f>IF(Obrotowka[[#This Row],[BZ]]=0,0,1)</f>
        <v>0</v>
      </c>
      <c r="K285" s="253"/>
      <c r="AF285" s="18"/>
      <c r="AU285" t="s">
        <v>11971</v>
      </c>
    </row>
    <row r="286" spans="2:47" x14ac:dyDescent="0.3">
      <c r="B286" t="s">
        <v>11983</v>
      </c>
      <c r="C286" t="s">
        <v>11984</v>
      </c>
      <c r="D286" t="s">
        <v>11918</v>
      </c>
      <c r="E286" t="s">
        <v>4185</v>
      </c>
      <c r="F286" s="18">
        <f>IF($D$5="tak",(SUMIFS(AE:AE,AA:AA,Obrotowka[[#This Row],[GL_Account]])-SUMIFS(U:U,S:S,Obrotowka[[#This Row],[GL_Account]])+SUMIFS(U:U,T:T,Obrotowka[[#This Row],[GL_Account]]))/1000,(SUMIFS(AE:AE,AA:AA,Obrotowka[[#This Row],[GL_Account]])-SUMIFS(U:U,S:S,Obrotowka[[#This Row],[GL_Account]])+SUMIFS(U:U,T:T,Obrotowka[[#This Row],[GL_Account]])))</f>
        <v>0</v>
      </c>
      <c r="G286" s="18">
        <f>IF($D$5="tak",(SUMIFS(AL:AL,AH:AH,Obrotowka[[#This Row],[GL_Account]],AL:AL,"&gt;=0")-SUMIFS(V:V,S:S,Obrotowka[[#This Row],[GL_Account]])+SUMIFS(V:V,T:T,Obrotowka[[#This Row],[GL_Account]]))/1000,(SUMIFS(AL:AL,AH:AH,Obrotowka[[#This Row],[GL_Account]],AL:AL,"&gt;=0")-SUMIFS(V:V,S:S,Obrotowka[[#This Row],[GL_Account]])+SUMIFS(V:V,T:T,Obrotowka[[#This Row],[GL_Account]])))</f>
        <v>0</v>
      </c>
      <c r="H286" s="18">
        <f>IF($D$5="tak",SUMIFS(AL:AL,AH:AH,Obrotowka[[#This Row],[GL_Account]],AL:AL,"&lt;0")/1000,SUMIFS(AL:AL,AH:AH,Obrotowka[[#This Row],[GL_Account]],AL:AL,"&lt;0"))</f>
        <v>0</v>
      </c>
      <c r="I286" s="18">
        <f>SUM(Obrotowka[[#This Row],[BO]:[MA]])</f>
        <v>0</v>
      </c>
      <c r="J286">
        <f>IF(Obrotowka[[#This Row],[BZ]]=0,0,1)</f>
        <v>0</v>
      </c>
      <c r="K286" s="253"/>
      <c r="AF286" s="18"/>
      <c r="AU286" t="s">
        <v>11971</v>
      </c>
    </row>
    <row r="287" spans="2:47" x14ac:dyDescent="0.3">
      <c r="B287" t="s">
        <v>11985</v>
      </c>
      <c r="C287" t="s">
        <v>8126</v>
      </c>
      <c r="D287" t="s">
        <v>3505</v>
      </c>
      <c r="E287" t="s">
        <v>4326</v>
      </c>
      <c r="F287" s="18">
        <f>IF($D$5="tak",(SUMIFS(AE:AE,AA:AA,Obrotowka[[#This Row],[GL_Account]])-SUMIFS(U:U,S:S,Obrotowka[[#This Row],[GL_Account]])+SUMIFS(U:U,T:T,Obrotowka[[#This Row],[GL_Account]]))/1000,(SUMIFS(AE:AE,AA:AA,Obrotowka[[#This Row],[GL_Account]])-SUMIFS(U:U,S:S,Obrotowka[[#This Row],[GL_Account]])+SUMIFS(U:U,T:T,Obrotowka[[#This Row],[GL_Account]])))</f>
        <v>0</v>
      </c>
      <c r="G287" s="18">
        <f>IF($D$5="tak",(SUMIFS(AL:AL,AH:AH,Obrotowka[[#This Row],[GL_Account]],AL:AL,"&gt;=0")-SUMIFS(V:V,S:S,Obrotowka[[#This Row],[GL_Account]])+SUMIFS(V:V,T:T,Obrotowka[[#This Row],[GL_Account]]))/1000,(SUMIFS(AL:AL,AH:AH,Obrotowka[[#This Row],[GL_Account]],AL:AL,"&gt;=0")-SUMIFS(V:V,S:S,Obrotowka[[#This Row],[GL_Account]])+SUMIFS(V:V,T:T,Obrotowka[[#This Row],[GL_Account]])))</f>
        <v>0</v>
      </c>
      <c r="H287" s="18">
        <f>IF($D$5="tak",SUMIFS(AL:AL,AH:AH,Obrotowka[[#This Row],[GL_Account]],AL:AL,"&lt;0")/1000,SUMIFS(AL:AL,AH:AH,Obrotowka[[#This Row],[GL_Account]],AL:AL,"&lt;0"))</f>
        <v>0</v>
      </c>
      <c r="I287" s="18">
        <f>SUM(Obrotowka[[#This Row],[BO]:[MA]])</f>
        <v>0</v>
      </c>
      <c r="J287">
        <f>IF(Obrotowka[[#This Row],[BZ]]=0,0,1)</f>
        <v>0</v>
      </c>
      <c r="K287" s="253"/>
      <c r="AF287" s="18"/>
      <c r="AU287" t="s">
        <v>8130</v>
      </c>
    </row>
    <row r="288" spans="2:47" x14ac:dyDescent="0.3">
      <c r="B288" t="s">
        <v>11986</v>
      </c>
      <c r="C288" t="s">
        <v>11987</v>
      </c>
      <c r="D288" t="s">
        <v>3505</v>
      </c>
      <c r="E288" t="s">
        <v>4326</v>
      </c>
      <c r="F288" s="18">
        <f>IF($D$5="tak",(SUMIFS(AE:AE,AA:AA,Obrotowka[[#This Row],[GL_Account]])-SUMIFS(U:U,S:S,Obrotowka[[#This Row],[GL_Account]])+SUMIFS(U:U,T:T,Obrotowka[[#This Row],[GL_Account]]))/1000,(SUMIFS(AE:AE,AA:AA,Obrotowka[[#This Row],[GL_Account]])-SUMIFS(U:U,S:S,Obrotowka[[#This Row],[GL_Account]])+SUMIFS(U:U,T:T,Obrotowka[[#This Row],[GL_Account]])))</f>
        <v>0</v>
      </c>
      <c r="G288" s="18">
        <f>IF($D$5="tak",(SUMIFS(AL:AL,AH:AH,Obrotowka[[#This Row],[GL_Account]],AL:AL,"&gt;=0")-SUMIFS(V:V,S:S,Obrotowka[[#This Row],[GL_Account]])+SUMIFS(V:V,T:T,Obrotowka[[#This Row],[GL_Account]]))/1000,(SUMIFS(AL:AL,AH:AH,Obrotowka[[#This Row],[GL_Account]],AL:AL,"&gt;=0")-SUMIFS(V:V,S:S,Obrotowka[[#This Row],[GL_Account]])+SUMIFS(V:V,T:T,Obrotowka[[#This Row],[GL_Account]])))</f>
        <v>0</v>
      </c>
      <c r="H288" s="18">
        <f>IF($D$5="tak",SUMIFS(AL:AL,AH:AH,Obrotowka[[#This Row],[GL_Account]],AL:AL,"&lt;0")/1000,SUMIFS(AL:AL,AH:AH,Obrotowka[[#This Row],[GL_Account]],AL:AL,"&lt;0"))</f>
        <v>0</v>
      </c>
      <c r="I288" s="18">
        <f>SUM(Obrotowka[[#This Row],[BO]:[MA]])</f>
        <v>0</v>
      </c>
      <c r="J288">
        <f>IF(Obrotowka[[#This Row],[BZ]]=0,0,1)</f>
        <v>0</v>
      </c>
      <c r="K288" s="253"/>
      <c r="AF288" s="18"/>
      <c r="AU288" t="s">
        <v>8130</v>
      </c>
    </row>
    <row r="289" spans="2:47" x14ac:dyDescent="0.3">
      <c r="B289" t="s">
        <v>11988</v>
      </c>
      <c r="C289" t="s">
        <v>11989</v>
      </c>
      <c r="D289" t="s">
        <v>3505</v>
      </c>
      <c r="E289" t="s">
        <v>4326</v>
      </c>
      <c r="F289" s="18">
        <f>IF($D$5="tak",(SUMIFS(AE:AE,AA:AA,Obrotowka[[#This Row],[GL_Account]])-SUMIFS(U:U,S:S,Obrotowka[[#This Row],[GL_Account]])+SUMIFS(U:U,T:T,Obrotowka[[#This Row],[GL_Account]]))/1000,(SUMIFS(AE:AE,AA:AA,Obrotowka[[#This Row],[GL_Account]])-SUMIFS(U:U,S:S,Obrotowka[[#This Row],[GL_Account]])+SUMIFS(U:U,T:T,Obrotowka[[#This Row],[GL_Account]])))</f>
        <v>0</v>
      </c>
      <c r="G289" s="18">
        <f>IF($D$5="tak",(SUMIFS(AL:AL,AH:AH,Obrotowka[[#This Row],[GL_Account]],AL:AL,"&gt;=0")-SUMIFS(V:V,S:S,Obrotowka[[#This Row],[GL_Account]])+SUMIFS(V:V,T:T,Obrotowka[[#This Row],[GL_Account]]))/1000,(SUMIFS(AL:AL,AH:AH,Obrotowka[[#This Row],[GL_Account]],AL:AL,"&gt;=0")-SUMIFS(V:V,S:S,Obrotowka[[#This Row],[GL_Account]])+SUMIFS(V:V,T:T,Obrotowka[[#This Row],[GL_Account]])))</f>
        <v>0</v>
      </c>
      <c r="H289" s="18">
        <f>IF($D$5="tak",SUMIFS(AL:AL,AH:AH,Obrotowka[[#This Row],[GL_Account]],AL:AL,"&lt;0")/1000,SUMIFS(AL:AL,AH:AH,Obrotowka[[#This Row],[GL_Account]],AL:AL,"&lt;0"))</f>
        <v>0</v>
      </c>
      <c r="I289" s="18">
        <f>SUM(Obrotowka[[#This Row],[BO]:[MA]])</f>
        <v>0</v>
      </c>
      <c r="J289">
        <f>IF(Obrotowka[[#This Row],[BZ]]=0,0,1)</f>
        <v>0</v>
      </c>
      <c r="K289" s="253"/>
      <c r="AF289" s="18"/>
      <c r="AU289" t="s">
        <v>8130</v>
      </c>
    </row>
    <row r="290" spans="2:47" x14ac:dyDescent="0.3">
      <c r="B290" t="s">
        <v>11990</v>
      </c>
      <c r="C290" t="s">
        <v>11991</v>
      </c>
      <c r="D290" t="s">
        <v>3505</v>
      </c>
      <c r="E290" t="s">
        <v>4326</v>
      </c>
      <c r="F290" s="18">
        <f>IF($D$5="tak",(SUMIFS(AE:AE,AA:AA,Obrotowka[[#This Row],[GL_Account]])-SUMIFS(U:U,S:S,Obrotowka[[#This Row],[GL_Account]])+SUMIFS(U:U,T:T,Obrotowka[[#This Row],[GL_Account]]))/1000,(SUMIFS(AE:AE,AA:AA,Obrotowka[[#This Row],[GL_Account]])-SUMIFS(U:U,S:S,Obrotowka[[#This Row],[GL_Account]])+SUMIFS(U:U,T:T,Obrotowka[[#This Row],[GL_Account]])))</f>
        <v>0</v>
      </c>
      <c r="G290" s="18">
        <f>IF($D$5="tak",(SUMIFS(AL:AL,AH:AH,Obrotowka[[#This Row],[GL_Account]],AL:AL,"&gt;=0")-SUMIFS(V:V,S:S,Obrotowka[[#This Row],[GL_Account]])+SUMIFS(V:V,T:T,Obrotowka[[#This Row],[GL_Account]]))/1000,(SUMIFS(AL:AL,AH:AH,Obrotowka[[#This Row],[GL_Account]],AL:AL,"&gt;=0")-SUMIFS(V:V,S:S,Obrotowka[[#This Row],[GL_Account]])+SUMIFS(V:V,T:T,Obrotowka[[#This Row],[GL_Account]])))</f>
        <v>0</v>
      </c>
      <c r="H290" s="18">
        <f>IF($D$5="tak",SUMIFS(AL:AL,AH:AH,Obrotowka[[#This Row],[GL_Account]],AL:AL,"&lt;0")/1000,SUMIFS(AL:AL,AH:AH,Obrotowka[[#This Row],[GL_Account]],AL:AL,"&lt;0"))</f>
        <v>0</v>
      </c>
      <c r="I290" s="18">
        <f>SUM(Obrotowka[[#This Row],[BO]:[MA]])</f>
        <v>0</v>
      </c>
      <c r="J290">
        <f>IF(Obrotowka[[#This Row],[BZ]]=0,0,1)</f>
        <v>0</v>
      </c>
      <c r="K290" s="253"/>
      <c r="AF290" s="18"/>
      <c r="AU290" t="s">
        <v>8125</v>
      </c>
    </row>
    <row r="291" spans="2:47" x14ac:dyDescent="0.3">
      <c r="B291" t="s">
        <v>11992</v>
      </c>
      <c r="C291" t="s">
        <v>11993</v>
      </c>
      <c r="D291" t="s">
        <v>3505</v>
      </c>
      <c r="E291" t="s">
        <v>4326</v>
      </c>
      <c r="F291" s="18">
        <f>IF($D$5="tak",(SUMIFS(AE:AE,AA:AA,Obrotowka[[#This Row],[GL_Account]])-SUMIFS(U:U,S:S,Obrotowka[[#This Row],[GL_Account]])+SUMIFS(U:U,T:T,Obrotowka[[#This Row],[GL_Account]]))/1000,(SUMIFS(AE:AE,AA:AA,Obrotowka[[#This Row],[GL_Account]])-SUMIFS(U:U,S:S,Obrotowka[[#This Row],[GL_Account]])+SUMIFS(U:U,T:T,Obrotowka[[#This Row],[GL_Account]])))</f>
        <v>0</v>
      </c>
      <c r="G291" s="18">
        <f>IF($D$5="tak",(SUMIFS(AL:AL,AH:AH,Obrotowka[[#This Row],[GL_Account]],AL:AL,"&gt;=0")-SUMIFS(V:V,S:S,Obrotowka[[#This Row],[GL_Account]])+SUMIFS(V:V,T:T,Obrotowka[[#This Row],[GL_Account]]))/1000,(SUMIFS(AL:AL,AH:AH,Obrotowka[[#This Row],[GL_Account]],AL:AL,"&gt;=0")-SUMIFS(V:V,S:S,Obrotowka[[#This Row],[GL_Account]])+SUMIFS(V:V,T:T,Obrotowka[[#This Row],[GL_Account]])))</f>
        <v>0</v>
      </c>
      <c r="H291" s="18">
        <f>IF($D$5="tak",SUMIFS(AL:AL,AH:AH,Obrotowka[[#This Row],[GL_Account]],AL:AL,"&lt;0")/1000,SUMIFS(AL:AL,AH:AH,Obrotowka[[#This Row],[GL_Account]],AL:AL,"&lt;0"))</f>
        <v>0</v>
      </c>
      <c r="I291" s="18">
        <f>SUM(Obrotowka[[#This Row],[BO]:[MA]])</f>
        <v>0</v>
      </c>
      <c r="J291">
        <f>IF(Obrotowka[[#This Row],[BZ]]=0,0,1)</f>
        <v>0</v>
      </c>
      <c r="K291" s="253"/>
      <c r="AF291" s="18"/>
      <c r="AU291" t="s">
        <v>8125</v>
      </c>
    </row>
    <row r="292" spans="2:47" x14ac:dyDescent="0.3">
      <c r="B292" t="s">
        <v>11994</v>
      </c>
      <c r="C292" t="s">
        <v>11995</v>
      </c>
      <c r="D292" t="s">
        <v>3505</v>
      </c>
      <c r="E292" t="s">
        <v>4326</v>
      </c>
      <c r="F292" s="18">
        <f>IF($D$5="tak",(SUMIFS(AE:AE,AA:AA,Obrotowka[[#This Row],[GL_Account]])-SUMIFS(U:U,S:S,Obrotowka[[#This Row],[GL_Account]])+SUMIFS(U:U,T:T,Obrotowka[[#This Row],[GL_Account]]))/1000,(SUMIFS(AE:AE,AA:AA,Obrotowka[[#This Row],[GL_Account]])-SUMIFS(U:U,S:S,Obrotowka[[#This Row],[GL_Account]])+SUMIFS(U:U,T:T,Obrotowka[[#This Row],[GL_Account]])))</f>
        <v>0</v>
      </c>
      <c r="G292" s="18">
        <f>IF($D$5="tak",(SUMIFS(AL:AL,AH:AH,Obrotowka[[#This Row],[GL_Account]],AL:AL,"&gt;=0")-SUMIFS(V:V,S:S,Obrotowka[[#This Row],[GL_Account]])+SUMIFS(V:V,T:T,Obrotowka[[#This Row],[GL_Account]]))/1000,(SUMIFS(AL:AL,AH:AH,Obrotowka[[#This Row],[GL_Account]],AL:AL,"&gt;=0")-SUMIFS(V:V,S:S,Obrotowka[[#This Row],[GL_Account]])+SUMIFS(V:V,T:T,Obrotowka[[#This Row],[GL_Account]])))</f>
        <v>0</v>
      </c>
      <c r="H292" s="18">
        <f>IF($D$5="tak",SUMIFS(AL:AL,AH:AH,Obrotowka[[#This Row],[GL_Account]],AL:AL,"&lt;0")/1000,SUMIFS(AL:AL,AH:AH,Obrotowka[[#This Row],[GL_Account]],AL:AL,"&lt;0"))</f>
        <v>0</v>
      </c>
      <c r="I292" s="18">
        <f>SUM(Obrotowka[[#This Row],[BO]:[MA]])</f>
        <v>0</v>
      </c>
      <c r="J292">
        <f>IF(Obrotowka[[#This Row],[BZ]]=0,0,1)</f>
        <v>0</v>
      </c>
      <c r="K292" s="253"/>
      <c r="AF292" s="18"/>
      <c r="AU292" t="s">
        <v>8125</v>
      </c>
    </row>
    <row r="293" spans="2:47" x14ac:dyDescent="0.3">
      <c r="B293" t="s">
        <v>11996</v>
      </c>
      <c r="C293" t="s">
        <v>11997</v>
      </c>
      <c r="D293" t="s">
        <v>3505</v>
      </c>
      <c r="E293" t="s">
        <v>4326</v>
      </c>
      <c r="F293" s="18">
        <f>IF($D$5="tak",(SUMIFS(AE:AE,AA:AA,Obrotowka[[#This Row],[GL_Account]])-SUMIFS(U:U,S:S,Obrotowka[[#This Row],[GL_Account]])+SUMIFS(U:U,T:T,Obrotowka[[#This Row],[GL_Account]]))/1000,(SUMIFS(AE:AE,AA:AA,Obrotowka[[#This Row],[GL_Account]])-SUMIFS(U:U,S:S,Obrotowka[[#This Row],[GL_Account]])+SUMIFS(U:U,T:T,Obrotowka[[#This Row],[GL_Account]])))</f>
        <v>0</v>
      </c>
      <c r="G293" s="18">
        <f>IF($D$5="tak",(SUMIFS(AL:AL,AH:AH,Obrotowka[[#This Row],[GL_Account]],AL:AL,"&gt;=0")-SUMIFS(V:V,S:S,Obrotowka[[#This Row],[GL_Account]])+SUMIFS(V:V,T:T,Obrotowka[[#This Row],[GL_Account]]))/1000,(SUMIFS(AL:AL,AH:AH,Obrotowka[[#This Row],[GL_Account]],AL:AL,"&gt;=0")-SUMIFS(V:V,S:S,Obrotowka[[#This Row],[GL_Account]])+SUMIFS(V:V,T:T,Obrotowka[[#This Row],[GL_Account]])))</f>
        <v>0</v>
      </c>
      <c r="H293" s="18">
        <f>IF($D$5="tak",SUMIFS(AL:AL,AH:AH,Obrotowka[[#This Row],[GL_Account]],AL:AL,"&lt;0")/1000,SUMIFS(AL:AL,AH:AH,Obrotowka[[#This Row],[GL_Account]],AL:AL,"&lt;0"))</f>
        <v>0</v>
      </c>
      <c r="I293" s="18">
        <f>SUM(Obrotowka[[#This Row],[BO]:[MA]])</f>
        <v>0</v>
      </c>
      <c r="J293">
        <f>IF(Obrotowka[[#This Row],[BZ]]=0,0,1)</f>
        <v>0</v>
      </c>
      <c r="K293" s="253"/>
      <c r="AF293" s="18"/>
      <c r="AU293" t="s">
        <v>8266</v>
      </c>
    </row>
    <row r="294" spans="2:47" x14ac:dyDescent="0.3">
      <c r="B294" t="s">
        <v>11998</v>
      </c>
      <c r="C294" t="s">
        <v>11999</v>
      </c>
      <c r="D294" t="s">
        <v>3505</v>
      </c>
      <c r="E294" t="s">
        <v>4326</v>
      </c>
      <c r="F294" s="18">
        <f>IF($D$5="tak",(SUMIFS(AE:AE,AA:AA,Obrotowka[[#This Row],[GL_Account]])-SUMIFS(U:U,S:S,Obrotowka[[#This Row],[GL_Account]])+SUMIFS(U:U,T:T,Obrotowka[[#This Row],[GL_Account]]))/1000,(SUMIFS(AE:AE,AA:AA,Obrotowka[[#This Row],[GL_Account]])-SUMIFS(U:U,S:S,Obrotowka[[#This Row],[GL_Account]])+SUMIFS(U:U,T:T,Obrotowka[[#This Row],[GL_Account]])))</f>
        <v>0</v>
      </c>
      <c r="G294" s="18">
        <f>IF($D$5="tak",(SUMIFS(AL:AL,AH:AH,Obrotowka[[#This Row],[GL_Account]],AL:AL,"&gt;=0")-SUMIFS(V:V,S:S,Obrotowka[[#This Row],[GL_Account]])+SUMIFS(V:V,T:T,Obrotowka[[#This Row],[GL_Account]]))/1000,(SUMIFS(AL:AL,AH:AH,Obrotowka[[#This Row],[GL_Account]],AL:AL,"&gt;=0")-SUMIFS(V:V,S:S,Obrotowka[[#This Row],[GL_Account]])+SUMIFS(V:V,T:T,Obrotowka[[#This Row],[GL_Account]])))</f>
        <v>0</v>
      </c>
      <c r="H294" s="18">
        <f>IF($D$5="tak",SUMIFS(AL:AL,AH:AH,Obrotowka[[#This Row],[GL_Account]],AL:AL,"&lt;0")/1000,SUMIFS(AL:AL,AH:AH,Obrotowka[[#This Row],[GL_Account]],AL:AL,"&lt;0"))</f>
        <v>0</v>
      </c>
      <c r="I294" s="18">
        <f>SUM(Obrotowka[[#This Row],[BO]:[MA]])</f>
        <v>0</v>
      </c>
      <c r="J294">
        <f>IF(Obrotowka[[#This Row],[BZ]]=0,0,1)</f>
        <v>0</v>
      </c>
      <c r="K294" s="253"/>
      <c r="AF294" s="18"/>
      <c r="AU294" t="s">
        <v>8109</v>
      </c>
    </row>
    <row r="295" spans="2:47" x14ac:dyDescent="0.3">
      <c r="B295" t="s">
        <v>12000</v>
      </c>
      <c r="C295" t="s">
        <v>12001</v>
      </c>
      <c r="D295" t="s">
        <v>3505</v>
      </c>
      <c r="E295" t="s">
        <v>4326</v>
      </c>
      <c r="F295" s="18">
        <f>IF($D$5="tak",(SUMIFS(AE:AE,AA:AA,Obrotowka[[#This Row],[GL_Account]])-SUMIFS(U:U,S:S,Obrotowka[[#This Row],[GL_Account]])+SUMIFS(U:U,T:T,Obrotowka[[#This Row],[GL_Account]]))/1000,(SUMIFS(AE:AE,AA:AA,Obrotowka[[#This Row],[GL_Account]])-SUMIFS(U:U,S:S,Obrotowka[[#This Row],[GL_Account]])+SUMIFS(U:U,T:T,Obrotowka[[#This Row],[GL_Account]])))</f>
        <v>0</v>
      </c>
      <c r="G295" s="18">
        <f>IF($D$5="tak",(SUMIFS(AL:AL,AH:AH,Obrotowka[[#This Row],[GL_Account]],AL:AL,"&gt;=0")-SUMIFS(V:V,S:S,Obrotowka[[#This Row],[GL_Account]])+SUMIFS(V:V,T:T,Obrotowka[[#This Row],[GL_Account]]))/1000,(SUMIFS(AL:AL,AH:AH,Obrotowka[[#This Row],[GL_Account]],AL:AL,"&gt;=0")-SUMIFS(V:V,S:S,Obrotowka[[#This Row],[GL_Account]])+SUMIFS(V:V,T:T,Obrotowka[[#This Row],[GL_Account]])))</f>
        <v>0</v>
      </c>
      <c r="H295" s="18">
        <f>IF($D$5="tak",SUMIFS(AL:AL,AH:AH,Obrotowka[[#This Row],[GL_Account]],AL:AL,"&lt;0")/1000,SUMIFS(AL:AL,AH:AH,Obrotowka[[#This Row],[GL_Account]],AL:AL,"&lt;0"))</f>
        <v>0</v>
      </c>
      <c r="I295" s="18">
        <f>SUM(Obrotowka[[#This Row],[BO]:[MA]])</f>
        <v>0</v>
      </c>
      <c r="J295">
        <f>IF(Obrotowka[[#This Row],[BZ]]=0,0,1)</f>
        <v>0</v>
      </c>
      <c r="K295" s="253"/>
      <c r="AF295" s="18"/>
      <c r="AU295" t="s">
        <v>8509</v>
      </c>
    </row>
    <row r="296" spans="2:47" x14ac:dyDescent="0.3">
      <c r="B296" t="s">
        <v>12002</v>
      </c>
      <c r="C296" t="s">
        <v>12003</v>
      </c>
      <c r="D296" t="s">
        <v>3505</v>
      </c>
      <c r="E296" t="s">
        <v>4326</v>
      </c>
      <c r="F296" s="18">
        <f>IF($D$5="tak",(SUMIFS(AE:AE,AA:AA,Obrotowka[[#This Row],[GL_Account]])-SUMIFS(U:U,S:S,Obrotowka[[#This Row],[GL_Account]])+SUMIFS(U:U,T:T,Obrotowka[[#This Row],[GL_Account]]))/1000,(SUMIFS(AE:AE,AA:AA,Obrotowka[[#This Row],[GL_Account]])-SUMIFS(U:U,S:S,Obrotowka[[#This Row],[GL_Account]])+SUMIFS(U:U,T:T,Obrotowka[[#This Row],[GL_Account]])))</f>
        <v>0</v>
      </c>
      <c r="G296" s="18">
        <f>IF($D$5="tak",(SUMIFS(AL:AL,AH:AH,Obrotowka[[#This Row],[GL_Account]],AL:AL,"&gt;=0")-SUMIFS(V:V,S:S,Obrotowka[[#This Row],[GL_Account]])+SUMIFS(V:V,T:T,Obrotowka[[#This Row],[GL_Account]]))/1000,(SUMIFS(AL:AL,AH:AH,Obrotowka[[#This Row],[GL_Account]],AL:AL,"&gt;=0")-SUMIFS(V:V,S:S,Obrotowka[[#This Row],[GL_Account]])+SUMIFS(V:V,T:T,Obrotowka[[#This Row],[GL_Account]])))</f>
        <v>0</v>
      </c>
      <c r="H296" s="18">
        <f>IF($D$5="tak",SUMIFS(AL:AL,AH:AH,Obrotowka[[#This Row],[GL_Account]],AL:AL,"&lt;0")/1000,SUMIFS(AL:AL,AH:AH,Obrotowka[[#This Row],[GL_Account]],AL:AL,"&lt;0"))</f>
        <v>0</v>
      </c>
      <c r="I296" s="18">
        <f>SUM(Obrotowka[[#This Row],[BO]:[MA]])</f>
        <v>0</v>
      </c>
      <c r="J296">
        <f>IF(Obrotowka[[#This Row],[BZ]]=0,0,1)</f>
        <v>0</v>
      </c>
      <c r="K296" s="253"/>
      <c r="AF296" s="18"/>
      <c r="AU296" t="s">
        <v>8506</v>
      </c>
    </row>
    <row r="297" spans="2:47" x14ac:dyDescent="0.3">
      <c r="B297" t="s">
        <v>12004</v>
      </c>
      <c r="C297" t="s">
        <v>12005</v>
      </c>
      <c r="D297" t="s">
        <v>3505</v>
      </c>
      <c r="E297" t="s">
        <v>4326</v>
      </c>
      <c r="F297" s="18">
        <f>IF($D$5="tak",(SUMIFS(AE:AE,AA:AA,Obrotowka[[#This Row],[GL_Account]])-SUMIFS(U:U,S:S,Obrotowka[[#This Row],[GL_Account]])+SUMIFS(U:U,T:T,Obrotowka[[#This Row],[GL_Account]]))/1000,(SUMIFS(AE:AE,AA:AA,Obrotowka[[#This Row],[GL_Account]])-SUMIFS(U:U,S:S,Obrotowka[[#This Row],[GL_Account]])+SUMIFS(U:U,T:T,Obrotowka[[#This Row],[GL_Account]])))</f>
        <v>0</v>
      </c>
      <c r="G297" s="18">
        <f>IF($D$5="tak",(SUMIFS(AL:AL,AH:AH,Obrotowka[[#This Row],[GL_Account]],AL:AL,"&gt;=0")-SUMIFS(V:V,S:S,Obrotowka[[#This Row],[GL_Account]])+SUMIFS(V:V,T:T,Obrotowka[[#This Row],[GL_Account]]))/1000,(SUMIFS(AL:AL,AH:AH,Obrotowka[[#This Row],[GL_Account]],AL:AL,"&gt;=0")-SUMIFS(V:V,S:S,Obrotowka[[#This Row],[GL_Account]])+SUMIFS(V:V,T:T,Obrotowka[[#This Row],[GL_Account]])))</f>
        <v>0</v>
      </c>
      <c r="H297" s="18">
        <f>IF($D$5="tak",SUMIFS(AL:AL,AH:AH,Obrotowka[[#This Row],[GL_Account]],AL:AL,"&lt;0")/1000,SUMIFS(AL:AL,AH:AH,Obrotowka[[#This Row],[GL_Account]],AL:AL,"&lt;0"))</f>
        <v>0</v>
      </c>
      <c r="I297" s="18">
        <f>SUM(Obrotowka[[#This Row],[BO]:[MA]])</f>
        <v>0</v>
      </c>
      <c r="J297">
        <f>IF(Obrotowka[[#This Row],[BZ]]=0,0,1)</f>
        <v>0</v>
      </c>
      <c r="K297" s="253"/>
      <c r="AF297" s="18"/>
      <c r="AU297" t="s">
        <v>8104</v>
      </c>
    </row>
    <row r="298" spans="2:47" x14ac:dyDescent="0.3">
      <c r="B298" t="s">
        <v>12006</v>
      </c>
      <c r="C298" t="s">
        <v>12007</v>
      </c>
      <c r="D298" t="s">
        <v>11918</v>
      </c>
      <c r="E298" t="s">
        <v>4021</v>
      </c>
      <c r="F298" s="18">
        <f>IF($D$5="tak",(SUMIFS(AE:AE,AA:AA,Obrotowka[[#This Row],[GL_Account]])-SUMIFS(U:U,S:S,Obrotowka[[#This Row],[GL_Account]])+SUMIFS(U:U,T:T,Obrotowka[[#This Row],[GL_Account]]))/1000,(SUMIFS(AE:AE,AA:AA,Obrotowka[[#This Row],[GL_Account]])-SUMIFS(U:U,S:S,Obrotowka[[#This Row],[GL_Account]])+SUMIFS(U:U,T:T,Obrotowka[[#This Row],[GL_Account]])))</f>
        <v>0</v>
      </c>
      <c r="G298" s="18">
        <f>IF($D$5="tak",(SUMIFS(AL:AL,AH:AH,Obrotowka[[#This Row],[GL_Account]],AL:AL,"&gt;=0")-SUMIFS(V:V,S:S,Obrotowka[[#This Row],[GL_Account]])+SUMIFS(V:V,T:T,Obrotowka[[#This Row],[GL_Account]]))/1000,(SUMIFS(AL:AL,AH:AH,Obrotowka[[#This Row],[GL_Account]],AL:AL,"&gt;=0")-SUMIFS(V:V,S:S,Obrotowka[[#This Row],[GL_Account]])+SUMIFS(V:V,T:T,Obrotowka[[#This Row],[GL_Account]])))</f>
        <v>0</v>
      </c>
      <c r="H298" s="18">
        <f>IF($D$5="tak",SUMIFS(AL:AL,AH:AH,Obrotowka[[#This Row],[GL_Account]],AL:AL,"&lt;0")/1000,SUMIFS(AL:AL,AH:AH,Obrotowka[[#This Row],[GL_Account]],AL:AL,"&lt;0"))</f>
        <v>0</v>
      </c>
      <c r="I298" s="18">
        <f>SUM(Obrotowka[[#This Row],[BO]:[MA]])</f>
        <v>0</v>
      </c>
      <c r="J298">
        <f>IF(Obrotowka[[#This Row],[BZ]]=0,0,1)</f>
        <v>0</v>
      </c>
      <c r="K298" s="253"/>
      <c r="AF298" s="18"/>
      <c r="AU298" t="s">
        <v>8528</v>
      </c>
    </row>
    <row r="299" spans="2:47" x14ac:dyDescent="0.3">
      <c r="B299" t="s">
        <v>12008</v>
      </c>
      <c r="C299" t="s">
        <v>12009</v>
      </c>
      <c r="D299" t="s">
        <v>11918</v>
      </c>
      <c r="E299" t="s">
        <v>4021</v>
      </c>
      <c r="F299" s="18">
        <f>IF($D$5="tak",(SUMIFS(AE:AE,AA:AA,Obrotowka[[#This Row],[GL_Account]])-SUMIFS(U:U,S:S,Obrotowka[[#This Row],[GL_Account]])+SUMIFS(U:U,T:T,Obrotowka[[#This Row],[GL_Account]]))/1000,(SUMIFS(AE:AE,AA:AA,Obrotowka[[#This Row],[GL_Account]])-SUMIFS(U:U,S:S,Obrotowka[[#This Row],[GL_Account]])+SUMIFS(U:U,T:T,Obrotowka[[#This Row],[GL_Account]])))</f>
        <v>0</v>
      </c>
      <c r="G299" s="18">
        <f>IF($D$5="tak",(SUMIFS(AL:AL,AH:AH,Obrotowka[[#This Row],[GL_Account]],AL:AL,"&gt;=0")-SUMIFS(V:V,S:S,Obrotowka[[#This Row],[GL_Account]])+SUMIFS(V:V,T:T,Obrotowka[[#This Row],[GL_Account]]))/1000,(SUMIFS(AL:AL,AH:AH,Obrotowka[[#This Row],[GL_Account]],AL:AL,"&gt;=0")-SUMIFS(V:V,S:S,Obrotowka[[#This Row],[GL_Account]])+SUMIFS(V:V,T:T,Obrotowka[[#This Row],[GL_Account]])))</f>
        <v>0</v>
      </c>
      <c r="H299" s="18">
        <f>IF($D$5="tak",SUMIFS(AL:AL,AH:AH,Obrotowka[[#This Row],[GL_Account]],AL:AL,"&lt;0")/1000,SUMIFS(AL:AL,AH:AH,Obrotowka[[#This Row],[GL_Account]],AL:AL,"&lt;0"))</f>
        <v>0</v>
      </c>
      <c r="I299" s="18">
        <f>SUM(Obrotowka[[#This Row],[BO]:[MA]])</f>
        <v>0</v>
      </c>
      <c r="J299">
        <f>IF(Obrotowka[[#This Row],[BZ]]=0,0,1)</f>
        <v>0</v>
      </c>
      <c r="K299" s="253"/>
      <c r="AF299" s="18"/>
      <c r="AU299" t="s">
        <v>8528</v>
      </c>
    </row>
    <row r="300" spans="2:47" x14ac:dyDescent="0.3">
      <c r="B300" t="s">
        <v>12010</v>
      </c>
      <c r="C300" t="s">
        <v>12011</v>
      </c>
      <c r="D300" t="s">
        <v>11918</v>
      </c>
      <c r="E300" t="s">
        <v>4021</v>
      </c>
      <c r="F300" s="18">
        <f>IF($D$5="tak",(SUMIFS(AE:AE,AA:AA,Obrotowka[[#This Row],[GL_Account]])-SUMIFS(U:U,S:S,Obrotowka[[#This Row],[GL_Account]])+SUMIFS(U:U,T:T,Obrotowka[[#This Row],[GL_Account]]))/1000,(SUMIFS(AE:AE,AA:AA,Obrotowka[[#This Row],[GL_Account]])-SUMIFS(U:U,S:S,Obrotowka[[#This Row],[GL_Account]])+SUMIFS(U:U,T:T,Obrotowka[[#This Row],[GL_Account]])))</f>
        <v>0</v>
      </c>
      <c r="G300" s="18">
        <f>IF($D$5="tak",(SUMIFS(AL:AL,AH:AH,Obrotowka[[#This Row],[GL_Account]],AL:AL,"&gt;=0")-SUMIFS(V:V,S:S,Obrotowka[[#This Row],[GL_Account]])+SUMIFS(V:V,T:T,Obrotowka[[#This Row],[GL_Account]]))/1000,(SUMIFS(AL:AL,AH:AH,Obrotowka[[#This Row],[GL_Account]],AL:AL,"&gt;=0")-SUMIFS(V:V,S:S,Obrotowka[[#This Row],[GL_Account]])+SUMIFS(V:V,T:T,Obrotowka[[#This Row],[GL_Account]])))</f>
        <v>0</v>
      </c>
      <c r="H300" s="18">
        <f>IF($D$5="tak",SUMIFS(AL:AL,AH:AH,Obrotowka[[#This Row],[GL_Account]],AL:AL,"&lt;0")/1000,SUMIFS(AL:AL,AH:AH,Obrotowka[[#This Row],[GL_Account]],AL:AL,"&lt;0"))</f>
        <v>0</v>
      </c>
      <c r="I300" s="18">
        <f>SUM(Obrotowka[[#This Row],[BO]:[MA]])</f>
        <v>0</v>
      </c>
      <c r="J300">
        <f>IF(Obrotowka[[#This Row],[BZ]]=0,0,1)</f>
        <v>0</v>
      </c>
      <c r="K300" s="253"/>
      <c r="AF300" s="18"/>
      <c r="AU300" t="s">
        <v>8528</v>
      </c>
    </row>
    <row r="301" spans="2:47" x14ac:dyDescent="0.3">
      <c r="B301" t="s">
        <v>12012</v>
      </c>
      <c r="C301" t="s">
        <v>12013</v>
      </c>
      <c r="D301" t="s">
        <v>11918</v>
      </c>
      <c r="E301" t="s">
        <v>4021</v>
      </c>
      <c r="F301" s="18">
        <f>IF($D$5="tak",(SUMIFS(AE:AE,AA:AA,Obrotowka[[#This Row],[GL_Account]])-SUMIFS(U:U,S:S,Obrotowka[[#This Row],[GL_Account]])+SUMIFS(U:U,T:T,Obrotowka[[#This Row],[GL_Account]]))/1000,(SUMIFS(AE:AE,AA:AA,Obrotowka[[#This Row],[GL_Account]])-SUMIFS(U:U,S:S,Obrotowka[[#This Row],[GL_Account]])+SUMIFS(U:U,T:T,Obrotowka[[#This Row],[GL_Account]])))</f>
        <v>0</v>
      </c>
      <c r="G301" s="18">
        <f>IF($D$5="tak",(SUMIFS(AL:AL,AH:AH,Obrotowka[[#This Row],[GL_Account]],AL:AL,"&gt;=0")-SUMIFS(V:V,S:S,Obrotowka[[#This Row],[GL_Account]])+SUMIFS(V:V,T:T,Obrotowka[[#This Row],[GL_Account]]))/1000,(SUMIFS(AL:AL,AH:AH,Obrotowka[[#This Row],[GL_Account]],AL:AL,"&gt;=0")-SUMIFS(V:V,S:S,Obrotowka[[#This Row],[GL_Account]])+SUMIFS(V:V,T:T,Obrotowka[[#This Row],[GL_Account]])))</f>
        <v>0</v>
      </c>
      <c r="H301" s="18">
        <f>IF($D$5="tak",SUMIFS(AL:AL,AH:AH,Obrotowka[[#This Row],[GL_Account]],AL:AL,"&lt;0")/1000,SUMIFS(AL:AL,AH:AH,Obrotowka[[#This Row],[GL_Account]],AL:AL,"&lt;0"))</f>
        <v>0</v>
      </c>
      <c r="I301" s="18">
        <f>SUM(Obrotowka[[#This Row],[BO]:[MA]])</f>
        <v>0</v>
      </c>
      <c r="J301">
        <f>IF(Obrotowka[[#This Row],[BZ]]=0,0,1)</f>
        <v>0</v>
      </c>
      <c r="K301" s="253"/>
      <c r="AF301" s="18"/>
      <c r="AU301" t="s">
        <v>8528</v>
      </c>
    </row>
    <row r="302" spans="2:47" x14ac:dyDescent="0.3">
      <c r="B302" t="s">
        <v>12014</v>
      </c>
      <c r="C302" t="s">
        <v>12015</v>
      </c>
      <c r="D302" t="s">
        <v>11918</v>
      </c>
      <c r="E302" t="s">
        <v>4021</v>
      </c>
      <c r="F302" s="18">
        <f>IF($D$5="tak",(SUMIFS(AE:AE,AA:AA,Obrotowka[[#This Row],[GL_Account]])-SUMIFS(U:U,S:S,Obrotowka[[#This Row],[GL_Account]])+SUMIFS(U:U,T:T,Obrotowka[[#This Row],[GL_Account]]))/1000,(SUMIFS(AE:AE,AA:AA,Obrotowka[[#This Row],[GL_Account]])-SUMIFS(U:U,S:S,Obrotowka[[#This Row],[GL_Account]])+SUMIFS(U:U,T:T,Obrotowka[[#This Row],[GL_Account]])))</f>
        <v>0</v>
      </c>
      <c r="G302" s="18">
        <f>IF($D$5="tak",(SUMIFS(AL:AL,AH:AH,Obrotowka[[#This Row],[GL_Account]],AL:AL,"&gt;=0")-SUMIFS(V:V,S:S,Obrotowka[[#This Row],[GL_Account]])+SUMIFS(V:V,T:T,Obrotowka[[#This Row],[GL_Account]]))/1000,(SUMIFS(AL:AL,AH:AH,Obrotowka[[#This Row],[GL_Account]],AL:AL,"&gt;=0")-SUMIFS(V:V,S:S,Obrotowka[[#This Row],[GL_Account]])+SUMIFS(V:V,T:T,Obrotowka[[#This Row],[GL_Account]])))</f>
        <v>0</v>
      </c>
      <c r="H302" s="18">
        <f>IF($D$5="tak",SUMIFS(AL:AL,AH:AH,Obrotowka[[#This Row],[GL_Account]],AL:AL,"&lt;0")/1000,SUMIFS(AL:AL,AH:AH,Obrotowka[[#This Row],[GL_Account]],AL:AL,"&lt;0"))</f>
        <v>0</v>
      </c>
      <c r="I302" s="18">
        <f>SUM(Obrotowka[[#This Row],[BO]:[MA]])</f>
        <v>0</v>
      </c>
      <c r="J302">
        <f>IF(Obrotowka[[#This Row],[BZ]]=0,0,1)</f>
        <v>0</v>
      </c>
      <c r="K302" s="253"/>
      <c r="AF302" s="18"/>
      <c r="AU302" t="s">
        <v>8528</v>
      </c>
    </row>
    <row r="303" spans="2:47" x14ac:dyDescent="0.3">
      <c r="B303" t="s">
        <v>12016</v>
      </c>
      <c r="C303" t="s">
        <v>12017</v>
      </c>
      <c r="D303" t="s">
        <v>11918</v>
      </c>
      <c r="E303" t="s">
        <v>4021</v>
      </c>
      <c r="F303" s="18">
        <f>IF($D$5="tak",(SUMIFS(AE:AE,AA:AA,Obrotowka[[#This Row],[GL_Account]])-SUMIFS(U:U,S:S,Obrotowka[[#This Row],[GL_Account]])+SUMIFS(U:U,T:T,Obrotowka[[#This Row],[GL_Account]]))/1000,(SUMIFS(AE:AE,AA:AA,Obrotowka[[#This Row],[GL_Account]])-SUMIFS(U:U,S:S,Obrotowka[[#This Row],[GL_Account]])+SUMIFS(U:U,T:T,Obrotowka[[#This Row],[GL_Account]])))</f>
        <v>0</v>
      </c>
      <c r="G303" s="18">
        <f>IF($D$5="tak",(SUMIFS(AL:AL,AH:AH,Obrotowka[[#This Row],[GL_Account]],AL:AL,"&gt;=0")-SUMIFS(V:V,S:S,Obrotowka[[#This Row],[GL_Account]])+SUMIFS(V:V,T:T,Obrotowka[[#This Row],[GL_Account]]))/1000,(SUMIFS(AL:AL,AH:AH,Obrotowka[[#This Row],[GL_Account]],AL:AL,"&gt;=0")-SUMIFS(V:V,S:S,Obrotowka[[#This Row],[GL_Account]])+SUMIFS(V:V,T:T,Obrotowka[[#This Row],[GL_Account]])))</f>
        <v>0</v>
      </c>
      <c r="H303" s="18">
        <f>IF($D$5="tak",SUMIFS(AL:AL,AH:AH,Obrotowka[[#This Row],[GL_Account]],AL:AL,"&lt;0")/1000,SUMIFS(AL:AL,AH:AH,Obrotowka[[#This Row],[GL_Account]],AL:AL,"&lt;0"))</f>
        <v>0</v>
      </c>
      <c r="I303" s="18">
        <f>SUM(Obrotowka[[#This Row],[BO]:[MA]])</f>
        <v>0</v>
      </c>
      <c r="J303">
        <f>IF(Obrotowka[[#This Row],[BZ]]=0,0,1)</f>
        <v>0</v>
      </c>
      <c r="K303" s="253"/>
      <c r="AF303" s="18"/>
      <c r="AU303" t="s">
        <v>8528</v>
      </c>
    </row>
    <row r="304" spans="2:47" x14ac:dyDescent="0.3">
      <c r="B304" t="s">
        <v>12018</v>
      </c>
      <c r="C304" t="s">
        <v>12019</v>
      </c>
      <c r="D304" t="s">
        <v>11918</v>
      </c>
      <c r="E304" t="s">
        <v>4021</v>
      </c>
      <c r="F304" s="18">
        <f>IF($D$5="tak",(SUMIFS(AE:AE,AA:AA,Obrotowka[[#This Row],[GL_Account]])-SUMIFS(U:U,S:S,Obrotowka[[#This Row],[GL_Account]])+SUMIFS(U:U,T:T,Obrotowka[[#This Row],[GL_Account]]))/1000,(SUMIFS(AE:AE,AA:AA,Obrotowka[[#This Row],[GL_Account]])-SUMIFS(U:U,S:S,Obrotowka[[#This Row],[GL_Account]])+SUMIFS(U:U,T:T,Obrotowka[[#This Row],[GL_Account]])))</f>
        <v>0</v>
      </c>
      <c r="G304" s="18">
        <f>IF($D$5="tak",(SUMIFS(AL:AL,AH:AH,Obrotowka[[#This Row],[GL_Account]],AL:AL,"&gt;=0")-SUMIFS(V:V,S:S,Obrotowka[[#This Row],[GL_Account]])+SUMIFS(V:V,T:T,Obrotowka[[#This Row],[GL_Account]]))/1000,(SUMIFS(AL:AL,AH:AH,Obrotowka[[#This Row],[GL_Account]],AL:AL,"&gt;=0")-SUMIFS(V:V,S:S,Obrotowka[[#This Row],[GL_Account]])+SUMIFS(V:V,T:T,Obrotowka[[#This Row],[GL_Account]])))</f>
        <v>0</v>
      </c>
      <c r="H304" s="18">
        <f>IF($D$5="tak",SUMIFS(AL:AL,AH:AH,Obrotowka[[#This Row],[GL_Account]],AL:AL,"&lt;0")/1000,SUMIFS(AL:AL,AH:AH,Obrotowka[[#This Row],[GL_Account]],AL:AL,"&lt;0"))</f>
        <v>0</v>
      </c>
      <c r="I304" s="18">
        <f>SUM(Obrotowka[[#This Row],[BO]:[MA]])</f>
        <v>0</v>
      </c>
      <c r="J304">
        <f>IF(Obrotowka[[#This Row],[BZ]]=0,0,1)</f>
        <v>0</v>
      </c>
      <c r="K304" s="253"/>
      <c r="AF304" s="18"/>
      <c r="AU304" t="s">
        <v>8528</v>
      </c>
    </row>
    <row r="305" spans="2:47" x14ac:dyDescent="0.3">
      <c r="B305" t="s">
        <v>12020</v>
      </c>
      <c r="C305" t="s">
        <v>12021</v>
      </c>
      <c r="D305" t="s">
        <v>11918</v>
      </c>
      <c r="E305" t="s">
        <v>4021</v>
      </c>
      <c r="F305" s="18">
        <f>IF($D$5="tak",(SUMIFS(AE:AE,AA:AA,Obrotowka[[#This Row],[GL_Account]])-SUMIFS(U:U,S:S,Obrotowka[[#This Row],[GL_Account]])+SUMIFS(U:U,T:T,Obrotowka[[#This Row],[GL_Account]]))/1000,(SUMIFS(AE:AE,AA:AA,Obrotowka[[#This Row],[GL_Account]])-SUMIFS(U:U,S:S,Obrotowka[[#This Row],[GL_Account]])+SUMIFS(U:U,T:T,Obrotowka[[#This Row],[GL_Account]])))</f>
        <v>0</v>
      </c>
      <c r="G305" s="18">
        <f>IF($D$5="tak",(SUMIFS(AL:AL,AH:AH,Obrotowka[[#This Row],[GL_Account]],AL:AL,"&gt;=0")-SUMIFS(V:V,S:S,Obrotowka[[#This Row],[GL_Account]])+SUMIFS(V:V,T:T,Obrotowka[[#This Row],[GL_Account]]))/1000,(SUMIFS(AL:AL,AH:AH,Obrotowka[[#This Row],[GL_Account]],AL:AL,"&gt;=0")-SUMIFS(V:V,S:S,Obrotowka[[#This Row],[GL_Account]])+SUMIFS(V:V,T:T,Obrotowka[[#This Row],[GL_Account]])))</f>
        <v>0</v>
      </c>
      <c r="H305" s="18">
        <f>IF($D$5="tak",SUMIFS(AL:AL,AH:AH,Obrotowka[[#This Row],[GL_Account]],AL:AL,"&lt;0")/1000,SUMIFS(AL:AL,AH:AH,Obrotowka[[#This Row],[GL_Account]],AL:AL,"&lt;0"))</f>
        <v>0</v>
      </c>
      <c r="I305" s="18">
        <f>SUM(Obrotowka[[#This Row],[BO]:[MA]])</f>
        <v>0</v>
      </c>
      <c r="J305">
        <f>IF(Obrotowka[[#This Row],[BZ]]=0,0,1)</f>
        <v>0</v>
      </c>
      <c r="K305" s="253"/>
      <c r="AF305" s="18"/>
      <c r="AU305" t="s">
        <v>8528</v>
      </c>
    </row>
    <row r="306" spans="2:47" x14ac:dyDescent="0.3">
      <c r="B306" t="s">
        <v>12022</v>
      </c>
      <c r="C306" t="s">
        <v>12023</v>
      </c>
      <c r="D306" t="s">
        <v>11918</v>
      </c>
      <c r="E306" t="s">
        <v>4021</v>
      </c>
      <c r="F306" s="18">
        <f>IF($D$5="tak",(SUMIFS(AE:AE,AA:AA,Obrotowka[[#This Row],[GL_Account]])-SUMIFS(U:U,S:S,Obrotowka[[#This Row],[GL_Account]])+SUMIFS(U:U,T:T,Obrotowka[[#This Row],[GL_Account]]))/1000,(SUMIFS(AE:AE,AA:AA,Obrotowka[[#This Row],[GL_Account]])-SUMIFS(U:U,S:S,Obrotowka[[#This Row],[GL_Account]])+SUMIFS(U:U,T:T,Obrotowka[[#This Row],[GL_Account]])))</f>
        <v>0</v>
      </c>
      <c r="G306" s="18">
        <f>IF($D$5="tak",(SUMIFS(AL:AL,AH:AH,Obrotowka[[#This Row],[GL_Account]],AL:AL,"&gt;=0")-SUMIFS(V:V,S:S,Obrotowka[[#This Row],[GL_Account]])+SUMIFS(V:V,T:T,Obrotowka[[#This Row],[GL_Account]]))/1000,(SUMIFS(AL:AL,AH:AH,Obrotowka[[#This Row],[GL_Account]],AL:AL,"&gt;=0")-SUMIFS(V:V,S:S,Obrotowka[[#This Row],[GL_Account]])+SUMIFS(V:V,T:T,Obrotowka[[#This Row],[GL_Account]])))</f>
        <v>0</v>
      </c>
      <c r="H306" s="18">
        <f>IF($D$5="tak",SUMIFS(AL:AL,AH:AH,Obrotowka[[#This Row],[GL_Account]],AL:AL,"&lt;0")/1000,SUMIFS(AL:AL,AH:AH,Obrotowka[[#This Row],[GL_Account]],AL:AL,"&lt;0"))</f>
        <v>0</v>
      </c>
      <c r="I306" s="18">
        <f>SUM(Obrotowka[[#This Row],[BO]:[MA]])</f>
        <v>0</v>
      </c>
      <c r="J306">
        <f>IF(Obrotowka[[#This Row],[BZ]]=0,0,1)</f>
        <v>0</v>
      </c>
      <c r="K306" s="253"/>
      <c r="AF306" s="18"/>
      <c r="AU306" t="s">
        <v>8541</v>
      </c>
    </row>
    <row r="307" spans="2:47" x14ac:dyDescent="0.3">
      <c r="B307" t="s">
        <v>12024</v>
      </c>
      <c r="C307" t="s">
        <v>12025</v>
      </c>
      <c r="D307" t="s">
        <v>11918</v>
      </c>
      <c r="E307" t="s">
        <v>4021</v>
      </c>
      <c r="F307" s="18">
        <f>IF($D$5="tak",(SUMIFS(AE:AE,AA:AA,Obrotowka[[#This Row],[GL_Account]])-SUMIFS(U:U,S:S,Obrotowka[[#This Row],[GL_Account]])+SUMIFS(U:U,T:T,Obrotowka[[#This Row],[GL_Account]]))/1000,(SUMIFS(AE:AE,AA:AA,Obrotowka[[#This Row],[GL_Account]])-SUMIFS(U:U,S:S,Obrotowka[[#This Row],[GL_Account]])+SUMIFS(U:U,T:T,Obrotowka[[#This Row],[GL_Account]])))</f>
        <v>0</v>
      </c>
      <c r="G307" s="18">
        <f>IF($D$5="tak",(SUMIFS(AL:AL,AH:AH,Obrotowka[[#This Row],[GL_Account]],AL:AL,"&gt;=0")-SUMIFS(V:V,S:S,Obrotowka[[#This Row],[GL_Account]])+SUMIFS(V:V,T:T,Obrotowka[[#This Row],[GL_Account]]))/1000,(SUMIFS(AL:AL,AH:AH,Obrotowka[[#This Row],[GL_Account]],AL:AL,"&gt;=0")-SUMIFS(V:V,S:S,Obrotowka[[#This Row],[GL_Account]])+SUMIFS(V:V,T:T,Obrotowka[[#This Row],[GL_Account]])))</f>
        <v>0</v>
      </c>
      <c r="H307" s="18">
        <f>IF($D$5="tak",SUMIFS(AL:AL,AH:AH,Obrotowka[[#This Row],[GL_Account]],AL:AL,"&lt;0")/1000,SUMIFS(AL:AL,AH:AH,Obrotowka[[#This Row],[GL_Account]],AL:AL,"&lt;0"))</f>
        <v>0</v>
      </c>
      <c r="I307" s="18">
        <f>SUM(Obrotowka[[#This Row],[BO]:[MA]])</f>
        <v>0</v>
      </c>
      <c r="J307">
        <f>IF(Obrotowka[[#This Row],[BZ]]=0,0,1)</f>
        <v>0</v>
      </c>
      <c r="K307" s="253"/>
      <c r="AF307" s="18"/>
      <c r="AU307" t="s">
        <v>8541</v>
      </c>
    </row>
    <row r="308" spans="2:47" x14ac:dyDescent="0.3">
      <c r="B308" t="s">
        <v>12026</v>
      </c>
      <c r="C308" t="s">
        <v>12027</v>
      </c>
      <c r="D308" t="s">
        <v>11918</v>
      </c>
      <c r="E308" t="s">
        <v>4021</v>
      </c>
      <c r="F308" s="18">
        <f>IF($D$5="tak",(SUMIFS(AE:AE,AA:AA,Obrotowka[[#This Row],[GL_Account]])-SUMIFS(U:U,S:S,Obrotowka[[#This Row],[GL_Account]])+SUMIFS(U:U,T:T,Obrotowka[[#This Row],[GL_Account]]))/1000,(SUMIFS(AE:AE,AA:AA,Obrotowka[[#This Row],[GL_Account]])-SUMIFS(U:U,S:S,Obrotowka[[#This Row],[GL_Account]])+SUMIFS(U:U,T:T,Obrotowka[[#This Row],[GL_Account]])))</f>
        <v>0</v>
      </c>
      <c r="G308" s="18">
        <f>IF($D$5="tak",(SUMIFS(AL:AL,AH:AH,Obrotowka[[#This Row],[GL_Account]],AL:AL,"&gt;=0")-SUMIFS(V:V,S:S,Obrotowka[[#This Row],[GL_Account]])+SUMIFS(V:V,T:T,Obrotowka[[#This Row],[GL_Account]]))/1000,(SUMIFS(AL:AL,AH:AH,Obrotowka[[#This Row],[GL_Account]],AL:AL,"&gt;=0")-SUMIFS(V:V,S:S,Obrotowka[[#This Row],[GL_Account]])+SUMIFS(V:V,T:T,Obrotowka[[#This Row],[GL_Account]])))</f>
        <v>0</v>
      </c>
      <c r="H308" s="18">
        <f>IF($D$5="tak",SUMIFS(AL:AL,AH:AH,Obrotowka[[#This Row],[GL_Account]],AL:AL,"&lt;0")/1000,SUMIFS(AL:AL,AH:AH,Obrotowka[[#This Row],[GL_Account]],AL:AL,"&lt;0"))</f>
        <v>0</v>
      </c>
      <c r="I308" s="18">
        <f>SUM(Obrotowka[[#This Row],[BO]:[MA]])</f>
        <v>0</v>
      </c>
      <c r="J308">
        <f>IF(Obrotowka[[#This Row],[BZ]]=0,0,1)</f>
        <v>0</v>
      </c>
      <c r="K308" s="253"/>
      <c r="AF308" s="18"/>
      <c r="AU308" t="s">
        <v>8541</v>
      </c>
    </row>
    <row r="309" spans="2:47" x14ac:dyDescent="0.3">
      <c r="B309" t="s">
        <v>12028</v>
      </c>
      <c r="C309" t="s">
        <v>12029</v>
      </c>
      <c r="D309" t="s">
        <v>11918</v>
      </c>
      <c r="E309" t="s">
        <v>4021</v>
      </c>
      <c r="F309" s="18">
        <f>IF($D$5="tak",(SUMIFS(AE:AE,AA:AA,Obrotowka[[#This Row],[GL_Account]])-SUMIFS(U:U,S:S,Obrotowka[[#This Row],[GL_Account]])+SUMIFS(U:U,T:T,Obrotowka[[#This Row],[GL_Account]]))/1000,(SUMIFS(AE:AE,AA:AA,Obrotowka[[#This Row],[GL_Account]])-SUMIFS(U:U,S:S,Obrotowka[[#This Row],[GL_Account]])+SUMIFS(U:U,T:T,Obrotowka[[#This Row],[GL_Account]])))</f>
        <v>0</v>
      </c>
      <c r="G309" s="18">
        <f>IF($D$5="tak",(SUMIFS(AL:AL,AH:AH,Obrotowka[[#This Row],[GL_Account]],AL:AL,"&gt;=0")-SUMIFS(V:V,S:S,Obrotowka[[#This Row],[GL_Account]])+SUMIFS(V:V,T:T,Obrotowka[[#This Row],[GL_Account]]))/1000,(SUMIFS(AL:AL,AH:AH,Obrotowka[[#This Row],[GL_Account]],AL:AL,"&gt;=0")-SUMIFS(V:V,S:S,Obrotowka[[#This Row],[GL_Account]])+SUMIFS(V:V,T:T,Obrotowka[[#This Row],[GL_Account]])))</f>
        <v>0</v>
      </c>
      <c r="H309" s="18">
        <f>IF($D$5="tak",SUMIFS(AL:AL,AH:AH,Obrotowka[[#This Row],[GL_Account]],AL:AL,"&lt;0")/1000,SUMIFS(AL:AL,AH:AH,Obrotowka[[#This Row],[GL_Account]],AL:AL,"&lt;0"))</f>
        <v>0</v>
      </c>
      <c r="I309" s="18">
        <f>SUM(Obrotowka[[#This Row],[BO]:[MA]])</f>
        <v>0</v>
      </c>
      <c r="J309">
        <f>IF(Obrotowka[[#This Row],[BZ]]=0,0,1)</f>
        <v>0</v>
      </c>
      <c r="K309" s="253"/>
      <c r="AF309" s="18"/>
      <c r="AU309" t="s">
        <v>8541</v>
      </c>
    </row>
    <row r="310" spans="2:47" x14ac:dyDescent="0.3">
      <c r="B310" t="s">
        <v>12030</v>
      </c>
      <c r="C310" t="s">
        <v>12031</v>
      </c>
      <c r="D310" t="s">
        <v>11918</v>
      </c>
      <c r="E310" t="s">
        <v>4185</v>
      </c>
      <c r="F310" s="18">
        <f>IF($D$5="tak",(SUMIFS(AE:AE,AA:AA,Obrotowka[[#This Row],[GL_Account]])-SUMIFS(U:U,S:S,Obrotowka[[#This Row],[GL_Account]])+SUMIFS(U:U,T:T,Obrotowka[[#This Row],[GL_Account]]))/1000,(SUMIFS(AE:AE,AA:AA,Obrotowka[[#This Row],[GL_Account]])-SUMIFS(U:U,S:S,Obrotowka[[#This Row],[GL_Account]])+SUMIFS(U:U,T:T,Obrotowka[[#This Row],[GL_Account]])))</f>
        <v>0</v>
      </c>
      <c r="G310" s="18">
        <f>IF($D$5="tak",(SUMIFS(AL:AL,AH:AH,Obrotowka[[#This Row],[GL_Account]],AL:AL,"&gt;=0")-SUMIFS(V:V,S:S,Obrotowka[[#This Row],[GL_Account]])+SUMIFS(V:V,T:T,Obrotowka[[#This Row],[GL_Account]]))/1000,(SUMIFS(AL:AL,AH:AH,Obrotowka[[#This Row],[GL_Account]],AL:AL,"&gt;=0")-SUMIFS(V:V,S:S,Obrotowka[[#This Row],[GL_Account]])+SUMIFS(V:V,T:T,Obrotowka[[#This Row],[GL_Account]])))</f>
        <v>0</v>
      </c>
      <c r="H310" s="18">
        <f>IF($D$5="tak",SUMIFS(AL:AL,AH:AH,Obrotowka[[#This Row],[GL_Account]],AL:AL,"&lt;0")/1000,SUMIFS(AL:AL,AH:AH,Obrotowka[[#This Row],[GL_Account]],AL:AL,"&lt;0"))</f>
        <v>0</v>
      </c>
      <c r="I310" s="18">
        <f>SUM(Obrotowka[[#This Row],[BO]:[MA]])</f>
        <v>0</v>
      </c>
      <c r="J310">
        <f>IF(Obrotowka[[#This Row],[BZ]]=0,0,1)</f>
        <v>0</v>
      </c>
      <c r="K310" s="253"/>
      <c r="AF310" s="18"/>
      <c r="AU310" t="s">
        <v>8594</v>
      </c>
    </row>
    <row r="311" spans="2:47" x14ac:dyDescent="0.3">
      <c r="B311" t="s">
        <v>12032</v>
      </c>
      <c r="C311" t="s">
        <v>12033</v>
      </c>
      <c r="D311" t="s">
        <v>11918</v>
      </c>
      <c r="E311" t="s">
        <v>4021</v>
      </c>
      <c r="F311" s="18">
        <f>IF($D$5="tak",(SUMIFS(AE:AE,AA:AA,Obrotowka[[#This Row],[GL_Account]])-SUMIFS(U:U,S:S,Obrotowka[[#This Row],[GL_Account]])+SUMIFS(U:U,T:T,Obrotowka[[#This Row],[GL_Account]]))/1000,(SUMIFS(AE:AE,AA:AA,Obrotowka[[#This Row],[GL_Account]])-SUMIFS(U:U,S:S,Obrotowka[[#This Row],[GL_Account]])+SUMIFS(U:U,T:T,Obrotowka[[#This Row],[GL_Account]])))</f>
        <v>0</v>
      </c>
      <c r="G311" s="18">
        <f>IF($D$5="tak",(SUMIFS(AL:AL,AH:AH,Obrotowka[[#This Row],[GL_Account]],AL:AL,"&gt;=0")-SUMIFS(V:V,S:S,Obrotowka[[#This Row],[GL_Account]])+SUMIFS(V:V,T:T,Obrotowka[[#This Row],[GL_Account]]))/1000,(SUMIFS(AL:AL,AH:AH,Obrotowka[[#This Row],[GL_Account]],AL:AL,"&gt;=0")-SUMIFS(V:V,S:S,Obrotowka[[#This Row],[GL_Account]])+SUMIFS(V:V,T:T,Obrotowka[[#This Row],[GL_Account]])))</f>
        <v>0</v>
      </c>
      <c r="H311" s="18">
        <f>IF($D$5="tak",SUMIFS(AL:AL,AH:AH,Obrotowka[[#This Row],[GL_Account]],AL:AL,"&lt;0")/1000,SUMIFS(AL:AL,AH:AH,Obrotowka[[#This Row],[GL_Account]],AL:AL,"&lt;0"))</f>
        <v>0</v>
      </c>
      <c r="I311" s="18">
        <f>SUM(Obrotowka[[#This Row],[BO]:[MA]])</f>
        <v>0</v>
      </c>
      <c r="J311">
        <f>IF(Obrotowka[[#This Row],[BZ]]=0,0,1)</f>
        <v>0</v>
      </c>
      <c r="K311" s="253"/>
      <c r="AF311" s="18"/>
      <c r="AU311" t="s">
        <v>8541</v>
      </c>
    </row>
    <row r="312" spans="2:47" x14ac:dyDescent="0.3">
      <c r="B312" t="s">
        <v>12034</v>
      </c>
      <c r="C312" t="s">
        <v>12035</v>
      </c>
      <c r="D312" t="s">
        <v>11918</v>
      </c>
      <c r="E312" t="s">
        <v>4021</v>
      </c>
      <c r="F312" s="18">
        <f>IF($D$5="tak",(SUMIFS(AE:AE,AA:AA,Obrotowka[[#This Row],[GL_Account]])-SUMIFS(U:U,S:S,Obrotowka[[#This Row],[GL_Account]])+SUMIFS(U:U,T:T,Obrotowka[[#This Row],[GL_Account]]))/1000,(SUMIFS(AE:AE,AA:AA,Obrotowka[[#This Row],[GL_Account]])-SUMIFS(U:U,S:S,Obrotowka[[#This Row],[GL_Account]])+SUMIFS(U:U,T:T,Obrotowka[[#This Row],[GL_Account]])))</f>
        <v>0</v>
      </c>
      <c r="G312" s="18">
        <f>IF($D$5="tak",(SUMIFS(AL:AL,AH:AH,Obrotowka[[#This Row],[GL_Account]],AL:AL,"&gt;=0")-SUMIFS(V:V,S:S,Obrotowka[[#This Row],[GL_Account]])+SUMIFS(V:V,T:T,Obrotowka[[#This Row],[GL_Account]]))/1000,(SUMIFS(AL:AL,AH:AH,Obrotowka[[#This Row],[GL_Account]],AL:AL,"&gt;=0")-SUMIFS(V:V,S:S,Obrotowka[[#This Row],[GL_Account]])+SUMIFS(V:V,T:T,Obrotowka[[#This Row],[GL_Account]])))</f>
        <v>0</v>
      </c>
      <c r="H312" s="18">
        <f>IF($D$5="tak",SUMIFS(AL:AL,AH:AH,Obrotowka[[#This Row],[GL_Account]],AL:AL,"&lt;0")/1000,SUMIFS(AL:AL,AH:AH,Obrotowka[[#This Row],[GL_Account]],AL:AL,"&lt;0"))</f>
        <v>0</v>
      </c>
      <c r="I312" s="18">
        <f>SUM(Obrotowka[[#This Row],[BO]:[MA]])</f>
        <v>0</v>
      </c>
      <c r="J312">
        <f>IF(Obrotowka[[#This Row],[BZ]]=0,0,1)</f>
        <v>0</v>
      </c>
      <c r="K312" s="253"/>
      <c r="AF312" s="18"/>
      <c r="AU312" t="s">
        <v>8541</v>
      </c>
    </row>
    <row r="313" spans="2:47" x14ac:dyDescent="0.3">
      <c r="B313" t="s">
        <v>12036</v>
      </c>
      <c r="C313" t="s">
        <v>12037</v>
      </c>
      <c r="D313" t="s">
        <v>11918</v>
      </c>
      <c r="E313" t="s">
        <v>4021</v>
      </c>
      <c r="F313" s="18">
        <f>IF($D$5="tak",(SUMIFS(AE:AE,AA:AA,Obrotowka[[#This Row],[GL_Account]])-SUMIFS(U:U,S:S,Obrotowka[[#This Row],[GL_Account]])+SUMIFS(U:U,T:T,Obrotowka[[#This Row],[GL_Account]]))/1000,(SUMIFS(AE:AE,AA:AA,Obrotowka[[#This Row],[GL_Account]])-SUMIFS(U:U,S:S,Obrotowka[[#This Row],[GL_Account]])+SUMIFS(U:U,T:T,Obrotowka[[#This Row],[GL_Account]])))</f>
        <v>0</v>
      </c>
      <c r="G313" s="18">
        <f>IF($D$5="tak",(SUMIFS(AL:AL,AH:AH,Obrotowka[[#This Row],[GL_Account]],AL:AL,"&gt;=0")-SUMIFS(V:V,S:S,Obrotowka[[#This Row],[GL_Account]])+SUMIFS(V:V,T:T,Obrotowka[[#This Row],[GL_Account]]))/1000,(SUMIFS(AL:AL,AH:AH,Obrotowka[[#This Row],[GL_Account]],AL:AL,"&gt;=0")-SUMIFS(V:V,S:S,Obrotowka[[#This Row],[GL_Account]])+SUMIFS(V:V,T:T,Obrotowka[[#This Row],[GL_Account]])))</f>
        <v>0</v>
      </c>
      <c r="H313" s="18">
        <f>IF($D$5="tak",SUMIFS(AL:AL,AH:AH,Obrotowka[[#This Row],[GL_Account]],AL:AL,"&lt;0")/1000,SUMIFS(AL:AL,AH:AH,Obrotowka[[#This Row],[GL_Account]],AL:AL,"&lt;0"))</f>
        <v>0</v>
      </c>
      <c r="I313" s="18">
        <f>SUM(Obrotowka[[#This Row],[BO]:[MA]])</f>
        <v>0</v>
      </c>
      <c r="J313">
        <f>IF(Obrotowka[[#This Row],[BZ]]=0,0,1)</f>
        <v>0</v>
      </c>
      <c r="K313" s="253"/>
      <c r="AF313" s="18"/>
      <c r="AU313" t="s">
        <v>8541</v>
      </c>
    </row>
    <row r="314" spans="2:47" x14ac:dyDescent="0.3">
      <c r="B314" t="s">
        <v>12038</v>
      </c>
      <c r="C314" t="s">
        <v>12039</v>
      </c>
      <c r="D314" t="s">
        <v>11918</v>
      </c>
      <c r="E314" t="s">
        <v>4021</v>
      </c>
      <c r="F314" s="18">
        <f>IF($D$5="tak",(SUMIFS(AE:AE,AA:AA,Obrotowka[[#This Row],[GL_Account]])-SUMIFS(U:U,S:S,Obrotowka[[#This Row],[GL_Account]])+SUMIFS(U:U,T:T,Obrotowka[[#This Row],[GL_Account]]))/1000,(SUMIFS(AE:AE,AA:AA,Obrotowka[[#This Row],[GL_Account]])-SUMIFS(U:U,S:S,Obrotowka[[#This Row],[GL_Account]])+SUMIFS(U:U,T:T,Obrotowka[[#This Row],[GL_Account]])))</f>
        <v>0</v>
      </c>
      <c r="G314" s="18">
        <f>IF($D$5="tak",(SUMIFS(AL:AL,AH:AH,Obrotowka[[#This Row],[GL_Account]],AL:AL,"&gt;=0")-SUMIFS(V:V,S:S,Obrotowka[[#This Row],[GL_Account]])+SUMIFS(V:V,T:T,Obrotowka[[#This Row],[GL_Account]]))/1000,(SUMIFS(AL:AL,AH:AH,Obrotowka[[#This Row],[GL_Account]],AL:AL,"&gt;=0")-SUMIFS(V:V,S:S,Obrotowka[[#This Row],[GL_Account]])+SUMIFS(V:V,T:T,Obrotowka[[#This Row],[GL_Account]])))</f>
        <v>0</v>
      </c>
      <c r="H314" s="18">
        <f>IF($D$5="tak",SUMIFS(AL:AL,AH:AH,Obrotowka[[#This Row],[GL_Account]],AL:AL,"&lt;0")/1000,SUMIFS(AL:AL,AH:AH,Obrotowka[[#This Row],[GL_Account]],AL:AL,"&lt;0"))</f>
        <v>0</v>
      </c>
      <c r="I314" s="18">
        <f>SUM(Obrotowka[[#This Row],[BO]:[MA]])</f>
        <v>0</v>
      </c>
      <c r="J314">
        <f>IF(Obrotowka[[#This Row],[BZ]]=0,0,1)</f>
        <v>0</v>
      </c>
      <c r="K314" s="253"/>
      <c r="AF314" s="18"/>
      <c r="AU314" t="s">
        <v>8541</v>
      </c>
    </row>
    <row r="315" spans="2:47" x14ac:dyDescent="0.3">
      <c r="B315" t="s">
        <v>12040</v>
      </c>
      <c r="C315" t="s">
        <v>12041</v>
      </c>
      <c r="D315" t="s">
        <v>11918</v>
      </c>
      <c r="E315" t="s">
        <v>4185</v>
      </c>
      <c r="F315" s="18">
        <f>IF($D$5="tak",(SUMIFS(AE:AE,AA:AA,Obrotowka[[#This Row],[GL_Account]])-SUMIFS(U:U,S:S,Obrotowka[[#This Row],[GL_Account]])+SUMIFS(U:U,T:T,Obrotowka[[#This Row],[GL_Account]]))/1000,(SUMIFS(AE:AE,AA:AA,Obrotowka[[#This Row],[GL_Account]])-SUMIFS(U:U,S:S,Obrotowka[[#This Row],[GL_Account]])+SUMIFS(U:U,T:T,Obrotowka[[#This Row],[GL_Account]])))</f>
        <v>0</v>
      </c>
      <c r="G315" s="18">
        <f>IF($D$5="tak",(SUMIFS(AL:AL,AH:AH,Obrotowka[[#This Row],[GL_Account]],AL:AL,"&gt;=0")-SUMIFS(V:V,S:S,Obrotowka[[#This Row],[GL_Account]])+SUMIFS(V:V,T:T,Obrotowka[[#This Row],[GL_Account]]))/1000,(SUMIFS(AL:AL,AH:AH,Obrotowka[[#This Row],[GL_Account]],AL:AL,"&gt;=0")-SUMIFS(V:V,S:S,Obrotowka[[#This Row],[GL_Account]])+SUMIFS(V:V,T:T,Obrotowka[[#This Row],[GL_Account]])))</f>
        <v>0</v>
      </c>
      <c r="H315" s="18">
        <f>IF($D$5="tak",SUMIFS(AL:AL,AH:AH,Obrotowka[[#This Row],[GL_Account]],AL:AL,"&lt;0")/1000,SUMIFS(AL:AL,AH:AH,Obrotowka[[#This Row],[GL_Account]],AL:AL,"&lt;0"))</f>
        <v>0</v>
      </c>
      <c r="I315" s="18">
        <f>SUM(Obrotowka[[#This Row],[BO]:[MA]])</f>
        <v>0</v>
      </c>
      <c r="J315">
        <f>IF(Obrotowka[[#This Row],[BZ]]=0,0,1)</f>
        <v>0</v>
      </c>
      <c r="K315" s="253"/>
      <c r="AF315" s="18"/>
      <c r="AU315" t="s">
        <v>8594</v>
      </c>
    </row>
    <row r="316" spans="2:47" x14ac:dyDescent="0.3">
      <c r="B316" t="s">
        <v>12042</v>
      </c>
      <c r="C316" t="s">
        <v>12043</v>
      </c>
      <c r="D316" t="s">
        <v>11918</v>
      </c>
      <c r="E316" t="s">
        <v>4021</v>
      </c>
      <c r="F316" s="18">
        <f>IF($D$5="tak",(SUMIFS(AE:AE,AA:AA,Obrotowka[[#This Row],[GL_Account]])-SUMIFS(U:U,S:S,Obrotowka[[#This Row],[GL_Account]])+SUMIFS(U:U,T:T,Obrotowka[[#This Row],[GL_Account]]))/1000,(SUMIFS(AE:AE,AA:AA,Obrotowka[[#This Row],[GL_Account]])-SUMIFS(U:U,S:S,Obrotowka[[#This Row],[GL_Account]])+SUMIFS(U:U,T:T,Obrotowka[[#This Row],[GL_Account]])))</f>
        <v>0</v>
      </c>
      <c r="G316" s="18">
        <f>IF($D$5="tak",(SUMIFS(AL:AL,AH:AH,Obrotowka[[#This Row],[GL_Account]],AL:AL,"&gt;=0")-SUMIFS(V:V,S:S,Obrotowka[[#This Row],[GL_Account]])+SUMIFS(V:V,T:T,Obrotowka[[#This Row],[GL_Account]]))/1000,(SUMIFS(AL:AL,AH:AH,Obrotowka[[#This Row],[GL_Account]],AL:AL,"&gt;=0")-SUMIFS(V:V,S:S,Obrotowka[[#This Row],[GL_Account]])+SUMIFS(V:V,T:T,Obrotowka[[#This Row],[GL_Account]])))</f>
        <v>0</v>
      </c>
      <c r="H316" s="18">
        <f>IF($D$5="tak",SUMIFS(AL:AL,AH:AH,Obrotowka[[#This Row],[GL_Account]],AL:AL,"&lt;0")/1000,SUMIFS(AL:AL,AH:AH,Obrotowka[[#This Row],[GL_Account]],AL:AL,"&lt;0"))</f>
        <v>0</v>
      </c>
      <c r="I316" s="18">
        <f>SUM(Obrotowka[[#This Row],[BO]:[MA]])</f>
        <v>0</v>
      </c>
      <c r="J316">
        <f>IF(Obrotowka[[#This Row],[BZ]]=0,0,1)</f>
        <v>0</v>
      </c>
      <c r="K316" s="253"/>
      <c r="AF316" s="18"/>
      <c r="AU316" t="s">
        <v>8655</v>
      </c>
    </row>
    <row r="317" spans="2:47" x14ac:dyDescent="0.3">
      <c r="B317" t="s">
        <v>12044</v>
      </c>
      <c r="C317" t="s">
        <v>12045</v>
      </c>
      <c r="D317" t="s">
        <v>11918</v>
      </c>
      <c r="E317" t="s">
        <v>4021</v>
      </c>
      <c r="F317" s="18">
        <f>IF($D$5="tak",(SUMIFS(AE:AE,AA:AA,Obrotowka[[#This Row],[GL_Account]])-SUMIFS(U:U,S:S,Obrotowka[[#This Row],[GL_Account]])+SUMIFS(U:U,T:T,Obrotowka[[#This Row],[GL_Account]]))/1000,(SUMIFS(AE:AE,AA:AA,Obrotowka[[#This Row],[GL_Account]])-SUMIFS(U:U,S:S,Obrotowka[[#This Row],[GL_Account]])+SUMIFS(U:U,T:T,Obrotowka[[#This Row],[GL_Account]])))</f>
        <v>0</v>
      </c>
      <c r="G317" s="18">
        <f>IF($D$5="tak",(SUMIFS(AL:AL,AH:AH,Obrotowka[[#This Row],[GL_Account]],AL:AL,"&gt;=0")-SUMIFS(V:V,S:S,Obrotowka[[#This Row],[GL_Account]])+SUMIFS(V:V,T:T,Obrotowka[[#This Row],[GL_Account]]))/1000,(SUMIFS(AL:AL,AH:AH,Obrotowka[[#This Row],[GL_Account]],AL:AL,"&gt;=0")-SUMIFS(V:V,S:S,Obrotowka[[#This Row],[GL_Account]])+SUMIFS(V:V,T:T,Obrotowka[[#This Row],[GL_Account]])))</f>
        <v>0</v>
      </c>
      <c r="H317" s="18">
        <f>IF($D$5="tak",SUMIFS(AL:AL,AH:AH,Obrotowka[[#This Row],[GL_Account]],AL:AL,"&lt;0")/1000,SUMIFS(AL:AL,AH:AH,Obrotowka[[#This Row],[GL_Account]],AL:AL,"&lt;0"))</f>
        <v>0</v>
      </c>
      <c r="I317" s="18">
        <f>SUM(Obrotowka[[#This Row],[BO]:[MA]])</f>
        <v>0</v>
      </c>
      <c r="J317">
        <f>IF(Obrotowka[[#This Row],[BZ]]=0,0,1)</f>
        <v>0</v>
      </c>
      <c r="K317" s="253"/>
      <c r="AF317" s="18"/>
      <c r="AU317" t="s">
        <v>8674</v>
      </c>
    </row>
    <row r="318" spans="2:47" x14ac:dyDescent="0.3">
      <c r="B318" t="s">
        <v>12046</v>
      </c>
      <c r="C318" t="s">
        <v>12047</v>
      </c>
      <c r="D318" t="s">
        <v>11918</v>
      </c>
      <c r="E318" t="s">
        <v>4021</v>
      </c>
      <c r="F318" s="18">
        <f>IF($D$5="tak",(SUMIFS(AE:AE,AA:AA,Obrotowka[[#This Row],[GL_Account]])-SUMIFS(U:U,S:S,Obrotowka[[#This Row],[GL_Account]])+SUMIFS(U:U,T:T,Obrotowka[[#This Row],[GL_Account]]))/1000,(SUMIFS(AE:AE,AA:AA,Obrotowka[[#This Row],[GL_Account]])-SUMIFS(U:U,S:S,Obrotowka[[#This Row],[GL_Account]])+SUMIFS(U:U,T:T,Obrotowka[[#This Row],[GL_Account]])))</f>
        <v>0</v>
      </c>
      <c r="G318" s="18">
        <f>IF($D$5="tak",(SUMIFS(AL:AL,AH:AH,Obrotowka[[#This Row],[GL_Account]],AL:AL,"&gt;=0")-SUMIFS(V:V,S:S,Obrotowka[[#This Row],[GL_Account]])+SUMIFS(V:V,T:T,Obrotowka[[#This Row],[GL_Account]]))/1000,(SUMIFS(AL:AL,AH:AH,Obrotowka[[#This Row],[GL_Account]],AL:AL,"&gt;=0")-SUMIFS(V:V,S:S,Obrotowka[[#This Row],[GL_Account]])+SUMIFS(V:V,T:T,Obrotowka[[#This Row],[GL_Account]])))</f>
        <v>0</v>
      </c>
      <c r="H318" s="18">
        <f>IF($D$5="tak",SUMIFS(AL:AL,AH:AH,Obrotowka[[#This Row],[GL_Account]],AL:AL,"&lt;0")/1000,SUMIFS(AL:AL,AH:AH,Obrotowka[[#This Row],[GL_Account]],AL:AL,"&lt;0"))</f>
        <v>0</v>
      </c>
      <c r="I318" s="18">
        <f>SUM(Obrotowka[[#This Row],[BO]:[MA]])</f>
        <v>0</v>
      </c>
      <c r="J318">
        <f>IF(Obrotowka[[#This Row],[BZ]]=0,0,1)</f>
        <v>0</v>
      </c>
      <c r="K318" s="253"/>
      <c r="AF318" s="18"/>
      <c r="AU318" t="s">
        <v>8674</v>
      </c>
    </row>
    <row r="319" spans="2:47" x14ac:dyDescent="0.3">
      <c r="B319" t="s">
        <v>12048</v>
      </c>
      <c r="C319" t="s">
        <v>12049</v>
      </c>
      <c r="D319" t="s">
        <v>11918</v>
      </c>
      <c r="E319" t="s">
        <v>4021</v>
      </c>
      <c r="F319" s="18">
        <f>IF($D$5="tak",(SUMIFS(AE:AE,AA:AA,Obrotowka[[#This Row],[GL_Account]])-SUMIFS(U:U,S:S,Obrotowka[[#This Row],[GL_Account]])+SUMIFS(U:U,T:T,Obrotowka[[#This Row],[GL_Account]]))/1000,(SUMIFS(AE:AE,AA:AA,Obrotowka[[#This Row],[GL_Account]])-SUMIFS(U:U,S:S,Obrotowka[[#This Row],[GL_Account]])+SUMIFS(U:U,T:T,Obrotowka[[#This Row],[GL_Account]])))</f>
        <v>0</v>
      </c>
      <c r="G319" s="18">
        <f>IF($D$5="tak",(SUMIFS(AL:AL,AH:AH,Obrotowka[[#This Row],[GL_Account]],AL:AL,"&gt;=0")-SUMIFS(V:V,S:S,Obrotowka[[#This Row],[GL_Account]])+SUMIFS(V:V,T:T,Obrotowka[[#This Row],[GL_Account]]))/1000,(SUMIFS(AL:AL,AH:AH,Obrotowka[[#This Row],[GL_Account]],AL:AL,"&gt;=0")-SUMIFS(V:V,S:S,Obrotowka[[#This Row],[GL_Account]])+SUMIFS(V:V,T:T,Obrotowka[[#This Row],[GL_Account]])))</f>
        <v>0</v>
      </c>
      <c r="H319" s="18">
        <f>IF($D$5="tak",SUMIFS(AL:AL,AH:AH,Obrotowka[[#This Row],[GL_Account]],AL:AL,"&lt;0")/1000,SUMIFS(AL:AL,AH:AH,Obrotowka[[#This Row],[GL_Account]],AL:AL,"&lt;0"))</f>
        <v>0</v>
      </c>
      <c r="I319" s="18">
        <f>SUM(Obrotowka[[#This Row],[BO]:[MA]])</f>
        <v>0</v>
      </c>
      <c r="J319">
        <f>IF(Obrotowka[[#This Row],[BZ]]=0,0,1)</f>
        <v>0</v>
      </c>
      <c r="K319" s="253"/>
      <c r="AF319" s="18"/>
      <c r="AU319" t="s">
        <v>8674</v>
      </c>
    </row>
    <row r="320" spans="2:47" x14ac:dyDescent="0.3">
      <c r="B320" t="s">
        <v>12050</v>
      </c>
      <c r="C320" t="s">
        <v>12051</v>
      </c>
      <c r="D320" t="s">
        <v>11918</v>
      </c>
      <c r="E320" t="s">
        <v>4021</v>
      </c>
      <c r="F320" s="18">
        <f>IF($D$5="tak",(SUMIFS(AE:AE,AA:AA,Obrotowka[[#This Row],[GL_Account]])-SUMIFS(U:U,S:S,Obrotowka[[#This Row],[GL_Account]])+SUMIFS(U:U,T:T,Obrotowka[[#This Row],[GL_Account]]))/1000,(SUMIFS(AE:AE,AA:AA,Obrotowka[[#This Row],[GL_Account]])-SUMIFS(U:U,S:S,Obrotowka[[#This Row],[GL_Account]])+SUMIFS(U:U,T:T,Obrotowka[[#This Row],[GL_Account]])))</f>
        <v>0</v>
      </c>
      <c r="G320" s="18">
        <f>IF($D$5="tak",(SUMIFS(AL:AL,AH:AH,Obrotowka[[#This Row],[GL_Account]],AL:AL,"&gt;=0")-SUMIFS(V:V,S:S,Obrotowka[[#This Row],[GL_Account]])+SUMIFS(V:V,T:T,Obrotowka[[#This Row],[GL_Account]]))/1000,(SUMIFS(AL:AL,AH:AH,Obrotowka[[#This Row],[GL_Account]],AL:AL,"&gt;=0")-SUMIFS(V:V,S:S,Obrotowka[[#This Row],[GL_Account]])+SUMIFS(V:V,T:T,Obrotowka[[#This Row],[GL_Account]])))</f>
        <v>0</v>
      </c>
      <c r="H320" s="18">
        <f>IF($D$5="tak",SUMIFS(AL:AL,AH:AH,Obrotowka[[#This Row],[GL_Account]],AL:AL,"&lt;0")/1000,SUMIFS(AL:AL,AH:AH,Obrotowka[[#This Row],[GL_Account]],AL:AL,"&lt;0"))</f>
        <v>0</v>
      </c>
      <c r="I320" s="18">
        <f>SUM(Obrotowka[[#This Row],[BO]:[MA]])</f>
        <v>0</v>
      </c>
      <c r="J320">
        <f>IF(Obrotowka[[#This Row],[BZ]]=0,0,1)</f>
        <v>0</v>
      </c>
      <c r="K320" s="253"/>
      <c r="AF320" s="18"/>
      <c r="AU320" t="s">
        <v>8674</v>
      </c>
    </row>
    <row r="321" spans="2:47" x14ac:dyDescent="0.3">
      <c r="B321" t="s">
        <v>12052</v>
      </c>
      <c r="C321" t="s">
        <v>12053</v>
      </c>
      <c r="D321" t="s">
        <v>11918</v>
      </c>
      <c r="E321" t="s">
        <v>4021</v>
      </c>
      <c r="F321" s="18">
        <f>IF($D$5="tak",(SUMIFS(AE:AE,AA:AA,Obrotowka[[#This Row],[GL_Account]])-SUMIFS(U:U,S:S,Obrotowka[[#This Row],[GL_Account]])+SUMIFS(U:U,T:T,Obrotowka[[#This Row],[GL_Account]]))/1000,(SUMIFS(AE:AE,AA:AA,Obrotowka[[#This Row],[GL_Account]])-SUMIFS(U:U,S:S,Obrotowka[[#This Row],[GL_Account]])+SUMIFS(U:U,T:T,Obrotowka[[#This Row],[GL_Account]])))</f>
        <v>0</v>
      </c>
      <c r="G321" s="18">
        <f>IF($D$5="tak",(SUMIFS(AL:AL,AH:AH,Obrotowka[[#This Row],[GL_Account]],AL:AL,"&gt;=0")-SUMIFS(V:V,S:S,Obrotowka[[#This Row],[GL_Account]])+SUMIFS(V:V,T:T,Obrotowka[[#This Row],[GL_Account]]))/1000,(SUMIFS(AL:AL,AH:AH,Obrotowka[[#This Row],[GL_Account]],AL:AL,"&gt;=0")-SUMIFS(V:V,S:S,Obrotowka[[#This Row],[GL_Account]])+SUMIFS(V:V,T:T,Obrotowka[[#This Row],[GL_Account]])))</f>
        <v>0</v>
      </c>
      <c r="H321" s="18">
        <f>IF($D$5="tak",SUMIFS(AL:AL,AH:AH,Obrotowka[[#This Row],[GL_Account]],AL:AL,"&lt;0")/1000,SUMIFS(AL:AL,AH:AH,Obrotowka[[#This Row],[GL_Account]],AL:AL,"&lt;0"))</f>
        <v>0</v>
      </c>
      <c r="I321" s="18">
        <f>SUM(Obrotowka[[#This Row],[BO]:[MA]])</f>
        <v>0</v>
      </c>
      <c r="J321">
        <f>IF(Obrotowka[[#This Row],[BZ]]=0,0,1)</f>
        <v>0</v>
      </c>
      <c r="K321" s="253"/>
      <c r="AF321" s="18"/>
      <c r="AU321" t="s">
        <v>8674</v>
      </c>
    </row>
    <row r="322" spans="2:47" x14ac:dyDescent="0.3">
      <c r="B322" t="s">
        <v>12054</v>
      </c>
      <c r="C322" t="s">
        <v>12055</v>
      </c>
      <c r="D322" t="s">
        <v>11918</v>
      </c>
      <c r="E322" t="s">
        <v>4021</v>
      </c>
      <c r="F322" s="18">
        <f>IF($D$5="tak",(SUMIFS(AE:AE,AA:AA,Obrotowka[[#This Row],[GL_Account]])-SUMIFS(U:U,S:S,Obrotowka[[#This Row],[GL_Account]])+SUMIFS(U:U,T:T,Obrotowka[[#This Row],[GL_Account]]))/1000,(SUMIFS(AE:AE,AA:AA,Obrotowka[[#This Row],[GL_Account]])-SUMIFS(U:U,S:S,Obrotowka[[#This Row],[GL_Account]])+SUMIFS(U:U,T:T,Obrotowka[[#This Row],[GL_Account]])))</f>
        <v>0</v>
      </c>
      <c r="G322" s="18">
        <f>IF($D$5="tak",(SUMIFS(AL:AL,AH:AH,Obrotowka[[#This Row],[GL_Account]],AL:AL,"&gt;=0")-SUMIFS(V:V,S:S,Obrotowka[[#This Row],[GL_Account]])+SUMIFS(V:V,T:T,Obrotowka[[#This Row],[GL_Account]]))/1000,(SUMIFS(AL:AL,AH:AH,Obrotowka[[#This Row],[GL_Account]],AL:AL,"&gt;=0")-SUMIFS(V:V,S:S,Obrotowka[[#This Row],[GL_Account]])+SUMIFS(V:V,T:T,Obrotowka[[#This Row],[GL_Account]])))</f>
        <v>0</v>
      </c>
      <c r="H322" s="18">
        <f>IF($D$5="tak",SUMIFS(AL:AL,AH:AH,Obrotowka[[#This Row],[GL_Account]],AL:AL,"&lt;0")/1000,SUMIFS(AL:AL,AH:AH,Obrotowka[[#This Row],[GL_Account]],AL:AL,"&lt;0"))</f>
        <v>0</v>
      </c>
      <c r="I322" s="18">
        <f>SUM(Obrotowka[[#This Row],[BO]:[MA]])</f>
        <v>0</v>
      </c>
      <c r="J322">
        <f>IF(Obrotowka[[#This Row],[BZ]]=0,0,1)</f>
        <v>0</v>
      </c>
      <c r="K322" s="253"/>
      <c r="AF322" s="18"/>
      <c r="AU322" t="s">
        <v>8674</v>
      </c>
    </row>
    <row r="323" spans="2:47" x14ac:dyDescent="0.3">
      <c r="B323" t="s">
        <v>12056</v>
      </c>
      <c r="C323" t="s">
        <v>12057</v>
      </c>
      <c r="D323" t="s">
        <v>11918</v>
      </c>
      <c r="E323" t="s">
        <v>4021</v>
      </c>
      <c r="F323" s="18">
        <f>IF($D$5="tak",(SUMIFS(AE:AE,AA:AA,Obrotowka[[#This Row],[GL_Account]])-SUMIFS(U:U,S:S,Obrotowka[[#This Row],[GL_Account]])+SUMIFS(U:U,T:T,Obrotowka[[#This Row],[GL_Account]]))/1000,(SUMIFS(AE:AE,AA:AA,Obrotowka[[#This Row],[GL_Account]])-SUMIFS(U:U,S:S,Obrotowka[[#This Row],[GL_Account]])+SUMIFS(U:U,T:T,Obrotowka[[#This Row],[GL_Account]])))</f>
        <v>0</v>
      </c>
      <c r="G323" s="18">
        <f>IF($D$5="tak",(SUMIFS(AL:AL,AH:AH,Obrotowka[[#This Row],[GL_Account]],AL:AL,"&gt;=0")-SUMIFS(V:V,S:S,Obrotowka[[#This Row],[GL_Account]])+SUMIFS(V:V,T:T,Obrotowka[[#This Row],[GL_Account]]))/1000,(SUMIFS(AL:AL,AH:AH,Obrotowka[[#This Row],[GL_Account]],AL:AL,"&gt;=0")-SUMIFS(V:V,S:S,Obrotowka[[#This Row],[GL_Account]])+SUMIFS(V:V,T:T,Obrotowka[[#This Row],[GL_Account]])))</f>
        <v>0</v>
      </c>
      <c r="H323" s="18">
        <f>IF($D$5="tak",SUMIFS(AL:AL,AH:AH,Obrotowka[[#This Row],[GL_Account]],AL:AL,"&lt;0")/1000,SUMIFS(AL:AL,AH:AH,Obrotowka[[#This Row],[GL_Account]],AL:AL,"&lt;0"))</f>
        <v>0</v>
      </c>
      <c r="I323" s="18">
        <f>SUM(Obrotowka[[#This Row],[BO]:[MA]])</f>
        <v>0</v>
      </c>
      <c r="J323">
        <f>IF(Obrotowka[[#This Row],[BZ]]=0,0,1)</f>
        <v>0</v>
      </c>
      <c r="K323" s="253"/>
      <c r="AF323" s="18"/>
      <c r="AU323" t="s">
        <v>8674</v>
      </c>
    </row>
    <row r="324" spans="2:47" x14ac:dyDescent="0.3">
      <c r="B324" t="s">
        <v>12058</v>
      </c>
      <c r="C324" t="s">
        <v>12059</v>
      </c>
      <c r="D324" t="s">
        <v>11918</v>
      </c>
      <c r="E324" t="s">
        <v>4021</v>
      </c>
      <c r="F324" s="18">
        <f>IF($D$5="tak",(SUMIFS(AE:AE,AA:AA,Obrotowka[[#This Row],[GL_Account]])-SUMIFS(U:U,S:S,Obrotowka[[#This Row],[GL_Account]])+SUMIFS(U:U,T:T,Obrotowka[[#This Row],[GL_Account]]))/1000,(SUMIFS(AE:AE,AA:AA,Obrotowka[[#This Row],[GL_Account]])-SUMIFS(U:U,S:S,Obrotowka[[#This Row],[GL_Account]])+SUMIFS(U:U,T:T,Obrotowka[[#This Row],[GL_Account]])))</f>
        <v>0</v>
      </c>
      <c r="G324" s="18">
        <f>IF($D$5="tak",(SUMIFS(AL:AL,AH:AH,Obrotowka[[#This Row],[GL_Account]],AL:AL,"&gt;=0")-SUMIFS(V:V,S:S,Obrotowka[[#This Row],[GL_Account]])+SUMIFS(V:V,T:T,Obrotowka[[#This Row],[GL_Account]]))/1000,(SUMIFS(AL:AL,AH:AH,Obrotowka[[#This Row],[GL_Account]],AL:AL,"&gt;=0")-SUMIFS(V:V,S:S,Obrotowka[[#This Row],[GL_Account]])+SUMIFS(V:V,T:T,Obrotowka[[#This Row],[GL_Account]])))</f>
        <v>0</v>
      </c>
      <c r="H324" s="18">
        <f>IF($D$5="tak",SUMIFS(AL:AL,AH:AH,Obrotowka[[#This Row],[GL_Account]],AL:AL,"&lt;0")/1000,SUMIFS(AL:AL,AH:AH,Obrotowka[[#This Row],[GL_Account]],AL:AL,"&lt;0"))</f>
        <v>0</v>
      </c>
      <c r="I324" s="18">
        <f>SUM(Obrotowka[[#This Row],[BO]:[MA]])</f>
        <v>0</v>
      </c>
      <c r="J324">
        <f>IF(Obrotowka[[#This Row],[BZ]]=0,0,1)</f>
        <v>0</v>
      </c>
      <c r="K324" s="253"/>
      <c r="AF324" s="18"/>
      <c r="AU324" t="s">
        <v>8674</v>
      </c>
    </row>
    <row r="325" spans="2:47" x14ac:dyDescent="0.3">
      <c r="B325" t="s">
        <v>12060</v>
      </c>
      <c r="C325" t="s">
        <v>12061</v>
      </c>
      <c r="D325" t="s">
        <v>11918</v>
      </c>
      <c r="E325" t="s">
        <v>4021</v>
      </c>
      <c r="F325" s="18">
        <f>IF($D$5="tak",(SUMIFS(AE:AE,AA:AA,Obrotowka[[#This Row],[GL_Account]])-SUMIFS(U:U,S:S,Obrotowka[[#This Row],[GL_Account]])+SUMIFS(U:U,T:T,Obrotowka[[#This Row],[GL_Account]]))/1000,(SUMIFS(AE:AE,AA:AA,Obrotowka[[#This Row],[GL_Account]])-SUMIFS(U:U,S:S,Obrotowka[[#This Row],[GL_Account]])+SUMIFS(U:U,T:T,Obrotowka[[#This Row],[GL_Account]])))</f>
        <v>0</v>
      </c>
      <c r="G325" s="18">
        <f>IF($D$5="tak",(SUMIFS(AL:AL,AH:AH,Obrotowka[[#This Row],[GL_Account]],AL:AL,"&gt;=0")-SUMIFS(V:V,S:S,Obrotowka[[#This Row],[GL_Account]])+SUMIFS(V:V,T:T,Obrotowka[[#This Row],[GL_Account]]))/1000,(SUMIFS(AL:AL,AH:AH,Obrotowka[[#This Row],[GL_Account]],AL:AL,"&gt;=0")-SUMIFS(V:V,S:S,Obrotowka[[#This Row],[GL_Account]])+SUMIFS(V:V,T:T,Obrotowka[[#This Row],[GL_Account]])))</f>
        <v>0</v>
      </c>
      <c r="H325" s="18">
        <f>IF($D$5="tak",SUMIFS(AL:AL,AH:AH,Obrotowka[[#This Row],[GL_Account]],AL:AL,"&lt;0")/1000,SUMIFS(AL:AL,AH:AH,Obrotowka[[#This Row],[GL_Account]],AL:AL,"&lt;0"))</f>
        <v>0</v>
      </c>
      <c r="I325" s="18">
        <f>SUM(Obrotowka[[#This Row],[BO]:[MA]])</f>
        <v>0</v>
      </c>
      <c r="J325">
        <f>IF(Obrotowka[[#This Row],[BZ]]=0,0,1)</f>
        <v>0</v>
      </c>
      <c r="K325" s="253"/>
      <c r="AF325" s="18"/>
      <c r="AU325" t="s">
        <v>8674</v>
      </c>
    </row>
    <row r="326" spans="2:47" x14ac:dyDescent="0.3">
      <c r="B326" t="s">
        <v>12062</v>
      </c>
      <c r="C326" t="s">
        <v>12063</v>
      </c>
      <c r="D326" t="s">
        <v>11918</v>
      </c>
      <c r="E326" t="s">
        <v>4021</v>
      </c>
      <c r="F326" s="18">
        <f>IF($D$5="tak",(SUMIFS(AE:AE,AA:AA,Obrotowka[[#This Row],[GL_Account]])-SUMIFS(U:U,S:S,Obrotowka[[#This Row],[GL_Account]])+SUMIFS(U:U,T:T,Obrotowka[[#This Row],[GL_Account]]))/1000,(SUMIFS(AE:AE,AA:AA,Obrotowka[[#This Row],[GL_Account]])-SUMIFS(U:U,S:S,Obrotowka[[#This Row],[GL_Account]])+SUMIFS(U:U,T:T,Obrotowka[[#This Row],[GL_Account]])))</f>
        <v>0</v>
      </c>
      <c r="G326" s="18">
        <f>IF($D$5="tak",(SUMIFS(AL:AL,AH:AH,Obrotowka[[#This Row],[GL_Account]],AL:AL,"&gt;=0")-SUMIFS(V:V,S:S,Obrotowka[[#This Row],[GL_Account]])+SUMIFS(V:V,T:T,Obrotowka[[#This Row],[GL_Account]]))/1000,(SUMIFS(AL:AL,AH:AH,Obrotowka[[#This Row],[GL_Account]],AL:AL,"&gt;=0")-SUMIFS(V:V,S:S,Obrotowka[[#This Row],[GL_Account]])+SUMIFS(V:V,T:T,Obrotowka[[#This Row],[GL_Account]])))</f>
        <v>0</v>
      </c>
      <c r="H326" s="18">
        <f>IF($D$5="tak",SUMIFS(AL:AL,AH:AH,Obrotowka[[#This Row],[GL_Account]],AL:AL,"&lt;0")/1000,SUMIFS(AL:AL,AH:AH,Obrotowka[[#This Row],[GL_Account]],AL:AL,"&lt;0"))</f>
        <v>0</v>
      </c>
      <c r="I326" s="18">
        <f>SUM(Obrotowka[[#This Row],[BO]:[MA]])</f>
        <v>0</v>
      </c>
      <c r="J326">
        <f>IF(Obrotowka[[#This Row],[BZ]]=0,0,1)</f>
        <v>0</v>
      </c>
      <c r="K326" s="253"/>
      <c r="AF326" s="18"/>
      <c r="AU326" t="s">
        <v>8679</v>
      </c>
    </row>
    <row r="327" spans="2:47" x14ac:dyDescent="0.3">
      <c r="B327" t="s">
        <v>12064</v>
      </c>
      <c r="C327" t="s">
        <v>12065</v>
      </c>
      <c r="D327" t="s">
        <v>11918</v>
      </c>
      <c r="E327" t="s">
        <v>4021</v>
      </c>
      <c r="F327" s="18">
        <f>IF($D$5="tak",(SUMIFS(AE:AE,AA:AA,Obrotowka[[#This Row],[GL_Account]])-SUMIFS(U:U,S:S,Obrotowka[[#This Row],[GL_Account]])+SUMIFS(U:U,T:T,Obrotowka[[#This Row],[GL_Account]]))/1000,(SUMIFS(AE:AE,AA:AA,Obrotowka[[#This Row],[GL_Account]])-SUMIFS(U:U,S:S,Obrotowka[[#This Row],[GL_Account]])+SUMIFS(U:U,T:T,Obrotowka[[#This Row],[GL_Account]])))</f>
        <v>0</v>
      </c>
      <c r="G327" s="18">
        <f>IF($D$5="tak",(SUMIFS(AL:AL,AH:AH,Obrotowka[[#This Row],[GL_Account]],AL:AL,"&gt;=0")-SUMIFS(V:V,S:S,Obrotowka[[#This Row],[GL_Account]])+SUMIFS(V:V,T:T,Obrotowka[[#This Row],[GL_Account]]))/1000,(SUMIFS(AL:AL,AH:AH,Obrotowka[[#This Row],[GL_Account]],AL:AL,"&gt;=0")-SUMIFS(V:V,S:S,Obrotowka[[#This Row],[GL_Account]])+SUMIFS(V:V,T:T,Obrotowka[[#This Row],[GL_Account]])))</f>
        <v>0</v>
      </c>
      <c r="H327" s="18">
        <f>IF($D$5="tak",SUMIFS(AL:AL,AH:AH,Obrotowka[[#This Row],[GL_Account]],AL:AL,"&lt;0")/1000,SUMIFS(AL:AL,AH:AH,Obrotowka[[#This Row],[GL_Account]],AL:AL,"&lt;0"))</f>
        <v>0</v>
      </c>
      <c r="I327" s="18">
        <f>SUM(Obrotowka[[#This Row],[BO]:[MA]])</f>
        <v>0</v>
      </c>
      <c r="J327">
        <f>IF(Obrotowka[[#This Row],[BZ]]=0,0,1)</f>
        <v>0</v>
      </c>
      <c r="K327" s="253"/>
      <c r="AF327" s="18"/>
      <c r="AU327" t="s">
        <v>8687</v>
      </c>
    </row>
    <row r="328" spans="2:47" x14ac:dyDescent="0.3">
      <c r="B328" t="s">
        <v>12066</v>
      </c>
      <c r="C328" t="s">
        <v>12067</v>
      </c>
      <c r="D328" t="s">
        <v>11918</v>
      </c>
      <c r="E328" t="s">
        <v>4021</v>
      </c>
      <c r="F328" s="18">
        <f>IF($D$5="tak",(SUMIFS(AE:AE,AA:AA,Obrotowka[[#This Row],[GL_Account]])-SUMIFS(U:U,S:S,Obrotowka[[#This Row],[GL_Account]])+SUMIFS(U:U,T:T,Obrotowka[[#This Row],[GL_Account]]))/1000,(SUMIFS(AE:AE,AA:AA,Obrotowka[[#This Row],[GL_Account]])-SUMIFS(U:U,S:S,Obrotowka[[#This Row],[GL_Account]])+SUMIFS(U:U,T:T,Obrotowka[[#This Row],[GL_Account]])))</f>
        <v>0</v>
      </c>
      <c r="G328" s="18">
        <f>IF($D$5="tak",(SUMIFS(AL:AL,AH:AH,Obrotowka[[#This Row],[GL_Account]],AL:AL,"&gt;=0")-SUMIFS(V:V,S:S,Obrotowka[[#This Row],[GL_Account]])+SUMIFS(V:V,T:T,Obrotowka[[#This Row],[GL_Account]]))/1000,(SUMIFS(AL:AL,AH:AH,Obrotowka[[#This Row],[GL_Account]],AL:AL,"&gt;=0")-SUMIFS(V:V,S:S,Obrotowka[[#This Row],[GL_Account]])+SUMIFS(V:V,T:T,Obrotowka[[#This Row],[GL_Account]])))</f>
        <v>0</v>
      </c>
      <c r="H328" s="18">
        <f>IF($D$5="tak",SUMIFS(AL:AL,AH:AH,Obrotowka[[#This Row],[GL_Account]],AL:AL,"&lt;0")/1000,SUMIFS(AL:AL,AH:AH,Obrotowka[[#This Row],[GL_Account]],AL:AL,"&lt;0"))</f>
        <v>0</v>
      </c>
      <c r="I328" s="18">
        <f>SUM(Obrotowka[[#This Row],[BO]:[MA]])</f>
        <v>0</v>
      </c>
      <c r="J328">
        <f>IF(Obrotowka[[#This Row],[BZ]]=0,0,1)</f>
        <v>0</v>
      </c>
      <c r="K328" s="253"/>
      <c r="AF328" s="18"/>
      <c r="AU328" t="s">
        <v>8687</v>
      </c>
    </row>
    <row r="329" spans="2:47" x14ac:dyDescent="0.3">
      <c r="B329" t="s">
        <v>12068</v>
      </c>
      <c r="C329" t="s">
        <v>12069</v>
      </c>
      <c r="D329" t="s">
        <v>11918</v>
      </c>
      <c r="E329" t="s">
        <v>4021</v>
      </c>
      <c r="F329" s="18">
        <f>IF($D$5="tak",(SUMIFS(AE:AE,AA:AA,Obrotowka[[#This Row],[GL_Account]])-SUMIFS(U:U,S:S,Obrotowka[[#This Row],[GL_Account]])+SUMIFS(U:U,T:T,Obrotowka[[#This Row],[GL_Account]]))/1000,(SUMIFS(AE:AE,AA:AA,Obrotowka[[#This Row],[GL_Account]])-SUMIFS(U:U,S:S,Obrotowka[[#This Row],[GL_Account]])+SUMIFS(U:U,T:T,Obrotowka[[#This Row],[GL_Account]])))</f>
        <v>0</v>
      </c>
      <c r="G329" s="18">
        <f>IF($D$5="tak",(SUMIFS(AL:AL,AH:AH,Obrotowka[[#This Row],[GL_Account]],AL:AL,"&gt;=0")-SUMIFS(V:V,S:S,Obrotowka[[#This Row],[GL_Account]])+SUMIFS(V:V,T:T,Obrotowka[[#This Row],[GL_Account]]))/1000,(SUMIFS(AL:AL,AH:AH,Obrotowka[[#This Row],[GL_Account]],AL:AL,"&gt;=0")-SUMIFS(V:V,S:S,Obrotowka[[#This Row],[GL_Account]])+SUMIFS(V:V,T:T,Obrotowka[[#This Row],[GL_Account]])))</f>
        <v>0</v>
      </c>
      <c r="H329" s="18">
        <f>IF($D$5="tak",SUMIFS(AL:AL,AH:AH,Obrotowka[[#This Row],[GL_Account]],AL:AL,"&lt;0")/1000,SUMIFS(AL:AL,AH:AH,Obrotowka[[#This Row],[GL_Account]],AL:AL,"&lt;0"))</f>
        <v>0</v>
      </c>
      <c r="I329" s="18">
        <f>SUM(Obrotowka[[#This Row],[BO]:[MA]])</f>
        <v>0</v>
      </c>
      <c r="J329">
        <f>IF(Obrotowka[[#This Row],[BZ]]=0,0,1)</f>
        <v>0</v>
      </c>
      <c r="K329" s="253"/>
      <c r="AF329" s="18"/>
      <c r="AU329" t="s">
        <v>8687</v>
      </c>
    </row>
    <row r="330" spans="2:47" x14ac:dyDescent="0.3">
      <c r="B330" t="s">
        <v>12070</v>
      </c>
      <c r="C330" t="s">
        <v>12071</v>
      </c>
      <c r="D330" t="s">
        <v>11918</v>
      </c>
      <c r="E330" t="s">
        <v>4021</v>
      </c>
      <c r="F330" s="18">
        <f>IF($D$5="tak",(SUMIFS(AE:AE,AA:AA,Obrotowka[[#This Row],[GL_Account]])-SUMIFS(U:U,S:S,Obrotowka[[#This Row],[GL_Account]])+SUMIFS(U:U,T:T,Obrotowka[[#This Row],[GL_Account]]))/1000,(SUMIFS(AE:AE,AA:AA,Obrotowka[[#This Row],[GL_Account]])-SUMIFS(U:U,S:S,Obrotowka[[#This Row],[GL_Account]])+SUMIFS(U:U,T:T,Obrotowka[[#This Row],[GL_Account]])))</f>
        <v>0</v>
      </c>
      <c r="G330" s="18">
        <f>IF($D$5="tak",(SUMIFS(AL:AL,AH:AH,Obrotowka[[#This Row],[GL_Account]],AL:AL,"&gt;=0")-SUMIFS(V:V,S:S,Obrotowka[[#This Row],[GL_Account]])+SUMIFS(V:V,T:T,Obrotowka[[#This Row],[GL_Account]]))/1000,(SUMIFS(AL:AL,AH:AH,Obrotowka[[#This Row],[GL_Account]],AL:AL,"&gt;=0")-SUMIFS(V:V,S:S,Obrotowka[[#This Row],[GL_Account]])+SUMIFS(V:V,T:T,Obrotowka[[#This Row],[GL_Account]])))</f>
        <v>0</v>
      </c>
      <c r="H330" s="18">
        <f>IF($D$5="tak",SUMIFS(AL:AL,AH:AH,Obrotowka[[#This Row],[GL_Account]],AL:AL,"&lt;0")/1000,SUMIFS(AL:AL,AH:AH,Obrotowka[[#This Row],[GL_Account]],AL:AL,"&lt;0"))</f>
        <v>0</v>
      </c>
      <c r="I330" s="18">
        <f>SUM(Obrotowka[[#This Row],[BO]:[MA]])</f>
        <v>0</v>
      </c>
      <c r="J330">
        <f>IF(Obrotowka[[#This Row],[BZ]]=0,0,1)</f>
        <v>0</v>
      </c>
      <c r="K330" s="253"/>
      <c r="AF330" s="18"/>
      <c r="AU330" t="s">
        <v>8687</v>
      </c>
    </row>
    <row r="331" spans="2:47" x14ac:dyDescent="0.3">
      <c r="B331" t="s">
        <v>12072</v>
      </c>
      <c r="C331" t="s">
        <v>12073</v>
      </c>
      <c r="D331" t="s">
        <v>11918</v>
      </c>
      <c r="E331" t="s">
        <v>4021</v>
      </c>
      <c r="F331" s="18">
        <f>IF($D$5="tak",(SUMIFS(AE:AE,AA:AA,Obrotowka[[#This Row],[GL_Account]])-SUMIFS(U:U,S:S,Obrotowka[[#This Row],[GL_Account]])+SUMIFS(U:U,T:T,Obrotowka[[#This Row],[GL_Account]]))/1000,(SUMIFS(AE:AE,AA:AA,Obrotowka[[#This Row],[GL_Account]])-SUMIFS(U:U,S:S,Obrotowka[[#This Row],[GL_Account]])+SUMIFS(U:U,T:T,Obrotowka[[#This Row],[GL_Account]])))</f>
        <v>0</v>
      </c>
      <c r="G331" s="18">
        <f>IF($D$5="tak",(SUMIFS(AL:AL,AH:AH,Obrotowka[[#This Row],[GL_Account]],AL:AL,"&gt;=0")-SUMIFS(V:V,S:S,Obrotowka[[#This Row],[GL_Account]])+SUMIFS(V:V,T:T,Obrotowka[[#This Row],[GL_Account]]))/1000,(SUMIFS(AL:AL,AH:AH,Obrotowka[[#This Row],[GL_Account]],AL:AL,"&gt;=0")-SUMIFS(V:V,S:S,Obrotowka[[#This Row],[GL_Account]])+SUMIFS(V:V,T:T,Obrotowka[[#This Row],[GL_Account]])))</f>
        <v>0</v>
      </c>
      <c r="H331" s="18">
        <f>IF($D$5="tak",SUMIFS(AL:AL,AH:AH,Obrotowka[[#This Row],[GL_Account]],AL:AL,"&lt;0")/1000,SUMIFS(AL:AL,AH:AH,Obrotowka[[#This Row],[GL_Account]],AL:AL,"&lt;0"))</f>
        <v>0</v>
      </c>
      <c r="I331" s="18">
        <f>SUM(Obrotowka[[#This Row],[BO]:[MA]])</f>
        <v>0</v>
      </c>
      <c r="J331">
        <f>IF(Obrotowka[[#This Row],[BZ]]=0,0,1)</f>
        <v>0</v>
      </c>
      <c r="K331" s="253"/>
      <c r="AF331" s="18"/>
      <c r="AU331" t="s">
        <v>8690</v>
      </c>
    </row>
    <row r="332" spans="2:47" x14ac:dyDescent="0.3">
      <c r="B332" t="s">
        <v>12074</v>
      </c>
      <c r="C332" t="s">
        <v>12075</v>
      </c>
      <c r="D332" t="s">
        <v>11918</v>
      </c>
      <c r="E332" t="s">
        <v>4021</v>
      </c>
      <c r="F332" s="18">
        <f>IF($D$5="tak",(SUMIFS(AE:AE,AA:AA,Obrotowka[[#This Row],[GL_Account]])-SUMIFS(U:U,S:S,Obrotowka[[#This Row],[GL_Account]])+SUMIFS(U:U,T:T,Obrotowka[[#This Row],[GL_Account]]))/1000,(SUMIFS(AE:AE,AA:AA,Obrotowka[[#This Row],[GL_Account]])-SUMIFS(U:U,S:S,Obrotowka[[#This Row],[GL_Account]])+SUMIFS(U:U,T:T,Obrotowka[[#This Row],[GL_Account]])))</f>
        <v>0</v>
      </c>
      <c r="G332" s="18">
        <f>IF($D$5="tak",(SUMIFS(AL:AL,AH:AH,Obrotowka[[#This Row],[GL_Account]],AL:AL,"&gt;=0")-SUMIFS(V:V,S:S,Obrotowka[[#This Row],[GL_Account]])+SUMIFS(V:V,T:T,Obrotowka[[#This Row],[GL_Account]]))/1000,(SUMIFS(AL:AL,AH:AH,Obrotowka[[#This Row],[GL_Account]],AL:AL,"&gt;=0")-SUMIFS(V:V,S:S,Obrotowka[[#This Row],[GL_Account]])+SUMIFS(V:V,T:T,Obrotowka[[#This Row],[GL_Account]])))</f>
        <v>0</v>
      </c>
      <c r="H332" s="18">
        <f>IF($D$5="tak",SUMIFS(AL:AL,AH:AH,Obrotowka[[#This Row],[GL_Account]],AL:AL,"&lt;0")/1000,SUMIFS(AL:AL,AH:AH,Obrotowka[[#This Row],[GL_Account]],AL:AL,"&lt;0"))</f>
        <v>0</v>
      </c>
      <c r="I332" s="18">
        <f>SUM(Obrotowka[[#This Row],[BO]:[MA]])</f>
        <v>0</v>
      </c>
      <c r="J332">
        <f>IF(Obrotowka[[#This Row],[BZ]]=0,0,1)</f>
        <v>0</v>
      </c>
      <c r="K332" s="253"/>
      <c r="AF332" s="18"/>
      <c r="AU332" t="s">
        <v>8690</v>
      </c>
    </row>
    <row r="333" spans="2:47" x14ac:dyDescent="0.3">
      <c r="B333" t="s">
        <v>12076</v>
      </c>
      <c r="C333" t="s">
        <v>12077</v>
      </c>
      <c r="D333" t="s">
        <v>11918</v>
      </c>
      <c r="E333" t="s">
        <v>4021</v>
      </c>
      <c r="F333" s="18">
        <f>IF($D$5="tak",(SUMIFS(AE:AE,AA:AA,Obrotowka[[#This Row],[GL_Account]])-SUMIFS(U:U,S:S,Obrotowka[[#This Row],[GL_Account]])+SUMIFS(U:U,T:T,Obrotowka[[#This Row],[GL_Account]]))/1000,(SUMIFS(AE:AE,AA:AA,Obrotowka[[#This Row],[GL_Account]])-SUMIFS(U:U,S:S,Obrotowka[[#This Row],[GL_Account]])+SUMIFS(U:U,T:T,Obrotowka[[#This Row],[GL_Account]])))</f>
        <v>0</v>
      </c>
      <c r="G333" s="18">
        <f>IF($D$5="tak",(SUMIFS(AL:AL,AH:AH,Obrotowka[[#This Row],[GL_Account]],AL:AL,"&gt;=0")-SUMIFS(V:V,S:S,Obrotowka[[#This Row],[GL_Account]])+SUMIFS(V:V,T:T,Obrotowka[[#This Row],[GL_Account]]))/1000,(SUMIFS(AL:AL,AH:AH,Obrotowka[[#This Row],[GL_Account]],AL:AL,"&gt;=0")-SUMIFS(V:V,S:S,Obrotowka[[#This Row],[GL_Account]])+SUMIFS(V:V,T:T,Obrotowka[[#This Row],[GL_Account]])))</f>
        <v>0</v>
      </c>
      <c r="H333" s="18">
        <f>IF($D$5="tak",SUMIFS(AL:AL,AH:AH,Obrotowka[[#This Row],[GL_Account]],AL:AL,"&lt;0")/1000,SUMIFS(AL:AL,AH:AH,Obrotowka[[#This Row],[GL_Account]],AL:AL,"&lt;0"))</f>
        <v>0</v>
      </c>
      <c r="I333" s="18">
        <f>SUM(Obrotowka[[#This Row],[BO]:[MA]])</f>
        <v>0</v>
      </c>
      <c r="J333">
        <f>IF(Obrotowka[[#This Row],[BZ]]=0,0,1)</f>
        <v>0</v>
      </c>
      <c r="K333" s="253"/>
      <c r="AF333" s="18"/>
      <c r="AU333" t="s">
        <v>8690</v>
      </c>
    </row>
    <row r="334" spans="2:47" x14ac:dyDescent="0.3">
      <c r="B334" t="s">
        <v>12078</v>
      </c>
      <c r="C334" t="s">
        <v>12079</v>
      </c>
      <c r="D334" t="s">
        <v>11918</v>
      </c>
      <c r="E334" t="s">
        <v>4021</v>
      </c>
      <c r="F334" s="18">
        <f>IF($D$5="tak",(SUMIFS(AE:AE,AA:AA,Obrotowka[[#This Row],[GL_Account]])-SUMIFS(U:U,S:S,Obrotowka[[#This Row],[GL_Account]])+SUMIFS(U:U,T:T,Obrotowka[[#This Row],[GL_Account]]))/1000,(SUMIFS(AE:AE,AA:AA,Obrotowka[[#This Row],[GL_Account]])-SUMIFS(U:U,S:S,Obrotowka[[#This Row],[GL_Account]])+SUMIFS(U:U,T:T,Obrotowka[[#This Row],[GL_Account]])))</f>
        <v>0</v>
      </c>
      <c r="G334" s="18">
        <f>IF($D$5="tak",(SUMIFS(AL:AL,AH:AH,Obrotowka[[#This Row],[GL_Account]],AL:AL,"&gt;=0")-SUMIFS(V:V,S:S,Obrotowka[[#This Row],[GL_Account]])+SUMIFS(V:V,T:T,Obrotowka[[#This Row],[GL_Account]]))/1000,(SUMIFS(AL:AL,AH:AH,Obrotowka[[#This Row],[GL_Account]],AL:AL,"&gt;=0")-SUMIFS(V:V,S:S,Obrotowka[[#This Row],[GL_Account]])+SUMIFS(V:V,T:T,Obrotowka[[#This Row],[GL_Account]])))</f>
        <v>0</v>
      </c>
      <c r="H334" s="18">
        <f>IF($D$5="tak",SUMIFS(AL:AL,AH:AH,Obrotowka[[#This Row],[GL_Account]],AL:AL,"&lt;0")/1000,SUMIFS(AL:AL,AH:AH,Obrotowka[[#This Row],[GL_Account]],AL:AL,"&lt;0"))</f>
        <v>0</v>
      </c>
      <c r="I334" s="18">
        <f>SUM(Obrotowka[[#This Row],[BO]:[MA]])</f>
        <v>0</v>
      </c>
      <c r="J334">
        <f>IF(Obrotowka[[#This Row],[BZ]]=0,0,1)</f>
        <v>0</v>
      </c>
      <c r="K334" s="253"/>
      <c r="AF334" s="18"/>
      <c r="AU334" t="s">
        <v>8690</v>
      </c>
    </row>
    <row r="335" spans="2:47" x14ac:dyDescent="0.3">
      <c r="B335" t="s">
        <v>12080</v>
      </c>
      <c r="C335" t="s">
        <v>12081</v>
      </c>
      <c r="D335" t="s">
        <v>11918</v>
      </c>
      <c r="E335" t="s">
        <v>4021</v>
      </c>
      <c r="F335" s="18">
        <f>IF($D$5="tak",(SUMIFS(AE:AE,AA:AA,Obrotowka[[#This Row],[GL_Account]])-SUMIFS(U:U,S:S,Obrotowka[[#This Row],[GL_Account]])+SUMIFS(U:U,T:T,Obrotowka[[#This Row],[GL_Account]]))/1000,(SUMIFS(AE:AE,AA:AA,Obrotowka[[#This Row],[GL_Account]])-SUMIFS(U:U,S:S,Obrotowka[[#This Row],[GL_Account]])+SUMIFS(U:U,T:T,Obrotowka[[#This Row],[GL_Account]])))</f>
        <v>0</v>
      </c>
      <c r="G335" s="18">
        <f>IF($D$5="tak",(SUMIFS(AL:AL,AH:AH,Obrotowka[[#This Row],[GL_Account]],AL:AL,"&gt;=0")-SUMIFS(V:V,S:S,Obrotowka[[#This Row],[GL_Account]])+SUMIFS(V:V,T:T,Obrotowka[[#This Row],[GL_Account]]))/1000,(SUMIFS(AL:AL,AH:AH,Obrotowka[[#This Row],[GL_Account]],AL:AL,"&gt;=0")-SUMIFS(V:V,S:S,Obrotowka[[#This Row],[GL_Account]])+SUMIFS(V:V,T:T,Obrotowka[[#This Row],[GL_Account]])))</f>
        <v>0</v>
      </c>
      <c r="H335" s="18">
        <f>IF($D$5="tak",SUMIFS(AL:AL,AH:AH,Obrotowka[[#This Row],[GL_Account]],AL:AL,"&lt;0")/1000,SUMIFS(AL:AL,AH:AH,Obrotowka[[#This Row],[GL_Account]],AL:AL,"&lt;0"))</f>
        <v>0</v>
      </c>
      <c r="I335" s="18">
        <f>SUM(Obrotowka[[#This Row],[BO]:[MA]])</f>
        <v>0</v>
      </c>
      <c r="J335">
        <f>IF(Obrotowka[[#This Row],[BZ]]=0,0,1)</f>
        <v>0</v>
      </c>
      <c r="K335" s="253"/>
      <c r="AF335" s="18"/>
      <c r="AU335" t="s">
        <v>8650</v>
      </c>
    </row>
    <row r="336" spans="2:47" x14ac:dyDescent="0.3">
      <c r="B336" t="s">
        <v>12082</v>
      </c>
      <c r="C336" t="s">
        <v>12083</v>
      </c>
      <c r="D336" t="s">
        <v>11918</v>
      </c>
      <c r="E336" t="s">
        <v>4021</v>
      </c>
      <c r="F336" s="18">
        <f>IF($D$5="tak",(SUMIFS(AE:AE,AA:AA,Obrotowka[[#This Row],[GL_Account]])-SUMIFS(U:U,S:S,Obrotowka[[#This Row],[GL_Account]])+SUMIFS(U:U,T:T,Obrotowka[[#This Row],[GL_Account]]))/1000,(SUMIFS(AE:AE,AA:AA,Obrotowka[[#This Row],[GL_Account]])-SUMIFS(U:U,S:S,Obrotowka[[#This Row],[GL_Account]])+SUMIFS(U:U,T:T,Obrotowka[[#This Row],[GL_Account]])))</f>
        <v>0</v>
      </c>
      <c r="G336" s="18">
        <f>IF($D$5="tak",(SUMIFS(AL:AL,AH:AH,Obrotowka[[#This Row],[GL_Account]],AL:AL,"&gt;=0")-SUMIFS(V:V,S:S,Obrotowka[[#This Row],[GL_Account]])+SUMIFS(V:V,T:T,Obrotowka[[#This Row],[GL_Account]]))/1000,(SUMIFS(AL:AL,AH:AH,Obrotowka[[#This Row],[GL_Account]],AL:AL,"&gt;=0")-SUMIFS(V:V,S:S,Obrotowka[[#This Row],[GL_Account]])+SUMIFS(V:V,T:T,Obrotowka[[#This Row],[GL_Account]])))</f>
        <v>0</v>
      </c>
      <c r="H336" s="18">
        <f>IF($D$5="tak",SUMIFS(AL:AL,AH:AH,Obrotowka[[#This Row],[GL_Account]],AL:AL,"&lt;0")/1000,SUMIFS(AL:AL,AH:AH,Obrotowka[[#This Row],[GL_Account]],AL:AL,"&lt;0"))</f>
        <v>0</v>
      </c>
      <c r="I336" s="18">
        <f>SUM(Obrotowka[[#This Row],[BO]:[MA]])</f>
        <v>0</v>
      </c>
      <c r="J336">
        <f>IF(Obrotowka[[#This Row],[BZ]]=0,0,1)</f>
        <v>0</v>
      </c>
      <c r="K336" s="253"/>
      <c r="AF336" s="18"/>
      <c r="AU336" t="s">
        <v>8670</v>
      </c>
    </row>
    <row r="337" spans="2:47" x14ac:dyDescent="0.3">
      <c r="B337" t="s">
        <v>12084</v>
      </c>
      <c r="C337" t="s">
        <v>12085</v>
      </c>
      <c r="D337" t="s">
        <v>11918</v>
      </c>
      <c r="E337" t="s">
        <v>4021</v>
      </c>
      <c r="F337" s="18">
        <f>IF($D$5="tak",(SUMIFS(AE:AE,AA:AA,Obrotowka[[#This Row],[GL_Account]])-SUMIFS(U:U,S:S,Obrotowka[[#This Row],[GL_Account]])+SUMIFS(U:U,T:T,Obrotowka[[#This Row],[GL_Account]]))/1000,(SUMIFS(AE:AE,AA:AA,Obrotowka[[#This Row],[GL_Account]])-SUMIFS(U:U,S:S,Obrotowka[[#This Row],[GL_Account]])+SUMIFS(U:U,T:T,Obrotowka[[#This Row],[GL_Account]])))</f>
        <v>0</v>
      </c>
      <c r="G337" s="18">
        <f>IF($D$5="tak",(SUMIFS(AL:AL,AH:AH,Obrotowka[[#This Row],[GL_Account]],AL:AL,"&gt;=0")-SUMIFS(V:V,S:S,Obrotowka[[#This Row],[GL_Account]])+SUMIFS(V:V,T:T,Obrotowka[[#This Row],[GL_Account]]))/1000,(SUMIFS(AL:AL,AH:AH,Obrotowka[[#This Row],[GL_Account]],AL:AL,"&gt;=0")-SUMIFS(V:V,S:S,Obrotowka[[#This Row],[GL_Account]])+SUMIFS(V:V,T:T,Obrotowka[[#This Row],[GL_Account]])))</f>
        <v>0</v>
      </c>
      <c r="H337" s="18">
        <f>IF($D$5="tak",SUMIFS(AL:AL,AH:AH,Obrotowka[[#This Row],[GL_Account]],AL:AL,"&lt;0")/1000,SUMIFS(AL:AL,AH:AH,Obrotowka[[#This Row],[GL_Account]],AL:AL,"&lt;0"))</f>
        <v>0</v>
      </c>
      <c r="I337" s="18">
        <f>SUM(Obrotowka[[#This Row],[BO]:[MA]])</f>
        <v>0</v>
      </c>
      <c r="J337">
        <f>IF(Obrotowka[[#This Row],[BZ]]=0,0,1)</f>
        <v>0</v>
      </c>
      <c r="K337" s="253"/>
      <c r="AF337" s="18"/>
      <c r="AU337" t="s">
        <v>8670</v>
      </c>
    </row>
    <row r="338" spans="2:47" x14ac:dyDescent="0.3">
      <c r="B338" t="s">
        <v>12086</v>
      </c>
      <c r="C338" t="s">
        <v>12087</v>
      </c>
      <c r="D338" t="s">
        <v>11918</v>
      </c>
      <c r="E338" t="s">
        <v>4021</v>
      </c>
      <c r="F338" s="18">
        <f>IF($D$5="tak",(SUMIFS(AE:AE,AA:AA,Obrotowka[[#This Row],[GL_Account]])-SUMIFS(U:U,S:S,Obrotowka[[#This Row],[GL_Account]])+SUMIFS(U:U,T:T,Obrotowka[[#This Row],[GL_Account]]))/1000,(SUMIFS(AE:AE,AA:AA,Obrotowka[[#This Row],[GL_Account]])-SUMIFS(U:U,S:S,Obrotowka[[#This Row],[GL_Account]])+SUMIFS(U:U,T:T,Obrotowka[[#This Row],[GL_Account]])))</f>
        <v>0</v>
      </c>
      <c r="G338" s="18">
        <f>IF($D$5="tak",(SUMIFS(AL:AL,AH:AH,Obrotowka[[#This Row],[GL_Account]],AL:AL,"&gt;=0")-SUMIFS(V:V,S:S,Obrotowka[[#This Row],[GL_Account]])+SUMIFS(V:V,T:T,Obrotowka[[#This Row],[GL_Account]]))/1000,(SUMIFS(AL:AL,AH:AH,Obrotowka[[#This Row],[GL_Account]],AL:AL,"&gt;=0")-SUMIFS(V:V,S:S,Obrotowka[[#This Row],[GL_Account]])+SUMIFS(V:V,T:T,Obrotowka[[#This Row],[GL_Account]])))</f>
        <v>0</v>
      </c>
      <c r="H338" s="18">
        <f>IF($D$5="tak",SUMIFS(AL:AL,AH:AH,Obrotowka[[#This Row],[GL_Account]],AL:AL,"&lt;0")/1000,SUMIFS(AL:AL,AH:AH,Obrotowka[[#This Row],[GL_Account]],AL:AL,"&lt;0"))</f>
        <v>0</v>
      </c>
      <c r="I338" s="18">
        <f>SUM(Obrotowka[[#This Row],[BO]:[MA]])</f>
        <v>0</v>
      </c>
      <c r="J338">
        <f>IF(Obrotowka[[#This Row],[BZ]]=0,0,1)</f>
        <v>0</v>
      </c>
      <c r="K338" s="253"/>
      <c r="AF338" s="18"/>
      <c r="AU338" t="s">
        <v>8670</v>
      </c>
    </row>
    <row r="339" spans="2:47" x14ac:dyDescent="0.3">
      <c r="B339" t="s">
        <v>12088</v>
      </c>
      <c r="C339" t="s">
        <v>12089</v>
      </c>
      <c r="D339" t="s">
        <v>11918</v>
      </c>
      <c r="E339" t="s">
        <v>4021</v>
      </c>
      <c r="F339" s="18">
        <f>IF($D$5="tak",(SUMIFS(AE:AE,AA:AA,Obrotowka[[#This Row],[GL_Account]])-SUMIFS(U:U,S:S,Obrotowka[[#This Row],[GL_Account]])+SUMIFS(U:U,T:T,Obrotowka[[#This Row],[GL_Account]]))/1000,(SUMIFS(AE:AE,AA:AA,Obrotowka[[#This Row],[GL_Account]])-SUMIFS(U:U,S:S,Obrotowka[[#This Row],[GL_Account]])+SUMIFS(U:U,T:T,Obrotowka[[#This Row],[GL_Account]])))</f>
        <v>0</v>
      </c>
      <c r="G339" s="18">
        <f>IF($D$5="tak",(SUMIFS(AL:AL,AH:AH,Obrotowka[[#This Row],[GL_Account]],AL:AL,"&gt;=0")-SUMIFS(V:V,S:S,Obrotowka[[#This Row],[GL_Account]])+SUMIFS(V:V,T:T,Obrotowka[[#This Row],[GL_Account]]))/1000,(SUMIFS(AL:AL,AH:AH,Obrotowka[[#This Row],[GL_Account]],AL:AL,"&gt;=0")-SUMIFS(V:V,S:S,Obrotowka[[#This Row],[GL_Account]])+SUMIFS(V:V,T:T,Obrotowka[[#This Row],[GL_Account]])))</f>
        <v>0</v>
      </c>
      <c r="H339" s="18">
        <f>IF($D$5="tak",SUMIFS(AL:AL,AH:AH,Obrotowka[[#This Row],[GL_Account]],AL:AL,"&lt;0")/1000,SUMIFS(AL:AL,AH:AH,Obrotowka[[#This Row],[GL_Account]],AL:AL,"&lt;0"))</f>
        <v>0</v>
      </c>
      <c r="I339" s="18">
        <f>SUM(Obrotowka[[#This Row],[BO]:[MA]])</f>
        <v>0</v>
      </c>
      <c r="J339">
        <f>IF(Obrotowka[[#This Row],[BZ]]=0,0,1)</f>
        <v>0</v>
      </c>
      <c r="K339" s="253"/>
      <c r="AF339" s="18"/>
      <c r="AU339" t="s">
        <v>8670</v>
      </c>
    </row>
    <row r="340" spans="2:47" x14ac:dyDescent="0.3">
      <c r="B340" t="s">
        <v>12090</v>
      </c>
      <c r="C340" t="s">
        <v>12091</v>
      </c>
      <c r="D340" t="s">
        <v>11918</v>
      </c>
      <c r="E340" t="s">
        <v>4021</v>
      </c>
      <c r="F340" s="18">
        <f>IF($D$5="tak",(SUMIFS(AE:AE,AA:AA,Obrotowka[[#This Row],[GL_Account]])-SUMIFS(U:U,S:S,Obrotowka[[#This Row],[GL_Account]])+SUMIFS(U:U,T:T,Obrotowka[[#This Row],[GL_Account]]))/1000,(SUMIFS(AE:AE,AA:AA,Obrotowka[[#This Row],[GL_Account]])-SUMIFS(U:U,S:S,Obrotowka[[#This Row],[GL_Account]])+SUMIFS(U:U,T:T,Obrotowka[[#This Row],[GL_Account]])))</f>
        <v>0</v>
      </c>
      <c r="G340" s="18">
        <f>IF($D$5="tak",(SUMIFS(AL:AL,AH:AH,Obrotowka[[#This Row],[GL_Account]],AL:AL,"&gt;=0")-SUMIFS(V:V,S:S,Obrotowka[[#This Row],[GL_Account]])+SUMIFS(V:V,T:T,Obrotowka[[#This Row],[GL_Account]]))/1000,(SUMIFS(AL:AL,AH:AH,Obrotowka[[#This Row],[GL_Account]],AL:AL,"&gt;=0")-SUMIFS(V:V,S:S,Obrotowka[[#This Row],[GL_Account]])+SUMIFS(V:V,T:T,Obrotowka[[#This Row],[GL_Account]])))</f>
        <v>0</v>
      </c>
      <c r="H340" s="18">
        <f>IF($D$5="tak",SUMIFS(AL:AL,AH:AH,Obrotowka[[#This Row],[GL_Account]],AL:AL,"&lt;0")/1000,SUMIFS(AL:AL,AH:AH,Obrotowka[[#This Row],[GL_Account]],AL:AL,"&lt;0"))</f>
        <v>0</v>
      </c>
      <c r="I340" s="18">
        <f>SUM(Obrotowka[[#This Row],[BO]:[MA]])</f>
        <v>0</v>
      </c>
      <c r="J340">
        <f>IF(Obrotowka[[#This Row],[BZ]]=0,0,1)</f>
        <v>0</v>
      </c>
      <c r="K340" s="253"/>
      <c r="AF340" s="18"/>
      <c r="AU340" t="s">
        <v>8670</v>
      </c>
    </row>
    <row r="341" spans="2:47" x14ac:dyDescent="0.3">
      <c r="B341" t="s">
        <v>12092</v>
      </c>
      <c r="C341" t="s">
        <v>12093</v>
      </c>
      <c r="D341" t="s">
        <v>11918</v>
      </c>
      <c r="E341" t="s">
        <v>4021</v>
      </c>
      <c r="F341" s="18">
        <f>IF($D$5="tak",(SUMIFS(AE:AE,AA:AA,Obrotowka[[#This Row],[GL_Account]])-SUMIFS(U:U,S:S,Obrotowka[[#This Row],[GL_Account]])+SUMIFS(U:U,T:T,Obrotowka[[#This Row],[GL_Account]]))/1000,(SUMIFS(AE:AE,AA:AA,Obrotowka[[#This Row],[GL_Account]])-SUMIFS(U:U,S:S,Obrotowka[[#This Row],[GL_Account]])+SUMIFS(U:U,T:T,Obrotowka[[#This Row],[GL_Account]])))</f>
        <v>0</v>
      </c>
      <c r="G341" s="18">
        <f>IF($D$5="tak",(SUMIFS(AL:AL,AH:AH,Obrotowka[[#This Row],[GL_Account]],AL:AL,"&gt;=0")-SUMIFS(V:V,S:S,Obrotowka[[#This Row],[GL_Account]])+SUMIFS(V:V,T:T,Obrotowka[[#This Row],[GL_Account]]))/1000,(SUMIFS(AL:AL,AH:AH,Obrotowka[[#This Row],[GL_Account]],AL:AL,"&gt;=0")-SUMIFS(V:V,S:S,Obrotowka[[#This Row],[GL_Account]])+SUMIFS(V:V,T:T,Obrotowka[[#This Row],[GL_Account]])))</f>
        <v>0</v>
      </c>
      <c r="H341" s="18">
        <f>IF($D$5="tak",SUMIFS(AL:AL,AH:AH,Obrotowka[[#This Row],[GL_Account]],AL:AL,"&lt;0")/1000,SUMIFS(AL:AL,AH:AH,Obrotowka[[#This Row],[GL_Account]],AL:AL,"&lt;0"))</f>
        <v>0</v>
      </c>
      <c r="I341" s="18">
        <f>SUM(Obrotowka[[#This Row],[BO]:[MA]])</f>
        <v>0</v>
      </c>
      <c r="J341">
        <f>IF(Obrotowka[[#This Row],[BZ]]=0,0,1)</f>
        <v>0</v>
      </c>
      <c r="K341" s="253"/>
      <c r="AF341" s="18"/>
      <c r="AU341" t="s">
        <v>8670</v>
      </c>
    </row>
    <row r="342" spans="2:47" x14ac:dyDescent="0.3">
      <c r="B342" t="s">
        <v>12094</v>
      </c>
      <c r="C342" t="s">
        <v>12095</v>
      </c>
      <c r="D342" t="s">
        <v>11918</v>
      </c>
      <c r="E342" t="s">
        <v>4021</v>
      </c>
      <c r="F342" s="18">
        <f>IF($D$5="tak",(SUMIFS(AE:AE,AA:AA,Obrotowka[[#This Row],[GL_Account]])-SUMIFS(U:U,S:S,Obrotowka[[#This Row],[GL_Account]])+SUMIFS(U:U,T:T,Obrotowka[[#This Row],[GL_Account]]))/1000,(SUMIFS(AE:AE,AA:AA,Obrotowka[[#This Row],[GL_Account]])-SUMIFS(U:U,S:S,Obrotowka[[#This Row],[GL_Account]])+SUMIFS(U:U,T:T,Obrotowka[[#This Row],[GL_Account]])))</f>
        <v>0</v>
      </c>
      <c r="G342" s="18">
        <f>IF($D$5="tak",(SUMIFS(AL:AL,AH:AH,Obrotowka[[#This Row],[GL_Account]],AL:AL,"&gt;=0")-SUMIFS(V:V,S:S,Obrotowka[[#This Row],[GL_Account]])+SUMIFS(V:V,T:T,Obrotowka[[#This Row],[GL_Account]]))/1000,(SUMIFS(AL:AL,AH:AH,Obrotowka[[#This Row],[GL_Account]],AL:AL,"&gt;=0")-SUMIFS(V:V,S:S,Obrotowka[[#This Row],[GL_Account]])+SUMIFS(V:V,T:T,Obrotowka[[#This Row],[GL_Account]])))</f>
        <v>0</v>
      </c>
      <c r="H342" s="18">
        <f>IF($D$5="tak",SUMIFS(AL:AL,AH:AH,Obrotowka[[#This Row],[GL_Account]],AL:AL,"&lt;0")/1000,SUMIFS(AL:AL,AH:AH,Obrotowka[[#This Row],[GL_Account]],AL:AL,"&lt;0"))</f>
        <v>0</v>
      </c>
      <c r="I342" s="18">
        <f>SUM(Obrotowka[[#This Row],[BO]:[MA]])</f>
        <v>0</v>
      </c>
      <c r="J342">
        <f>IF(Obrotowka[[#This Row],[BZ]]=0,0,1)</f>
        <v>0</v>
      </c>
      <c r="K342" s="253"/>
      <c r="AF342" s="18"/>
      <c r="AU342" t="s">
        <v>8670</v>
      </c>
    </row>
    <row r="343" spans="2:47" x14ac:dyDescent="0.3">
      <c r="B343" t="s">
        <v>12096</v>
      </c>
      <c r="C343" t="s">
        <v>12097</v>
      </c>
      <c r="D343" t="s">
        <v>11918</v>
      </c>
      <c r="E343" t="s">
        <v>4021</v>
      </c>
      <c r="F343" s="18">
        <f>IF($D$5="tak",(SUMIFS(AE:AE,AA:AA,Obrotowka[[#This Row],[GL_Account]])-SUMIFS(U:U,S:S,Obrotowka[[#This Row],[GL_Account]])+SUMIFS(U:U,T:T,Obrotowka[[#This Row],[GL_Account]]))/1000,(SUMIFS(AE:AE,AA:AA,Obrotowka[[#This Row],[GL_Account]])-SUMIFS(U:U,S:S,Obrotowka[[#This Row],[GL_Account]])+SUMIFS(U:U,T:T,Obrotowka[[#This Row],[GL_Account]])))</f>
        <v>0</v>
      </c>
      <c r="G343" s="18">
        <f>IF($D$5="tak",(SUMIFS(AL:AL,AH:AH,Obrotowka[[#This Row],[GL_Account]],AL:AL,"&gt;=0")-SUMIFS(V:V,S:S,Obrotowka[[#This Row],[GL_Account]])+SUMIFS(V:V,T:T,Obrotowka[[#This Row],[GL_Account]]))/1000,(SUMIFS(AL:AL,AH:AH,Obrotowka[[#This Row],[GL_Account]],AL:AL,"&gt;=0")-SUMIFS(V:V,S:S,Obrotowka[[#This Row],[GL_Account]])+SUMIFS(V:V,T:T,Obrotowka[[#This Row],[GL_Account]])))</f>
        <v>0</v>
      </c>
      <c r="H343" s="18">
        <f>IF($D$5="tak",SUMIFS(AL:AL,AH:AH,Obrotowka[[#This Row],[GL_Account]],AL:AL,"&lt;0")/1000,SUMIFS(AL:AL,AH:AH,Obrotowka[[#This Row],[GL_Account]],AL:AL,"&lt;0"))</f>
        <v>0</v>
      </c>
      <c r="I343" s="18">
        <f>SUM(Obrotowka[[#This Row],[BO]:[MA]])</f>
        <v>0</v>
      </c>
      <c r="J343">
        <f>IF(Obrotowka[[#This Row],[BZ]]=0,0,1)</f>
        <v>0</v>
      </c>
      <c r="K343" s="253"/>
      <c r="AF343" s="18"/>
      <c r="AU343" t="s">
        <v>8670</v>
      </c>
    </row>
    <row r="344" spans="2:47" x14ac:dyDescent="0.3">
      <c r="B344" t="s">
        <v>12098</v>
      </c>
      <c r="C344" t="s">
        <v>12099</v>
      </c>
      <c r="D344" t="s">
        <v>11918</v>
      </c>
      <c r="E344" t="s">
        <v>4021</v>
      </c>
      <c r="F344" s="18">
        <f>IF($D$5="tak",(SUMIFS(AE:AE,AA:AA,Obrotowka[[#This Row],[GL_Account]])-SUMIFS(U:U,S:S,Obrotowka[[#This Row],[GL_Account]])+SUMIFS(U:U,T:T,Obrotowka[[#This Row],[GL_Account]]))/1000,(SUMIFS(AE:AE,AA:AA,Obrotowka[[#This Row],[GL_Account]])-SUMIFS(U:U,S:S,Obrotowka[[#This Row],[GL_Account]])+SUMIFS(U:U,T:T,Obrotowka[[#This Row],[GL_Account]])))</f>
        <v>0</v>
      </c>
      <c r="G344" s="18">
        <f>IF($D$5="tak",(SUMIFS(AL:AL,AH:AH,Obrotowka[[#This Row],[GL_Account]],AL:AL,"&gt;=0")-SUMIFS(V:V,S:S,Obrotowka[[#This Row],[GL_Account]])+SUMIFS(V:V,T:T,Obrotowka[[#This Row],[GL_Account]]))/1000,(SUMIFS(AL:AL,AH:AH,Obrotowka[[#This Row],[GL_Account]],AL:AL,"&gt;=0")-SUMIFS(V:V,S:S,Obrotowka[[#This Row],[GL_Account]])+SUMIFS(V:V,T:T,Obrotowka[[#This Row],[GL_Account]])))</f>
        <v>0</v>
      </c>
      <c r="H344" s="18">
        <f>IF($D$5="tak",SUMIFS(AL:AL,AH:AH,Obrotowka[[#This Row],[GL_Account]],AL:AL,"&lt;0")/1000,SUMIFS(AL:AL,AH:AH,Obrotowka[[#This Row],[GL_Account]],AL:AL,"&lt;0"))</f>
        <v>0</v>
      </c>
      <c r="I344" s="18">
        <f>SUM(Obrotowka[[#This Row],[BO]:[MA]])</f>
        <v>0</v>
      </c>
      <c r="J344">
        <f>IF(Obrotowka[[#This Row],[BZ]]=0,0,1)</f>
        <v>0</v>
      </c>
      <c r="K344" s="253"/>
      <c r="AF344" s="18"/>
      <c r="AU344" t="s">
        <v>8670</v>
      </c>
    </row>
    <row r="345" spans="2:47" x14ac:dyDescent="0.3">
      <c r="B345" t="s">
        <v>12100</v>
      </c>
      <c r="C345" t="s">
        <v>12101</v>
      </c>
      <c r="D345" t="s">
        <v>11918</v>
      </c>
      <c r="E345" t="s">
        <v>4021</v>
      </c>
      <c r="F345" s="18">
        <f>IF($D$5="tak",(SUMIFS(AE:AE,AA:AA,Obrotowka[[#This Row],[GL_Account]])-SUMIFS(U:U,S:S,Obrotowka[[#This Row],[GL_Account]])+SUMIFS(U:U,T:T,Obrotowka[[#This Row],[GL_Account]]))/1000,(SUMIFS(AE:AE,AA:AA,Obrotowka[[#This Row],[GL_Account]])-SUMIFS(U:U,S:S,Obrotowka[[#This Row],[GL_Account]])+SUMIFS(U:U,T:T,Obrotowka[[#This Row],[GL_Account]])))</f>
        <v>0</v>
      </c>
      <c r="G345" s="18">
        <f>IF($D$5="tak",(SUMIFS(AL:AL,AH:AH,Obrotowka[[#This Row],[GL_Account]],AL:AL,"&gt;=0")-SUMIFS(V:V,S:S,Obrotowka[[#This Row],[GL_Account]])+SUMIFS(V:V,T:T,Obrotowka[[#This Row],[GL_Account]]))/1000,(SUMIFS(AL:AL,AH:AH,Obrotowka[[#This Row],[GL_Account]],AL:AL,"&gt;=0")-SUMIFS(V:V,S:S,Obrotowka[[#This Row],[GL_Account]])+SUMIFS(V:V,T:T,Obrotowka[[#This Row],[GL_Account]])))</f>
        <v>0</v>
      </c>
      <c r="H345" s="18">
        <f>IF($D$5="tak",SUMIFS(AL:AL,AH:AH,Obrotowka[[#This Row],[GL_Account]],AL:AL,"&lt;0")/1000,SUMIFS(AL:AL,AH:AH,Obrotowka[[#This Row],[GL_Account]],AL:AL,"&lt;0"))</f>
        <v>0</v>
      </c>
      <c r="I345" s="18">
        <f>SUM(Obrotowka[[#This Row],[BO]:[MA]])</f>
        <v>0</v>
      </c>
      <c r="J345">
        <f>IF(Obrotowka[[#This Row],[BZ]]=0,0,1)</f>
        <v>0</v>
      </c>
      <c r="K345" s="253"/>
      <c r="AF345" s="18"/>
      <c r="AU345" t="s">
        <v>8679</v>
      </c>
    </row>
    <row r="346" spans="2:47" x14ac:dyDescent="0.3">
      <c r="B346" t="s">
        <v>12102</v>
      </c>
      <c r="C346" t="s">
        <v>12103</v>
      </c>
      <c r="D346" t="s">
        <v>11918</v>
      </c>
      <c r="E346" t="s">
        <v>4021</v>
      </c>
      <c r="F346" s="18">
        <f>IF($D$5="tak",(SUMIFS(AE:AE,AA:AA,Obrotowka[[#This Row],[GL_Account]])-SUMIFS(U:U,S:S,Obrotowka[[#This Row],[GL_Account]])+SUMIFS(U:U,T:T,Obrotowka[[#This Row],[GL_Account]]))/1000,(SUMIFS(AE:AE,AA:AA,Obrotowka[[#This Row],[GL_Account]])-SUMIFS(U:U,S:S,Obrotowka[[#This Row],[GL_Account]])+SUMIFS(U:U,T:T,Obrotowka[[#This Row],[GL_Account]])))</f>
        <v>0</v>
      </c>
      <c r="G346" s="18">
        <f>IF($D$5="tak",(SUMIFS(AL:AL,AH:AH,Obrotowka[[#This Row],[GL_Account]],AL:AL,"&gt;=0")-SUMIFS(V:V,S:S,Obrotowka[[#This Row],[GL_Account]])+SUMIFS(V:V,T:T,Obrotowka[[#This Row],[GL_Account]]))/1000,(SUMIFS(AL:AL,AH:AH,Obrotowka[[#This Row],[GL_Account]],AL:AL,"&gt;=0")-SUMIFS(V:V,S:S,Obrotowka[[#This Row],[GL_Account]])+SUMIFS(V:V,T:T,Obrotowka[[#This Row],[GL_Account]])))</f>
        <v>0</v>
      </c>
      <c r="H346" s="18">
        <f>IF($D$5="tak",SUMIFS(AL:AL,AH:AH,Obrotowka[[#This Row],[GL_Account]],AL:AL,"&lt;0")/1000,SUMIFS(AL:AL,AH:AH,Obrotowka[[#This Row],[GL_Account]],AL:AL,"&lt;0"))</f>
        <v>0</v>
      </c>
      <c r="I346" s="18">
        <f>SUM(Obrotowka[[#This Row],[BO]:[MA]])</f>
        <v>0</v>
      </c>
      <c r="J346">
        <f>IF(Obrotowka[[#This Row],[BZ]]=0,0,1)</f>
        <v>0</v>
      </c>
      <c r="K346" s="253"/>
      <c r="AF346" s="18"/>
      <c r="AU346" t="s">
        <v>8687</v>
      </c>
    </row>
    <row r="347" spans="2:47" x14ac:dyDescent="0.3">
      <c r="B347" t="s">
        <v>12104</v>
      </c>
      <c r="C347" t="s">
        <v>12105</v>
      </c>
      <c r="D347" t="s">
        <v>11918</v>
      </c>
      <c r="E347" t="s">
        <v>4021</v>
      </c>
      <c r="F347" s="18">
        <f>IF($D$5="tak",(SUMIFS(AE:AE,AA:AA,Obrotowka[[#This Row],[GL_Account]])-SUMIFS(U:U,S:S,Obrotowka[[#This Row],[GL_Account]])+SUMIFS(U:U,T:T,Obrotowka[[#This Row],[GL_Account]]))/1000,(SUMIFS(AE:AE,AA:AA,Obrotowka[[#This Row],[GL_Account]])-SUMIFS(U:U,S:S,Obrotowka[[#This Row],[GL_Account]])+SUMIFS(U:U,T:T,Obrotowka[[#This Row],[GL_Account]])))</f>
        <v>0</v>
      </c>
      <c r="G347" s="18">
        <f>IF($D$5="tak",(SUMIFS(AL:AL,AH:AH,Obrotowka[[#This Row],[GL_Account]],AL:AL,"&gt;=0")-SUMIFS(V:V,S:S,Obrotowka[[#This Row],[GL_Account]])+SUMIFS(V:V,T:T,Obrotowka[[#This Row],[GL_Account]]))/1000,(SUMIFS(AL:AL,AH:AH,Obrotowka[[#This Row],[GL_Account]],AL:AL,"&gt;=0")-SUMIFS(V:V,S:S,Obrotowka[[#This Row],[GL_Account]])+SUMIFS(V:V,T:T,Obrotowka[[#This Row],[GL_Account]])))</f>
        <v>0</v>
      </c>
      <c r="H347" s="18">
        <f>IF($D$5="tak",SUMIFS(AL:AL,AH:AH,Obrotowka[[#This Row],[GL_Account]],AL:AL,"&lt;0")/1000,SUMIFS(AL:AL,AH:AH,Obrotowka[[#This Row],[GL_Account]],AL:AL,"&lt;0"))</f>
        <v>0</v>
      </c>
      <c r="I347" s="18">
        <f>SUM(Obrotowka[[#This Row],[BO]:[MA]])</f>
        <v>0</v>
      </c>
      <c r="J347">
        <f>IF(Obrotowka[[#This Row],[BZ]]=0,0,1)</f>
        <v>0</v>
      </c>
      <c r="K347" s="253"/>
      <c r="AF347" s="18"/>
      <c r="AU347" t="s">
        <v>8687</v>
      </c>
    </row>
    <row r="348" spans="2:47" x14ac:dyDescent="0.3">
      <c r="B348" t="s">
        <v>12106</v>
      </c>
      <c r="C348" t="s">
        <v>12107</v>
      </c>
      <c r="D348" t="s">
        <v>11918</v>
      </c>
      <c r="E348" t="s">
        <v>4021</v>
      </c>
      <c r="F348" s="18">
        <f>IF($D$5="tak",(SUMIFS(AE:AE,AA:AA,Obrotowka[[#This Row],[GL_Account]])-SUMIFS(U:U,S:S,Obrotowka[[#This Row],[GL_Account]])+SUMIFS(U:U,T:T,Obrotowka[[#This Row],[GL_Account]]))/1000,(SUMIFS(AE:AE,AA:AA,Obrotowka[[#This Row],[GL_Account]])-SUMIFS(U:U,S:S,Obrotowka[[#This Row],[GL_Account]])+SUMIFS(U:U,T:T,Obrotowka[[#This Row],[GL_Account]])))</f>
        <v>0</v>
      </c>
      <c r="G348" s="18">
        <f>IF($D$5="tak",(SUMIFS(AL:AL,AH:AH,Obrotowka[[#This Row],[GL_Account]],AL:AL,"&gt;=0")-SUMIFS(V:V,S:S,Obrotowka[[#This Row],[GL_Account]])+SUMIFS(V:V,T:T,Obrotowka[[#This Row],[GL_Account]]))/1000,(SUMIFS(AL:AL,AH:AH,Obrotowka[[#This Row],[GL_Account]],AL:AL,"&gt;=0")-SUMIFS(V:V,S:S,Obrotowka[[#This Row],[GL_Account]])+SUMIFS(V:V,T:T,Obrotowka[[#This Row],[GL_Account]])))</f>
        <v>0</v>
      </c>
      <c r="H348" s="18">
        <f>IF($D$5="tak",SUMIFS(AL:AL,AH:AH,Obrotowka[[#This Row],[GL_Account]],AL:AL,"&lt;0")/1000,SUMIFS(AL:AL,AH:AH,Obrotowka[[#This Row],[GL_Account]],AL:AL,"&lt;0"))</f>
        <v>0</v>
      </c>
      <c r="I348" s="18">
        <f>SUM(Obrotowka[[#This Row],[BO]:[MA]])</f>
        <v>0</v>
      </c>
      <c r="J348">
        <f>IF(Obrotowka[[#This Row],[BZ]]=0,0,1)</f>
        <v>0</v>
      </c>
      <c r="K348" s="253"/>
      <c r="AF348" s="18"/>
      <c r="AU348" t="s">
        <v>8687</v>
      </c>
    </row>
    <row r="349" spans="2:47" x14ac:dyDescent="0.3">
      <c r="B349" t="s">
        <v>12108</v>
      </c>
      <c r="C349" t="s">
        <v>12109</v>
      </c>
      <c r="D349" t="s">
        <v>11918</v>
      </c>
      <c r="E349" t="s">
        <v>4021</v>
      </c>
      <c r="F349" s="18">
        <f>IF($D$5="tak",(SUMIFS(AE:AE,AA:AA,Obrotowka[[#This Row],[GL_Account]])-SUMIFS(U:U,S:S,Obrotowka[[#This Row],[GL_Account]])+SUMIFS(U:U,T:T,Obrotowka[[#This Row],[GL_Account]]))/1000,(SUMIFS(AE:AE,AA:AA,Obrotowka[[#This Row],[GL_Account]])-SUMIFS(U:U,S:S,Obrotowka[[#This Row],[GL_Account]])+SUMIFS(U:U,T:T,Obrotowka[[#This Row],[GL_Account]])))</f>
        <v>0</v>
      </c>
      <c r="G349" s="18">
        <f>IF($D$5="tak",(SUMIFS(AL:AL,AH:AH,Obrotowka[[#This Row],[GL_Account]],AL:AL,"&gt;=0")-SUMIFS(V:V,S:S,Obrotowka[[#This Row],[GL_Account]])+SUMIFS(V:V,T:T,Obrotowka[[#This Row],[GL_Account]]))/1000,(SUMIFS(AL:AL,AH:AH,Obrotowka[[#This Row],[GL_Account]],AL:AL,"&gt;=0")-SUMIFS(V:V,S:S,Obrotowka[[#This Row],[GL_Account]])+SUMIFS(V:V,T:T,Obrotowka[[#This Row],[GL_Account]])))</f>
        <v>0</v>
      </c>
      <c r="H349" s="18">
        <f>IF($D$5="tak",SUMIFS(AL:AL,AH:AH,Obrotowka[[#This Row],[GL_Account]],AL:AL,"&lt;0")/1000,SUMIFS(AL:AL,AH:AH,Obrotowka[[#This Row],[GL_Account]],AL:AL,"&lt;0"))</f>
        <v>0</v>
      </c>
      <c r="I349" s="18">
        <f>SUM(Obrotowka[[#This Row],[BO]:[MA]])</f>
        <v>0</v>
      </c>
      <c r="J349">
        <f>IF(Obrotowka[[#This Row],[BZ]]=0,0,1)</f>
        <v>0</v>
      </c>
      <c r="K349" s="253"/>
      <c r="AF349" s="18"/>
      <c r="AU349" t="s">
        <v>8687</v>
      </c>
    </row>
    <row r="350" spans="2:47" x14ac:dyDescent="0.3">
      <c r="B350" t="s">
        <v>12110</v>
      </c>
      <c r="C350" t="s">
        <v>12111</v>
      </c>
      <c r="D350" t="s">
        <v>11918</v>
      </c>
      <c r="E350" t="s">
        <v>4021</v>
      </c>
      <c r="F350" s="18">
        <f>IF($D$5="tak",(SUMIFS(AE:AE,AA:AA,Obrotowka[[#This Row],[GL_Account]])-SUMIFS(U:U,S:S,Obrotowka[[#This Row],[GL_Account]])+SUMIFS(U:U,T:T,Obrotowka[[#This Row],[GL_Account]]))/1000,(SUMIFS(AE:AE,AA:AA,Obrotowka[[#This Row],[GL_Account]])-SUMIFS(U:U,S:S,Obrotowka[[#This Row],[GL_Account]])+SUMIFS(U:U,T:T,Obrotowka[[#This Row],[GL_Account]])))</f>
        <v>0</v>
      </c>
      <c r="G350" s="18">
        <f>IF($D$5="tak",(SUMIFS(AL:AL,AH:AH,Obrotowka[[#This Row],[GL_Account]],AL:AL,"&gt;=0")-SUMIFS(V:V,S:S,Obrotowka[[#This Row],[GL_Account]])+SUMIFS(V:V,T:T,Obrotowka[[#This Row],[GL_Account]]))/1000,(SUMIFS(AL:AL,AH:AH,Obrotowka[[#This Row],[GL_Account]],AL:AL,"&gt;=0")-SUMIFS(V:V,S:S,Obrotowka[[#This Row],[GL_Account]])+SUMIFS(V:V,T:T,Obrotowka[[#This Row],[GL_Account]])))</f>
        <v>0</v>
      </c>
      <c r="H350" s="18">
        <f>IF($D$5="tak",SUMIFS(AL:AL,AH:AH,Obrotowka[[#This Row],[GL_Account]],AL:AL,"&lt;0")/1000,SUMIFS(AL:AL,AH:AH,Obrotowka[[#This Row],[GL_Account]],AL:AL,"&lt;0"))</f>
        <v>0</v>
      </c>
      <c r="I350" s="18">
        <f>SUM(Obrotowka[[#This Row],[BO]:[MA]])</f>
        <v>0</v>
      </c>
      <c r="J350">
        <f>IF(Obrotowka[[#This Row],[BZ]]=0,0,1)</f>
        <v>0</v>
      </c>
      <c r="K350" s="253"/>
      <c r="AF350" s="18"/>
      <c r="AU350" t="s">
        <v>8690</v>
      </c>
    </row>
    <row r="351" spans="2:47" x14ac:dyDescent="0.3">
      <c r="B351" t="s">
        <v>12112</v>
      </c>
      <c r="C351" t="s">
        <v>12113</v>
      </c>
      <c r="D351" t="s">
        <v>11918</v>
      </c>
      <c r="E351" t="s">
        <v>4021</v>
      </c>
      <c r="F351" s="18">
        <f>IF($D$5="tak",(SUMIFS(AE:AE,AA:AA,Obrotowka[[#This Row],[GL_Account]])-SUMIFS(U:U,S:S,Obrotowka[[#This Row],[GL_Account]])+SUMIFS(U:U,T:T,Obrotowka[[#This Row],[GL_Account]]))/1000,(SUMIFS(AE:AE,AA:AA,Obrotowka[[#This Row],[GL_Account]])-SUMIFS(U:U,S:S,Obrotowka[[#This Row],[GL_Account]])+SUMIFS(U:U,T:T,Obrotowka[[#This Row],[GL_Account]])))</f>
        <v>0</v>
      </c>
      <c r="G351" s="18">
        <f>IF($D$5="tak",(SUMIFS(AL:AL,AH:AH,Obrotowka[[#This Row],[GL_Account]],AL:AL,"&gt;=0")-SUMIFS(V:V,S:S,Obrotowka[[#This Row],[GL_Account]])+SUMIFS(V:V,T:T,Obrotowka[[#This Row],[GL_Account]]))/1000,(SUMIFS(AL:AL,AH:AH,Obrotowka[[#This Row],[GL_Account]],AL:AL,"&gt;=0")-SUMIFS(V:V,S:S,Obrotowka[[#This Row],[GL_Account]])+SUMIFS(V:V,T:T,Obrotowka[[#This Row],[GL_Account]])))</f>
        <v>0</v>
      </c>
      <c r="H351" s="18">
        <f>IF($D$5="tak",SUMIFS(AL:AL,AH:AH,Obrotowka[[#This Row],[GL_Account]],AL:AL,"&lt;0")/1000,SUMIFS(AL:AL,AH:AH,Obrotowka[[#This Row],[GL_Account]],AL:AL,"&lt;0"))</f>
        <v>0</v>
      </c>
      <c r="I351" s="18">
        <f>SUM(Obrotowka[[#This Row],[BO]:[MA]])</f>
        <v>0</v>
      </c>
      <c r="J351">
        <f>IF(Obrotowka[[#This Row],[BZ]]=0,0,1)</f>
        <v>0</v>
      </c>
      <c r="K351" s="253"/>
      <c r="AF351" s="18"/>
      <c r="AU351" t="s">
        <v>8690</v>
      </c>
    </row>
    <row r="352" spans="2:47" x14ac:dyDescent="0.3">
      <c r="B352" t="s">
        <v>12114</v>
      </c>
      <c r="C352" t="s">
        <v>12115</v>
      </c>
      <c r="D352" t="s">
        <v>11918</v>
      </c>
      <c r="E352" t="s">
        <v>4021</v>
      </c>
      <c r="F352" s="18">
        <f>IF($D$5="tak",(SUMIFS(AE:AE,AA:AA,Obrotowka[[#This Row],[GL_Account]])-SUMIFS(U:U,S:S,Obrotowka[[#This Row],[GL_Account]])+SUMIFS(U:U,T:T,Obrotowka[[#This Row],[GL_Account]]))/1000,(SUMIFS(AE:AE,AA:AA,Obrotowka[[#This Row],[GL_Account]])-SUMIFS(U:U,S:S,Obrotowka[[#This Row],[GL_Account]])+SUMIFS(U:U,T:T,Obrotowka[[#This Row],[GL_Account]])))</f>
        <v>0</v>
      </c>
      <c r="G352" s="18">
        <f>IF($D$5="tak",(SUMIFS(AL:AL,AH:AH,Obrotowka[[#This Row],[GL_Account]],AL:AL,"&gt;=0")-SUMIFS(V:V,S:S,Obrotowka[[#This Row],[GL_Account]])+SUMIFS(V:V,T:T,Obrotowka[[#This Row],[GL_Account]]))/1000,(SUMIFS(AL:AL,AH:AH,Obrotowka[[#This Row],[GL_Account]],AL:AL,"&gt;=0")-SUMIFS(V:V,S:S,Obrotowka[[#This Row],[GL_Account]])+SUMIFS(V:V,T:T,Obrotowka[[#This Row],[GL_Account]])))</f>
        <v>0</v>
      </c>
      <c r="H352" s="18">
        <f>IF($D$5="tak",SUMIFS(AL:AL,AH:AH,Obrotowka[[#This Row],[GL_Account]],AL:AL,"&lt;0")/1000,SUMIFS(AL:AL,AH:AH,Obrotowka[[#This Row],[GL_Account]],AL:AL,"&lt;0"))</f>
        <v>0</v>
      </c>
      <c r="I352" s="18">
        <f>SUM(Obrotowka[[#This Row],[BO]:[MA]])</f>
        <v>0</v>
      </c>
      <c r="J352">
        <f>IF(Obrotowka[[#This Row],[BZ]]=0,0,1)</f>
        <v>0</v>
      </c>
      <c r="K352" s="253"/>
      <c r="AF352" s="18"/>
      <c r="AU352" t="s">
        <v>8690</v>
      </c>
    </row>
    <row r="353" spans="2:47" x14ac:dyDescent="0.3">
      <c r="B353" t="s">
        <v>12116</v>
      </c>
      <c r="C353" t="s">
        <v>12117</v>
      </c>
      <c r="D353" t="s">
        <v>11918</v>
      </c>
      <c r="E353" t="s">
        <v>4021</v>
      </c>
      <c r="F353" s="18">
        <f>IF($D$5="tak",(SUMIFS(AE:AE,AA:AA,Obrotowka[[#This Row],[GL_Account]])-SUMIFS(U:U,S:S,Obrotowka[[#This Row],[GL_Account]])+SUMIFS(U:U,T:T,Obrotowka[[#This Row],[GL_Account]]))/1000,(SUMIFS(AE:AE,AA:AA,Obrotowka[[#This Row],[GL_Account]])-SUMIFS(U:U,S:S,Obrotowka[[#This Row],[GL_Account]])+SUMIFS(U:U,T:T,Obrotowka[[#This Row],[GL_Account]])))</f>
        <v>0</v>
      </c>
      <c r="G353" s="18">
        <f>IF($D$5="tak",(SUMIFS(AL:AL,AH:AH,Obrotowka[[#This Row],[GL_Account]],AL:AL,"&gt;=0")-SUMIFS(V:V,S:S,Obrotowka[[#This Row],[GL_Account]])+SUMIFS(V:V,T:T,Obrotowka[[#This Row],[GL_Account]]))/1000,(SUMIFS(AL:AL,AH:AH,Obrotowka[[#This Row],[GL_Account]],AL:AL,"&gt;=0")-SUMIFS(V:V,S:S,Obrotowka[[#This Row],[GL_Account]])+SUMIFS(V:V,T:T,Obrotowka[[#This Row],[GL_Account]])))</f>
        <v>0</v>
      </c>
      <c r="H353" s="18">
        <f>IF($D$5="tak",SUMIFS(AL:AL,AH:AH,Obrotowka[[#This Row],[GL_Account]],AL:AL,"&lt;0")/1000,SUMIFS(AL:AL,AH:AH,Obrotowka[[#This Row],[GL_Account]],AL:AL,"&lt;0"))</f>
        <v>0</v>
      </c>
      <c r="I353" s="18">
        <f>SUM(Obrotowka[[#This Row],[BO]:[MA]])</f>
        <v>0</v>
      </c>
      <c r="J353">
        <f>IF(Obrotowka[[#This Row],[BZ]]=0,0,1)</f>
        <v>0</v>
      </c>
      <c r="K353" s="253"/>
      <c r="AF353" s="18"/>
      <c r="AU353" t="s">
        <v>8690</v>
      </c>
    </row>
    <row r="354" spans="2:47" x14ac:dyDescent="0.3">
      <c r="B354" t="s">
        <v>12118</v>
      </c>
      <c r="C354" t="s">
        <v>12119</v>
      </c>
      <c r="D354" t="s">
        <v>11918</v>
      </c>
      <c r="E354" t="s">
        <v>4021</v>
      </c>
      <c r="F354" s="18">
        <f>IF($D$5="tak",(SUMIFS(AE:AE,AA:AA,Obrotowka[[#This Row],[GL_Account]])-SUMIFS(U:U,S:S,Obrotowka[[#This Row],[GL_Account]])+SUMIFS(U:U,T:T,Obrotowka[[#This Row],[GL_Account]]))/1000,(SUMIFS(AE:AE,AA:AA,Obrotowka[[#This Row],[GL_Account]])-SUMIFS(U:U,S:S,Obrotowka[[#This Row],[GL_Account]])+SUMIFS(U:U,T:T,Obrotowka[[#This Row],[GL_Account]])))</f>
        <v>0</v>
      </c>
      <c r="G354" s="18">
        <f>IF($D$5="tak",(SUMIFS(AL:AL,AH:AH,Obrotowka[[#This Row],[GL_Account]],AL:AL,"&gt;=0")-SUMIFS(V:V,S:S,Obrotowka[[#This Row],[GL_Account]])+SUMIFS(V:V,T:T,Obrotowka[[#This Row],[GL_Account]]))/1000,(SUMIFS(AL:AL,AH:AH,Obrotowka[[#This Row],[GL_Account]],AL:AL,"&gt;=0")-SUMIFS(V:V,S:S,Obrotowka[[#This Row],[GL_Account]])+SUMIFS(V:V,T:T,Obrotowka[[#This Row],[GL_Account]])))</f>
        <v>0</v>
      </c>
      <c r="H354" s="18">
        <f>IF($D$5="tak",SUMIFS(AL:AL,AH:AH,Obrotowka[[#This Row],[GL_Account]],AL:AL,"&lt;0")/1000,SUMIFS(AL:AL,AH:AH,Obrotowka[[#This Row],[GL_Account]],AL:AL,"&lt;0"))</f>
        <v>0</v>
      </c>
      <c r="I354" s="18">
        <f>SUM(Obrotowka[[#This Row],[BO]:[MA]])</f>
        <v>0</v>
      </c>
      <c r="J354">
        <f>IF(Obrotowka[[#This Row],[BZ]]=0,0,1)</f>
        <v>0</v>
      </c>
      <c r="K354" s="253"/>
      <c r="AF354" s="18"/>
      <c r="AU354" t="s">
        <v>8690</v>
      </c>
    </row>
    <row r="355" spans="2:47" x14ac:dyDescent="0.3">
      <c r="B355" t="s">
        <v>12120</v>
      </c>
      <c r="C355" t="s">
        <v>12121</v>
      </c>
      <c r="D355" t="s">
        <v>11918</v>
      </c>
      <c r="E355" t="s">
        <v>4021</v>
      </c>
      <c r="F355" s="18">
        <f>IF($D$5="tak",(SUMIFS(AE:AE,AA:AA,Obrotowka[[#This Row],[GL_Account]])-SUMIFS(U:U,S:S,Obrotowka[[#This Row],[GL_Account]])+SUMIFS(U:U,T:T,Obrotowka[[#This Row],[GL_Account]]))/1000,(SUMIFS(AE:AE,AA:AA,Obrotowka[[#This Row],[GL_Account]])-SUMIFS(U:U,S:S,Obrotowka[[#This Row],[GL_Account]])+SUMIFS(U:U,T:T,Obrotowka[[#This Row],[GL_Account]])))</f>
        <v>0</v>
      </c>
      <c r="G355" s="18">
        <f>IF($D$5="tak",(SUMIFS(AL:AL,AH:AH,Obrotowka[[#This Row],[GL_Account]],AL:AL,"&gt;=0")-SUMIFS(V:V,S:S,Obrotowka[[#This Row],[GL_Account]])+SUMIFS(V:V,T:T,Obrotowka[[#This Row],[GL_Account]]))/1000,(SUMIFS(AL:AL,AH:AH,Obrotowka[[#This Row],[GL_Account]],AL:AL,"&gt;=0")-SUMIFS(V:V,S:S,Obrotowka[[#This Row],[GL_Account]])+SUMIFS(V:V,T:T,Obrotowka[[#This Row],[GL_Account]])))</f>
        <v>0</v>
      </c>
      <c r="H355" s="18">
        <f>IF($D$5="tak",SUMIFS(AL:AL,AH:AH,Obrotowka[[#This Row],[GL_Account]],AL:AL,"&lt;0")/1000,SUMIFS(AL:AL,AH:AH,Obrotowka[[#This Row],[GL_Account]],AL:AL,"&lt;0"))</f>
        <v>0</v>
      </c>
      <c r="I355" s="18">
        <f>SUM(Obrotowka[[#This Row],[BO]:[MA]])</f>
        <v>0</v>
      </c>
      <c r="J355">
        <f>IF(Obrotowka[[#This Row],[BZ]]=0,0,1)</f>
        <v>0</v>
      </c>
      <c r="K355" s="253"/>
      <c r="AF355" s="18"/>
      <c r="AU355" t="s">
        <v>8690</v>
      </c>
    </row>
    <row r="356" spans="2:47" x14ac:dyDescent="0.3">
      <c r="B356" t="s">
        <v>12122</v>
      </c>
      <c r="C356" t="s">
        <v>12123</v>
      </c>
      <c r="D356" t="s">
        <v>11918</v>
      </c>
      <c r="E356" t="s">
        <v>4021</v>
      </c>
      <c r="F356" s="18">
        <f>IF($D$5="tak",(SUMIFS(AE:AE,AA:AA,Obrotowka[[#This Row],[GL_Account]])-SUMIFS(U:U,S:S,Obrotowka[[#This Row],[GL_Account]])+SUMIFS(U:U,T:T,Obrotowka[[#This Row],[GL_Account]]))/1000,(SUMIFS(AE:AE,AA:AA,Obrotowka[[#This Row],[GL_Account]])-SUMIFS(U:U,S:S,Obrotowka[[#This Row],[GL_Account]])+SUMIFS(U:U,T:T,Obrotowka[[#This Row],[GL_Account]])))</f>
        <v>0</v>
      </c>
      <c r="G356" s="18">
        <f>IF($D$5="tak",(SUMIFS(AL:AL,AH:AH,Obrotowka[[#This Row],[GL_Account]],AL:AL,"&gt;=0")-SUMIFS(V:V,S:S,Obrotowka[[#This Row],[GL_Account]])+SUMIFS(V:V,T:T,Obrotowka[[#This Row],[GL_Account]]))/1000,(SUMIFS(AL:AL,AH:AH,Obrotowka[[#This Row],[GL_Account]],AL:AL,"&gt;=0")-SUMIFS(V:V,S:S,Obrotowka[[#This Row],[GL_Account]])+SUMIFS(V:V,T:T,Obrotowka[[#This Row],[GL_Account]])))</f>
        <v>0</v>
      </c>
      <c r="H356" s="18">
        <f>IF($D$5="tak",SUMIFS(AL:AL,AH:AH,Obrotowka[[#This Row],[GL_Account]],AL:AL,"&lt;0")/1000,SUMIFS(AL:AL,AH:AH,Obrotowka[[#This Row],[GL_Account]],AL:AL,"&lt;0"))</f>
        <v>0</v>
      </c>
      <c r="I356" s="18">
        <f>SUM(Obrotowka[[#This Row],[BO]:[MA]])</f>
        <v>0</v>
      </c>
      <c r="J356">
        <f>IF(Obrotowka[[#This Row],[BZ]]=0,0,1)</f>
        <v>0</v>
      </c>
      <c r="K356" s="253"/>
      <c r="AF356" s="18"/>
      <c r="AU356" t="s">
        <v>8690</v>
      </c>
    </row>
    <row r="357" spans="2:47" x14ac:dyDescent="0.3">
      <c r="B357" t="s">
        <v>12124</v>
      </c>
      <c r="C357" t="s">
        <v>12125</v>
      </c>
      <c r="D357" t="s">
        <v>11918</v>
      </c>
      <c r="E357" t="s">
        <v>4021</v>
      </c>
      <c r="F357" s="18">
        <f>IF($D$5="tak",(SUMIFS(AE:AE,AA:AA,Obrotowka[[#This Row],[GL_Account]])-SUMIFS(U:U,S:S,Obrotowka[[#This Row],[GL_Account]])+SUMIFS(U:U,T:T,Obrotowka[[#This Row],[GL_Account]]))/1000,(SUMIFS(AE:AE,AA:AA,Obrotowka[[#This Row],[GL_Account]])-SUMIFS(U:U,S:S,Obrotowka[[#This Row],[GL_Account]])+SUMIFS(U:U,T:T,Obrotowka[[#This Row],[GL_Account]])))</f>
        <v>0</v>
      </c>
      <c r="G357" s="18">
        <f>IF($D$5="tak",(SUMIFS(AL:AL,AH:AH,Obrotowka[[#This Row],[GL_Account]],AL:AL,"&gt;=0")-SUMIFS(V:V,S:S,Obrotowka[[#This Row],[GL_Account]])+SUMIFS(V:V,T:T,Obrotowka[[#This Row],[GL_Account]]))/1000,(SUMIFS(AL:AL,AH:AH,Obrotowka[[#This Row],[GL_Account]],AL:AL,"&gt;=0")-SUMIFS(V:V,S:S,Obrotowka[[#This Row],[GL_Account]])+SUMIFS(V:V,T:T,Obrotowka[[#This Row],[GL_Account]])))</f>
        <v>0</v>
      </c>
      <c r="H357" s="18">
        <f>IF($D$5="tak",SUMIFS(AL:AL,AH:AH,Obrotowka[[#This Row],[GL_Account]],AL:AL,"&lt;0")/1000,SUMIFS(AL:AL,AH:AH,Obrotowka[[#This Row],[GL_Account]],AL:AL,"&lt;0"))</f>
        <v>0</v>
      </c>
      <c r="I357" s="18">
        <f>SUM(Obrotowka[[#This Row],[BO]:[MA]])</f>
        <v>0</v>
      </c>
      <c r="J357">
        <f>IF(Obrotowka[[#This Row],[BZ]]=0,0,1)</f>
        <v>0</v>
      </c>
      <c r="K357" s="253"/>
      <c r="AF357" s="18"/>
      <c r="AU357" t="s">
        <v>8690</v>
      </c>
    </row>
    <row r="358" spans="2:47" x14ac:dyDescent="0.3">
      <c r="B358" t="s">
        <v>12126</v>
      </c>
      <c r="C358" t="s">
        <v>12127</v>
      </c>
      <c r="D358" t="s">
        <v>11918</v>
      </c>
      <c r="E358" t="s">
        <v>4021</v>
      </c>
      <c r="F358" s="18">
        <f>IF($D$5="tak",(SUMIFS(AE:AE,AA:AA,Obrotowka[[#This Row],[GL_Account]])-SUMIFS(U:U,S:S,Obrotowka[[#This Row],[GL_Account]])+SUMIFS(U:U,T:T,Obrotowka[[#This Row],[GL_Account]]))/1000,(SUMIFS(AE:AE,AA:AA,Obrotowka[[#This Row],[GL_Account]])-SUMIFS(U:U,S:S,Obrotowka[[#This Row],[GL_Account]])+SUMIFS(U:U,T:T,Obrotowka[[#This Row],[GL_Account]])))</f>
        <v>0</v>
      </c>
      <c r="G358" s="18">
        <f>IF($D$5="tak",(SUMIFS(AL:AL,AH:AH,Obrotowka[[#This Row],[GL_Account]],AL:AL,"&gt;=0")-SUMIFS(V:V,S:S,Obrotowka[[#This Row],[GL_Account]])+SUMIFS(V:V,T:T,Obrotowka[[#This Row],[GL_Account]]))/1000,(SUMIFS(AL:AL,AH:AH,Obrotowka[[#This Row],[GL_Account]],AL:AL,"&gt;=0")-SUMIFS(V:V,S:S,Obrotowka[[#This Row],[GL_Account]])+SUMIFS(V:V,T:T,Obrotowka[[#This Row],[GL_Account]])))</f>
        <v>0</v>
      </c>
      <c r="H358" s="18">
        <f>IF($D$5="tak",SUMIFS(AL:AL,AH:AH,Obrotowka[[#This Row],[GL_Account]],AL:AL,"&lt;0")/1000,SUMIFS(AL:AL,AH:AH,Obrotowka[[#This Row],[GL_Account]],AL:AL,"&lt;0"))</f>
        <v>0</v>
      </c>
      <c r="I358" s="18">
        <f>SUM(Obrotowka[[#This Row],[BO]:[MA]])</f>
        <v>0</v>
      </c>
      <c r="J358">
        <f>IF(Obrotowka[[#This Row],[BZ]]=0,0,1)</f>
        <v>0</v>
      </c>
      <c r="K358" s="253"/>
      <c r="AF358" s="18"/>
      <c r="AU358" t="s">
        <v>8690</v>
      </c>
    </row>
    <row r="359" spans="2:47" x14ac:dyDescent="0.3">
      <c r="B359" t="s">
        <v>12128</v>
      </c>
      <c r="C359" t="s">
        <v>12129</v>
      </c>
      <c r="D359" t="s">
        <v>11918</v>
      </c>
      <c r="E359" t="s">
        <v>4021</v>
      </c>
      <c r="F359" s="18">
        <f>IF($D$5="tak",(SUMIFS(AE:AE,AA:AA,Obrotowka[[#This Row],[GL_Account]])-SUMIFS(U:U,S:S,Obrotowka[[#This Row],[GL_Account]])+SUMIFS(U:U,T:T,Obrotowka[[#This Row],[GL_Account]]))/1000,(SUMIFS(AE:AE,AA:AA,Obrotowka[[#This Row],[GL_Account]])-SUMIFS(U:U,S:S,Obrotowka[[#This Row],[GL_Account]])+SUMIFS(U:U,T:T,Obrotowka[[#This Row],[GL_Account]])))</f>
        <v>0</v>
      </c>
      <c r="G359" s="18">
        <f>IF($D$5="tak",(SUMIFS(AL:AL,AH:AH,Obrotowka[[#This Row],[GL_Account]],AL:AL,"&gt;=0")-SUMIFS(V:V,S:S,Obrotowka[[#This Row],[GL_Account]])+SUMIFS(V:V,T:T,Obrotowka[[#This Row],[GL_Account]]))/1000,(SUMIFS(AL:AL,AH:AH,Obrotowka[[#This Row],[GL_Account]],AL:AL,"&gt;=0")-SUMIFS(V:V,S:S,Obrotowka[[#This Row],[GL_Account]])+SUMIFS(V:V,T:T,Obrotowka[[#This Row],[GL_Account]])))</f>
        <v>0</v>
      </c>
      <c r="H359" s="18">
        <f>IF($D$5="tak",SUMIFS(AL:AL,AH:AH,Obrotowka[[#This Row],[GL_Account]],AL:AL,"&lt;0")/1000,SUMIFS(AL:AL,AH:AH,Obrotowka[[#This Row],[GL_Account]],AL:AL,"&lt;0"))</f>
        <v>0</v>
      </c>
      <c r="I359" s="18">
        <f>SUM(Obrotowka[[#This Row],[BO]:[MA]])</f>
        <v>0</v>
      </c>
      <c r="J359">
        <f>IF(Obrotowka[[#This Row],[BZ]]=0,0,1)</f>
        <v>0</v>
      </c>
      <c r="K359" s="253"/>
      <c r="AF359" s="18"/>
      <c r="AU359" t="s">
        <v>8690</v>
      </c>
    </row>
    <row r="360" spans="2:47" x14ac:dyDescent="0.3">
      <c r="B360" t="s">
        <v>12130</v>
      </c>
      <c r="C360" t="s">
        <v>12131</v>
      </c>
      <c r="D360" t="s">
        <v>11918</v>
      </c>
      <c r="E360" t="s">
        <v>4021</v>
      </c>
      <c r="F360" s="18">
        <f>IF($D$5="tak",(SUMIFS(AE:AE,AA:AA,Obrotowka[[#This Row],[GL_Account]])-SUMIFS(U:U,S:S,Obrotowka[[#This Row],[GL_Account]])+SUMIFS(U:U,T:T,Obrotowka[[#This Row],[GL_Account]]))/1000,(SUMIFS(AE:AE,AA:AA,Obrotowka[[#This Row],[GL_Account]])-SUMIFS(U:U,S:S,Obrotowka[[#This Row],[GL_Account]])+SUMIFS(U:U,T:T,Obrotowka[[#This Row],[GL_Account]])))</f>
        <v>0</v>
      </c>
      <c r="G360" s="18">
        <f>IF($D$5="tak",(SUMIFS(AL:AL,AH:AH,Obrotowka[[#This Row],[GL_Account]],AL:AL,"&gt;=0")-SUMIFS(V:V,S:S,Obrotowka[[#This Row],[GL_Account]])+SUMIFS(V:V,T:T,Obrotowka[[#This Row],[GL_Account]]))/1000,(SUMIFS(AL:AL,AH:AH,Obrotowka[[#This Row],[GL_Account]],AL:AL,"&gt;=0")-SUMIFS(V:V,S:S,Obrotowka[[#This Row],[GL_Account]])+SUMIFS(V:V,T:T,Obrotowka[[#This Row],[GL_Account]])))</f>
        <v>0</v>
      </c>
      <c r="H360" s="18">
        <f>IF($D$5="tak",SUMIFS(AL:AL,AH:AH,Obrotowka[[#This Row],[GL_Account]],AL:AL,"&lt;0")/1000,SUMIFS(AL:AL,AH:AH,Obrotowka[[#This Row],[GL_Account]],AL:AL,"&lt;0"))</f>
        <v>0</v>
      </c>
      <c r="I360" s="18">
        <f>SUM(Obrotowka[[#This Row],[BO]:[MA]])</f>
        <v>0</v>
      </c>
      <c r="J360">
        <f>IF(Obrotowka[[#This Row],[BZ]]=0,0,1)</f>
        <v>0</v>
      </c>
      <c r="K360" s="253"/>
      <c r="AF360" s="18"/>
      <c r="AU360" t="s">
        <v>8690</v>
      </c>
    </row>
    <row r="361" spans="2:47" x14ac:dyDescent="0.3">
      <c r="B361" t="s">
        <v>12132</v>
      </c>
      <c r="C361" t="s">
        <v>12133</v>
      </c>
      <c r="D361" t="s">
        <v>11918</v>
      </c>
      <c r="E361" t="s">
        <v>4021</v>
      </c>
      <c r="F361" s="18">
        <f>IF($D$5="tak",(SUMIFS(AE:AE,AA:AA,Obrotowka[[#This Row],[GL_Account]])-SUMIFS(U:U,S:S,Obrotowka[[#This Row],[GL_Account]])+SUMIFS(U:U,T:T,Obrotowka[[#This Row],[GL_Account]]))/1000,(SUMIFS(AE:AE,AA:AA,Obrotowka[[#This Row],[GL_Account]])-SUMIFS(U:U,S:S,Obrotowka[[#This Row],[GL_Account]])+SUMIFS(U:U,T:T,Obrotowka[[#This Row],[GL_Account]])))</f>
        <v>0</v>
      </c>
      <c r="G361" s="18">
        <f>IF($D$5="tak",(SUMIFS(AL:AL,AH:AH,Obrotowka[[#This Row],[GL_Account]],AL:AL,"&gt;=0")-SUMIFS(V:V,S:S,Obrotowka[[#This Row],[GL_Account]])+SUMIFS(V:V,T:T,Obrotowka[[#This Row],[GL_Account]]))/1000,(SUMIFS(AL:AL,AH:AH,Obrotowka[[#This Row],[GL_Account]],AL:AL,"&gt;=0")-SUMIFS(V:V,S:S,Obrotowka[[#This Row],[GL_Account]])+SUMIFS(V:V,T:T,Obrotowka[[#This Row],[GL_Account]])))</f>
        <v>0</v>
      </c>
      <c r="H361" s="18">
        <f>IF($D$5="tak",SUMIFS(AL:AL,AH:AH,Obrotowka[[#This Row],[GL_Account]],AL:AL,"&lt;0")/1000,SUMIFS(AL:AL,AH:AH,Obrotowka[[#This Row],[GL_Account]],AL:AL,"&lt;0"))</f>
        <v>0</v>
      </c>
      <c r="I361" s="18">
        <f>SUM(Obrotowka[[#This Row],[BO]:[MA]])</f>
        <v>0</v>
      </c>
      <c r="J361">
        <f>IF(Obrotowka[[#This Row],[BZ]]=0,0,1)</f>
        <v>0</v>
      </c>
      <c r="K361" s="253"/>
      <c r="AF361" s="18"/>
      <c r="AU361" t="s">
        <v>8690</v>
      </c>
    </row>
    <row r="362" spans="2:47" x14ac:dyDescent="0.3">
      <c r="B362" t="s">
        <v>12134</v>
      </c>
      <c r="C362" t="s">
        <v>12135</v>
      </c>
      <c r="D362" t="s">
        <v>11918</v>
      </c>
      <c r="E362" t="s">
        <v>4021</v>
      </c>
      <c r="F362" s="18">
        <f>IF($D$5="tak",(SUMIFS(AE:AE,AA:AA,Obrotowka[[#This Row],[GL_Account]])-SUMIFS(U:U,S:S,Obrotowka[[#This Row],[GL_Account]])+SUMIFS(U:U,T:T,Obrotowka[[#This Row],[GL_Account]]))/1000,(SUMIFS(AE:AE,AA:AA,Obrotowka[[#This Row],[GL_Account]])-SUMIFS(U:U,S:S,Obrotowka[[#This Row],[GL_Account]])+SUMIFS(U:U,T:T,Obrotowka[[#This Row],[GL_Account]])))</f>
        <v>0</v>
      </c>
      <c r="G362" s="18">
        <f>IF($D$5="tak",(SUMIFS(AL:AL,AH:AH,Obrotowka[[#This Row],[GL_Account]],AL:AL,"&gt;=0")-SUMIFS(V:V,S:S,Obrotowka[[#This Row],[GL_Account]])+SUMIFS(V:V,T:T,Obrotowka[[#This Row],[GL_Account]]))/1000,(SUMIFS(AL:AL,AH:AH,Obrotowka[[#This Row],[GL_Account]],AL:AL,"&gt;=0")-SUMIFS(V:V,S:S,Obrotowka[[#This Row],[GL_Account]])+SUMIFS(V:V,T:T,Obrotowka[[#This Row],[GL_Account]])))</f>
        <v>0</v>
      </c>
      <c r="H362" s="18">
        <f>IF($D$5="tak",SUMIFS(AL:AL,AH:AH,Obrotowka[[#This Row],[GL_Account]],AL:AL,"&lt;0")/1000,SUMIFS(AL:AL,AH:AH,Obrotowka[[#This Row],[GL_Account]],AL:AL,"&lt;0"))</f>
        <v>0</v>
      </c>
      <c r="I362" s="18">
        <f>SUM(Obrotowka[[#This Row],[BO]:[MA]])</f>
        <v>0</v>
      </c>
      <c r="J362">
        <f>IF(Obrotowka[[#This Row],[BZ]]=0,0,1)</f>
        <v>0</v>
      </c>
      <c r="K362" s="253"/>
      <c r="AF362" s="18"/>
      <c r="AU362" t="s">
        <v>8690</v>
      </c>
    </row>
    <row r="363" spans="2:47" x14ac:dyDescent="0.3">
      <c r="B363" t="s">
        <v>12136</v>
      </c>
      <c r="C363" t="s">
        <v>12137</v>
      </c>
      <c r="D363" t="s">
        <v>11918</v>
      </c>
      <c r="E363" t="s">
        <v>4021</v>
      </c>
      <c r="F363" s="18">
        <f>IF($D$5="tak",(SUMIFS(AE:AE,AA:AA,Obrotowka[[#This Row],[GL_Account]])-SUMIFS(U:U,S:S,Obrotowka[[#This Row],[GL_Account]])+SUMIFS(U:U,T:T,Obrotowka[[#This Row],[GL_Account]]))/1000,(SUMIFS(AE:AE,AA:AA,Obrotowka[[#This Row],[GL_Account]])-SUMIFS(U:U,S:S,Obrotowka[[#This Row],[GL_Account]])+SUMIFS(U:U,T:T,Obrotowka[[#This Row],[GL_Account]])))</f>
        <v>0</v>
      </c>
      <c r="G363" s="18">
        <f>IF($D$5="tak",(SUMIFS(AL:AL,AH:AH,Obrotowka[[#This Row],[GL_Account]],AL:AL,"&gt;=0")-SUMIFS(V:V,S:S,Obrotowka[[#This Row],[GL_Account]])+SUMIFS(V:V,T:T,Obrotowka[[#This Row],[GL_Account]]))/1000,(SUMIFS(AL:AL,AH:AH,Obrotowka[[#This Row],[GL_Account]],AL:AL,"&gt;=0")-SUMIFS(V:V,S:S,Obrotowka[[#This Row],[GL_Account]])+SUMIFS(V:V,T:T,Obrotowka[[#This Row],[GL_Account]])))</f>
        <v>0</v>
      </c>
      <c r="H363" s="18">
        <f>IF($D$5="tak",SUMIFS(AL:AL,AH:AH,Obrotowka[[#This Row],[GL_Account]],AL:AL,"&lt;0")/1000,SUMIFS(AL:AL,AH:AH,Obrotowka[[#This Row],[GL_Account]],AL:AL,"&lt;0"))</f>
        <v>0</v>
      </c>
      <c r="I363" s="18">
        <f>SUM(Obrotowka[[#This Row],[BO]:[MA]])</f>
        <v>0</v>
      </c>
      <c r="J363">
        <f>IF(Obrotowka[[#This Row],[BZ]]=0,0,1)</f>
        <v>0</v>
      </c>
      <c r="K363" s="253"/>
      <c r="AF363" s="18"/>
      <c r="AU363" t="s">
        <v>8690</v>
      </c>
    </row>
    <row r="364" spans="2:47" x14ac:dyDescent="0.3">
      <c r="B364" t="s">
        <v>12138</v>
      </c>
      <c r="C364" t="s">
        <v>12139</v>
      </c>
      <c r="D364" t="s">
        <v>11918</v>
      </c>
      <c r="E364" t="s">
        <v>4185</v>
      </c>
      <c r="F364" s="18">
        <f>IF($D$5="tak",(SUMIFS(AE:AE,AA:AA,Obrotowka[[#This Row],[GL_Account]])-SUMIFS(U:U,S:S,Obrotowka[[#This Row],[GL_Account]])+SUMIFS(U:U,T:T,Obrotowka[[#This Row],[GL_Account]]))/1000,(SUMIFS(AE:AE,AA:AA,Obrotowka[[#This Row],[GL_Account]])-SUMIFS(U:U,S:S,Obrotowka[[#This Row],[GL_Account]])+SUMIFS(U:U,T:T,Obrotowka[[#This Row],[GL_Account]])))</f>
        <v>0</v>
      </c>
      <c r="G364" s="18">
        <f>IF($D$5="tak",(SUMIFS(AL:AL,AH:AH,Obrotowka[[#This Row],[GL_Account]],AL:AL,"&gt;=0")-SUMIFS(V:V,S:S,Obrotowka[[#This Row],[GL_Account]])+SUMIFS(V:V,T:T,Obrotowka[[#This Row],[GL_Account]]))/1000,(SUMIFS(AL:AL,AH:AH,Obrotowka[[#This Row],[GL_Account]],AL:AL,"&gt;=0")-SUMIFS(V:V,S:S,Obrotowka[[#This Row],[GL_Account]])+SUMIFS(V:V,T:T,Obrotowka[[#This Row],[GL_Account]])))</f>
        <v>0</v>
      </c>
      <c r="H364" s="18">
        <f>IF($D$5="tak",SUMIFS(AL:AL,AH:AH,Obrotowka[[#This Row],[GL_Account]],AL:AL,"&lt;0")/1000,SUMIFS(AL:AL,AH:AH,Obrotowka[[#This Row],[GL_Account]],AL:AL,"&lt;0"))</f>
        <v>0</v>
      </c>
      <c r="I364" s="18">
        <f>SUM(Obrotowka[[#This Row],[BO]:[MA]])</f>
        <v>0</v>
      </c>
      <c r="J364">
        <f>IF(Obrotowka[[#This Row],[BZ]]=0,0,1)</f>
        <v>0</v>
      </c>
      <c r="K364" s="253"/>
      <c r="AF364" s="18"/>
      <c r="AU364" t="s">
        <v>8701</v>
      </c>
    </row>
    <row r="365" spans="2:47" x14ac:dyDescent="0.3">
      <c r="B365" t="s">
        <v>12140</v>
      </c>
      <c r="C365" t="s">
        <v>12141</v>
      </c>
      <c r="D365" t="s">
        <v>11918</v>
      </c>
      <c r="E365" t="s">
        <v>4185</v>
      </c>
      <c r="F365" s="18">
        <f>IF($D$5="tak",(SUMIFS(AE:AE,AA:AA,Obrotowka[[#This Row],[GL_Account]])-SUMIFS(U:U,S:S,Obrotowka[[#This Row],[GL_Account]])+SUMIFS(U:U,T:T,Obrotowka[[#This Row],[GL_Account]]))/1000,(SUMIFS(AE:AE,AA:AA,Obrotowka[[#This Row],[GL_Account]])-SUMIFS(U:U,S:S,Obrotowka[[#This Row],[GL_Account]])+SUMIFS(U:U,T:T,Obrotowka[[#This Row],[GL_Account]])))</f>
        <v>0</v>
      </c>
      <c r="G365" s="18">
        <f>IF($D$5="tak",(SUMIFS(AL:AL,AH:AH,Obrotowka[[#This Row],[GL_Account]],AL:AL,"&gt;=0")-SUMIFS(V:V,S:S,Obrotowka[[#This Row],[GL_Account]])+SUMIFS(V:V,T:T,Obrotowka[[#This Row],[GL_Account]]))/1000,(SUMIFS(AL:AL,AH:AH,Obrotowka[[#This Row],[GL_Account]],AL:AL,"&gt;=0")-SUMIFS(V:V,S:S,Obrotowka[[#This Row],[GL_Account]])+SUMIFS(V:V,T:T,Obrotowka[[#This Row],[GL_Account]])))</f>
        <v>0</v>
      </c>
      <c r="H365" s="18">
        <f>IF($D$5="tak",SUMIFS(AL:AL,AH:AH,Obrotowka[[#This Row],[GL_Account]],AL:AL,"&lt;0")/1000,SUMIFS(AL:AL,AH:AH,Obrotowka[[#This Row],[GL_Account]],AL:AL,"&lt;0"))</f>
        <v>0</v>
      </c>
      <c r="I365" s="18">
        <f>SUM(Obrotowka[[#This Row],[BO]:[MA]])</f>
        <v>0</v>
      </c>
      <c r="J365">
        <f>IF(Obrotowka[[#This Row],[BZ]]=0,0,1)</f>
        <v>0</v>
      </c>
      <c r="K365" s="253"/>
      <c r="AF365" s="18"/>
      <c r="AU365" t="s">
        <v>8701</v>
      </c>
    </row>
    <row r="366" spans="2:47" x14ac:dyDescent="0.3">
      <c r="B366" t="s">
        <v>12142</v>
      </c>
      <c r="C366" t="s">
        <v>12049</v>
      </c>
      <c r="D366" t="s">
        <v>11918</v>
      </c>
      <c r="E366" t="s">
        <v>4185</v>
      </c>
      <c r="F366" s="18">
        <f>IF($D$5="tak",(SUMIFS(AE:AE,AA:AA,Obrotowka[[#This Row],[GL_Account]])-SUMIFS(U:U,S:S,Obrotowka[[#This Row],[GL_Account]])+SUMIFS(U:U,T:T,Obrotowka[[#This Row],[GL_Account]]))/1000,(SUMIFS(AE:AE,AA:AA,Obrotowka[[#This Row],[GL_Account]])-SUMIFS(U:U,S:S,Obrotowka[[#This Row],[GL_Account]])+SUMIFS(U:U,T:T,Obrotowka[[#This Row],[GL_Account]])))</f>
        <v>0</v>
      </c>
      <c r="G366" s="18">
        <f>IF($D$5="tak",(SUMIFS(AL:AL,AH:AH,Obrotowka[[#This Row],[GL_Account]],AL:AL,"&gt;=0")-SUMIFS(V:V,S:S,Obrotowka[[#This Row],[GL_Account]])+SUMIFS(V:V,T:T,Obrotowka[[#This Row],[GL_Account]]))/1000,(SUMIFS(AL:AL,AH:AH,Obrotowka[[#This Row],[GL_Account]],AL:AL,"&gt;=0")-SUMIFS(V:V,S:S,Obrotowka[[#This Row],[GL_Account]])+SUMIFS(V:V,T:T,Obrotowka[[#This Row],[GL_Account]])))</f>
        <v>0</v>
      </c>
      <c r="H366" s="18">
        <f>IF($D$5="tak",SUMIFS(AL:AL,AH:AH,Obrotowka[[#This Row],[GL_Account]],AL:AL,"&lt;0")/1000,SUMIFS(AL:AL,AH:AH,Obrotowka[[#This Row],[GL_Account]],AL:AL,"&lt;0"))</f>
        <v>0</v>
      </c>
      <c r="I366" s="18">
        <f>SUM(Obrotowka[[#This Row],[BO]:[MA]])</f>
        <v>0</v>
      </c>
      <c r="J366">
        <f>IF(Obrotowka[[#This Row],[BZ]]=0,0,1)</f>
        <v>0</v>
      </c>
      <c r="K366" s="253"/>
      <c r="AF366" s="18"/>
      <c r="AU366" t="s">
        <v>8701</v>
      </c>
    </row>
    <row r="367" spans="2:47" x14ac:dyDescent="0.3">
      <c r="B367" t="s">
        <v>12143</v>
      </c>
      <c r="C367" t="s">
        <v>12144</v>
      </c>
      <c r="D367" t="s">
        <v>11918</v>
      </c>
      <c r="E367" t="s">
        <v>4185</v>
      </c>
      <c r="F367" s="18">
        <f>IF($D$5="tak",(SUMIFS(AE:AE,AA:AA,Obrotowka[[#This Row],[GL_Account]])-SUMIFS(U:U,S:S,Obrotowka[[#This Row],[GL_Account]])+SUMIFS(U:U,T:T,Obrotowka[[#This Row],[GL_Account]]))/1000,(SUMIFS(AE:AE,AA:AA,Obrotowka[[#This Row],[GL_Account]])-SUMIFS(U:U,S:S,Obrotowka[[#This Row],[GL_Account]])+SUMIFS(U:U,T:T,Obrotowka[[#This Row],[GL_Account]])))</f>
        <v>0</v>
      </c>
      <c r="G367" s="18">
        <f>IF($D$5="tak",(SUMIFS(AL:AL,AH:AH,Obrotowka[[#This Row],[GL_Account]],AL:AL,"&gt;=0")-SUMIFS(V:V,S:S,Obrotowka[[#This Row],[GL_Account]])+SUMIFS(V:V,T:T,Obrotowka[[#This Row],[GL_Account]]))/1000,(SUMIFS(AL:AL,AH:AH,Obrotowka[[#This Row],[GL_Account]],AL:AL,"&gt;=0")-SUMIFS(V:V,S:S,Obrotowka[[#This Row],[GL_Account]])+SUMIFS(V:V,T:T,Obrotowka[[#This Row],[GL_Account]])))</f>
        <v>0</v>
      </c>
      <c r="H367" s="18">
        <f>IF($D$5="tak",SUMIFS(AL:AL,AH:AH,Obrotowka[[#This Row],[GL_Account]],AL:AL,"&lt;0")/1000,SUMIFS(AL:AL,AH:AH,Obrotowka[[#This Row],[GL_Account]],AL:AL,"&lt;0"))</f>
        <v>0</v>
      </c>
      <c r="I367" s="18">
        <f>SUM(Obrotowka[[#This Row],[BO]:[MA]])</f>
        <v>0</v>
      </c>
      <c r="J367">
        <f>IF(Obrotowka[[#This Row],[BZ]]=0,0,1)</f>
        <v>0</v>
      </c>
      <c r="K367" s="253"/>
      <c r="AF367" s="18"/>
      <c r="AU367" t="s">
        <v>8701</v>
      </c>
    </row>
    <row r="368" spans="2:47" x14ac:dyDescent="0.3">
      <c r="B368" t="s">
        <v>12145</v>
      </c>
      <c r="C368" t="s">
        <v>12146</v>
      </c>
      <c r="D368" t="s">
        <v>11918</v>
      </c>
      <c r="E368" t="s">
        <v>4185</v>
      </c>
      <c r="F368" s="18">
        <f>IF($D$5="tak",(SUMIFS(AE:AE,AA:AA,Obrotowka[[#This Row],[GL_Account]])-SUMIFS(U:U,S:S,Obrotowka[[#This Row],[GL_Account]])+SUMIFS(U:U,T:T,Obrotowka[[#This Row],[GL_Account]]))/1000,(SUMIFS(AE:AE,AA:AA,Obrotowka[[#This Row],[GL_Account]])-SUMIFS(U:U,S:S,Obrotowka[[#This Row],[GL_Account]])+SUMIFS(U:U,T:T,Obrotowka[[#This Row],[GL_Account]])))</f>
        <v>0</v>
      </c>
      <c r="G368" s="18">
        <f>IF($D$5="tak",(SUMIFS(AL:AL,AH:AH,Obrotowka[[#This Row],[GL_Account]],AL:AL,"&gt;=0")-SUMIFS(V:V,S:S,Obrotowka[[#This Row],[GL_Account]])+SUMIFS(V:V,T:T,Obrotowka[[#This Row],[GL_Account]]))/1000,(SUMIFS(AL:AL,AH:AH,Obrotowka[[#This Row],[GL_Account]],AL:AL,"&gt;=0")-SUMIFS(V:V,S:S,Obrotowka[[#This Row],[GL_Account]])+SUMIFS(V:V,T:T,Obrotowka[[#This Row],[GL_Account]])))</f>
        <v>0</v>
      </c>
      <c r="H368" s="18">
        <f>IF($D$5="tak",SUMIFS(AL:AL,AH:AH,Obrotowka[[#This Row],[GL_Account]],AL:AL,"&lt;0")/1000,SUMIFS(AL:AL,AH:AH,Obrotowka[[#This Row],[GL_Account]],AL:AL,"&lt;0"))</f>
        <v>0</v>
      </c>
      <c r="I368" s="18">
        <f>SUM(Obrotowka[[#This Row],[BO]:[MA]])</f>
        <v>0</v>
      </c>
      <c r="J368">
        <f>IF(Obrotowka[[#This Row],[BZ]]=0,0,1)</f>
        <v>0</v>
      </c>
      <c r="K368" s="253"/>
      <c r="AF368" s="18"/>
      <c r="AU368" t="s">
        <v>8701</v>
      </c>
    </row>
    <row r="369" spans="2:47" x14ac:dyDescent="0.3">
      <c r="B369" t="s">
        <v>12147</v>
      </c>
      <c r="C369" t="s">
        <v>12148</v>
      </c>
      <c r="D369" t="s">
        <v>11918</v>
      </c>
      <c r="E369" t="s">
        <v>4185</v>
      </c>
      <c r="F369" s="18">
        <f>IF($D$5="tak",(SUMIFS(AE:AE,AA:AA,Obrotowka[[#This Row],[GL_Account]])-SUMIFS(U:U,S:S,Obrotowka[[#This Row],[GL_Account]])+SUMIFS(U:U,T:T,Obrotowka[[#This Row],[GL_Account]]))/1000,(SUMIFS(AE:AE,AA:AA,Obrotowka[[#This Row],[GL_Account]])-SUMIFS(U:U,S:S,Obrotowka[[#This Row],[GL_Account]])+SUMIFS(U:U,T:T,Obrotowka[[#This Row],[GL_Account]])))</f>
        <v>0</v>
      </c>
      <c r="G369" s="18">
        <f>IF($D$5="tak",(SUMIFS(AL:AL,AH:AH,Obrotowka[[#This Row],[GL_Account]],AL:AL,"&gt;=0")-SUMIFS(V:V,S:S,Obrotowka[[#This Row],[GL_Account]])+SUMIFS(V:V,T:T,Obrotowka[[#This Row],[GL_Account]]))/1000,(SUMIFS(AL:AL,AH:AH,Obrotowka[[#This Row],[GL_Account]],AL:AL,"&gt;=0")-SUMIFS(V:V,S:S,Obrotowka[[#This Row],[GL_Account]])+SUMIFS(V:V,T:T,Obrotowka[[#This Row],[GL_Account]])))</f>
        <v>0</v>
      </c>
      <c r="H369" s="18">
        <f>IF($D$5="tak",SUMIFS(AL:AL,AH:AH,Obrotowka[[#This Row],[GL_Account]],AL:AL,"&lt;0")/1000,SUMIFS(AL:AL,AH:AH,Obrotowka[[#This Row],[GL_Account]],AL:AL,"&lt;0"))</f>
        <v>0</v>
      </c>
      <c r="I369" s="18">
        <f>SUM(Obrotowka[[#This Row],[BO]:[MA]])</f>
        <v>0</v>
      </c>
      <c r="J369">
        <f>IF(Obrotowka[[#This Row],[BZ]]=0,0,1)</f>
        <v>0</v>
      </c>
      <c r="K369" s="253"/>
      <c r="AF369" s="18"/>
      <c r="AU369" t="s">
        <v>8701</v>
      </c>
    </row>
    <row r="370" spans="2:47" x14ac:dyDescent="0.3">
      <c r="B370" t="s">
        <v>12149</v>
      </c>
      <c r="C370" t="s">
        <v>12150</v>
      </c>
      <c r="D370" t="s">
        <v>11918</v>
      </c>
      <c r="E370" t="s">
        <v>4185</v>
      </c>
      <c r="F370" s="18">
        <f>IF($D$5="tak",(SUMIFS(AE:AE,AA:AA,Obrotowka[[#This Row],[GL_Account]])-SUMIFS(U:U,S:S,Obrotowka[[#This Row],[GL_Account]])+SUMIFS(U:U,T:T,Obrotowka[[#This Row],[GL_Account]]))/1000,(SUMIFS(AE:AE,AA:AA,Obrotowka[[#This Row],[GL_Account]])-SUMIFS(U:U,S:S,Obrotowka[[#This Row],[GL_Account]])+SUMIFS(U:U,T:T,Obrotowka[[#This Row],[GL_Account]])))</f>
        <v>0</v>
      </c>
      <c r="G370" s="18">
        <f>IF($D$5="tak",(SUMIFS(AL:AL,AH:AH,Obrotowka[[#This Row],[GL_Account]],AL:AL,"&gt;=0")-SUMIFS(V:V,S:S,Obrotowka[[#This Row],[GL_Account]])+SUMIFS(V:V,T:T,Obrotowka[[#This Row],[GL_Account]]))/1000,(SUMIFS(AL:AL,AH:AH,Obrotowka[[#This Row],[GL_Account]],AL:AL,"&gt;=0")-SUMIFS(V:V,S:S,Obrotowka[[#This Row],[GL_Account]])+SUMIFS(V:V,T:T,Obrotowka[[#This Row],[GL_Account]])))</f>
        <v>0</v>
      </c>
      <c r="H370" s="18">
        <f>IF($D$5="tak",SUMIFS(AL:AL,AH:AH,Obrotowka[[#This Row],[GL_Account]],AL:AL,"&lt;0")/1000,SUMIFS(AL:AL,AH:AH,Obrotowka[[#This Row],[GL_Account]],AL:AL,"&lt;0"))</f>
        <v>0</v>
      </c>
      <c r="I370" s="18">
        <f>SUM(Obrotowka[[#This Row],[BO]:[MA]])</f>
        <v>0</v>
      </c>
      <c r="J370">
        <f>IF(Obrotowka[[#This Row],[BZ]]=0,0,1)</f>
        <v>0</v>
      </c>
      <c r="K370" s="253"/>
      <c r="AF370" s="18"/>
      <c r="AU370" t="s">
        <v>8701</v>
      </c>
    </row>
    <row r="371" spans="2:47" x14ac:dyDescent="0.3">
      <c r="B371" t="s">
        <v>12151</v>
      </c>
      <c r="C371" t="s">
        <v>12059</v>
      </c>
      <c r="D371" t="s">
        <v>11918</v>
      </c>
      <c r="E371" t="s">
        <v>4185</v>
      </c>
      <c r="F371" s="18">
        <f>IF($D$5="tak",(SUMIFS(AE:AE,AA:AA,Obrotowka[[#This Row],[GL_Account]])-SUMIFS(U:U,S:S,Obrotowka[[#This Row],[GL_Account]])+SUMIFS(U:U,T:T,Obrotowka[[#This Row],[GL_Account]]))/1000,(SUMIFS(AE:AE,AA:AA,Obrotowka[[#This Row],[GL_Account]])-SUMIFS(U:U,S:S,Obrotowka[[#This Row],[GL_Account]])+SUMIFS(U:U,T:T,Obrotowka[[#This Row],[GL_Account]])))</f>
        <v>0</v>
      </c>
      <c r="G371" s="18">
        <f>IF($D$5="tak",(SUMIFS(AL:AL,AH:AH,Obrotowka[[#This Row],[GL_Account]],AL:AL,"&gt;=0")-SUMIFS(V:V,S:S,Obrotowka[[#This Row],[GL_Account]])+SUMIFS(V:V,T:T,Obrotowka[[#This Row],[GL_Account]]))/1000,(SUMIFS(AL:AL,AH:AH,Obrotowka[[#This Row],[GL_Account]],AL:AL,"&gt;=0")-SUMIFS(V:V,S:S,Obrotowka[[#This Row],[GL_Account]])+SUMIFS(V:V,T:T,Obrotowka[[#This Row],[GL_Account]])))</f>
        <v>0</v>
      </c>
      <c r="H371" s="18">
        <f>IF($D$5="tak",SUMIFS(AL:AL,AH:AH,Obrotowka[[#This Row],[GL_Account]],AL:AL,"&lt;0")/1000,SUMIFS(AL:AL,AH:AH,Obrotowka[[#This Row],[GL_Account]],AL:AL,"&lt;0"))</f>
        <v>0</v>
      </c>
      <c r="I371" s="18">
        <f>SUM(Obrotowka[[#This Row],[BO]:[MA]])</f>
        <v>0</v>
      </c>
      <c r="J371">
        <f>IF(Obrotowka[[#This Row],[BZ]]=0,0,1)</f>
        <v>0</v>
      </c>
      <c r="K371" s="253"/>
      <c r="AF371" s="18"/>
      <c r="AU371" t="s">
        <v>8701</v>
      </c>
    </row>
    <row r="372" spans="2:47" x14ac:dyDescent="0.3">
      <c r="B372" t="s">
        <v>12152</v>
      </c>
      <c r="C372" t="s">
        <v>12153</v>
      </c>
      <c r="D372" t="s">
        <v>11918</v>
      </c>
      <c r="E372" t="s">
        <v>4185</v>
      </c>
      <c r="F372" s="18">
        <f>IF($D$5="tak",(SUMIFS(AE:AE,AA:AA,Obrotowka[[#This Row],[GL_Account]])-SUMIFS(U:U,S:S,Obrotowka[[#This Row],[GL_Account]])+SUMIFS(U:U,T:T,Obrotowka[[#This Row],[GL_Account]]))/1000,(SUMIFS(AE:AE,AA:AA,Obrotowka[[#This Row],[GL_Account]])-SUMIFS(U:U,S:S,Obrotowka[[#This Row],[GL_Account]])+SUMIFS(U:U,T:T,Obrotowka[[#This Row],[GL_Account]])))</f>
        <v>0</v>
      </c>
      <c r="G372" s="18">
        <f>IF($D$5="tak",(SUMIFS(AL:AL,AH:AH,Obrotowka[[#This Row],[GL_Account]],AL:AL,"&gt;=0")-SUMIFS(V:V,S:S,Obrotowka[[#This Row],[GL_Account]])+SUMIFS(V:V,T:T,Obrotowka[[#This Row],[GL_Account]]))/1000,(SUMIFS(AL:AL,AH:AH,Obrotowka[[#This Row],[GL_Account]],AL:AL,"&gt;=0")-SUMIFS(V:V,S:S,Obrotowka[[#This Row],[GL_Account]])+SUMIFS(V:V,T:T,Obrotowka[[#This Row],[GL_Account]])))</f>
        <v>0</v>
      </c>
      <c r="H372" s="18">
        <f>IF($D$5="tak",SUMIFS(AL:AL,AH:AH,Obrotowka[[#This Row],[GL_Account]],AL:AL,"&lt;0")/1000,SUMIFS(AL:AL,AH:AH,Obrotowka[[#This Row],[GL_Account]],AL:AL,"&lt;0"))</f>
        <v>0</v>
      </c>
      <c r="I372" s="18">
        <f>SUM(Obrotowka[[#This Row],[BO]:[MA]])</f>
        <v>0</v>
      </c>
      <c r="J372">
        <f>IF(Obrotowka[[#This Row],[BZ]]=0,0,1)</f>
        <v>0</v>
      </c>
      <c r="K372" s="253"/>
      <c r="AF372" s="18"/>
      <c r="AU372" t="s">
        <v>8701</v>
      </c>
    </row>
    <row r="373" spans="2:47" x14ac:dyDescent="0.3">
      <c r="B373" t="s">
        <v>12154</v>
      </c>
      <c r="C373" t="s">
        <v>12155</v>
      </c>
      <c r="D373" t="s">
        <v>11918</v>
      </c>
      <c r="E373" t="s">
        <v>4185</v>
      </c>
      <c r="F373" s="18">
        <f>IF($D$5="tak",(SUMIFS(AE:AE,AA:AA,Obrotowka[[#This Row],[GL_Account]])-SUMIFS(U:U,S:S,Obrotowka[[#This Row],[GL_Account]])+SUMIFS(U:U,T:T,Obrotowka[[#This Row],[GL_Account]]))/1000,(SUMIFS(AE:AE,AA:AA,Obrotowka[[#This Row],[GL_Account]])-SUMIFS(U:U,S:S,Obrotowka[[#This Row],[GL_Account]])+SUMIFS(U:U,T:T,Obrotowka[[#This Row],[GL_Account]])))</f>
        <v>0</v>
      </c>
      <c r="G373" s="18">
        <f>IF($D$5="tak",(SUMIFS(AL:AL,AH:AH,Obrotowka[[#This Row],[GL_Account]],AL:AL,"&gt;=0")-SUMIFS(V:V,S:S,Obrotowka[[#This Row],[GL_Account]])+SUMIFS(V:V,T:T,Obrotowka[[#This Row],[GL_Account]]))/1000,(SUMIFS(AL:AL,AH:AH,Obrotowka[[#This Row],[GL_Account]],AL:AL,"&gt;=0")-SUMIFS(V:V,S:S,Obrotowka[[#This Row],[GL_Account]])+SUMIFS(V:V,T:T,Obrotowka[[#This Row],[GL_Account]])))</f>
        <v>0</v>
      </c>
      <c r="H373" s="18">
        <f>IF($D$5="tak",SUMIFS(AL:AL,AH:AH,Obrotowka[[#This Row],[GL_Account]],AL:AL,"&lt;0")/1000,SUMIFS(AL:AL,AH:AH,Obrotowka[[#This Row],[GL_Account]],AL:AL,"&lt;0"))</f>
        <v>0</v>
      </c>
      <c r="I373" s="18">
        <f>SUM(Obrotowka[[#This Row],[BO]:[MA]])</f>
        <v>0</v>
      </c>
      <c r="J373">
        <f>IF(Obrotowka[[#This Row],[BZ]]=0,0,1)</f>
        <v>0</v>
      </c>
      <c r="K373" s="253"/>
      <c r="AF373" s="18"/>
      <c r="AU373" t="s">
        <v>8706</v>
      </c>
    </row>
    <row r="374" spans="2:47" x14ac:dyDescent="0.3">
      <c r="B374" t="s">
        <v>12156</v>
      </c>
      <c r="C374" t="s">
        <v>12065</v>
      </c>
      <c r="D374" t="s">
        <v>11918</v>
      </c>
      <c r="E374" t="s">
        <v>4185</v>
      </c>
      <c r="F374" s="18">
        <f>IF($D$5="tak",(SUMIFS(AE:AE,AA:AA,Obrotowka[[#This Row],[GL_Account]])-SUMIFS(U:U,S:S,Obrotowka[[#This Row],[GL_Account]])+SUMIFS(U:U,T:T,Obrotowka[[#This Row],[GL_Account]]))/1000,(SUMIFS(AE:AE,AA:AA,Obrotowka[[#This Row],[GL_Account]])-SUMIFS(U:U,S:S,Obrotowka[[#This Row],[GL_Account]])+SUMIFS(U:U,T:T,Obrotowka[[#This Row],[GL_Account]])))</f>
        <v>0</v>
      </c>
      <c r="G374" s="18">
        <f>IF($D$5="tak",(SUMIFS(AL:AL,AH:AH,Obrotowka[[#This Row],[GL_Account]],AL:AL,"&gt;=0")-SUMIFS(V:V,S:S,Obrotowka[[#This Row],[GL_Account]])+SUMIFS(V:V,T:T,Obrotowka[[#This Row],[GL_Account]]))/1000,(SUMIFS(AL:AL,AH:AH,Obrotowka[[#This Row],[GL_Account]],AL:AL,"&gt;=0")-SUMIFS(V:V,S:S,Obrotowka[[#This Row],[GL_Account]])+SUMIFS(V:V,T:T,Obrotowka[[#This Row],[GL_Account]])))</f>
        <v>0</v>
      </c>
      <c r="H374" s="18">
        <f>IF($D$5="tak",SUMIFS(AL:AL,AH:AH,Obrotowka[[#This Row],[GL_Account]],AL:AL,"&lt;0")/1000,SUMIFS(AL:AL,AH:AH,Obrotowka[[#This Row],[GL_Account]],AL:AL,"&lt;0"))</f>
        <v>0</v>
      </c>
      <c r="I374" s="18">
        <f>SUM(Obrotowka[[#This Row],[BO]:[MA]])</f>
        <v>0</v>
      </c>
      <c r="J374">
        <f>IF(Obrotowka[[#This Row],[BZ]]=0,0,1)</f>
        <v>0</v>
      </c>
      <c r="K374" s="253"/>
      <c r="AF374" s="18"/>
      <c r="AU374" t="s">
        <v>8711</v>
      </c>
    </row>
    <row r="375" spans="2:47" x14ac:dyDescent="0.3">
      <c r="B375" t="s">
        <v>12157</v>
      </c>
      <c r="C375" t="s">
        <v>12158</v>
      </c>
      <c r="D375" t="s">
        <v>11918</v>
      </c>
      <c r="E375" t="s">
        <v>4185</v>
      </c>
      <c r="F375" s="18">
        <f>IF($D$5="tak",(SUMIFS(AE:AE,AA:AA,Obrotowka[[#This Row],[GL_Account]])-SUMIFS(U:U,S:S,Obrotowka[[#This Row],[GL_Account]])+SUMIFS(U:U,T:T,Obrotowka[[#This Row],[GL_Account]]))/1000,(SUMIFS(AE:AE,AA:AA,Obrotowka[[#This Row],[GL_Account]])-SUMIFS(U:U,S:S,Obrotowka[[#This Row],[GL_Account]])+SUMIFS(U:U,T:T,Obrotowka[[#This Row],[GL_Account]])))</f>
        <v>0</v>
      </c>
      <c r="G375" s="18">
        <f>IF($D$5="tak",(SUMIFS(AL:AL,AH:AH,Obrotowka[[#This Row],[GL_Account]],AL:AL,"&gt;=0")-SUMIFS(V:V,S:S,Obrotowka[[#This Row],[GL_Account]])+SUMIFS(V:V,T:T,Obrotowka[[#This Row],[GL_Account]]))/1000,(SUMIFS(AL:AL,AH:AH,Obrotowka[[#This Row],[GL_Account]],AL:AL,"&gt;=0")-SUMIFS(V:V,S:S,Obrotowka[[#This Row],[GL_Account]])+SUMIFS(V:V,T:T,Obrotowka[[#This Row],[GL_Account]])))</f>
        <v>0</v>
      </c>
      <c r="H375" s="18">
        <f>IF($D$5="tak",SUMIFS(AL:AL,AH:AH,Obrotowka[[#This Row],[GL_Account]],AL:AL,"&lt;0")/1000,SUMIFS(AL:AL,AH:AH,Obrotowka[[#This Row],[GL_Account]],AL:AL,"&lt;0"))</f>
        <v>0</v>
      </c>
      <c r="I375" s="18">
        <f>SUM(Obrotowka[[#This Row],[BO]:[MA]])</f>
        <v>0</v>
      </c>
      <c r="J375">
        <f>IF(Obrotowka[[#This Row],[BZ]]=0,0,1)</f>
        <v>0</v>
      </c>
      <c r="K375" s="253"/>
      <c r="AF375" s="18"/>
      <c r="AU375" t="s">
        <v>8714</v>
      </c>
    </row>
    <row r="376" spans="2:47" x14ac:dyDescent="0.3">
      <c r="B376" t="s">
        <v>12159</v>
      </c>
      <c r="C376" t="s">
        <v>12160</v>
      </c>
      <c r="D376" t="s">
        <v>11918</v>
      </c>
      <c r="E376" t="s">
        <v>4185</v>
      </c>
      <c r="F376" s="18">
        <f>IF($D$5="tak",(SUMIFS(AE:AE,AA:AA,Obrotowka[[#This Row],[GL_Account]])-SUMIFS(U:U,S:S,Obrotowka[[#This Row],[GL_Account]])+SUMIFS(U:U,T:T,Obrotowka[[#This Row],[GL_Account]]))/1000,(SUMIFS(AE:AE,AA:AA,Obrotowka[[#This Row],[GL_Account]])-SUMIFS(U:U,S:S,Obrotowka[[#This Row],[GL_Account]])+SUMIFS(U:U,T:T,Obrotowka[[#This Row],[GL_Account]])))</f>
        <v>0</v>
      </c>
      <c r="G376" s="18">
        <f>IF($D$5="tak",(SUMIFS(AL:AL,AH:AH,Obrotowka[[#This Row],[GL_Account]],AL:AL,"&gt;=0")-SUMIFS(V:V,S:S,Obrotowka[[#This Row],[GL_Account]])+SUMIFS(V:V,T:T,Obrotowka[[#This Row],[GL_Account]]))/1000,(SUMIFS(AL:AL,AH:AH,Obrotowka[[#This Row],[GL_Account]],AL:AL,"&gt;=0")-SUMIFS(V:V,S:S,Obrotowka[[#This Row],[GL_Account]])+SUMIFS(V:V,T:T,Obrotowka[[#This Row],[GL_Account]])))</f>
        <v>0</v>
      </c>
      <c r="H376" s="18">
        <f>IF($D$5="tak",SUMIFS(AL:AL,AH:AH,Obrotowka[[#This Row],[GL_Account]],AL:AL,"&lt;0")/1000,SUMIFS(AL:AL,AH:AH,Obrotowka[[#This Row],[GL_Account]],AL:AL,"&lt;0"))</f>
        <v>0</v>
      </c>
      <c r="I376" s="18">
        <f>SUM(Obrotowka[[#This Row],[BO]:[MA]])</f>
        <v>0</v>
      </c>
      <c r="J376">
        <f>IF(Obrotowka[[#This Row],[BZ]]=0,0,1)</f>
        <v>0</v>
      </c>
      <c r="K376" s="253"/>
      <c r="AF376" s="18"/>
      <c r="AU376" t="s">
        <v>8714</v>
      </c>
    </row>
    <row r="377" spans="2:47" x14ac:dyDescent="0.3">
      <c r="B377" t="s">
        <v>12161</v>
      </c>
      <c r="C377" t="s">
        <v>12162</v>
      </c>
      <c r="D377" t="s">
        <v>11918</v>
      </c>
      <c r="E377" t="s">
        <v>4185</v>
      </c>
      <c r="F377" s="18">
        <f>IF($D$5="tak",(SUMIFS(AE:AE,AA:AA,Obrotowka[[#This Row],[GL_Account]])-SUMIFS(U:U,S:S,Obrotowka[[#This Row],[GL_Account]])+SUMIFS(U:U,T:T,Obrotowka[[#This Row],[GL_Account]]))/1000,(SUMIFS(AE:AE,AA:AA,Obrotowka[[#This Row],[GL_Account]])-SUMIFS(U:U,S:S,Obrotowka[[#This Row],[GL_Account]])+SUMIFS(U:U,T:T,Obrotowka[[#This Row],[GL_Account]])))</f>
        <v>0</v>
      </c>
      <c r="G377" s="18">
        <f>IF($D$5="tak",(SUMIFS(AL:AL,AH:AH,Obrotowka[[#This Row],[GL_Account]],AL:AL,"&gt;=0")-SUMIFS(V:V,S:S,Obrotowka[[#This Row],[GL_Account]])+SUMIFS(V:V,T:T,Obrotowka[[#This Row],[GL_Account]]))/1000,(SUMIFS(AL:AL,AH:AH,Obrotowka[[#This Row],[GL_Account]],AL:AL,"&gt;=0")-SUMIFS(V:V,S:S,Obrotowka[[#This Row],[GL_Account]])+SUMIFS(V:V,T:T,Obrotowka[[#This Row],[GL_Account]])))</f>
        <v>0</v>
      </c>
      <c r="H377" s="18">
        <f>IF($D$5="tak",SUMIFS(AL:AL,AH:AH,Obrotowka[[#This Row],[GL_Account]],AL:AL,"&lt;0")/1000,SUMIFS(AL:AL,AH:AH,Obrotowka[[#This Row],[GL_Account]],AL:AL,"&lt;0"))</f>
        <v>0</v>
      </c>
      <c r="I377" s="18">
        <f>SUM(Obrotowka[[#This Row],[BO]:[MA]])</f>
        <v>0</v>
      </c>
      <c r="J377">
        <f>IF(Obrotowka[[#This Row],[BZ]]=0,0,1)</f>
        <v>0</v>
      </c>
      <c r="K377" s="253"/>
      <c r="AF377" s="18"/>
      <c r="AU377" t="s">
        <v>8714</v>
      </c>
    </row>
    <row r="378" spans="2:47" x14ac:dyDescent="0.3">
      <c r="B378" t="s">
        <v>12163</v>
      </c>
      <c r="C378" t="s">
        <v>12164</v>
      </c>
      <c r="D378" t="s">
        <v>11918</v>
      </c>
      <c r="E378" t="s">
        <v>4185</v>
      </c>
      <c r="F378" s="18">
        <f>IF($D$5="tak",(SUMIFS(AE:AE,AA:AA,Obrotowka[[#This Row],[GL_Account]])-SUMIFS(U:U,S:S,Obrotowka[[#This Row],[GL_Account]])+SUMIFS(U:U,T:T,Obrotowka[[#This Row],[GL_Account]]))/1000,(SUMIFS(AE:AE,AA:AA,Obrotowka[[#This Row],[GL_Account]])-SUMIFS(U:U,S:S,Obrotowka[[#This Row],[GL_Account]])+SUMIFS(U:U,T:T,Obrotowka[[#This Row],[GL_Account]])))</f>
        <v>0</v>
      </c>
      <c r="G378" s="18">
        <f>IF($D$5="tak",(SUMIFS(AL:AL,AH:AH,Obrotowka[[#This Row],[GL_Account]],AL:AL,"&gt;=0")-SUMIFS(V:V,S:S,Obrotowka[[#This Row],[GL_Account]])+SUMIFS(V:V,T:T,Obrotowka[[#This Row],[GL_Account]]))/1000,(SUMIFS(AL:AL,AH:AH,Obrotowka[[#This Row],[GL_Account]],AL:AL,"&gt;=0")-SUMIFS(V:V,S:S,Obrotowka[[#This Row],[GL_Account]])+SUMIFS(V:V,T:T,Obrotowka[[#This Row],[GL_Account]])))</f>
        <v>0</v>
      </c>
      <c r="H378" s="18">
        <f>IF($D$5="tak",SUMIFS(AL:AL,AH:AH,Obrotowka[[#This Row],[GL_Account]],AL:AL,"&lt;0")/1000,SUMIFS(AL:AL,AH:AH,Obrotowka[[#This Row],[GL_Account]],AL:AL,"&lt;0"))</f>
        <v>0</v>
      </c>
      <c r="I378" s="18">
        <f>SUM(Obrotowka[[#This Row],[BO]:[MA]])</f>
        <v>0</v>
      </c>
      <c r="J378">
        <f>IF(Obrotowka[[#This Row],[BZ]]=0,0,1)</f>
        <v>0</v>
      </c>
      <c r="K378" s="253"/>
      <c r="AF378" s="18"/>
      <c r="AU378" t="s">
        <v>8714</v>
      </c>
    </row>
    <row r="379" spans="2:47" x14ac:dyDescent="0.3">
      <c r="B379" t="s">
        <v>12165</v>
      </c>
      <c r="C379" t="s">
        <v>12166</v>
      </c>
      <c r="D379" t="s">
        <v>11918</v>
      </c>
      <c r="E379" t="s">
        <v>4185</v>
      </c>
      <c r="F379" s="18">
        <f>IF($D$5="tak",(SUMIFS(AE:AE,AA:AA,Obrotowka[[#This Row],[GL_Account]])-SUMIFS(U:U,S:S,Obrotowka[[#This Row],[GL_Account]])+SUMIFS(U:U,T:T,Obrotowka[[#This Row],[GL_Account]]))/1000,(SUMIFS(AE:AE,AA:AA,Obrotowka[[#This Row],[GL_Account]])-SUMIFS(U:U,S:S,Obrotowka[[#This Row],[GL_Account]])+SUMIFS(U:U,T:T,Obrotowka[[#This Row],[GL_Account]])))</f>
        <v>0</v>
      </c>
      <c r="G379" s="18">
        <f>IF($D$5="tak",(SUMIFS(AL:AL,AH:AH,Obrotowka[[#This Row],[GL_Account]],AL:AL,"&gt;=0")-SUMIFS(V:V,S:S,Obrotowka[[#This Row],[GL_Account]])+SUMIFS(V:V,T:T,Obrotowka[[#This Row],[GL_Account]]))/1000,(SUMIFS(AL:AL,AH:AH,Obrotowka[[#This Row],[GL_Account]],AL:AL,"&gt;=0")-SUMIFS(V:V,S:S,Obrotowka[[#This Row],[GL_Account]])+SUMIFS(V:V,T:T,Obrotowka[[#This Row],[GL_Account]])))</f>
        <v>0</v>
      </c>
      <c r="H379" s="18">
        <f>IF($D$5="tak",SUMIFS(AL:AL,AH:AH,Obrotowka[[#This Row],[GL_Account]],AL:AL,"&lt;0")/1000,SUMIFS(AL:AL,AH:AH,Obrotowka[[#This Row],[GL_Account]],AL:AL,"&lt;0"))</f>
        <v>0</v>
      </c>
      <c r="I379" s="18">
        <f>SUM(Obrotowka[[#This Row],[BO]:[MA]])</f>
        <v>0</v>
      </c>
      <c r="J379">
        <f>IF(Obrotowka[[#This Row],[BZ]]=0,0,1)</f>
        <v>0</v>
      </c>
      <c r="K379" s="253"/>
      <c r="AF379" s="18"/>
      <c r="AU379" t="s">
        <v>8714</v>
      </c>
    </row>
    <row r="380" spans="2:47" x14ac:dyDescent="0.3">
      <c r="B380" t="s">
        <v>12167</v>
      </c>
      <c r="C380" t="s">
        <v>12168</v>
      </c>
      <c r="D380" t="s">
        <v>11918</v>
      </c>
      <c r="E380" t="s">
        <v>4185</v>
      </c>
      <c r="F380" s="18">
        <f>IF($D$5="tak",(SUMIFS(AE:AE,AA:AA,Obrotowka[[#This Row],[GL_Account]])-SUMIFS(U:U,S:S,Obrotowka[[#This Row],[GL_Account]])+SUMIFS(U:U,T:T,Obrotowka[[#This Row],[GL_Account]]))/1000,(SUMIFS(AE:AE,AA:AA,Obrotowka[[#This Row],[GL_Account]])-SUMIFS(U:U,S:S,Obrotowka[[#This Row],[GL_Account]])+SUMIFS(U:U,T:T,Obrotowka[[#This Row],[GL_Account]])))</f>
        <v>0</v>
      </c>
      <c r="G380" s="18">
        <f>IF($D$5="tak",(SUMIFS(AL:AL,AH:AH,Obrotowka[[#This Row],[GL_Account]],AL:AL,"&gt;=0")-SUMIFS(V:V,S:S,Obrotowka[[#This Row],[GL_Account]])+SUMIFS(V:V,T:T,Obrotowka[[#This Row],[GL_Account]]))/1000,(SUMIFS(AL:AL,AH:AH,Obrotowka[[#This Row],[GL_Account]],AL:AL,"&gt;=0")-SUMIFS(V:V,S:S,Obrotowka[[#This Row],[GL_Account]])+SUMIFS(V:V,T:T,Obrotowka[[#This Row],[GL_Account]])))</f>
        <v>0</v>
      </c>
      <c r="H380" s="18">
        <f>IF($D$5="tak",SUMIFS(AL:AL,AH:AH,Obrotowka[[#This Row],[GL_Account]],AL:AL,"&lt;0")/1000,SUMIFS(AL:AL,AH:AH,Obrotowka[[#This Row],[GL_Account]],AL:AL,"&lt;0"))</f>
        <v>0</v>
      </c>
      <c r="I380" s="18">
        <f>SUM(Obrotowka[[#This Row],[BO]:[MA]])</f>
        <v>0</v>
      </c>
      <c r="J380">
        <f>IF(Obrotowka[[#This Row],[BZ]]=0,0,1)</f>
        <v>0</v>
      </c>
      <c r="K380" s="253"/>
      <c r="AF380" s="18"/>
      <c r="AU380" t="s">
        <v>8714</v>
      </c>
    </row>
    <row r="381" spans="2:47" x14ac:dyDescent="0.3">
      <c r="B381" t="s">
        <v>12169</v>
      </c>
      <c r="C381" t="s">
        <v>12170</v>
      </c>
      <c r="D381" t="s">
        <v>11918</v>
      </c>
      <c r="E381" t="s">
        <v>4185</v>
      </c>
      <c r="F381" s="18">
        <f>IF($D$5="tak",(SUMIFS(AE:AE,AA:AA,Obrotowka[[#This Row],[GL_Account]])-SUMIFS(U:U,S:S,Obrotowka[[#This Row],[GL_Account]])+SUMIFS(U:U,T:T,Obrotowka[[#This Row],[GL_Account]]))/1000,(SUMIFS(AE:AE,AA:AA,Obrotowka[[#This Row],[GL_Account]])-SUMIFS(U:U,S:S,Obrotowka[[#This Row],[GL_Account]])+SUMIFS(U:U,T:T,Obrotowka[[#This Row],[GL_Account]])))</f>
        <v>0</v>
      </c>
      <c r="G381" s="18">
        <f>IF($D$5="tak",(SUMIFS(AL:AL,AH:AH,Obrotowka[[#This Row],[GL_Account]],AL:AL,"&gt;=0")-SUMIFS(V:V,S:S,Obrotowka[[#This Row],[GL_Account]])+SUMIFS(V:V,T:T,Obrotowka[[#This Row],[GL_Account]]))/1000,(SUMIFS(AL:AL,AH:AH,Obrotowka[[#This Row],[GL_Account]],AL:AL,"&gt;=0")-SUMIFS(V:V,S:S,Obrotowka[[#This Row],[GL_Account]])+SUMIFS(V:V,T:T,Obrotowka[[#This Row],[GL_Account]])))</f>
        <v>0</v>
      </c>
      <c r="H381" s="18">
        <f>IF($D$5="tak",SUMIFS(AL:AL,AH:AH,Obrotowka[[#This Row],[GL_Account]],AL:AL,"&lt;0")/1000,SUMIFS(AL:AL,AH:AH,Obrotowka[[#This Row],[GL_Account]],AL:AL,"&lt;0"))</f>
        <v>0</v>
      </c>
      <c r="I381" s="18">
        <f>SUM(Obrotowka[[#This Row],[BO]:[MA]])</f>
        <v>0</v>
      </c>
      <c r="J381">
        <f>IF(Obrotowka[[#This Row],[BZ]]=0,0,1)</f>
        <v>0</v>
      </c>
      <c r="K381" s="253"/>
      <c r="AF381" s="18"/>
      <c r="AU381" t="s">
        <v>8697</v>
      </c>
    </row>
    <row r="382" spans="2:47" x14ac:dyDescent="0.3">
      <c r="B382" t="s">
        <v>12171</v>
      </c>
      <c r="C382" t="s">
        <v>12172</v>
      </c>
      <c r="D382" t="s">
        <v>11918</v>
      </c>
      <c r="E382" t="s">
        <v>4185</v>
      </c>
      <c r="F382" s="18">
        <f>IF($D$5="tak",(SUMIFS(AE:AE,AA:AA,Obrotowka[[#This Row],[GL_Account]])-SUMIFS(U:U,S:S,Obrotowka[[#This Row],[GL_Account]])+SUMIFS(U:U,T:T,Obrotowka[[#This Row],[GL_Account]]))/1000,(SUMIFS(AE:AE,AA:AA,Obrotowka[[#This Row],[GL_Account]])-SUMIFS(U:U,S:S,Obrotowka[[#This Row],[GL_Account]])+SUMIFS(U:U,T:T,Obrotowka[[#This Row],[GL_Account]])))</f>
        <v>0</v>
      </c>
      <c r="G382" s="18">
        <f>IF($D$5="tak",(SUMIFS(AL:AL,AH:AH,Obrotowka[[#This Row],[GL_Account]],AL:AL,"&gt;=0")-SUMIFS(V:V,S:S,Obrotowka[[#This Row],[GL_Account]])+SUMIFS(V:V,T:T,Obrotowka[[#This Row],[GL_Account]]))/1000,(SUMIFS(AL:AL,AH:AH,Obrotowka[[#This Row],[GL_Account]],AL:AL,"&gt;=0")-SUMIFS(V:V,S:S,Obrotowka[[#This Row],[GL_Account]])+SUMIFS(V:V,T:T,Obrotowka[[#This Row],[GL_Account]])))</f>
        <v>0</v>
      </c>
      <c r="H382" s="18">
        <f>IF($D$5="tak",SUMIFS(AL:AL,AH:AH,Obrotowka[[#This Row],[GL_Account]],AL:AL,"&lt;0")/1000,SUMIFS(AL:AL,AH:AH,Obrotowka[[#This Row],[GL_Account]],AL:AL,"&lt;0"))</f>
        <v>0</v>
      </c>
      <c r="I382" s="18">
        <f>SUM(Obrotowka[[#This Row],[BO]:[MA]])</f>
        <v>0</v>
      </c>
      <c r="J382">
        <f>IF(Obrotowka[[#This Row],[BZ]]=0,0,1)</f>
        <v>0</v>
      </c>
      <c r="K382" s="253"/>
      <c r="AF382" s="18"/>
      <c r="AU382" t="s">
        <v>8697</v>
      </c>
    </row>
    <row r="383" spans="2:47" x14ac:dyDescent="0.3">
      <c r="B383" t="s">
        <v>12173</v>
      </c>
      <c r="C383" t="s">
        <v>12087</v>
      </c>
      <c r="D383" t="s">
        <v>11918</v>
      </c>
      <c r="E383" t="s">
        <v>4185</v>
      </c>
      <c r="F383" s="18">
        <f>IF($D$5="tak",(SUMIFS(AE:AE,AA:AA,Obrotowka[[#This Row],[GL_Account]])-SUMIFS(U:U,S:S,Obrotowka[[#This Row],[GL_Account]])+SUMIFS(U:U,T:T,Obrotowka[[#This Row],[GL_Account]]))/1000,(SUMIFS(AE:AE,AA:AA,Obrotowka[[#This Row],[GL_Account]])-SUMIFS(U:U,S:S,Obrotowka[[#This Row],[GL_Account]])+SUMIFS(U:U,T:T,Obrotowka[[#This Row],[GL_Account]])))</f>
        <v>0</v>
      </c>
      <c r="G383" s="18">
        <f>IF($D$5="tak",(SUMIFS(AL:AL,AH:AH,Obrotowka[[#This Row],[GL_Account]],AL:AL,"&gt;=0")-SUMIFS(V:V,S:S,Obrotowka[[#This Row],[GL_Account]])+SUMIFS(V:V,T:T,Obrotowka[[#This Row],[GL_Account]]))/1000,(SUMIFS(AL:AL,AH:AH,Obrotowka[[#This Row],[GL_Account]],AL:AL,"&gt;=0")-SUMIFS(V:V,S:S,Obrotowka[[#This Row],[GL_Account]])+SUMIFS(V:V,T:T,Obrotowka[[#This Row],[GL_Account]])))</f>
        <v>0</v>
      </c>
      <c r="H383" s="18">
        <f>IF($D$5="tak",SUMIFS(AL:AL,AH:AH,Obrotowka[[#This Row],[GL_Account]],AL:AL,"&lt;0")/1000,SUMIFS(AL:AL,AH:AH,Obrotowka[[#This Row],[GL_Account]],AL:AL,"&lt;0"))</f>
        <v>0</v>
      </c>
      <c r="I383" s="18">
        <f>SUM(Obrotowka[[#This Row],[BO]:[MA]])</f>
        <v>0</v>
      </c>
      <c r="J383">
        <f>IF(Obrotowka[[#This Row],[BZ]]=0,0,1)</f>
        <v>0</v>
      </c>
      <c r="K383" s="253"/>
      <c r="AF383" s="18"/>
      <c r="AU383" t="s">
        <v>8697</v>
      </c>
    </row>
    <row r="384" spans="2:47" x14ac:dyDescent="0.3">
      <c r="B384" t="s">
        <v>12174</v>
      </c>
      <c r="C384" t="s">
        <v>12175</v>
      </c>
      <c r="D384" t="s">
        <v>11918</v>
      </c>
      <c r="E384" t="s">
        <v>4185</v>
      </c>
      <c r="F384" s="18">
        <f>IF($D$5="tak",(SUMIFS(AE:AE,AA:AA,Obrotowka[[#This Row],[GL_Account]])-SUMIFS(U:U,S:S,Obrotowka[[#This Row],[GL_Account]])+SUMIFS(U:U,T:T,Obrotowka[[#This Row],[GL_Account]]))/1000,(SUMIFS(AE:AE,AA:AA,Obrotowka[[#This Row],[GL_Account]])-SUMIFS(U:U,S:S,Obrotowka[[#This Row],[GL_Account]])+SUMIFS(U:U,T:T,Obrotowka[[#This Row],[GL_Account]])))</f>
        <v>0</v>
      </c>
      <c r="G384" s="18">
        <f>IF($D$5="tak",(SUMIFS(AL:AL,AH:AH,Obrotowka[[#This Row],[GL_Account]],AL:AL,"&gt;=0")-SUMIFS(V:V,S:S,Obrotowka[[#This Row],[GL_Account]])+SUMIFS(V:V,T:T,Obrotowka[[#This Row],[GL_Account]]))/1000,(SUMIFS(AL:AL,AH:AH,Obrotowka[[#This Row],[GL_Account]],AL:AL,"&gt;=0")-SUMIFS(V:V,S:S,Obrotowka[[#This Row],[GL_Account]])+SUMIFS(V:V,T:T,Obrotowka[[#This Row],[GL_Account]])))</f>
        <v>0</v>
      </c>
      <c r="H384" s="18">
        <f>IF($D$5="tak",SUMIFS(AL:AL,AH:AH,Obrotowka[[#This Row],[GL_Account]],AL:AL,"&lt;0")/1000,SUMIFS(AL:AL,AH:AH,Obrotowka[[#This Row],[GL_Account]],AL:AL,"&lt;0"))</f>
        <v>0</v>
      </c>
      <c r="I384" s="18">
        <f>SUM(Obrotowka[[#This Row],[BO]:[MA]])</f>
        <v>0</v>
      </c>
      <c r="J384">
        <f>IF(Obrotowka[[#This Row],[BZ]]=0,0,1)</f>
        <v>0</v>
      </c>
      <c r="K384" s="253"/>
      <c r="AF384" s="18"/>
      <c r="AU384" t="s">
        <v>8697</v>
      </c>
    </row>
    <row r="385" spans="2:47" x14ac:dyDescent="0.3">
      <c r="B385" t="s">
        <v>12176</v>
      </c>
      <c r="C385" t="s">
        <v>12177</v>
      </c>
      <c r="D385" t="s">
        <v>11918</v>
      </c>
      <c r="E385" t="s">
        <v>4185</v>
      </c>
      <c r="F385" s="18">
        <f>IF($D$5="tak",(SUMIFS(AE:AE,AA:AA,Obrotowka[[#This Row],[GL_Account]])-SUMIFS(U:U,S:S,Obrotowka[[#This Row],[GL_Account]])+SUMIFS(U:U,T:T,Obrotowka[[#This Row],[GL_Account]]))/1000,(SUMIFS(AE:AE,AA:AA,Obrotowka[[#This Row],[GL_Account]])-SUMIFS(U:U,S:S,Obrotowka[[#This Row],[GL_Account]])+SUMIFS(U:U,T:T,Obrotowka[[#This Row],[GL_Account]])))</f>
        <v>0</v>
      </c>
      <c r="G385" s="18">
        <f>IF($D$5="tak",(SUMIFS(AL:AL,AH:AH,Obrotowka[[#This Row],[GL_Account]],AL:AL,"&gt;=0")-SUMIFS(V:V,S:S,Obrotowka[[#This Row],[GL_Account]])+SUMIFS(V:V,T:T,Obrotowka[[#This Row],[GL_Account]]))/1000,(SUMIFS(AL:AL,AH:AH,Obrotowka[[#This Row],[GL_Account]],AL:AL,"&gt;=0")-SUMIFS(V:V,S:S,Obrotowka[[#This Row],[GL_Account]])+SUMIFS(V:V,T:T,Obrotowka[[#This Row],[GL_Account]])))</f>
        <v>0</v>
      </c>
      <c r="H385" s="18">
        <f>IF($D$5="tak",SUMIFS(AL:AL,AH:AH,Obrotowka[[#This Row],[GL_Account]],AL:AL,"&lt;0")/1000,SUMIFS(AL:AL,AH:AH,Obrotowka[[#This Row],[GL_Account]],AL:AL,"&lt;0"))</f>
        <v>0</v>
      </c>
      <c r="I385" s="18">
        <f>SUM(Obrotowka[[#This Row],[BO]:[MA]])</f>
        <v>0</v>
      </c>
      <c r="J385">
        <f>IF(Obrotowka[[#This Row],[BZ]]=0,0,1)</f>
        <v>0</v>
      </c>
      <c r="K385" s="253"/>
      <c r="AF385" s="18"/>
      <c r="AU385" t="s">
        <v>8697</v>
      </c>
    </row>
    <row r="386" spans="2:47" x14ac:dyDescent="0.3">
      <c r="B386" t="s">
        <v>12178</v>
      </c>
      <c r="C386" t="s">
        <v>12179</v>
      </c>
      <c r="D386" t="s">
        <v>11918</v>
      </c>
      <c r="E386" t="s">
        <v>4185</v>
      </c>
      <c r="F386" s="18">
        <f>IF($D$5="tak",(SUMIFS(AE:AE,AA:AA,Obrotowka[[#This Row],[GL_Account]])-SUMIFS(U:U,S:S,Obrotowka[[#This Row],[GL_Account]])+SUMIFS(U:U,T:T,Obrotowka[[#This Row],[GL_Account]]))/1000,(SUMIFS(AE:AE,AA:AA,Obrotowka[[#This Row],[GL_Account]])-SUMIFS(U:U,S:S,Obrotowka[[#This Row],[GL_Account]])+SUMIFS(U:U,T:T,Obrotowka[[#This Row],[GL_Account]])))</f>
        <v>0</v>
      </c>
      <c r="G386" s="18">
        <f>IF($D$5="tak",(SUMIFS(AL:AL,AH:AH,Obrotowka[[#This Row],[GL_Account]],AL:AL,"&gt;=0")-SUMIFS(V:V,S:S,Obrotowka[[#This Row],[GL_Account]])+SUMIFS(V:V,T:T,Obrotowka[[#This Row],[GL_Account]]))/1000,(SUMIFS(AL:AL,AH:AH,Obrotowka[[#This Row],[GL_Account]],AL:AL,"&gt;=0")-SUMIFS(V:V,S:S,Obrotowka[[#This Row],[GL_Account]])+SUMIFS(V:V,T:T,Obrotowka[[#This Row],[GL_Account]])))</f>
        <v>0</v>
      </c>
      <c r="H386" s="18">
        <f>IF($D$5="tak",SUMIFS(AL:AL,AH:AH,Obrotowka[[#This Row],[GL_Account]],AL:AL,"&lt;0")/1000,SUMIFS(AL:AL,AH:AH,Obrotowka[[#This Row],[GL_Account]],AL:AL,"&lt;0"))</f>
        <v>0</v>
      </c>
      <c r="I386" s="18">
        <f>SUM(Obrotowka[[#This Row],[BO]:[MA]])</f>
        <v>0</v>
      </c>
      <c r="J386">
        <f>IF(Obrotowka[[#This Row],[BZ]]=0,0,1)</f>
        <v>0</v>
      </c>
      <c r="K386" s="253"/>
      <c r="AF386" s="18"/>
      <c r="AU386" t="s">
        <v>8697</v>
      </c>
    </row>
    <row r="387" spans="2:47" x14ac:dyDescent="0.3">
      <c r="B387" t="s">
        <v>12180</v>
      </c>
      <c r="C387" t="s">
        <v>12181</v>
      </c>
      <c r="D387" t="s">
        <v>11918</v>
      </c>
      <c r="E387" t="s">
        <v>4185</v>
      </c>
      <c r="F387" s="18">
        <f>IF($D$5="tak",(SUMIFS(AE:AE,AA:AA,Obrotowka[[#This Row],[GL_Account]])-SUMIFS(U:U,S:S,Obrotowka[[#This Row],[GL_Account]])+SUMIFS(U:U,T:T,Obrotowka[[#This Row],[GL_Account]]))/1000,(SUMIFS(AE:AE,AA:AA,Obrotowka[[#This Row],[GL_Account]])-SUMIFS(U:U,S:S,Obrotowka[[#This Row],[GL_Account]])+SUMIFS(U:U,T:T,Obrotowka[[#This Row],[GL_Account]])))</f>
        <v>0</v>
      </c>
      <c r="G387" s="18">
        <f>IF($D$5="tak",(SUMIFS(AL:AL,AH:AH,Obrotowka[[#This Row],[GL_Account]],AL:AL,"&gt;=0")-SUMIFS(V:V,S:S,Obrotowka[[#This Row],[GL_Account]])+SUMIFS(V:V,T:T,Obrotowka[[#This Row],[GL_Account]]))/1000,(SUMIFS(AL:AL,AH:AH,Obrotowka[[#This Row],[GL_Account]],AL:AL,"&gt;=0")-SUMIFS(V:V,S:S,Obrotowka[[#This Row],[GL_Account]])+SUMIFS(V:V,T:T,Obrotowka[[#This Row],[GL_Account]])))</f>
        <v>0</v>
      </c>
      <c r="H387" s="18">
        <f>IF($D$5="tak",SUMIFS(AL:AL,AH:AH,Obrotowka[[#This Row],[GL_Account]],AL:AL,"&lt;0")/1000,SUMIFS(AL:AL,AH:AH,Obrotowka[[#This Row],[GL_Account]],AL:AL,"&lt;0"))</f>
        <v>0</v>
      </c>
      <c r="I387" s="18">
        <f>SUM(Obrotowka[[#This Row],[BO]:[MA]])</f>
        <v>0</v>
      </c>
      <c r="J387">
        <f>IF(Obrotowka[[#This Row],[BZ]]=0,0,1)</f>
        <v>0</v>
      </c>
      <c r="K387" s="253"/>
      <c r="AF387" s="18"/>
      <c r="AU387" t="s">
        <v>8697</v>
      </c>
    </row>
    <row r="388" spans="2:47" x14ac:dyDescent="0.3">
      <c r="B388" t="s">
        <v>12182</v>
      </c>
      <c r="C388" t="s">
        <v>12097</v>
      </c>
      <c r="D388" t="s">
        <v>11918</v>
      </c>
      <c r="E388" t="s">
        <v>4185</v>
      </c>
      <c r="F388" s="18">
        <f>IF($D$5="tak",(SUMIFS(AE:AE,AA:AA,Obrotowka[[#This Row],[GL_Account]])-SUMIFS(U:U,S:S,Obrotowka[[#This Row],[GL_Account]])+SUMIFS(U:U,T:T,Obrotowka[[#This Row],[GL_Account]]))/1000,(SUMIFS(AE:AE,AA:AA,Obrotowka[[#This Row],[GL_Account]])-SUMIFS(U:U,S:S,Obrotowka[[#This Row],[GL_Account]])+SUMIFS(U:U,T:T,Obrotowka[[#This Row],[GL_Account]])))</f>
        <v>0</v>
      </c>
      <c r="G388" s="18">
        <f>IF($D$5="tak",(SUMIFS(AL:AL,AH:AH,Obrotowka[[#This Row],[GL_Account]],AL:AL,"&gt;=0")-SUMIFS(V:V,S:S,Obrotowka[[#This Row],[GL_Account]])+SUMIFS(V:V,T:T,Obrotowka[[#This Row],[GL_Account]]))/1000,(SUMIFS(AL:AL,AH:AH,Obrotowka[[#This Row],[GL_Account]],AL:AL,"&gt;=0")-SUMIFS(V:V,S:S,Obrotowka[[#This Row],[GL_Account]])+SUMIFS(V:V,T:T,Obrotowka[[#This Row],[GL_Account]])))</f>
        <v>0</v>
      </c>
      <c r="H388" s="18">
        <f>IF($D$5="tak",SUMIFS(AL:AL,AH:AH,Obrotowka[[#This Row],[GL_Account]],AL:AL,"&lt;0")/1000,SUMIFS(AL:AL,AH:AH,Obrotowka[[#This Row],[GL_Account]],AL:AL,"&lt;0"))</f>
        <v>0</v>
      </c>
      <c r="I388" s="18">
        <f>SUM(Obrotowka[[#This Row],[BO]:[MA]])</f>
        <v>0</v>
      </c>
      <c r="J388">
        <f>IF(Obrotowka[[#This Row],[BZ]]=0,0,1)</f>
        <v>0</v>
      </c>
      <c r="K388" s="253"/>
      <c r="AF388" s="18"/>
      <c r="AU388" t="s">
        <v>8697</v>
      </c>
    </row>
    <row r="389" spans="2:47" x14ac:dyDescent="0.3">
      <c r="B389" t="s">
        <v>12183</v>
      </c>
      <c r="C389" t="s">
        <v>12184</v>
      </c>
      <c r="D389" t="s">
        <v>11918</v>
      </c>
      <c r="E389" t="s">
        <v>4185</v>
      </c>
      <c r="F389" s="18">
        <f>IF($D$5="tak",(SUMIFS(AE:AE,AA:AA,Obrotowka[[#This Row],[GL_Account]])-SUMIFS(U:U,S:S,Obrotowka[[#This Row],[GL_Account]])+SUMIFS(U:U,T:T,Obrotowka[[#This Row],[GL_Account]]))/1000,(SUMIFS(AE:AE,AA:AA,Obrotowka[[#This Row],[GL_Account]])-SUMIFS(U:U,S:S,Obrotowka[[#This Row],[GL_Account]])+SUMIFS(U:U,T:T,Obrotowka[[#This Row],[GL_Account]])))</f>
        <v>0</v>
      </c>
      <c r="G389" s="18">
        <f>IF($D$5="tak",(SUMIFS(AL:AL,AH:AH,Obrotowka[[#This Row],[GL_Account]],AL:AL,"&gt;=0")-SUMIFS(V:V,S:S,Obrotowka[[#This Row],[GL_Account]])+SUMIFS(V:V,T:T,Obrotowka[[#This Row],[GL_Account]]))/1000,(SUMIFS(AL:AL,AH:AH,Obrotowka[[#This Row],[GL_Account]],AL:AL,"&gt;=0")-SUMIFS(V:V,S:S,Obrotowka[[#This Row],[GL_Account]])+SUMIFS(V:V,T:T,Obrotowka[[#This Row],[GL_Account]])))</f>
        <v>0</v>
      </c>
      <c r="H389" s="18">
        <f>IF($D$5="tak",SUMIFS(AL:AL,AH:AH,Obrotowka[[#This Row],[GL_Account]],AL:AL,"&lt;0")/1000,SUMIFS(AL:AL,AH:AH,Obrotowka[[#This Row],[GL_Account]],AL:AL,"&lt;0"))</f>
        <v>0</v>
      </c>
      <c r="I389" s="18">
        <f>SUM(Obrotowka[[#This Row],[BO]:[MA]])</f>
        <v>0</v>
      </c>
      <c r="J389">
        <f>IF(Obrotowka[[#This Row],[BZ]]=0,0,1)</f>
        <v>0</v>
      </c>
      <c r="K389" s="253"/>
      <c r="AF389" s="18"/>
      <c r="AU389" t="s">
        <v>8697</v>
      </c>
    </row>
    <row r="390" spans="2:47" x14ac:dyDescent="0.3">
      <c r="B390" t="s">
        <v>12185</v>
      </c>
      <c r="C390" t="s">
        <v>12186</v>
      </c>
      <c r="D390" t="s">
        <v>11918</v>
      </c>
      <c r="E390" t="s">
        <v>4185</v>
      </c>
      <c r="F390" s="18">
        <f>IF($D$5="tak",(SUMIFS(AE:AE,AA:AA,Obrotowka[[#This Row],[GL_Account]])-SUMIFS(U:U,S:S,Obrotowka[[#This Row],[GL_Account]])+SUMIFS(U:U,T:T,Obrotowka[[#This Row],[GL_Account]]))/1000,(SUMIFS(AE:AE,AA:AA,Obrotowka[[#This Row],[GL_Account]])-SUMIFS(U:U,S:S,Obrotowka[[#This Row],[GL_Account]])+SUMIFS(U:U,T:T,Obrotowka[[#This Row],[GL_Account]])))</f>
        <v>0</v>
      </c>
      <c r="G390" s="18">
        <f>IF($D$5="tak",(SUMIFS(AL:AL,AH:AH,Obrotowka[[#This Row],[GL_Account]],AL:AL,"&gt;=0")-SUMIFS(V:V,S:S,Obrotowka[[#This Row],[GL_Account]])+SUMIFS(V:V,T:T,Obrotowka[[#This Row],[GL_Account]]))/1000,(SUMIFS(AL:AL,AH:AH,Obrotowka[[#This Row],[GL_Account]],AL:AL,"&gt;=0")-SUMIFS(V:V,S:S,Obrotowka[[#This Row],[GL_Account]])+SUMIFS(V:V,T:T,Obrotowka[[#This Row],[GL_Account]])))</f>
        <v>0</v>
      </c>
      <c r="H390" s="18">
        <f>IF($D$5="tak",SUMIFS(AL:AL,AH:AH,Obrotowka[[#This Row],[GL_Account]],AL:AL,"&lt;0")/1000,SUMIFS(AL:AL,AH:AH,Obrotowka[[#This Row],[GL_Account]],AL:AL,"&lt;0"))</f>
        <v>0</v>
      </c>
      <c r="I390" s="18">
        <f>SUM(Obrotowka[[#This Row],[BO]:[MA]])</f>
        <v>0</v>
      </c>
      <c r="J390">
        <f>IF(Obrotowka[[#This Row],[BZ]]=0,0,1)</f>
        <v>0</v>
      </c>
      <c r="K390" s="253"/>
      <c r="AF390" s="18"/>
      <c r="AU390" t="s">
        <v>8706</v>
      </c>
    </row>
    <row r="391" spans="2:47" x14ac:dyDescent="0.3">
      <c r="B391" t="s">
        <v>12187</v>
      </c>
      <c r="C391" t="s">
        <v>12103</v>
      </c>
      <c r="D391" t="s">
        <v>11918</v>
      </c>
      <c r="E391" t="s">
        <v>4185</v>
      </c>
      <c r="F391" s="18">
        <f>IF($D$5="tak",(SUMIFS(AE:AE,AA:AA,Obrotowka[[#This Row],[GL_Account]])-SUMIFS(U:U,S:S,Obrotowka[[#This Row],[GL_Account]])+SUMIFS(U:U,T:T,Obrotowka[[#This Row],[GL_Account]]))/1000,(SUMIFS(AE:AE,AA:AA,Obrotowka[[#This Row],[GL_Account]])-SUMIFS(U:U,S:S,Obrotowka[[#This Row],[GL_Account]])+SUMIFS(U:U,T:T,Obrotowka[[#This Row],[GL_Account]])))</f>
        <v>0</v>
      </c>
      <c r="G391" s="18">
        <f>IF($D$5="tak",(SUMIFS(AL:AL,AH:AH,Obrotowka[[#This Row],[GL_Account]],AL:AL,"&gt;=0")-SUMIFS(V:V,S:S,Obrotowka[[#This Row],[GL_Account]])+SUMIFS(V:V,T:T,Obrotowka[[#This Row],[GL_Account]]))/1000,(SUMIFS(AL:AL,AH:AH,Obrotowka[[#This Row],[GL_Account]],AL:AL,"&gt;=0")-SUMIFS(V:V,S:S,Obrotowka[[#This Row],[GL_Account]])+SUMIFS(V:V,T:T,Obrotowka[[#This Row],[GL_Account]])))</f>
        <v>0</v>
      </c>
      <c r="H391" s="18">
        <f>IF($D$5="tak",SUMIFS(AL:AL,AH:AH,Obrotowka[[#This Row],[GL_Account]],AL:AL,"&lt;0")/1000,SUMIFS(AL:AL,AH:AH,Obrotowka[[#This Row],[GL_Account]],AL:AL,"&lt;0"))</f>
        <v>0</v>
      </c>
      <c r="I391" s="18">
        <f>SUM(Obrotowka[[#This Row],[BO]:[MA]])</f>
        <v>0</v>
      </c>
      <c r="J391">
        <f>IF(Obrotowka[[#This Row],[BZ]]=0,0,1)</f>
        <v>0</v>
      </c>
      <c r="K391" s="253"/>
      <c r="AF391" s="18"/>
      <c r="AU391" t="s">
        <v>8711</v>
      </c>
    </row>
    <row r="392" spans="2:47" x14ac:dyDescent="0.3">
      <c r="B392" t="s">
        <v>12188</v>
      </c>
      <c r="C392" t="s">
        <v>12189</v>
      </c>
      <c r="D392" t="s">
        <v>11918</v>
      </c>
      <c r="E392" t="s">
        <v>4185</v>
      </c>
      <c r="F392" s="18">
        <f>IF($D$5="tak",(SUMIFS(AE:AE,AA:AA,Obrotowka[[#This Row],[GL_Account]])-SUMIFS(U:U,S:S,Obrotowka[[#This Row],[GL_Account]])+SUMIFS(U:U,T:T,Obrotowka[[#This Row],[GL_Account]]))/1000,(SUMIFS(AE:AE,AA:AA,Obrotowka[[#This Row],[GL_Account]])-SUMIFS(U:U,S:S,Obrotowka[[#This Row],[GL_Account]])+SUMIFS(U:U,T:T,Obrotowka[[#This Row],[GL_Account]])))</f>
        <v>0</v>
      </c>
      <c r="G392" s="18">
        <f>IF($D$5="tak",(SUMIFS(AL:AL,AH:AH,Obrotowka[[#This Row],[GL_Account]],AL:AL,"&gt;=0")-SUMIFS(V:V,S:S,Obrotowka[[#This Row],[GL_Account]])+SUMIFS(V:V,T:T,Obrotowka[[#This Row],[GL_Account]]))/1000,(SUMIFS(AL:AL,AH:AH,Obrotowka[[#This Row],[GL_Account]],AL:AL,"&gt;=0")-SUMIFS(V:V,S:S,Obrotowka[[#This Row],[GL_Account]])+SUMIFS(V:V,T:T,Obrotowka[[#This Row],[GL_Account]])))</f>
        <v>0</v>
      </c>
      <c r="H392" s="18">
        <f>IF($D$5="tak",SUMIFS(AL:AL,AH:AH,Obrotowka[[#This Row],[GL_Account]],AL:AL,"&lt;0")/1000,SUMIFS(AL:AL,AH:AH,Obrotowka[[#This Row],[GL_Account]],AL:AL,"&lt;0"))</f>
        <v>0</v>
      </c>
      <c r="I392" s="18">
        <f>SUM(Obrotowka[[#This Row],[BO]:[MA]])</f>
        <v>0</v>
      </c>
      <c r="J392">
        <f>IF(Obrotowka[[#This Row],[BZ]]=0,0,1)</f>
        <v>0</v>
      </c>
      <c r="K392" s="253"/>
      <c r="AF392" s="18"/>
      <c r="AU392" t="s">
        <v>8714</v>
      </c>
    </row>
    <row r="393" spans="2:47" x14ac:dyDescent="0.3">
      <c r="B393" t="s">
        <v>12190</v>
      </c>
      <c r="C393" t="s">
        <v>12191</v>
      </c>
      <c r="D393" t="s">
        <v>11918</v>
      </c>
      <c r="E393" t="s">
        <v>4185</v>
      </c>
      <c r="F393" s="18">
        <f>IF($D$5="tak",(SUMIFS(AE:AE,AA:AA,Obrotowka[[#This Row],[GL_Account]])-SUMIFS(U:U,S:S,Obrotowka[[#This Row],[GL_Account]])+SUMIFS(U:U,T:T,Obrotowka[[#This Row],[GL_Account]]))/1000,(SUMIFS(AE:AE,AA:AA,Obrotowka[[#This Row],[GL_Account]])-SUMIFS(U:U,S:S,Obrotowka[[#This Row],[GL_Account]])+SUMIFS(U:U,T:T,Obrotowka[[#This Row],[GL_Account]])))</f>
        <v>0</v>
      </c>
      <c r="G393" s="18">
        <f>IF($D$5="tak",(SUMIFS(AL:AL,AH:AH,Obrotowka[[#This Row],[GL_Account]],AL:AL,"&gt;=0")-SUMIFS(V:V,S:S,Obrotowka[[#This Row],[GL_Account]])+SUMIFS(V:V,T:T,Obrotowka[[#This Row],[GL_Account]]))/1000,(SUMIFS(AL:AL,AH:AH,Obrotowka[[#This Row],[GL_Account]],AL:AL,"&gt;=0")-SUMIFS(V:V,S:S,Obrotowka[[#This Row],[GL_Account]])+SUMIFS(V:V,T:T,Obrotowka[[#This Row],[GL_Account]])))</f>
        <v>0</v>
      </c>
      <c r="H393" s="18">
        <f>IF($D$5="tak",SUMIFS(AL:AL,AH:AH,Obrotowka[[#This Row],[GL_Account]],AL:AL,"&lt;0")/1000,SUMIFS(AL:AL,AH:AH,Obrotowka[[#This Row],[GL_Account]],AL:AL,"&lt;0"))</f>
        <v>0</v>
      </c>
      <c r="I393" s="18">
        <f>SUM(Obrotowka[[#This Row],[BO]:[MA]])</f>
        <v>0</v>
      </c>
      <c r="J393">
        <f>IF(Obrotowka[[#This Row],[BZ]]=0,0,1)</f>
        <v>0</v>
      </c>
      <c r="K393" s="253"/>
      <c r="AF393" s="18"/>
      <c r="AU393" t="s">
        <v>8714</v>
      </c>
    </row>
    <row r="394" spans="2:47" x14ac:dyDescent="0.3">
      <c r="B394" t="s">
        <v>12192</v>
      </c>
      <c r="C394" t="s">
        <v>12193</v>
      </c>
      <c r="D394" t="s">
        <v>11918</v>
      </c>
      <c r="E394" t="s">
        <v>4185</v>
      </c>
      <c r="F394" s="18">
        <f>IF($D$5="tak",(SUMIFS(AE:AE,AA:AA,Obrotowka[[#This Row],[GL_Account]])-SUMIFS(U:U,S:S,Obrotowka[[#This Row],[GL_Account]])+SUMIFS(U:U,T:T,Obrotowka[[#This Row],[GL_Account]]))/1000,(SUMIFS(AE:AE,AA:AA,Obrotowka[[#This Row],[GL_Account]])-SUMIFS(U:U,S:S,Obrotowka[[#This Row],[GL_Account]])+SUMIFS(U:U,T:T,Obrotowka[[#This Row],[GL_Account]])))</f>
        <v>0</v>
      </c>
      <c r="G394" s="18">
        <f>IF($D$5="tak",(SUMIFS(AL:AL,AH:AH,Obrotowka[[#This Row],[GL_Account]],AL:AL,"&gt;=0")-SUMIFS(V:V,S:S,Obrotowka[[#This Row],[GL_Account]])+SUMIFS(V:V,T:T,Obrotowka[[#This Row],[GL_Account]]))/1000,(SUMIFS(AL:AL,AH:AH,Obrotowka[[#This Row],[GL_Account]],AL:AL,"&gt;=0")-SUMIFS(V:V,S:S,Obrotowka[[#This Row],[GL_Account]])+SUMIFS(V:V,T:T,Obrotowka[[#This Row],[GL_Account]])))</f>
        <v>0</v>
      </c>
      <c r="H394" s="18">
        <f>IF($D$5="tak",SUMIFS(AL:AL,AH:AH,Obrotowka[[#This Row],[GL_Account]],AL:AL,"&lt;0")/1000,SUMIFS(AL:AL,AH:AH,Obrotowka[[#This Row],[GL_Account]],AL:AL,"&lt;0"))</f>
        <v>0</v>
      </c>
      <c r="I394" s="18">
        <f>SUM(Obrotowka[[#This Row],[BO]:[MA]])</f>
        <v>0</v>
      </c>
      <c r="J394">
        <f>IF(Obrotowka[[#This Row],[BZ]]=0,0,1)</f>
        <v>0</v>
      </c>
      <c r="K394" s="253"/>
      <c r="AF394" s="18"/>
      <c r="AU394" t="s">
        <v>8714</v>
      </c>
    </row>
    <row r="395" spans="2:47" x14ac:dyDescent="0.3">
      <c r="B395" t="s">
        <v>12194</v>
      </c>
      <c r="C395" t="s">
        <v>12195</v>
      </c>
      <c r="D395" t="s">
        <v>11918</v>
      </c>
      <c r="E395" t="s">
        <v>4185</v>
      </c>
      <c r="F395" s="18">
        <f>IF($D$5="tak",(SUMIFS(AE:AE,AA:AA,Obrotowka[[#This Row],[GL_Account]])-SUMIFS(U:U,S:S,Obrotowka[[#This Row],[GL_Account]])+SUMIFS(U:U,T:T,Obrotowka[[#This Row],[GL_Account]]))/1000,(SUMIFS(AE:AE,AA:AA,Obrotowka[[#This Row],[GL_Account]])-SUMIFS(U:U,S:S,Obrotowka[[#This Row],[GL_Account]])+SUMIFS(U:U,T:T,Obrotowka[[#This Row],[GL_Account]])))</f>
        <v>0</v>
      </c>
      <c r="G395" s="18">
        <f>IF($D$5="tak",(SUMIFS(AL:AL,AH:AH,Obrotowka[[#This Row],[GL_Account]],AL:AL,"&gt;=0")-SUMIFS(V:V,S:S,Obrotowka[[#This Row],[GL_Account]])+SUMIFS(V:V,T:T,Obrotowka[[#This Row],[GL_Account]]))/1000,(SUMIFS(AL:AL,AH:AH,Obrotowka[[#This Row],[GL_Account]],AL:AL,"&gt;=0")-SUMIFS(V:V,S:S,Obrotowka[[#This Row],[GL_Account]])+SUMIFS(V:V,T:T,Obrotowka[[#This Row],[GL_Account]])))</f>
        <v>0</v>
      </c>
      <c r="H395" s="18">
        <f>IF($D$5="tak",SUMIFS(AL:AL,AH:AH,Obrotowka[[#This Row],[GL_Account]],AL:AL,"&lt;0")/1000,SUMIFS(AL:AL,AH:AH,Obrotowka[[#This Row],[GL_Account]],AL:AL,"&lt;0"))</f>
        <v>0</v>
      </c>
      <c r="I395" s="18">
        <f>SUM(Obrotowka[[#This Row],[BO]:[MA]])</f>
        <v>0</v>
      </c>
      <c r="J395">
        <f>IF(Obrotowka[[#This Row],[BZ]]=0,0,1)</f>
        <v>0</v>
      </c>
      <c r="K395" s="253"/>
      <c r="AF395" s="18"/>
      <c r="AU395" t="s">
        <v>8714</v>
      </c>
    </row>
    <row r="396" spans="2:47" x14ac:dyDescent="0.3">
      <c r="B396" t="s">
        <v>12196</v>
      </c>
      <c r="C396" t="s">
        <v>12197</v>
      </c>
      <c r="D396" t="s">
        <v>11918</v>
      </c>
      <c r="E396" t="s">
        <v>4185</v>
      </c>
      <c r="F396" s="18">
        <f>IF($D$5="tak",(SUMIFS(AE:AE,AA:AA,Obrotowka[[#This Row],[GL_Account]])-SUMIFS(U:U,S:S,Obrotowka[[#This Row],[GL_Account]])+SUMIFS(U:U,T:T,Obrotowka[[#This Row],[GL_Account]]))/1000,(SUMIFS(AE:AE,AA:AA,Obrotowka[[#This Row],[GL_Account]])-SUMIFS(U:U,S:S,Obrotowka[[#This Row],[GL_Account]])+SUMIFS(U:U,T:T,Obrotowka[[#This Row],[GL_Account]])))</f>
        <v>0</v>
      </c>
      <c r="G396" s="18">
        <f>IF($D$5="tak",(SUMIFS(AL:AL,AH:AH,Obrotowka[[#This Row],[GL_Account]],AL:AL,"&gt;=0")-SUMIFS(V:V,S:S,Obrotowka[[#This Row],[GL_Account]])+SUMIFS(V:V,T:T,Obrotowka[[#This Row],[GL_Account]]))/1000,(SUMIFS(AL:AL,AH:AH,Obrotowka[[#This Row],[GL_Account]],AL:AL,"&gt;=0")-SUMIFS(V:V,S:S,Obrotowka[[#This Row],[GL_Account]])+SUMIFS(V:V,T:T,Obrotowka[[#This Row],[GL_Account]])))</f>
        <v>0</v>
      </c>
      <c r="H396" s="18">
        <f>IF($D$5="tak",SUMIFS(AL:AL,AH:AH,Obrotowka[[#This Row],[GL_Account]],AL:AL,"&lt;0")/1000,SUMIFS(AL:AL,AH:AH,Obrotowka[[#This Row],[GL_Account]],AL:AL,"&lt;0"))</f>
        <v>0</v>
      </c>
      <c r="I396" s="18">
        <f>SUM(Obrotowka[[#This Row],[BO]:[MA]])</f>
        <v>0</v>
      </c>
      <c r="J396">
        <f>IF(Obrotowka[[#This Row],[BZ]]=0,0,1)</f>
        <v>0</v>
      </c>
      <c r="K396" s="253"/>
      <c r="AF396" s="18"/>
      <c r="AU396" t="s">
        <v>8714</v>
      </c>
    </row>
    <row r="397" spans="2:47" x14ac:dyDescent="0.3">
      <c r="B397" t="s">
        <v>12198</v>
      </c>
      <c r="C397" t="s">
        <v>12199</v>
      </c>
      <c r="D397" t="s">
        <v>11918</v>
      </c>
      <c r="E397" t="s">
        <v>4185</v>
      </c>
      <c r="F397" s="18">
        <f>IF($D$5="tak",(SUMIFS(AE:AE,AA:AA,Obrotowka[[#This Row],[GL_Account]])-SUMIFS(U:U,S:S,Obrotowka[[#This Row],[GL_Account]])+SUMIFS(U:U,T:T,Obrotowka[[#This Row],[GL_Account]]))/1000,(SUMIFS(AE:AE,AA:AA,Obrotowka[[#This Row],[GL_Account]])-SUMIFS(U:U,S:S,Obrotowka[[#This Row],[GL_Account]])+SUMIFS(U:U,T:T,Obrotowka[[#This Row],[GL_Account]])))</f>
        <v>0</v>
      </c>
      <c r="G397" s="18">
        <f>IF($D$5="tak",(SUMIFS(AL:AL,AH:AH,Obrotowka[[#This Row],[GL_Account]],AL:AL,"&gt;=0")-SUMIFS(V:V,S:S,Obrotowka[[#This Row],[GL_Account]])+SUMIFS(V:V,T:T,Obrotowka[[#This Row],[GL_Account]]))/1000,(SUMIFS(AL:AL,AH:AH,Obrotowka[[#This Row],[GL_Account]],AL:AL,"&gt;=0")-SUMIFS(V:V,S:S,Obrotowka[[#This Row],[GL_Account]])+SUMIFS(V:V,T:T,Obrotowka[[#This Row],[GL_Account]])))</f>
        <v>0</v>
      </c>
      <c r="H397" s="18">
        <f>IF($D$5="tak",SUMIFS(AL:AL,AH:AH,Obrotowka[[#This Row],[GL_Account]],AL:AL,"&lt;0")/1000,SUMIFS(AL:AL,AH:AH,Obrotowka[[#This Row],[GL_Account]],AL:AL,"&lt;0"))</f>
        <v>0</v>
      </c>
      <c r="I397" s="18">
        <f>SUM(Obrotowka[[#This Row],[BO]:[MA]])</f>
        <v>0</v>
      </c>
      <c r="J397">
        <f>IF(Obrotowka[[#This Row],[BZ]]=0,0,1)</f>
        <v>0</v>
      </c>
      <c r="K397" s="253"/>
      <c r="AF397" s="18"/>
      <c r="AU397" t="s">
        <v>8714</v>
      </c>
    </row>
    <row r="398" spans="2:47" x14ac:dyDescent="0.3">
      <c r="B398" t="s">
        <v>12200</v>
      </c>
      <c r="C398" t="s">
        <v>12201</v>
      </c>
      <c r="D398" t="s">
        <v>11918</v>
      </c>
      <c r="E398" t="s">
        <v>4185</v>
      </c>
      <c r="F398" s="18">
        <f>IF($D$5="tak",(SUMIFS(AE:AE,AA:AA,Obrotowka[[#This Row],[GL_Account]])-SUMIFS(U:U,S:S,Obrotowka[[#This Row],[GL_Account]])+SUMIFS(U:U,T:T,Obrotowka[[#This Row],[GL_Account]]))/1000,(SUMIFS(AE:AE,AA:AA,Obrotowka[[#This Row],[GL_Account]])-SUMIFS(U:U,S:S,Obrotowka[[#This Row],[GL_Account]])+SUMIFS(U:U,T:T,Obrotowka[[#This Row],[GL_Account]])))</f>
        <v>0</v>
      </c>
      <c r="G398" s="18">
        <f>IF($D$5="tak",(SUMIFS(AL:AL,AH:AH,Obrotowka[[#This Row],[GL_Account]],AL:AL,"&gt;=0")-SUMIFS(V:V,S:S,Obrotowka[[#This Row],[GL_Account]])+SUMIFS(V:V,T:T,Obrotowka[[#This Row],[GL_Account]]))/1000,(SUMIFS(AL:AL,AH:AH,Obrotowka[[#This Row],[GL_Account]],AL:AL,"&gt;=0")-SUMIFS(V:V,S:S,Obrotowka[[#This Row],[GL_Account]])+SUMIFS(V:V,T:T,Obrotowka[[#This Row],[GL_Account]])))</f>
        <v>0</v>
      </c>
      <c r="H398" s="18">
        <f>IF($D$5="tak",SUMIFS(AL:AL,AH:AH,Obrotowka[[#This Row],[GL_Account]],AL:AL,"&lt;0")/1000,SUMIFS(AL:AL,AH:AH,Obrotowka[[#This Row],[GL_Account]],AL:AL,"&lt;0"))</f>
        <v>0</v>
      </c>
      <c r="I398" s="18">
        <f>SUM(Obrotowka[[#This Row],[BO]:[MA]])</f>
        <v>0</v>
      </c>
      <c r="J398">
        <f>IF(Obrotowka[[#This Row],[BZ]]=0,0,1)</f>
        <v>0</v>
      </c>
      <c r="K398" s="253"/>
      <c r="AF398" s="18"/>
      <c r="AU398" t="s">
        <v>8714</v>
      </c>
    </row>
    <row r="399" spans="2:47" x14ac:dyDescent="0.3">
      <c r="B399" t="s">
        <v>12202</v>
      </c>
      <c r="C399" t="s">
        <v>12203</v>
      </c>
      <c r="D399" t="s">
        <v>11918</v>
      </c>
      <c r="E399" t="s">
        <v>4185</v>
      </c>
      <c r="F399" s="18">
        <f>IF($D$5="tak",(SUMIFS(AE:AE,AA:AA,Obrotowka[[#This Row],[GL_Account]])-SUMIFS(U:U,S:S,Obrotowka[[#This Row],[GL_Account]])+SUMIFS(U:U,T:T,Obrotowka[[#This Row],[GL_Account]]))/1000,(SUMIFS(AE:AE,AA:AA,Obrotowka[[#This Row],[GL_Account]])-SUMIFS(U:U,S:S,Obrotowka[[#This Row],[GL_Account]])+SUMIFS(U:U,T:T,Obrotowka[[#This Row],[GL_Account]])))</f>
        <v>0</v>
      </c>
      <c r="G399" s="18">
        <f>IF($D$5="tak",(SUMIFS(AL:AL,AH:AH,Obrotowka[[#This Row],[GL_Account]],AL:AL,"&gt;=0")-SUMIFS(V:V,S:S,Obrotowka[[#This Row],[GL_Account]])+SUMIFS(V:V,T:T,Obrotowka[[#This Row],[GL_Account]]))/1000,(SUMIFS(AL:AL,AH:AH,Obrotowka[[#This Row],[GL_Account]],AL:AL,"&gt;=0")-SUMIFS(V:V,S:S,Obrotowka[[#This Row],[GL_Account]])+SUMIFS(V:V,T:T,Obrotowka[[#This Row],[GL_Account]])))</f>
        <v>0</v>
      </c>
      <c r="H399" s="18">
        <f>IF($D$5="tak",SUMIFS(AL:AL,AH:AH,Obrotowka[[#This Row],[GL_Account]],AL:AL,"&lt;0")/1000,SUMIFS(AL:AL,AH:AH,Obrotowka[[#This Row],[GL_Account]],AL:AL,"&lt;0"))</f>
        <v>0</v>
      </c>
      <c r="I399" s="18">
        <f>SUM(Obrotowka[[#This Row],[BO]:[MA]])</f>
        <v>0</v>
      </c>
      <c r="J399">
        <f>IF(Obrotowka[[#This Row],[BZ]]=0,0,1)</f>
        <v>0</v>
      </c>
      <c r="K399" s="253"/>
      <c r="AF399" s="18"/>
      <c r="AU399" t="s">
        <v>8714</v>
      </c>
    </row>
    <row r="400" spans="2:47" x14ac:dyDescent="0.3">
      <c r="B400" t="s">
        <v>12204</v>
      </c>
      <c r="C400" t="s">
        <v>12205</v>
      </c>
      <c r="D400" t="s">
        <v>11918</v>
      </c>
      <c r="E400" t="s">
        <v>4185</v>
      </c>
      <c r="F400" s="18">
        <f>IF($D$5="tak",(SUMIFS(AE:AE,AA:AA,Obrotowka[[#This Row],[GL_Account]])-SUMIFS(U:U,S:S,Obrotowka[[#This Row],[GL_Account]])+SUMIFS(U:U,T:T,Obrotowka[[#This Row],[GL_Account]]))/1000,(SUMIFS(AE:AE,AA:AA,Obrotowka[[#This Row],[GL_Account]])-SUMIFS(U:U,S:S,Obrotowka[[#This Row],[GL_Account]])+SUMIFS(U:U,T:T,Obrotowka[[#This Row],[GL_Account]])))</f>
        <v>0</v>
      </c>
      <c r="G400" s="18">
        <f>IF($D$5="tak",(SUMIFS(AL:AL,AH:AH,Obrotowka[[#This Row],[GL_Account]],AL:AL,"&gt;=0")-SUMIFS(V:V,S:S,Obrotowka[[#This Row],[GL_Account]])+SUMIFS(V:V,T:T,Obrotowka[[#This Row],[GL_Account]]))/1000,(SUMIFS(AL:AL,AH:AH,Obrotowka[[#This Row],[GL_Account]],AL:AL,"&gt;=0")-SUMIFS(V:V,S:S,Obrotowka[[#This Row],[GL_Account]])+SUMIFS(V:V,T:T,Obrotowka[[#This Row],[GL_Account]])))</f>
        <v>0</v>
      </c>
      <c r="H400" s="18">
        <f>IF($D$5="tak",SUMIFS(AL:AL,AH:AH,Obrotowka[[#This Row],[GL_Account]],AL:AL,"&lt;0")/1000,SUMIFS(AL:AL,AH:AH,Obrotowka[[#This Row],[GL_Account]],AL:AL,"&lt;0"))</f>
        <v>0</v>
      </c>
      <c r="I400" s="18">
        <f>SUM(Obrotowka[[#This Row],[BO]:[MA]])</f>
        <v>0</v>
      </c>
      <c r="J400">
        <f>IF(Obrotowka[[#This Row],[BZ]]=0,0,1)</f>
        <v>0</v>
      </c>
      <c r="K400" s="253"/>
      <c r="AF400" s="18"/>
      <c r="AU400" t="s">
        <v>8714</v>
      </c>
    </row>
    <row r="401" spans="2:47" x14ac:dyDescent="0.3">
      <c r="B401" t="s">
        <v>12206</v>
      </c>
      <c r="C401" t="s">
        <v>12207</v>
      </c>
      <c r="D401" t="s">
        <v>11918</v>
      </c>
      <c r="E401" t="s">
        <v>4185</v>
      </c>
      <c r="F401" s="18">
        <f>IF($D$5="tak",(SUMIFS(AE:AE,AA:AA,Obrotowka[[#This Row],[GL_Account]])-SUMIFS(U:U,S:S,Obrotowka[[#This Row],[GL_Account]])+SUMIFS(U:U,T:T,Obrotowka[[#This Row],[GL_Account]]))/1000,(SUMIFS(AE:AE,AA:AA,Obrotowka[[#This Row],[GL_Account]])-SUMIFS(U:U,S:S,Obrotowka[[#This Row],[GL_Account]])+SUMIFS(U:U,T:T,Obrotowka[[#This Row],[GL_Account]])))</f>
        <v>0</v>
      </c>
      <c r="G401" s="18">
        <f>IF($D$5="tak",(SUMIFS(AL:AL,AH:AH,Obrotowka[[#This Row],[GL_Account]],AL:AL,"&gt;=0")-SUMIFS(V:V,S:S,Obrotowka[[#This Row],[GL_Account]])+SUMIFS(V:V,T:T,Obrotowka[[#This Row],[GL_Account]]))/1000,(SUMIFS(AL:AL,AH:AH,Obrotowka[[#This Row],[GL_Account]],AL:AL,"&gt;=0")-SUMIFS(V:V,S:S,Obrotowka[[#This Row],[GL_Account]])+SUMIFS(V:V,T:T,Obrotowka[[#This Row],[GL_Account]])))</f>
        <v>0</v>
      </c>
      <c r="H401" s="18">
        <f>IF($D$5="tak",SUMIFS(AL:AL,AH:AH,Obrotowka[[#This Row],[GL_Account]],AL:AL,"&lt;0")/1000,SUMIFS(AL:AL,AH:AH,Obrotowka[[#This Row],[GL_Account]],AL:AL,"&lt;0"))</f>
        <v>0</v>
      </c>
      <c r="I401" s="18">
        <f>SUM(Obrotowka[[#This Row],[BO]:[MA]])</f>
        <v>0</v>
      </c>
      <c r="J401">
        <f>IF(Obrotowka[[#This Row],[BZ]]=0,0,1)</f>
        <v>0</v>
      </c>
      <c r="K401" s="253"/>
      <c r="AF401" s="18"/>
      <c r="AU401" t="s">
        <v>8714</v>
      </c>
    </row>
    <row r="402" spans="2:47" x14ac:dyDescent="0.3">
      <c r="B402" t="s">
        <v>12208</v>
      </c>
      <c r="C402" t="s">
        <v>12209</v>
      </c>
      <c r="D402" t="s">
        <v>11918</v>
      </c>
      <c r="E402" t="s">
        <v>4185</v>
      </c>
      <c r="F402" s="18">
        <f>IF($D$5="tak",(SUMIFS(AE:AE,AA:AA,Obrotowka[[#This Row],[GL_Account]])-SUMIFS(U:U,S:S,Obrotowka[[#This Row],[GL_Account]])+SUMIFS(U:U,T:T,Obrotowka[[#This Row],[GL_Account]]))/1000,(SUMIFS(AE:AE,AA:AA,Obrotowka[[#This Row],[GL_Account]])-SUMIFS(U:U,S:S,Obrotowka[[#This Row],[GL_Account]])+SUMIFS(U:U,T:T,Obrotowka[[#This Row],[GL_Account]])))</f>
        <v>0</v>
      </c>
      <c r="G402" s="18">
        <f>IF($D$5="tak",(SUMIFS(AL:AL,AH:AH,Obrotowka[[#This Row],[GL_Account]],AL:AL,"&gt;=0")-SUMIFS(V:V,S:S,Obrotowka[[#This Row],[GL_Account]])+SUMIFS(V:V,T:T,Obrotowka[[#This Row],[GL_Account]]))/1000,(SUMIFS(AL:AL,AH:AH,Obrotowka[[#This Row],[GL_Account]],AL:AL,"&gt;=0")-SUMIFS(V:V,S:S,Obrotowka[[#This Row],[GL_Account]])+SUMIFS(V:V,T:T,Obrotowka[[#This Row],[GL_Account]])))</f>
        <v>0</v>
      </c>
      <c r="H402" s="18">
        <f>IF($D$5="tak",SUMIFS(AL:AL,AH:AH,Obrotowka[[#This Row],[GL_Account]],AL:AL,"&lt;0")/1000,SUMIFS(AL:AL,AH:AH,Obrotowka[[#This Row],[GL_Account]],AL:AL,"&lt;0"))</f>
        <v>0</v>
      </c>
      <c r="I402" s="18">
        <f>SUM(Obrotowka[[#This Row],[BO]:[MA]])</f>
        <v>0</v>
      </c>
      <c r="J402">
        <f>IF(Obrotowka[[#This Row],[BZ]]=0,0,1)</f>
        <v>0</v>
      </c>
      <c r="K402" s="253"/>
      <c r="AF402" s="18"/>
      <c r="AU402" t="s">
        <v>8714</v>
      </c>
    </row>
    <row r="403" spans="2:47" x14ac:dyDescent="0.3">
      <c r="B403" t="s">
        <v>12210</v>
      </c>
      <c r="C403" t="s">
        <v>12211</v>
      </c>
      <c r="D403" t="s">
        <v>11918</v>
      </c>
      <c r="E403" t="s">
        <v>4185</v>
      </c>
      <c r="F403" s="18">
        <f>IF($D$5="tak",(SUMIFS(AE:AE,AA:AA,Obrotowka[[#This Row],[GL_Account]])-SUMIFS(U:U,S:S,Obrotowka[[#This Row],[GL_Account]])+SUMIFS(U:U,T:T,Obrotowka[[#This Row],[GL_Account]]))/1000,(SUMIFS(AE:AE,AA:AA,Obrotowka[[#This Row],[GL_Account]])-SUMIFS(U:U,S:S,Obrotowka[[#This Row],[GL_Account]])+SUMIFS(U:U,T:T,Obrotowka[[#This Row],[GL_Account]])))</f>
        <v>0</v>
      </c>
      <c r="G403" s="18">
        <f>IF($D$5="tak",(SUMIFS(AL:AL,AH:AH,Obrotowka[[#This Row],[GL_Account]],AL:AL,"&gt;=0")-SUMIFS(V:V,S:S,Obrotowka[[#This Row],[GL_Account]])+SUMIFS(V:V,T:T,Obrotowka[[#This Row],[GL_Account]]))/1000,(SUMIFS(AL:AL,AH:AH,Obrotowka[[#This Row],[GL_Account]],AL:AL,"&gt;=0")-SUMIFS(V:V,S:S,Obrotowka[[#This Row],[GL_Account]])+SUMIFS(V:V,T:T,Obrotowka[[#This Row],[GL_Account]])))</f>
        <v>0</v>
      </c>
      <c r="H403" s="18">
        <f>IF($D$5="tak",SUMIFS(AL:AL,AH:AH,Obrotowka[[#This Row],[GL_Account]],AL:AL,"&lt;0")/1000,SUMIFS(AL:AL,AH:AH,Obrotowka[[#This Row],[GL_Account]],AL:AL,"&lt;0"))</f>
        <v>0</v>
      </c>
      <c r="I403" s="18">
        <f>SUM(Obrotowka[[#This Row],[BO]:[MA]])</f>
        <v>0</v>
      </c>
      <c r="J403">
        <f>IF(Obrotowka[[#This Row],[BZ]]=0,0,1)</f>
        <v>0</v>
      </c>
      <c r="K403" s="253"/>
      <c r="AF403" s="18"/>
      <c r="AU403" t="s">
        <v>8714</v>
      </c>
    </row>
    <row r="404" spans="2:47" x14ac:dyDescent="0.3">
      <c r="B404" t="s">
        <v>12212</v>
      </c>
      <c r="C404" t="s">
        <v>12213</v>
      </c>
      <c r="D404" t="s">
        <v>11918</v>
      </c>
      <c r="E404" t="s">
        <v>4185</v>
      </c>
      <c r="F404" s="18">
        <f>IF($D$5="tak",(SUMIFS(AE:AE,AA:AA,Obrotowka[[#This Row],[GL_Account]])-SUMIFS(U:U,S:S,Obrotowka[[#This Row],[GL_Account]])+SUMIFS(U:U,T:T,Obrotowka[[#This Row],[GL_Account]]))/1000,(SUMIFS(AE:AE,AA:AA,Obrotowka[[#This Row],[GL_Account]])-SUMIFS(U:U,S:S,Obrotowka[[#This Row],[GL_Account]])+SUMIFS(U:U,T:T,Obrotowka[[#This Row],[GL_Account]])))</f>
        <v>0</v>
      </c>
      <c r="G404" s="18">
        <f>IF($D$5="tak",(SUMIFS(AL:AL,AH:AH,Obrotowka[[#This Row],[GL_Account]],AL:AL,"&gt;=0")-SUMIFS(V:V,S:S,Obrotowka[[#This Row],[GL_Account]])+SUMIFS(V:V,T:T,Obrotowka[[#This Row],[GL_Account]]))/1000,(SUMIFS(AL:AL,AH:AH,Obrotowka[[#This Row],[GL_Account]],AL:AL,"&gt;=0")-SUMIFS(V:V,S:S,Obrotowka[[#This Row],[GL_Account]])+SUMIFS(V:V,T:T,Obrotowka[[#This Row],[GL_Account]])))</f>
        <v>0</v>
      </c>
      <c r="H404" s="18">
        <f>IF($D$5="tak",SUMIFS(AL:AL,AH:AH,Obrotowka[[#This Row],[GL_Account]],AL:AL,"&lt;0")/1000,SUMIFS(AL:AL,AH:AH,Obrotowka[[#This Row],[GL_Account]],AL:AL,"&lt;0"))</f>
        <v>0</v>
      </c>
      <c r="I404" s="18">
        <f>SUM(Obrotowka[[#This Row],[BO]:[MA]])</f>
        <v>0</v>
      </c>
      <c r="J404">
        <f>IF(Obrotowka[[#This Row],[BZ]]=0,0,1)</f>
        <v>0</v>
      </c>
      <c r="K404" s="253"/>
      <c r="AF404" s="18"/>
      <c r="AU404" t="s">
        <v>8714</v>
      </c>
    </row>
    <row r="405" spans="2:47" x14ac:dyDescent="0.3">
      <c r="B405" t="s">
        <v>12214</v>
      </c>
      <c r="C405" t="s">
        <v>12215</v>
      </c>
      <c r="D405" t="s">
        <v>11918</v>
      </c>
      <c r="E405" t="s">
        <v>4185</v>
      </c>
      <c r="F405" s="18">
        <f>IF($D$5="tak",(SUMIFS(AE:AE,AA:AA,Obrotowka[[#This Row],[GL_Account]])-SUMIFS(U:U,S:S,Obrotowka[[#This Row],[GL_Account]])+SUMIFS(U:U,T:T,Obrotowka[[#This Row],[GL_Account]]))/1000,(SUMIFS(AE:AE,AA:AA,Obrotowka[[#This Row],[GL_Account]])-SUMIFS(U:U,S:S,Obrotowka[[#This Row],[GL_Account]])+SUMIFS(U:U,T:T,Obrotowka[[#This Row],[GL_Account]])))</f>
        <v>0</v>
      </c>
      <c r="G405" s="18">
        <f>IF($D$5="tak",(SUMIFS(AL:AL,AH:AH,Obrotowka[[#This Row],[GL_Account]],AL:AL,"&gt;=0")-SUMIFS(V:V,S:S,Obrotowka[[#This Row],[GL_Account]])+SUMIFS(V:V,T:T,Obrotowka[[#This Row],[GL_Account]]))/1000,(SUMIFS(AL:AL,AH:AH,Obrotowka[[#This Row],[GL_Account]],AL:AL,"&gt;=0")-SUMIFS(V:V,S:S,Obrotowka[[#This Row],[GL_Account]])+SUMIFS(V:V,T:T,Obrotowka[[#This Row],[GL_Account]])))</f>
        <v>0</v>
      </c>
      <c r="H405" s="18">
        <f>IF($D$5="tak",SUMIFS(AL:AL,AH:AH,Obrotowka[[#This Row],[GL_Account]],AL:AL,"&lt;0")/1000,SUMIFS(AL:AL,AH:AH,Obrotowka[[#This Row],[GL_Account]],AL:AL,"&lt;0"))</f>
        <v>0</v>
      </c>
      <c r="I405" s="18">
        <f>SUM(Obrotowka[[#This Row],[BO]:[MA]])</f>
        <v>0</v>
      </c>
      <c r="J405">
        <f>IF(Obrotowka[[#This Row],[BZ]]=0,0,1)</f>
        <v>0</v>
      </c>
      <c r="K405" s="253"/>
      <c r="AF405" s="18"/>
      <c r="AU405" t="s">
        <v>8714</v>
      </c>
    </row>
    <row r="406" spans="2:47" x14ac:dyDescent="0.3">
      <c r="B406" t="s">
        <v>12216</v>
      </c>
      <c r="C406" t="s">
        <v>12217</v>
      </c>
      <c r="D406" t="s">
        <v>11918</v>
      </c>
      <c r="E406" t="s">
        <v>4185</v>
      </c>
      <c r="F406" s="18">
        <f>IF($D$5="tak",(SUMIFS(AE:AE,AA:AA,Obrotowka[[#This Row],[GL_Account]])-SUMIFS(U:U,S:S,Obrotowka[[#This Row],[GL_Account]])+SUMIFS(U:U,T:T,Obrotowka[[#This Row],[GL_Account]]))/1000,(SUMIFS(AE:AE,AA:AA,Obrotowka[[#This Row],[GL_Account]])-SUMIFS(U:U,S:S,Obrotowka[[#This Row],[GL_Account]])+SUMIFS(U:U,T:T,Obrotowka[[#This Row],[GL_Account]])))</f>
        <v>0</v>
      </c>
      <c r="G406" s="18">
        <f>IF($D$5="tak",(SUMIFS(AL:AL,AH:AH,Obrotowka[[#This Row],[GL_Account]],AL:AL,"&gt;=0")-SUMIFS(V:V,S:S,Obrotowka[[#This Row],[GL_Account]])+SUMIFS(V:V,T:T,Obrotowka[[#This Row],[GL_Account]]))/1000,(SUMIFS(AL:AL,AH:AH,Obrotowka[[#This Row],[GL_Account]],AL:AL,"&gt;=0")-SUMIFS(V:V,S:S,Obrotowka[[#This Row],[GL_Account]])+SUMIFS(V:V,T:T,Obrotowka[[#This Row],[GL_Account]])))</f>
        <v>0</v>
      </c>
      <c r="H406" s="18">
        <f>IF($D$5="tak",SUMIFS(AL:AL,AH:AH,Obrotowka[[#This Row],[GL_Account]],AL:AL,"&lt;0")/1000,SUMIFS(AL:AL,AH:AH,Obrotowka[[#This Row],[GL_Account]],AL:AL,"&lt;0"))</f>
        <v>0</v>
      </c>
      <c r="I406" s="18">
        <f>SUM(Obrotowka[[#This Row],[BO]:[MA]])</f>
        <v>0</v>
      </c>
      <c r="J406">
        <f>IF(Obrotowka[[#This Row],[BZ]]=0,0,1)</f>
        <v>0</v>
      </c>
      <c r="K406" s="253"/>
      <c r="AF406" s="18"/>
      <c r="AU406" t="s">
        <v>8714</v>
      </c>
    </row>
    <row r="407" spans="2:47" x14ac:dyDescent="0.3">
      <c r="B407" t="s">
        <v>12218</v>
      </c>
      <c r="C407" t="s">
        <v>12219</v>
      </c>
      <c r="D407" t="s">
        <v>11918</v>
      </c>
      <c r="E407" t="s">
        <v>4185</v>
      </c>
      <c r="F407" s="18">
        <f>IF($D$5="tak",(SUMIFS(AE:AE,AA:AA,Obrotowka[[#This Row],[GL_Account]])-SUMIFS(U:U,S:S,Obrotowka[[#This Row],[GL_Account]])+SUMIFS(U:U,T:T,Obrotowka[[#This Row],[GL_Account]]))/1000,(SUMIFS(AE:AE,AA:AA,Obrotowka[[#This Row],[GL_Account]])-SUMIFS(U:U,S:S,Obrotowka[[#This Row],[GL_Account]])+SUMIFS(U:U,T:T,Obrotowka[[#This Row],[GL_Account]])))</f>
        <v>0</v>
      </c>
      <c r="G407" s="18">
        <f>IF($D$5="tak",(SUMIFS(AL:AL,AH:AH,Obrotowka[[#This Row],[GL_Account]],AL:AL,"&gt;=0")-SUMIFS(V:V,S:S,Obrotowka[[#This Row],[GL_Account]])+SUMIFS(V:V,T:T,Obrotowka[[#This Row],[GL_Account]]))/1000,(SUMIFS(AL:AL,AH:AH,Obrotowka[[#This Row],[GL_Account]],AL:AL,"&gt;=0")-SUMIFS(V:V,S:S,Obrotowka[[#This Row],[GL_Account]])+SUMIFS(V:V,T:T,Obrotowka[[#This Row],[GL_Account]])))</f>
        <v>0</v>
      </c>
      <c r="H407" s="18">
        <f>IF($D$5="tak",SUMIFS(AL:AL,AH:AH,Obrotowka[[#This Row],[GL_Account]],AL:AL,"&lt;0")/1000,SUMIFS(AL:AL,AH:AH,Obrotowka[[#This Row],[GL_Account]],AL:AL,"&lt;0"))</f>
        <v>0</v>
      </c>
      <c r="I407" s="18">
        <f>SUM(Obrotowka[[#This Row],[BO]:[MA]])</f>
        <v>0</v>
      </c>
      <c r="J407">
        <f>IF(Obrotowka[[#This Row],[BZ]]=0,0,1)</f>
        <v>0</v>
      </c>
      <c r="K407" s="253"/>
      <c r="AF407" s="18"/>
      <c r="AU407" t="s">
        <v>8714</v>
      </c>
    </row>
    <row r="408" spans="2:47" x14ac:dyDescent="0.3">
      <c r="B408" t="s">
        <v>12220</v>
      </c>
      <c r="C408" t="s">
        <v>12221</v>
      </c>
      <c r="D408" t="s">
        <v>11918</v>
      </c>
      <c r="E408" t="s">
        <v>4021</v>
      </c>
      <c r="F408" s="18">
        <f>IF($D$5="tak",(SUMIFS(AE:AE,AA:AA,Obrotowka[[#This Row],[GL_Account]])-SUMIFS(U:U,S:S,Obrotowka[[#This Row],[GL_Account]])+SUMIFS(U:U,T:T,Obrotowka[[#This Row],[GL_Account]]))/1000,(SUMIFS(AE:AE,AA:AA,Obrotowka[[#This Row],[GL_Account]])-SUMIFS(U:U,S:S,Obrotowka[[#This Row],[GL_Account]])+SUMIFS(U:U,T:T,Obrotowka[[#This Row],[GL_Account]])))</f>
        <v>0</v>
      </c>
      <c r="G408" s="18">
        <f>IF($D$5="tak",(SUMIFS(AL:AL,AH:AH,Obrotowka[[#This Row],[GL_Account]],AL:AL,"&gt;=0")-SUMIFS(V:V,S:S,Obrotowka[[#This Row],[GL_Account]])+SUMIFS(V:V,T:T,Obrotowka[[#This Row],[GL_Account]]))/1000,(SUMIFS(AL:AL,AH:AH,Obrotowka[[#This Row],[GL_Account]],AL:AL,"&gt;=0")-SUMIFS(V:V,S:S,Obrotowka[[#This Row],[GL_Account]])+SUMIFS(V:V,T:T,Obrotowka[[#This Row],[GL_Account]])))</f>
        <v>0</v>
      </c>
      <c r="H408" s="18">
        <f>IF($D$5="tak",SUMIFS(AL:AL,AH:AH,Obrotowka[[#This Row],[GL_Account]],AL:AL,"&lt;0")/1000,SUMIFS(AL:AL,AH:AH,Obrotowka[[#This Row],[GL_Account]],AL:AL,"&lt;0"))</f>
        <v>0</v>
      </c>
      <c r="I408" s="18">
        <f>SUM(Obrotowka[[#This Row],[BO]:[MA]])</f>
        <v>0</v>
      </c>
      <c r="J408">
        <f>IF(Obrotowka[[#This Row],[BZ]]=0,0,1)</f>
        <v>0</v>
      </c>
      <c r="K408" s="253"/>
      <c r="AF408" s="18"/>
      <c r="AU408" t="s">
        <v>8607</v>
      </c>
    </row>
    <row r="409" spans="2:47" x14ac:dyDescent="0.3">
      <c r="B409" t="s">
        <v>12222</v>
      </c>
      <c r="C409" t="s">
        <v>8608</v>
      </c>
      <c r="D409" t="s">
        <v>11918</v>
      </c>
      <c r="E409" t="s">
        <v>4021</v>
      </c>
      <c r="F409" s="18">
        <f>IF($D$5="tak",(SUMIFS(AE:AE,AA:AA,Obrotowka[[#This Row],[GL_Account]])-SUMIFS(U:U,S:S,Obrotowka[[#This Row],[GL_Account]])+SUMIFS(U:U,T:T,Obrotowka[[#This Row],[GL_Account]]))/1000,(SUMIFS(AE:AE,AA:AA,Obrotowka[[#This Row],[GL_Account]])-SUMIFS(U:U,S:S,Obrotowka[[#This Row],[GL_Account]])+SUMIFS(U:U,T:T,Obrotowka[[#This Row],[GL_Account]])))</f>
        <v>0</v>
      </c>
      <c r="G409" s="18">
        <f>IF($D$5="tak",(SUMIFS(AL:AL,AH:AH,Obrotowka[[#This Row],[GL_Account]],AL:AL,"&gt;=0")-SUMIFS(V:V,S:S,Obrotowka[[#This Row],[GL_Account]])+SUMIFS(V:V,T:T,Obrotowka[[#This Row],[GL_Account]]))/1000,(SUMIFS(AL:AL,AH:AH,Obrotowka[[#This Row],[GL_Account]],AL:AL,"&gt;=0")-SUMIFS(V:V,S:S,Obrotowka[[#This Row],[GL_Account]])+SUMIFS(V:V,T:T,Obrotowka[[#This Row],[GL_Account]])))</f>
        <v>0</v>
      </c>
      <c r="H409" s="18">
        <f>IF($D$5="tak",SUMIFS(AL:AL,AH:AH,Obrotowka[[#This Row],[GL_Account]],AL:AL,"&lt;0")/1000,SUMIFS(AL:AL,AH:AH,Obrotowka[[#This Row],[GL_Account]],AL:AL,"&lt;0"))</f>
        <v>0</v>
      </c>
      <c r="I409" s="18">
        <f>SUM(Obrotowka[[#This Row],[BO]:[MA]])</f>
        <v>0</v>
      </c>
      <c r="J409">
        <f>IF(Obrotowka[[#This Row],[BZ]]=0,0,1)</f>
        <v>0</v>
      </c>
      <c r="K409" s="253"/>
      <c r="AF409" s="18"/>
      <c r="AU409" t="s">
        <v>8612</v>
      </c>
    </row>
    <row r="410" spans="2:47" x14ac:dyDescent="0.3">
      <c r="B410" t="s">
        <v>12223</v>
      </c>
      <c r="C410" t="s">
        <v>12224</v>
      </c>
      <c r="D410" t="s">
        <v>11918</v>
      </c>
      <c r="E410" t="s">
        <v>4021</v>
      </c>
      <c r="F410" s="18">
        <f>IF($D$5="tak",(SUMIFS(AE:AE,AA:AA,Obrotowka[[#This Row],[GL_Account]])-SUMIFS(U:U,S:S,Obrotowka[[#This Row],[GL_Account]])+SUMIFS(U:U,T:T,Obrotowka[[#This Row],[GL_Account]]))/1000,(SUMIFS(AE:AE,AA:AA,Obrotowka[[#This Row],[GL_Account]])-SUMIFS(U:U,S:S,Obrotowka[[#This Row],[GL_Account]])+SUMIFS(U:U,T:T,Obrotowka[[#This Row],[GL_Account]])))</f>
        <v>0</v>
      </c>
      <c r="G410" s="18">
        <f>IF($D$5="tak",(SUMIFS(AL:AL,AH:AH,Obrotowka[[#This Row],[GL_Account]],AL:AL,"&gt;=0")-SUMIFS(V:V,S:S,Obrotowka[[#This Row],[GL_Account]])+SUMIFS(V:V,T:T,Obrotowka[[#This Row],[GL_Account]]))/1000,(SUMIFS(AL:AL,AH:AH,Obrotowka[[#This Row],[GL_Account]],AL:AL,"&gt;=0")-SUMIFS(V:V,S:S,Obrotowka[[#This Row],[GL_Account]])+SUMIFS(V:V,T:T,Obrotowka[[#This Row],[GL_Account]])))</f>
        <v>0</v>
      </c>
      <c r="H410" s="18">
        <f>IF($D$5="tak",SUMIFS(AL:AL,AH:AH,Obrotowka[[#This Row],[GL_Account]],AL:AL,"&lt;0")/1000,SUMIFS(AL:AL,AH:AH,Obrotowka[[#This Row],[GL_Account]],AL:AL,"&lt;0"))</f>
        <v>0</v>
      </c>
      <c r="I410" s="18">
        <f>SUM(Obrotowka[[#This Row],[BO]:[MA]])</f>
        <v>0</v>
      </c>
      <c r="J410">
        <f>IF(Obrotowka[[#This Row],[BZ]]=0,0,1)</f>
        <v>0</v>
      </c>
      <c r="K410" s="253"/>
      <c r="AF410" s="18"/>
      <c r="AU410" t="s">
        <v>8620</v>
      </c>
    </row>
    <row r="411" spans="2:47" x14ac:dyDescent="0.3">
      <c r="B411" t="s">
        <v>12225</v>
      </c>
      <c r="C411" t="s">
        <v>12226</v>
      </c>
      <c r="D411" t="s">
        <v>11918</v>
      </c>
      <c r="E411" t="s">
        <v>4021</v>
      </c>
      <c r="F411" s="18">
        <f>IF($D$5="tak",(SUMIFS(AE:AE,AA:AA,Obrotowka[[#This Row],[GL_Account]])-SUMIFS(U:U,S:S,Obrotowka[[#This Row],[GL_Account]])+SUMIFS(U:U,T:T,Obrotowka[[#This Row],[GL_Account]]))/1000,(SUMIFS(AE:AE,AA:AA,Obrotowka[[#This Row],[GL_Account]])-SUMIFS(U:U,S:S,Obrotowka[[#This Row],[GL_Account]])+SUMIFS(U:U,T:T,Obrotowka[[#This Row],[GL_Account]])))</f>
        <v>0</v>
      </c>
      <c r="G411" s="18">
        <f>IF($D$5="tak",(SUMIFS(AL:AL,AH:AH,Obrotowka[[#This Row],[GL_Account]],AL:AL,"&gt;=0")-SUMIFS(V:V,S:S,Obrotowka[[#This Row],[GL_Account]])+SUMIFS(V:V,T:T,Obrotowka[[#This Row],[GL_Account]]))/1000,(SUMIFS(AL:AL,AH:AH,Obrotowka[[#This Row],[GL_Account]],AL:AL,"&gt;=0")-SUMIFS(V:V,S:S,Obrotowka[[#This Row],[GL_Account]])+SUMIFS(V:V,T:T,Obrotowka[[#This Row],[GL_Account]])))</f>
        <v>0</v>
      </c>
      <c r="H411" s="18">
        <f>IF($D$5="tak",SUMIFS(AL:AL,AH:AH,Obrotowka[[#This Row],[GL_Account]],AL:AL,"&lt;0")/1000,SUMIFS(AL:AL,AH:AH,Obrotowka[[#This Row],[GL_Account]],AL:AL,"&lt;0"))</f>
        <v>0</v>
      </c>
      <c r="I411" s="18">
        <f>SUM(Obrotowka[[#This Row],[BO]:[MA]])</f>
        <v>0</v>
      </c>
      <c r="J411">
        <f>IF(Obrotowka[[#This Row],[BZ]]=0,0,1)</f>
        <v>0</v>
      </c>
      <c r="K411" s="253"/>
      <c r="AF411" s="18"/>
      <c r="AU411" t="s">
        <v>8620</v>
      </c>
    </row>
    <row r="412" spans="2:47" x14ac:dyDescent="0.3">
      <c r="B412" t="s">
        <v>12227</v>
      </c>
      <c r="C412" t="s">
        <v>8599</v>
      </c>
      <c r="D412" t="s">
        <v>11918</v>
      </c>
      <c r="E412" t="s">
        <v>4021</v>
      </c>
      <c r="F412" s="18">
        <f>IF($D$5="tak",(SUMIFS(AE:AE,AA:AA,Obrotowka[[#This Row],[GL_Account]])-SUMIFS(U:U,S:S,Obrotowka[[#This Row],[GL_Account]])+SUMIFS(U:U,T:T,Obrotowka[[#This Row],[GL_Account]]))/1000,(SUMIFS(AE:AE,AA:AA,Obrotowka[[#This Row],[GL_Account]])-SUMIFS(U:U,S:S,Obrotowka[[#This Row],[GL_Account]])+SUMIFS(U:U,T:T,Obrotowka[[#This Row],[GL_Account]])))</f>
        <v>0</v>
      </c>
      <c r="G412" s="18">
        <f>IF($D$5="tak",(SUMIFS(AL:AL,AH:AH,Obrotowka[[#This Row],[GL_Account]],AL:AL,"&gt;=0")-SUMIFS(V:V,S:S,Obrotowka[[#This Row],[GL_Account]])+SUMIFS(V:V,T:T,Obrotowka[[#This Row],[GL_Account]]))/1000,(SUMIFS(AL:AL,AH:AH,Obrotowka[[#This Row],[GL_Account]],AL:AL,"&gt;=0")-SUMIFS(V:V,S:S,Obrotowka[[#This Row],[GL_Account]])+SUMIFS(V:V,T:T,Obrotowka[[#This Row],[GL_Account]])))</f>
        <v>0</v>
      </c>
      <c r="H412" s="18">
        <f>IF($D$5="tak",SUMIFS(AL:AL,AH:AH,Obrotowka[[#This Row],[GL_Account]],AL:AL,"&lt;0")/1000,SUMIFS(AL:AL,AH:AH,Obrotowka[[#This Row],[GL_Account]],AL:AL,"&lt;0"))</f>
        <v>0</v>
      </c>
      <c r="I412" s="18">
        <f>SUM(Obrotowka[[#This Row],[BO]:[MA]])</f>
        <v>0</v>
      </c>
      <c r="J412">
        <f>IF(Obrotowka[[#This Row],[BZ]]=0,0,1)</f>
        <v>0</v>
      </c>
      <c r="K412" s="253"/>
      <c r="AF412" s="18"/>
      <c r="AU412" t="s">
        <v>8620</v>
      </c>
    </row>
    <row r="413" spans="2:47" x14ac:dyDescent="0.3">
      <c r="B413" t="s">
        <v>12228</v>
      </c>
      <c r="C413" t="s">
        <v>12229</v>
      </c>
      <c r="D413" t="s">
        <v>11918</v>
      </c>
      <c r="E413" t="s">
        <v>4185</v>
      </c>
      <c r="F413" s="18">
        <f>IF($D$5="tak",(SUMIFS(AE:AE,AA:AA,Obrotowka[[#This Row],[GL_Account]])-SUMIFS(U:U,S:S,Obrotowka[[#This Row],[GL_Account]])+SUMIFS(U:U,T:T,Obrotowka[[#This Row],[GL_Account]]))/1000,(SUMIFS(AE:AE,AA:AA,Obrotowka[[#This Row],[GL_Account]])-SUMIFS(U:U,S:S,Obrotowka[[#This Row],[GL_Account]])+SUMIFS(U:U,T:T,Obrotowka[[#This Row],[GL_Account]])))</f>
        <v>0</v>
      </c>
      <c r="G413" s="18">
        <f>IF($D$5="tak",(SUMIFS(AL:AL,AH:AH,Obrotowka[[#This Row],[GL_Account]],AL:AL,"&gt;=0")-SUMIFS(V:V,S:S,Obrotowka[[#This Row],[GL_Account]])+SUMIFS(V:V,T:T,Obrotowka[[#This Row],[GL_Account]]))/1000,(SUMIFS(AL:AL,AH:AH,Obrotowka[[#This Row],[GL_Account]],AL:AL,"&gt;=0")-SUMIFS(V:V,S:S,Obrotowka[[#This Row],[GL_Account]])+SUMIFS(V:V,T:T,Obrotowka[[#This Row],[GL_Account]])))</f>
        <v>0</v>
      </c>
      <c r="H413" s="18">
        <f>IF($D$5="tak",SUMIFS(AL:AL,AH:AH,Obrotowka[[#This Row],[GL_Account]],AL:AL,"&lt;0")/1000,SUMIFS(AL:AL,AH:AH,Obrotowka[[#This Row],[GL_Account]],AL:AL,"&lt;0"))</f>
        <v>0</v>
      </c>
      <c r="I413" s="18">
        <f>SUM(Obrotowka[[#This Row],[BO]:[MA]])</f>
        <v>0</v>
      </c>
      <c r="J413">
        <f>IF(Obrotowka[[#This Row],[BZ]]=0,0,1)</f>
        <v>0</v>
      </c>
      <c r="K413" s="253"/>
      <c r="AF413" s="18"/>
      <c r="AU413" t="s">
        <v>8629</v>
      </c>
    </row>
    <row r="414" spans="2:47" x14ac:dyDescent="0.3">
      <c r="B414" t="s">
        <v>12230</v>
      </c>
      <c r="C414" t="s">
        <v>9365</v>
      </c>
      <c r="D414" t="s">
        <v>11918</v>
      </c>
      <c r="E414" t="s">
        <v>4185</v>
      </c>
      <c r="F414" s="18">
        <f>IF($D$5="tak",(SUMIFS(AE:AE,AA:AA,Obrotowka[[#This Row],[GL_Account]])-SUMIFS(U:U,S:S,Obrotowka[[#This Row],[GL_Account]])+SUMIFS(U:U,T:T,Obrotowka[[#This Row],[GL_Account]]))/1000,(SUMIFS(AE:AE,AA:AA,Obrotowka[[#This Row],[GL_Account]])-SUMIFS(U:U,S:S,Obrotowka[[#This Row],[GL_Account]])+SUMIFS(U:U,T:T,Obrotowka[[#This Row],[GL_Account]])))</f>
        <v>0</v>
      </c>
      <c r="G414" s="18">
        <f>IF($D$5="tak",(SUMIFS(AL:AL,AH:AH,Obrotowka[[#This Row],[GL_Account]],AL:AL,"&gt;=0")-SUMIFS(V:V,S:S,Obrotowka[[#This Row],[GL_Account]])+SUMIFS(V:V,T:T,Obrotowka[[#This Row],[GL_Account]]))/1000,(SUMIFS(AL:AL,AH:AH,Obrotowka[[#This Row],[GL_Account]],AL:AL,"&gt;=0")-SUMIFS(V:V,S:S,Obrotowka[[#This Row],[GL_Account]])+SUMIFS(V:V,T:T,Obrotowka[[#This Row],[GL_Account]])))</f>
        <v>0</v>
      </c>
      <c r="H414" s="18">
        <f>IF($D$5="tak",SUMIFS(AL:AL,AH:AH,Obrotowka[[#This Row],[GL_Account]],AL:AL,"&lt;0")/1000,SUMIFS(AL:AL,AH:AH,Obrotowka[[#This Row],[GL_Account]],AL:AL,"&lt;0"))</f>
        <v>0</v>
      </c>
      <c r="I414" s="18">
        <f>SUM(Obrotowka[[#This Row],[BO]:[MA]])</f>
        <v>0</v>
      </c>
      <c r="J414">
        <f>IF(Obrotowka[[#This Row],[BZ]]=0,0,1)</f>
        <v>0</v>
      </c>
      <c r="K414" s="253"/>
      <c r="AF414" s="18"/>
      <c r="AU414" t="s">
        <v>8637</v>
      </c>
    </row>
    <row r="415" spans="2:47" x14ac:dyDescent="0.3">
      <c r="B415" t="s">
        <v>12231</v>
      </c>
      <c r="C415" t="s">
        <v>12232</v>
      </c>
      <c r="D415" t="s">
        <v>11918</v>
      </c>
      <c r="E415" t="s">
        <v>4185</v>
      </c>
      <c r="F415" s="18">
        <f>IF($D$5="tak",(SUMIFS(AE:AE,AA:AA,Obrotowka[[#This Row],[GL_Account]])-SUMIFS(U:U,S:S,Obrotowka[[#This Row],[GL_Account]])+SUMIFS(U:U,T:T,Obrotowka[[#This Row],[GL_Account]]))/1000,(SUMIFS(AE:AE,AA:AA,Obrotowka[[#This Row],[GL_Account]])-SUMIFS(U:U,S:S,Obrotowka[[#This Row],[GL_Account]])+SUMIFS(U:U,T:T,Obrotowka[[#This Row],[GL_Account]])))</f>
        <v>0</v>
      </c>
      <c r="G415" s="18">
        <f>IF($D$5="tak",(SUMIFS(AL:AL,AH:AH,Obrotowka[[#This Row],[GL_Account]],AL:AL,"&gt;=0")-SUMIFS(V:V,S:S,Obrotowka[[#This Row],[GL_Account]])+SUMIFS(V:V,T:T,Obrotowka[[#This Row],[GL_Account]]))/1000,(SUMIFS(AL:AL,AH:AH,Obrotowka[[#This Row],[GL_Account]],AL:AL,"&gt;=0")-SUMIFS(V:V,S:S,Obrotowka[[#This Row],[GL_Account]])+SUMIFS(V:V,T:T,Obrotowka[[#This Row],[GL_Account]])))</f>
        <v>0</v>
      </c>
      <c r="H415" s="18">
        <f>IF($D$5="tak",SUMIFS(AL:AL,AH:AH,Obrotowka[[#This Row],[GL_Account]],AL:AL,"&lt;0")/1000,SUMIFS(AL:AL,AH:AH,Obrotowka[[#This Row],[GL_Account]],AL:AL,"&lt;0"))</f>
        <v>0</v>
      </c>
      <c r="I415" s="18">
        <f>SUM(Obrotowka[[#This Row],[BO]:[MA]])</f>
        <v>0</v>
      </c>
      <c r="J415">
        <f>IF(Obrotowka[[#This Row],[BZ]]=0,0,1)</f>
        <v>0</v>
      </c>
      <c r="K415" s="253"/>
      <c r="AF415" s="18"/>
      <c r="AU415" t="s">
        <v>8632</v>
      </c>
    </row>
    <row r="416" spans="2:47" x14ac:dyDescent="0.3">
      <c r="B416" t="s">
        <v>12233</v>
      </c>
      <c r="C416" t="s">
        <v>12234</v>
      </c>
      <c r="D416" t="s">
        <v>11918</v>
      </c>
      <c r="E416" t="s">
        <v>4185</v>
      </c>
      <c r="F416" s="18">
        <f>IF($D$5="tak",(SUMIFS(AE:AE,AA:AA,Obrotowka[[#This Row],[GL_Account]])-SUMIFS(U:U,S:S,Obrotowka[[#This Row],[GL_Account]])+SUMIFS(U:U,T:T,Obrotowka[[#This Row],[GL_Account]]))/1000,(SUMIFS(AE:AE,AA:AA,Obrotowka[[#This Row],[GL_Account]])-SUMIFS(U:U,S:S,Obrotowka[[#This Row],[GL_Account]])+SUMIFS(U:U,T:T,Obrotowka[[#This Row],[GL_Account]])))</f>
        <v>0</v>
      </c>
      <c r="G416" s="18">
        <f>IF($D$5="tak",(SUMIFS(AL:AL,AH:AH,Obrotowka[[#This Row],[GL_Account]],AL:AL,"&gt;=0")-SUMIFS(V:V,S:S,Obrotowka[[#This Row],[GL_Account]])+SUMIFS(V:V,T:T,Obrotowka[[#This Row],[GL_Account]]))/1000,(SUMIFS(AL:AL,AH:AH,Obrotowka[[#This Row],[GL_Account]],AL:AL,"&gt;=0")-SUMIFS(V:V,S:S,Obrotowka[[#This Row],[GL_Account]])+SUMIFS(V:V,T:T,Obrotowka[[#This Row],[GL_Account]])))</f>
        <v>0</v>
      </c>
      <c r="H416" s="18">
        <f>IF($D$5="tak",SUMIFS(AL:AL,AH:AH,Obrotowka[[#This Row],[GL_Account]],AL:AL,"&lt;0")/1000,SUMIFS(AL:AL,AH:AH,Obrotowka[[#This Row],[GL_Account]],AL:AL,"&lt;0"))</f>
        <v>0</v>
      </c>
      <c r="I416" s="18">
        <f>SUM(Obrotowka[[#This Row],[BO]:[MA]])</f>
        <v>0</v>
      </c>
      <c r="J416">
        <f>IF(Obrotowka[[#This Row],[BZ]]=0,0,1)</f>
        <v>0</v>
      </c>
      <c r="K416" s="253"/>
      <c r="AF416" s="18"/>
      <c r="AU416" t="s">
        <v>8637</v>
      </c>
    </row>
    <row r="417" spans="2:47" x14ac:dyDescent="0.3">
      <c r="B417" t="s">
        <v>12235</v>
      </c>
      <c r="C417" t="s">
        <v>12236</v>
      </c>
      <c r="D417" t="s">
        <v>11918</v>
      </c>
      <c r="E417" t="s">
        <v>4185</v>
      </c>
      <c r="F417" s="18">
        <f>IF($D$5="tak",(SUMIFS(AE:AE,AA:AA,Obrotowka[[#This Row],[GL_Account]])-SUMIFS(U:U,S:S,Obrotowka[[#This Row],[GL_Account]])+SUMIFS(U:U,T:T,Obrotowka[[#This Row],[GL_Account]]))/1000,(SUMIFS(AE:AE,AA:AA,Obrotowka[[#This Row],[GL_Account]])-SUMIFS(U:U,S:S,Obrotowka[[#This Row],[GL_Account]])+SUMIFS(U:U,T:T,Obrotowka[[#This Row],[GL_Account]])))</f>
        <v>0</v>
      </c>
      <c r="G417" s="18">
        <f>IF($D$5="tak",(SUMIFS(AL:AL,AH:AH,Obrotowka[[#This Row],[GL_Account]],AL:AL,"&gt;=0")-SUMIFS(V:V,S:S,Obrotowka[[#This Row],[GL_Account]])+SUMIFS(V:V,T:T,Obrotowka[[#This Row],[GL_Account]]))/1000,(SUMIFS(AL:AL,AH:AH,Obrotowka[[#This Row],[GL_Account]],AL:AL,"&gt;=0")-SUMIFS(V:V,S:S,Obrotowka[[#This Row],[GL_Account]])+SUMIFS(V:V,T:T,Obrotowka[[#This Row],[GL_Account]])))</f>
        <v>0</v>
      </c>
      <c r="H417" s="18">
        <f>IF($D$5="tak",SUMIFS(AL:AL,AH:AH,Obrotowka[[#This Row],[GL_Account]],AL:AL,"&lt;0")/1000,SUMIFS(AL:AL,AH:AH,Obrotowka[[#This Row],[GL_Account]],AL:AL,"&lt;0"))</f>
        <v>0</v>
      </c>
      <c r="I417" s="18">
        <f>SUM(Obrotowka[[#This Row],[BO]:[MA]])</f>
        <v>0</v>
      </c>
      <c r="J417">
        <f>IF(Obrotowka[[#This Row],[BZ]]=0,0,1)</f>
        <v>0</v>
      </c>
      <c r="K417" s="253"/>
      <c r="AF417" s="18"/>
      <c r="AU417" t="s">
        <v>8637</v>
      </c>
    </row>
    <row r="418" spans="2:47" x14ac:dyDescent="0.3">
      <c r="B418" t="s">
        <v>12237</v>
      </c>
      <c r="C418" t="s">
        <v>8621</v>
      </c>
      <c r="D418" t="s">
        <v>11918</v>
      </c>
      <c r="E418" t="s">
        <v>4185</v>
      </c>
      <c r="F418" s="18">
        <f>IF($D$5="tak",(SUMIFS(AE:AE,AA:AA,Obrotowka[[#This Row],[GL_Account]])-SUMIFS(U:U,S:S,Obrotowka[[#This Row],[GL_Account]])+SUMIFS(U:U,T:T,Obrotowka[[#This Row],[GL_Account]]))/1000,(SUMIFS(AE:AE,AA:AA,Obrotowka[[#This Row],[GL_Account]])-SUMIFS(U:U,S:S,Obrotowka[[#This Row],[GL_Account]])+SUMIFS(U:U,T:T,Obrotowka[[#This Row],[GL_Account]])))</f>
        <v>0</v>
      </c>
      <c r="G418" s="18">
        <f>IF($D$5="tak",(SUMIFS(AL:AL,AH:AH,Obrotowka[[#This Row],[GL_Account]],AL:AL,"&gt;=0")-SUMIFS(V:V,S:S,Obrotowka[[#This Row],[GL_Account]])+SUMIFS(V:V,T:T,Obrotowka[[#This Row],[GL_Account]]))/1000,(SUMIFS(AL:AL,AH:AH,Obrotowka[[#This Row],[GL_Account]],AL:AL,"&gt;=0")-SUMIFS(V:V,S:S,Obrotowka[[#This Row],[GL_Account]])+SUMIFS(V:V,T:T,Obrotowka[[#This Row],[GL_Account]])))</f>
        <v>0</v>
      </c>
      <c r="H418" s="18">
        <f>IF($D$5="tak",SUMIFS(AL:AL,AH:AH,Obrotowka[[#This Row],[GL_Account]],AL:AL,"&lt;0")/1000,SUMIFS(AL:AL,AH:AH,Obrotowka[[#This Row],[GL_Account]],AL:AL,"&lt;0"))</f>
        <v>0</v>
      </c>
      <c r="I418" s="18">
        <f>SUM(Obrotowka[[#This Row],[BO]:[MA]])</f>
        <v>0</v>
      </c>
      <c r="J418">
        <f>IF(Obrotowka[[#This Row],[BZ]]=0,0,1)</f>
        <v>0</v>
      </c>
      <c r="K418" s="253"/>
      <c r="AF418" s="18"/>
      <c r="AU418" t="s">
        <v>8637</v>
      </c>
    </row>
    <row r="419" spans="2:47" x14ac:dyDescent="0.3">
      <c r="B419" t="s">
        <v>12238</v>
      </c>
      <c r="C419" t="s">
        <v>12239</v>
      </c>
      <c r="D419" t="s">
        <v>11918</v>
      </c>
      <c r="E419" t="s">
        <v>4021</v>
      </c>
      <c r="F419" s="18">
        <f>IF($D$5="tak",(SUMIFS(AE:AE,AA:AA,Obrotowka[[#This Row],[GL_Account]])-SUMIFS(U:U,S:S,Obrotowka[[#This Row],[GL_Account]])+SUMIFS(U:U,T:T,Obrotowka[[#This Row],[GL_Account]]))/1000,(SUMIFS(AE:AE,AA:AA,Obrotowka[[#This Row],[GL_Account]])-SUMIFS(U:U,S:S,Obrotowka[[#This Row],[GL_Account]])+SUMIFS(U:U,T:T,Obrotowka[[#This Row],[GL_Account]])))</f>
        <v>0</v>
      </c>
      <c r="G419" s="18">
        <f>IF($D$5="tak",(SUMIFS(AL:AL,AH:AH,Obrotowka[[#This Row],[GL_Account]],AL:AL,"&gt;=0")-SUMIFS(V:V,S:S,Obrotowka[[#This Row],[GL_Account]])+SUMIFS(V:V,T:T,Obrotowka[[#This Row],[GL_Account]]))/1000,(SUMIFS(AL:AL,AH:AH,Obrotowka[[#This Row],[GL_Account]],AL:AL,"&gt;=0")-SUMIFS(V:V,S:S,Obrotowka[[#This Row],[GL_Account]])+SUMIFS(V:V,T:T,Obrotowka[[#This Row],[GL_Account]])))</f>
        <v>0</v>
      </c>
      <c r="H419" s="18">
        <f>IF($D$5="tak",SUMIFS(AL:AL,AH:AH,Obrotowka[[#This Row],[GL_Account]],AL:AL,"&lt;0")/1000,SUMIFS(AL:AL,AH:AH,Obrotowka[[#This Row],[GL_Account]],AL:AL,"&lt;0"))</f>
        <v>0</v>
      </c>
      <c r="I419" s="18">
        <f>SUM(Obrotowka[[#This Row],[BO]:[MA]])</f>
        <v>0</v>
      </c>
      <c r="J419">
        <f>IF(Obrotowka[[#This Row],[BZ]]=0,0,1)</f>
        <v>0</v>
      </c>
      <c r="K419" s="253"/>
      <c r="AF419" s="18"/>
      <c r="AU419" t="s">
        <v>12240</v>
      </c>
    </row>
    <row r="420" spans="2:47" x14ac:dyDescent="0.3">
      <c r="B420" t="s">
        <v>12241</v>
      </c>
      <c r="C420" t="s">
        <v>12242</v>
      </c>
      <c r="D420" t="s">
        <v>11918</v>
      </c>
      <c r="E420" t="s">
        <v>4021</v>
      </c>
      <c r="F420" s="18">
        <f>IF($D$5="tak",(SUMIFS(AE:AE,AA:AA,Obrotowka[[#This Row],[GL_Account]])-SUMIFS(U:U,S:S,Obrotowka[[#This Row],[GL_Account]])+SUMIFS(U:U,T:T,Obrotowka[[#This Row],[GL_Account]]))/1000,(SUMIFS(AE:AE,AA:AA,Obrotowka[[#This Row],[GL_Account]])-SUMIFS(U:U,S:S,Obrotowka[[#This Row],[GL_Account]])+SUMIFS(U:U,T:T,Obrotowka[[#This Row],[GL_Account]])))</f>
        <v>0</v>
      </c>
      <c r="G420" s="18">
        <f>IF($D$5="tak",(SUMIFS(AL:AL,AH:AH,Obrotowka[[#This Row],[GL_Account]],AL:AL,"&gt;=0")-SUMIFS(V:V,S:S,Obrotowka[[#This Row],[GL_Account]])+SUMIFS(V:V,T:T,Obrotowka[[#This Row],[GL_Account]]))/1000,(SUMIFS(AL:AL,AH:AH,Obrotowka[[#This Row],[GL_Account]],AL:AL,"&gt;=0")-SUMIFS(V:V,S:S,Obrotowka[[#This Row],[GL_Account]])+SUMIFS(V:V,T:T,Obrotowka[[#This Row],[GL_Account]])))</f>
        <v>0</v>
      </c>
      <c r="H420" s="18">
        <f>IF($D$5="tak",SUMIFS(AL:AL,AH:AH,Obrotowka[[#This Row],[GL_Account]],AL:AL,"&lt;0")/1000,SUMIFS(AL:AL,AH:AH,Obrotowka[[#This Row],[GL_Account]],AL:AL,"&lt;0"))</f>
        <v>0</v>
      </c>
      <c r="I420" s="18">
        <f>SUM(Obrotowka[[#This Row],[BO]:[MA]])</f>
        <v>0</v>
      </c>
      <c r="J420">
        <f>IF(Obrotowka[[#This Row],[BZ]]=0,0,1)</f>
        <v>0</v>
      </c>
      <c r="K420" s="253"/>
      <c r="AF420" s="18"/>
      <c r="AU420" t="s">
        <v>12240</v>
      </c>
    </row>
    <row r="421" spans="2:47" x14ac:dyDescent="0.3">
      <c r="B421" t="s">
        <v>12243</v>
      </c>
      <c r="C421" t="s">
        <v>12244</v>
      </c>
      <c r="D421" t="s">
        <v>11918</v>
      </c>
      <c r="E421" t="s">
        <v>4185</v>
      </c>
      <c r="F421" s="18">
        <f>IF($D$5="tak",(SUMIFS(AE:AE,AA:AA,Obrotowka[[#This Row],[GL_Account]])-SUMIFS(U:U,S:S,Obrotowka[[#This Row],[GL_Account]])+SUMIFS(U:U,T:T,Obrotowka[[#This Row],[GL_Account]]))/1000,(SUMIFS(AE:AE,AA:AA,Obrotowka[[#This Row],[GL_Account]])-SUMIFS(U:U,S:S,Obrotowka[[#This Row],[GL_Account]])+SUMIFS(U:U,T:T,Obrotowka[[#This Row],[GL_Account]])))</f>
        <v>0</v>
      </c>
      <c r="G421" s="18">
        <f>IF($D$5="tak",(SUMIFS(AL:AL,AH:AH,Obrotowka[[#This Row],[GL_Account]],AL:AL,"&gt;=0")-SUMIFS(V:V,S:S,Obrotowka[[#This Row],[GL_Account]])+SUMIFS(V:V,T:T,Obrotowka[[#This Row],[GL_Account]]))/1000,(SUMIFS(AL:AL,AH:AH,Obrotowka[[#This Row],[GL_Account]],AL:AL,"&gt;=0")-SUMIFS(V:V,S:S,Obrotowka[[#This Row],[GL_Account]])+SUMIFS(V:V,T:T,Obrotowka[[#This Row],[GL_Account]])))</f>
        <v>0</v>
      </c>
      <c r="H421" s="18">
        <f>IF($D$5="tak",SUMIFS(AL:AL,AH:AH,Obrotowka[[#This Row],[GL_Account]],AL:AL,"&lt;0")/1000,SUMIFS(AL:AL,AH:AH,Obrotowka[[#This Row],[GL_Account]],AL:AL,"&lt;0"))</f>
        <v>0</v>
      </c>
      <c r="I421" s="18">
        <f>SUM(Obrotowka[[#This Row],[BO]:[MA]])</f>
        <v>0</v>
      </c>
      <c r="J421">
        <f>IF(Obrotowka[[#This Row],[BZ]]=0,0,1)</f>
        <v>0</v>
      </c>
      <c r="K421" s="253"/>
      <c r="AF421" s="18"/>
      <c r="AU421" t="s">
        <v>12240</v>
      </c>
    </row>
    <row r="422" spans="2:47" x14ac:dyDescent="0.3">
      <c r="B422" t="s">
        <v>12245</v>
      </c>
      <c r="C422" t="s">
        <v>12246</v>
      </c>
      <c r="D422" t="s">
        <v>11918</v>
      </c>
      <c r="E422" t="s">
        <v>4185</v>
      </c>
      <c r="F422" s="18">
        <f>IF($D$5="tak",(SUMIFS(AE:AE,AA:AA,Obrotowka[[#This Row],[GL_Account]])-SUMIFS(U:U,S:S,Obrotowka[[#This Row],[GL_Account]])+SUMIFS(U:U,T:T,Obrotowka[[#This Row],[GL_Account]]))/1000,(SUMIFS(AE:AE,AA:AA,Obrotowka[[#This Row],[GL_Account]])-SUMIFS(U:U,S:S,Obrotowka[[#This Row],[GL_Account]])+SUMIFS(U:U,T:T,Obrotowka[[#This Row],[GL_Account]])))</f>
        <v>0</v>
      </c>
      <c r="G422" s="18">
        <f>IF($D$5="tak",(SUMIFS(AL:AL,AH:AH,Obrotowka[[#This Row],[GL_Account]],AL:AL,"&gt;=0")-SUMIFS(V:V,S:S,Obrotowka[[#This Row],[GL_Account]])+SUMIFS(V:V,T:T,Obrotowka[[#This Row],[GL_Account]]))/1000,(SUMIFS(AL:AL,AH:AH,Obrotowka[[#This Row],[GL_Account]],AL:AL,"&gt;=0")-SUMIFS(V:V,S:S,Obrotowka[[#This Row],[GL_Account]])+SUMIFS(V:V,T:T,Obrotowka[[#This Row],[GL_Account]])))</f>
        <v>0</v>
      </c>
      <c r="H422" s="18">
        <f>IF($D$5="tak",SUMIFS(AL:AL,AH:AH,Obrotowka[[#This Row],[GL_Account]],AL:AL,"&lt;0")/1000,SUMIFS(AL:AL,AH:AH,Obrotowka[[#This Row],[GL_Account]],AL:AL,"&lt;0"))</f>
        <v>0</v>
      </c>
      <c r="I422" s="18">
        <f>SUM(Obrotowka[[#This Row],[BO]:[MA]])</f>
        <v>0</v>
      </c>
      <c r="J422">
        <f>IF(Obrotowka[[#This Row],[BZ]]=0,0,1)</f>
        <v>0</v>
      </c>
      <c r="K422" s="253"/>
      <c r="AF422" s="18"/>
      <c r="AU422" t="s">
        <v>12240</v>
      </c>
    </row>
    <row r="423" spans="2:47" x14ac:dyDescent="0.3">
      <c r="B423" t="s">
        <v>12247</v>
      </c>
      <c r="C423" t="s">
        <v>12248</v>
      </c>
      <c r="D423" t="s">
        <v>3505</v>
      </c>
      <c r="E423" t="s">
        <v>4326</v>
      </c>
      <c r="F423" s="18">
        <f>IF($D$5="tak",(SUMIFS(AE:AE,AA:AA,Obrotowka[[#This Row],[GL_Account]])-SUMIFS(U:U,S:S,Obrotowka[[#This Row],[GL_Account]])+SUMIFS(U:U,T:T,Obrotowka[[#This Row],[GL_Account]]))/1000,(SUMIFS(AE:AE,AA:AA,Obrotowka[[#This Row],[GL_Account]])-SUMIFS(U:U,S:S,Obrotowka[[#This Row],[GL_Account]])+SUMIFS(U:U,T:T,Obrotowka[[#This Row],[GL_Account]])))</f>
        <v>0</v>
      </c>
      <c r="G423" s="18">
        <f>IF($D$5="tak",(SUMIFS(AL:AL,AH:AH,Obrotowka[[#This Row],[GL_Account]],AL:AL,"&gt;=0")-SUMIFS(V:V,S:S,Obrotowka[[#This Row],[GL_Account]])+SUMIFS(V:V,T:T,Obrotowka[[#This Row],[GL_Account]]))/1000,(SUMIFS(AL:AL,AH:AH,Obrotowka[[#This Row],[GL_Account]],AL:AL,"&gt;=0")-SUMIFS(V:V,S:S,Obrotowka[[#This Row],[GL_Account]])+SUMIFS(V:V,T:T,Obrotowka[[#This Row],[GL_Account]])))</f>
        <v>0</v>
      </c>
      <c r="H423" s="18">
        <f>IF($D$5="tak",SUMIFS(AL:AL,AH:AH,Obrotowka[[#This Row],[GL_Account]],AL:AL,"&lt;0")/1000,SUMIFS(AL:AL,AH:AH,Obrotowka[[#This Row],[GL_Account]],AL:AL,"&lt;0"))</f>
        <v>0</v>
      </c>
      <c r="I423" s="18">
        <f>SUM(Obrotowka[[#This Row],[BO]:[MA]])</f>
        <v>0</v>
      </c>
      <c r="J423">
        <f>IF(Obrotowka[[#This Row],[BZ]]=0,0,1)</f>
        <v>0</v>
      </c>
      <c r="K423" s="253"/>
      <c r="AF423" s="18"/>
      <c r="AU423" t="s">
        <v>8290</v>
      </c>
    </row>
    <row r="424" spans="2:47" x14ac:dyDescent="0.3">
      <c r="B424" t="s">
        <v>12249</v>
      </c>
      <c r="C424" t="s">
        <v>12250</v>
      </c>
      <c r="D424" t="s">
        <v>3505</v>
      </c>
      <c r="E424" t="s">
        <v>4326</v>
      </c>
      <c r="F424" s="18">
        <f>IF($D$5="tak",(SUMIFS(AE:AE,AA:AA,Obrotowka[[#This Row],[GL_Account]])-SUMIFS(U:U,S:S,Obrotowka[[#This Row],[GL_Account]])+SUMIFS(U:U,T:T,Obrotowka[[#This Row],[GL_Account]]))/1000,(SUMIFS(AE:AE,AA:AA,Obrotowka[[#This Row],[GL_Account]])-SUMIFS(U:U,S:S,Obrotowka[[#This Row],[GL_Account]])+SUMIFS(U:U,T:T,Obrotowka[[#This Row],[GL_Account]])))</f>
        <v>0</v>
      </c>
      <c r="G424" s="18">
        <f>IF($D$5="tak",(SUMIFS(AL:AL,AH:AH,Obrotowka[[#This Row],[GL_Account]],AL:AL,"&gt;=0")-SUMIFS(V:V,S:S,Obrotowka[[#This Row],[GL_Account]])+SUMIFS(V:V,T:T,Obrotowka[[#This Row],[GL_Account]]))/1000,(SUMIFS(AL:AL,AH:AH,Obrotowka[[#This Row],[GL_Account]],AL:AL,"&gt;=0")-SUMIFS(V:V,S:S,Obrotowka[[#This Row],[GL_Account]])+SUMIFS(V:V,T:T,Obrotowka[[#This Row],[GL_Account]])))</f>
        <v>0</v>
      </c>
      <c r="H424" s="18">
        <f>IF($D$5="tak",SUMIFS(AL:AL,AH:AH,Obrotowka[[#This Row],[GL_Account]],AL:AL,"&lt;0")/1000,SUMIFS(AL:AL,AH:AH,Obrotowka[[#This Row],[GL_Account]],AL:AL,"&lt;0"))</f>
        <v>0</v>
      </c>
      <c r="I424" s="18">
        <f>SUM(Obrotowka[[#This Row],[BO]:[MA]])</f>
        <v>0</v>
      </c>
      <c r="J424">
        <f>IF(Obrotowka[[#This Row],[BZ]]=0,0,1)</f>
        <v>0</v>
      </c>
      <c r="K424" s="253"/>
      <c r="AF424" s="18"/>
      <c r="AU424" t="s">
        <v>8290</v>
      </c>
    </row>
    <row r="425" spans="2:47" x14ac:dyDescent="0.3">
      <c r="B425" t="s">
        <v>12251</v>
      </c>
      <c r="C425" t="s">
        <v>9827</v>
      </c>
      <c r="D425" t="s">
        <v>3505</v>
      </c>
      <c r="E425" t="s">
        <v>4326</v>
      </c>
      <c r="F425" s="18">
        <f>IF($D$5="tak",(SUMIFS(AE:AE,AA:AA,Obrotowka[[#This Row],[GL_Account]])-SUMIFS(U:U,S:S,Obrotowka[[#This Row],[GL_Account]])+SUMIFS(U:U,T:T,Obrotowka[[#This Row],[GL_Account]]))/1000,(SUMIFS(AE:AE,AA:AA,Obrotowka[[#This Row],[GL_Account]])-SUMIFS(U:U,S:S,Obrotowka[[#This Row],[GL_Account]])+SUMIFS(U:U,T:T,Obrotowka[[#This Row],[GL_Account]])))</f>
        <v>0</v>
      </c>
      <c r="G425" s="18">
        <f>IF($D$5="tak",(SUMIFS(AL:AL,AH:AH,Obrotowka[[#This Row],[GL_Account]],AL:AL,"&gt;=0")-SUMIFS(V:V,S:S,Obrotowka[[#This Row],[GL_Account]])+SUMIFS(V:V,T:T,Obrotowka[[#This Row],[GL_Account]]))/1000,(SUMIFS(AL:AL,AH:AH,Obrotowka[[#This Row],[GL_Account]],AL:AL,"&gt;=0")-SUMIFS(V:V,S:S,Obrotowka[[#This Row],[GL_Account]])+SUMIFS(V:V,T:T,Obrotowka[[#This Row],[GL_Account]])))</f>
        <v>0</v>
      </c>
      <c r="H425" s="18">
        <f>IF($D$5="tak",SUMIFS(AL:AL,AH:AH,Obrotowka[[#This Row],[GL_Account]],AL:AL,"&lt;0")/1000,SUMIFS(AL:AL,AH:AH,Obrotowka[[#This Row],[GL_Account]],AL:AL,"&lt;0"))</f>
        <v>0</v>
      </c>
      <c r="I425" s="18">
        <f>SUM(Obrotowka[[#This Row],[BO]:[MA]])</f>
        <v>0</v>
      </c>
      <c r="J425">
        <f>IF(Obrotowka[[#This Row],[BZ]]=0,0,1)</f>
        <v>0</v>
      </c>
      <c r="K425" s="253"/>
      <c r="AF425" s="18"/>
      <c r="AU425" t="s">
        <v>12252</v>
      </c>
    </row>
    <row r="426" spans="2:47" x14ac:dyDescent="0.3">
      <c r="B426" t="s">
        <v>12253</v>
      </c>
      <c r="C426" t="s">
        <v>12254</v>
      </c>
      <c r="D426" t="s">
        <v>3505</v>
      </c>
      <c r="E426" t="s">
        <v>4326</v>
      </c>
      <c r="F426" s="18">
        <f>IF($D$5="tak",(SUMIFS(AE:AE,AA:AA,Obrotowka[[#This Row],[GL_Account]])-SUMIFS(U:U,S:S,Obrotowka[[#This Row],[GL_Account]])+SUMIFS(U:U,T:T,Obrotowka[[#This Row],[GL_Account]]))/1000,(SUMIFS(AE:AE,AA:AA,Obrotowka[[#This Row],[GL_Account]])-SUMIFS(U:U,S:S,Obrotowka[[#This Row],[GL_Account]])+SUMIFS(U:U,T:T,Obrotowka[[#This Row],[GL_Account]])))</f>
        <v>0</v>
      </c>
      <c r="G426" s="18">
        <f>IF($D$5="tak",(SUMIFS(AL:AL,AH:AH,Obrotowka[[#This Row],[GL_Account]],AL:AL,"&gt;=0")-SUMIFS(V:V,S:S,Obrotowka[[#This Row],[GL_Account]])+SUMIFS(V:V,T:T,Obrotowka[[#This Row],[GL_Account]]))/1000,(SUMIFS(AL:AL,AH:AH,Obrotowka[[#This Row],[GL_Account]],AL:AL,"&gt;=0")-SUMIFS(V:V,S:S,Obrotowka[[#This Row],[GL_Account]])+SUMIFS(V:V,T:T,Obrotowka[[#This Row],[GL_Account]])))</f>
        <v>0</v>
      </c>
      <c r="H426" s="18">
        <f>IF($D$5="tak",SUMIFS(AL:AL,AH:AH,Obrotowka[[#This Row],[GL_Account]],AL:AL,"&lt;0")/1000,SUMIFS(AL:AL,AH:AH,Obrotowka[[#This Row],[GL_Account]],AL:AL,"&lt;0"))</f>
        <v>0</v>
      </c>
      <c r="I426" s="18">
        <f>SUM(Obrotowka[[#This Row],[BO]:[MA]])</f>
        <v>0</v>
      </c>
      <c r="J426">
        <f>IF(Obrotowka[[#This Row],[BZ]]=0,0,1)</f>
        <v>0</v>
      </c>
      <c r="K426" s="253"/>
      <c r="AF426" s="18"/>
      <c r="AU426" t="s">
        <v>8317</v>
      </c>
    </row>
    <row r="427" spans="2:47" x14ac:dyDescent="0.3">
      <c r="B427" t="s">
        <v>12255</v>
      </c>
      <c r="C427" t="s">
        <v>12256</v>
      </c>
      <c r="D427" t="s">
        <v>3505</v>
      </c>
      <c r="E427" t="s">
        <v>4326</v>
      </c>
      <c r="F427" s="18">
        <f>IF($D$5="tak",(SUMIFS(AE:AE,AA:AA,Obrotowka[[#This Row],[GL_Account]])-SUMIFS(U:U,S:S,Obrotowka[[#This Row],[GL_Account]])+SUMIFS(U:U,T:T,Obrotowka[[#This Row],[GL_Account]]))/1000,(SUMIFS(AE:AE,AA:AA,Obrotowka[[#This Row],[GL_Account]])-SUMIFS(U:U,S:S,Obrotowka[[#This Row],[GL_Account]])+SUMIFS(U:U,T:T,Obrotowka[[#This Row],[GL_Account]])))</f>
        <v>0</v>
      </c>
      <c r="G427" s="18">
        <f>IF($D$5="tak",(SUMIFS(AL:AL,AH:AH,Obrotowka[[#This Row],[GL_Account]],AL:AL,"&gt;=0")-SUMIFS(V:V,S:S,Obrotowka[[#This Row],[GL_Account]])+SUMIFS(V:V,T:T,Obrotowka[[#This Row],[GL_Account]]))/1000,(SUMIFS(AL:AL,AH:AH,Obrotowka[[#This Row],[GL_Account]],AL:AL,"&gt;=0")-SUMIFS(V:V,S:S,Obrotowka[[#This Row],[GL_Account]])+SUMIFS(V:V,T:T,Obrotowka[[#This Row],[GL_Account]])))</f>
        <v>0</v>
      </c>
      <c r="H427" s="18">
        <f>IF($D$5="tak",SUMIFS(AL:AL,AH:AH,Obrotowka[[#This Row],[GL_Account]],AL:AL,"&lt;0")/1000,SUMIFS(AL:AL,AH:AH,Obrotowka[[#This Row],[GL_Account]],AL:AL,"&lt;0"))</f>
        <v>0</v>
      </c>
      <c r="I427" s="18">
        <f>SUM(Obrotowka[[#This Row],[BO]:[MA]])</f>
        <v>0</v>
      </c>
      <c r="J427">
        <f>IF(Obrotowka[[#This Row],[BZ]]=0,0,1)</f>
        <v>0</v>
      </c>
      <c r="K427" s="253"/>
      <c r="AF427" s="18"/>
      <c r="AU427" t="s">
        <v>8317</v>
      </c>
    </row>
    <row r="428" spans="2:47" x14ac:dyDescent="0.3">
      <c r="B428" t="s">
        <v>12257</v>
      </c>
      <c r="C428" t="s">
        <v>9828</v>
      </c>
      <c r="D428" t="s">
        <v>3505</v>
      </c>
      <c r="E428" t="s">
        <v>4326</v>
      </c>
      <c r="F428" s="18">
        <f>IF($D$5="tak",(SUMIFS(AE:AE,AA:AA,Obrotowka[[#This Row],[GL_Account]])-SUMIFS(U:U,S:S,Obrotowka[[#This Row],[GL_Account]])+SUMIFS(U:U,T:T,Obrotowka[[#This Row],[GL_Account]]))/1000,(SUMIFS(AE:AE,AA:AA,Obrotowka[[#This Row],[GL_Account]])-SUMIFS(U:U,S:S,Obrotowka[[#This Row],[GL_Account]])+SUMIFS(U:U,T:T,Obrotowka[[#This Row],[GL_Account]])))</f>
        <v>0</v>
      </c>
      <c r="G428" s="18">
        <f>IF($D$5="tak",(SUMIFS(AL:AL,AH:AH,Obrotowka[[#This Row],[GL_Account]],AL:AL,"&gt;=0")-SUMIFS(V:V,S:S,Obrotowka[[#This Row],[GL_Account]])+SUMIFS(V:V,T:T,Obrotowka[[#This Row],[GL_Account]]))/1000,(SUMIFS(AL:AL,AH:AH,Obrotowka[[#This Row],[GL_Account]],AL:AL,"&gt;=0")-SUMIFS(V:V,S:S,Obrotowka[[#This Row],[GL_Account]])+SUMIFS(V:V,T:T,Obrotowka[[#This Row],[GL_Account]])))</f>
        <v>0</v>
      </c>
      <c r="H428" s="18">
        <f>IF($D$5="tak",SUMIFS(AL:AL,AH:AH,Obrotowka[[#This Row],[GL_Account]],AL:AL,"&lt;0")/1000,SUMIFS(AL:AL,AH:AH,Obrotowka[[#This Row],[GL_Account]],AL:AL,"&lt;0"))</f>
        <v>0</v>
      </c>
      <c r="I428" s="18">
        <f>SUM(Obrotowka[[#This Row],[BO]:[MA]])</f>
        <v>0</v>
      </c>
      <c r="J428">
        <f>IF(Obrotowka[[#This Row],[BZ]]=0,0,1)</f>
        <v>0</v>
      </c>
      <c r="K428" s="253"/>
      <c r="AF428" s="18"/>
      <c r="AU428" t="s">
        <v>8308</v>
      </c>
    </row>
    <row r="429" spans="2:47" x14ac:dyDescent="0.3">
      <c r="B429" t="s">
        <v>12258</v>
      </c>
      <c r="C429" t="s">
        <v>12259</v>
      </c>
      <c r="D429" t="s">
        <v>3505</v>
      </c>
      <c r="E429" t="s">
        <v>4326</v>
      </c>
      <c r="F429" s="18">
        <f>IF($D$5="tak",(SUMIFS(AE:AE,AA:AA,Obrotowka[[#This Row],[GL_Account]])-SUMIFS(U:U,S:S,Obrotowka[[#This Row],[GL_Account]])+SUMIFS(U:U,T:T,Obrotowka[[#This Row],[GL_Account]]))/1000,(SUMIFS(AE:AE,AA:AA,Obrotowka[[#This Row],[GL_Account]])-SUMIFS(U:U,S:S,Obrotowka[[#This Row],[GL_Account]])+SUMIFS(U:U,T:T,Obrotowka[[#This Row],[GL_Account]])))</f>
        <v>0</v>
      </c>
      <c r="G429" s="18">
        <f>IF($D$5="tak",(SUMIFS(AL:AL,AH:AH,Obrotowka[[#This Row],[GL_Account]],AL:AL,"&gt;=0")-SUMIFS(V:V,S:S,Obrotowka[[#This Row],[GL_Account]])+SUMIFS(V:V,T:T,Obrotowka[[#This Row],[GL_Account]]))/1000,(SUMIFS(AL:AL,AH:AH,Obrotowka[[#This Row],[GL_Account]],AL:AL,"&gt;=0")-SUMIFS(V:V,S:S,Obrotowka[[#This Row],[GL_Account]])+SUMIFS(V:V,T:T,Obrotowka[[#This Row],[GL_Account]])))</f>
        <v>0</v>
      </c>
      <c r="H429" s="18">
        <f>IF($D$5="tak",SUMIFS(AL:AL,AH:AH,Obrotowka[[#This Row],[GL_Account]],AL:AL,"&lt;0")/1000,SUMIFS(AL:AL,AH:AH,Obrotowka[[#This Row],[GL_Account]],AL:AL,"&lt;0"))</f>
        <v>0</v>
      </c>
      <c r="I429" s="18">
        <f>SUM(Obrotowka[[#This Row],[BO]:[MA]])</f>
        <v>0</v>
      </c>
      <c r="J429">
        <f>IF(Obrotowka[[#This Row],[BZ]]=0,0,1)</f>
        <v>0</v>
      </c>
      <c r="AF429" s="18"/>
      <c r="AU429" t="s">
        <v>8326</v>
      </c>
    </row>
    <row r="430" spans="2:47" x14ac:dyDescent="0.3">
      <c r="B430" t="s">
        <v>12260</v>
      </c>
      <c r="C430" t="s">
        <v>12261</v>
      </c>
      <c r="D430" t="s">
        <v>3505</v>
      </c>
      <c r="E430" t="s">
        <v>4326</v>
      </c>
      <c r="F430" s="18">
        <f>IF($D$5="tak",(SUMIFS(AE:AE,AA:AA,Obrotowka[[#This Row],[GL_Account]])-SUMIFS(U:U,S:S,Obrotowka[[#This Row],[GL_Account]])+SUMIFS(U:U,T:T,Obrotowka[[#This Row],[GL_Account]]))/1000,(SUMIFS(AE:AE,AA:AA,Obrotowka[[#This Row],[GL_Account]])-SUMIFS(U:U,S:S,Obrotowka[[#This Row],[GL_Account]])+SUMIFS(U:U,T:T,Obrotowka[[#This Row],[GL_Account]])))</f>
        <v>0</v>
      </c>
      <c r="G430" s="18">
        <f>IF($D$5="tak",(SUMIFS(AL:AL,AH:AH,Obrotowka[[#This Row],[GL_Account]],AL:AL,"&gt;=0")-SUMIFS(V:V,S:S,Obrotowka[[#This Row],[GL_Account]])+SUMIFS(V:V,T:T,Obrotowka[[#This Row],[GL_Account]]))/1000,(SUMIFS(AL:AL,AH:AH,Obrotowka[[#This Row],[GL_Account]],AL:AL,"&gt;=0")-SUMIFS(V:V,S:S,Obrotowka[[#This Row],[GL_Account]])+SUMIFS(V:V,T:T,Obrotowka[[#This Row],[GL_Account]])))</f>
        <v>0</v>
      </c>
      <c r="H430" s="18">
        <f>IF($D$5="tak",SUMIFS(AL:AL,AH:AH,Obrotowka[[#This Row],[GL_Account]],AL:AL,"&lt;0")/1000,SUMIFS(AL:AL,AH:AH,Obrotowka[[#This Row],[GL_Account]],AL:AL,"&lt;0"))</f>
        <v>0</v>
      </c>
      <c r="I430" s="18">
        <f>SUM(Obrotowka[[#This Row],[BO]:[MA]])</f>
        <v>0</v>
      </c>
      <c r="J430">
        <f>IF(Obrotowka[[#This Row],[BZ]]=0,0,1)</f>
        <v>0</v>
      </c>
      <c r="AF430" s="18"/>
      <c r="AU430" t="s">
        <v>8326</v>
      </c>
    </row>
    <row r="431" spans="2:47" x14ac:dyDescent="0.3">
      <c r="B431" t="s">
        <v>12262</v>
      </c>
      <c r="C431" t="s">
        <v>12263</v>
      </c>
      <c r="D431" t="s">
        <v>3505</v>
      </c>
      <c r="E431" t="s">
        <v>4326</v>
      </c>
      <c r="F431" s="18">
        <f>IF($D$5="tak",(SUMIFS(AE:AE,AA:AA,Obrotowka[[#This Row],[GL_Account]])-SUMIFS(U:U,S:S,Obrotowka[[#This Row],[GL_Account]])+SUMIFS(U:U,T:T,Obrotowka[[#This Row],[GL_Account]]))/1000,(SUMIFS(AE:AE,AA:AA,Obrotowka[[#This Row],[GL_Account]])-SUMIFS(U:U,S:S,Obrotowka[[#This Row],[GL_Account]])+SUMIFS(U:U,T:T,Obrotowka[[#This Row],[GL_Account]])))</f>
        <v>0</v>
      </c>
      <c r="G431" s="18">
        <f>IF($D$5="tak",(SUMIFS(AL:AL,AH:AH,Obrotowka[[#This Row],[GL_Account]],AL:AL,"&gt;=0")-SUMIFS(V:V,S:S,Obrotowka[[#This Row],[GL_Account]])+SUMIFS(V:V,T:T,Obrotowka[[#This Row],[GL_Account]]))/1000,(SUMIFS(AL:AL,AH:AH,Obrotowka[[#This Row],[GL_Account]],AL:AL,"&gt;=0")-SUMIFS(V:V,S:S,Obrotowka[[#This Row],[GL_Account]])+SUMIFS(V:V,T:T,Obrotowka[[#This Row],[GL_Account]])))</f>
        <v>0</v>
      </c>
      <c r="H431" s="18">
        <f>IF($D$5="tak",SUMIFS(AL:AL,AH:AH,Obrotowka[[#This Row],[GL_Account]],AL:AL,"&lt;0")/1000,SUMIFS(AL:AL,AH:AH,Obrotowka[[#This Row],[GL_Account]],AL:AL,"&lt;0"))</f>
        <v>0</v>
      </c>
      <c r="I431" s="18">
        <f>SUM(Obrotowka[[#This Row],[BO]:[MA]])</f>
        <v>0</v>
      </c>
      <c r="J431">
        <f>IF(Obrotowka[[#This Row],[BZ]]=0,0,1)</f>
        <v>0</v>
      </c>
      <c r="AF431" s="18"/>
      <c r="AU431" t="s">
        <v>8347</v>
      </c>
    </row>
    <row r="432" spans="2:47" x14ac:dyDescent="0.3">
      <c r="B432" t="s">
        <v>12264</v>
      </c>
      <c r="C432" t="s">
        <v>12265</v>
      </c>
      <c r="D432" t="s">
        <v>3505</v>
      </c>
      <c r="E432" t="s">
        <v>4326</v>
      </c>
      <c r="F432" s="18">
        <f>IF($D$5="tak",(SUMIFS(AE:AE,AA:AA,Obrotowka[[#This Row],[GL_Account]])-SUMIFS(U:U,S:S,Obrotowka[[#This Row],[GL_Account]])+SUMIFS(U:U,T:T,Obrotowka[[#This Row],[GL_Account]]))/1000,(SUMIFS(AE:AE,AA:AA,Obrotowka[[#This Row],[GL_Account]])-SUMIFS(U:U,S:S,Obrotowka[[#This Row],[GL_Account]])+SUMIFS(U:U,T:T,Obrotowka[[#This Row],[GL_Account]])))</f>
        <v>0</v>
      </c>
      <c r="G432" s="18">
        <f>IF($D$5="tak",(SUMIFS(AL:AL,AH:AH,Obrotowka[[#This Row],[GL_Account]],AL:AL,"&gt;=0")-SUMIFS(V:V,S:S,Obrotowka[[#This Row],[GL_Account]])+SUMIFS(V:V,T:T,Obrotowka[[#This Row],[GL_Account]]))/1000,(SUMIFS(AL:AL,AH:AH,Obrotowka[[#This Row],[GL_Account]],AL:AL,"&gt;=0")-SUMIFS(V:V,S:S,Obrotowka[[#This Row],[GL_Account]])+SUMIFS(V:V,T:T,Obrotowka[[#This Row],[GL_Account]])))</f>
        <v>0</v>
      </c>
      <c r="H432" s="18">
        <f>IF($D$5="tak",SUMIFS(AL:AL,AH:AH,Obrotowka[[#This Row],[GL_Account]],AL:AL,"&lt;0")/1000,SUMIFS(AL:AL,AH:AH,Obrotowka[[#This Row],[GL_Account]],AL:AL,"&lt;0"))</f>
        <v>0</v>
      </c>
      <c r="I432" s="18">
        <f>SUM(Obrotowka[[#This Row],[BO]:[MA]])</f>
        <v>0</v>
      </c>
      <c r="J432">
        <f>IF(Obrotowka[[#This Row],[BZ]]=0,0,1)</f>
        <v>0</v>
      </c>
      <c r="AF432" s="18"/>
      <c r="AU432" t="s">
        <v>8371</v>
      </c>
    </row>
    <row r="433" spans="2:47" x14ac:dyDescent="0.3">
      <c r="B433" t="s">
        <v>12266</v>
      </c>
      <c r="C433" t="s">
        <v>12267</v>
      </c>
      <c r="D433" t="s">
        <v>3505</v>
      </c>
      <c r="E433" t="s">
        <v>4326</v>
      </c>
      <c r="F433" s="18">
        <f>IF($D$5="tak",(SUMIFS(AE:AE,AA:AA,Obrotowka[[#This Row],[GL_Account]])-SUMIFS(U:U,S:S,Obrotowka[[#This Row],[GL_Account]])+SUMIFS(U:U,T:T,Obrotowka[[#This Row],[GL_Account]]))/1000,(SUMIFS(AE:AE,AA:AA,Obrotowka[[#This Row],[GL_Account]])-SUMIFS(U:U,S:S,Obrotowka[[#This Row],[GL_Account]])+SUMIFS(U:U,T:T,Obrotowka[[#This Row],[GL_Account]])))</f>
        <v>0</v>
      </c>
      <c r="G433" s="18">
        <f>IF($D$5="tak",(SUMIFS(AL:AL,AH:AH,Obrotowka[[#This Row],[GL_Account]],AL:AL,"&gt;=0")-SUMIFS(V:V,S:S,Obrotowka[[#This Row],[GL_Account]])+SUMIFS(V:V,T:T,Obrotowka[[#This Row],[GL_Account]]))/1000,(SUMIFS(AL:AL,AH:AH,Obrotowka[[#This Row],[GL_Account]],AL:AL,"&gt;=0")-SUMIFS(V:V,S:S,Obrotowka[[#This Row],[GL_Account]])+SUMIFS(V:V,T:T,Obrotowka[[#This Row],[GL_Account]])))</f>
        <v>0</v>
      </c>
      <c r="H433" s="18">
        <f>IF($D$5="tak",SUMIFS(AL:AL,AH:AH,Obrotowka[[#This Row],[GL_Account]],AL:AL,"&lt;0")/1000,SUMIFS(AL:AL,AH:AH,Obrotowka[[#This Row],[GL_Account]],AL:AL,"&lt;0"))</f>
        <v>0</v>
      </c>
      <c r="I433" s="18">
        <f>SUM(Obrotowka[[#This Row],[BO]:[MA]])</f>
        <v>0</v>
      </c>
      <c r="J433">
        <f>IF(Obrotowka[[#This Row],[BZ]]=0,0,1)</f>
        <v>0</v>
      </c>
      <c r="AF433" s="18"/>
      <c r="AU433" t="s">
        <v>12268</v>
      </c>
    </row>
    <row r="434" spans="2:47" x14ac:dyDescent="0.3">
      <c r="B434" t="s">
        <v>12269</v>
      </c>
      <c r="C434" t="s">
        <v>12270</v>
      </c>
      <c r="D434" t="s">
        <v>3505</v>
      </c>
      <c r="E434" t="s">
        <v>4326</v>
      </c>
      <c r="F434" s="18">
        <f>IF($D$5="tak",(SUMIFS(AE:AE,AA:AA,Obrotowka[[#This Row],[GL_Account]])-SUMIFS(U:U,S:S,Obrotowka[[#This Row],[GL_Account]])+SUMIFS(U:U,T:T,Obrotowka[[#This Row],[GL_Account]]))/1000,(SUMIFS(AE:AE,AA:AA,Obrotowka[[#This Row],[GL_Account]])-SUMIFS(U:U,S:S,Obrotowka[[#This Row],[GL_Account]])+SUMIFS(U:U,T:T,Obrotowka[[#This Row],[GL_Account]])))</f>
        <v>0</v>
      </c>
      <c r="G434" s="18">
        <f>IF($D$5="tak",(SUMIFS(AL:AL,AH:AH,Obrotowka[[#This Row],[GL_Account]],AL:AL,"&gt;=0")-SUMIFS(V:V,S:S,Obrotowka[[#This Row],[GL_Account]])+SUMIFS(V:V,T:T,Obrotowka[[#This Row],[GL_Account]]))/1000,(SUMIFS(AL:AL,AH:AH,Obrotowka[[#This Row],[GL_Account]],AL:AL,"&gt;=0")-SUMIFS(V:V,S:S,Obrotowka[[#This Row],[GL_Account]])+SUMIFS(V:V,T:T,Obrotowka[[#This Row],[GL_Account]])))</f>
        <v>0</v>
      </c>
      <c r="H434" s="18">
        <f>IF($D$5="tak",SUMIFS(AL:AL,AH:AH,Obrotowka[[#This Row],[GL_Account]],AL:AL,"&lt;0")/1000,SUMIFS(AL:AL,AH:AH,Obrotowka[[#This Row],[GL_Account]],AL:AL,"&lt;0"))</f>
        <v>0</v>
      </c>
      <c r="I434" s="18">
        <f>SUM(Obrotowka[[#This Row],[BO]:[MA]])</f>
        <v>0</v>
      </c>
      <c r="J434">
        <f>IF(Obrotowka[[#This Row],[BZ]]=0,0,1)</f>
        <v>0</v>
      </c>
      <c r="AF434" s="18"/>
      <c r="AU434" t="s">
        <v>8367</v>
      </c>
    </row>
    <row r="435" spans="2:47" x14ac:dyDescent="0.3">
      <c r="B435" t="s">
        <v>12271</v>
      </c>
      <c r="C435" t="s">
        <v>12272</v>
      </c>
      <c r="D435" t="s">
        <v>3505</v>
      </c>
      <c r="E435" t="s">
        <v>4326</v>
      </c>
      <c r="F435" s="18">
        <f>IF($D$5="tak",(SUMIFS(AE:AE,AA:AA,Obrotowka[[#This Row],[GL_Account]])-SUMIFS(U:U,S:S,Obrotowka[[#This Row],[GL_Account]])+SUMIFS(U:U,T:T,Obrotowka[[#This Row],[GL_Account]]))/1000,(SUMIFS(AE:AE,AA:AA,Obrotowka[[#This Row],[GL_Account]])-SUMIFS(U:U,S:S,Obrotowka[[#This Row],[GL_Account]])+SUMIFS(U:U,T:T,Obrotowka[[#This Row],[GL_Account]])))</f>
        <v>0</v>
      </c>
      <c r="G435" s="18">
        <f>IF($D$5="tak",(SUMIFS(AL:AL,AH:AH,Obrotowka[[#This Row],[GL_Account]],AL:AL,"&gt;=0")-SUMIFS(V:V,S:S,Obrotowka[[#This Row],[GL_Account]])+SUMIFS(V:V,T:T,Obrotowka[[#This Row],[GL_Account]]))/1000,(SUMIFS(AL:AL,AH:AH,Obrotowka[[#This Row],[GL_Account]],AL:AL,"&gt;=0")-SUMIFS(V:V,S:S,Obrotowka[[#This Row],[GL_Account]])+SUMIFS(V:V,T:T,Obrotowka[[#This Row],[GL_Account]])))</f>
        <v>0</v>
      </c>
      <c r="H435" s="18">
        <f>IF($D$5="tak",SUMIFS(AL:AL,AH:AH,Obrotowka[[#This Row],[GL_Account]],AL:AL,"&lt;0")/1000,SUMIFS(AL:AL,AH:AH,Obrotowka[[#This Row],[GL_Account]],AL:AL,"&lt;0"))</f>
        <v>0</v>
      </c>
      <c r="I435" s="18">
        <f>SUM(Obrotowka[[#This Row],[BO]:[MA]])</f>
        <v>0</v>
      </c>
      <c r="J435">
        <f>IF(Obrotowka[[#This Row],[BZ]]=0,0,1)</f>
        <v>0</v>
      </c>
      <c r="AF435" s="18"/>
      <c r="AU435" t="s">
        <v>12273</v>
      </c>
    </row>
    <row r="436" spans="2:47" x14ac:dyDescent="0.3">
      <c r="B436" t="s">
        <v>12274</v>
      </c>
      <c r="C436" t="s">
        <v>12275</v>
      </c>
      <c r="D436" t="s">
        <v>3505</v>
      </c>
      <c r="E436" t="s">
        <v>4326</v>
      </c>
      <c r="F436" s="18">
        <f>IF($D$5="tak",(SUMIFS(AE:AE,AA:AA,Obrotowka[[#This Row],[GL_Account]])-SUMIFS(U:U,S:S,Obrotowka[[#This Row],[GL_Account]])+SUMIFS(U:U,T:T,Obrotowka[[#This Row],[GL_Account]]))/1000,(SUMIFS(AE:AE,AA:AA,Obrotowka[[#This Row],[GL_Account]])-SUMIFS(U:U,S:S,Obrotowka[[#This Row],[GL_Account]])+SUMIFS(U:U,T:T,Obrotowka[[#This Row],[GL_Account]])))</f>
        <v>0</v>
      </c>
      <c r="G436" s="18">
        <f>IF($D$5="tak",(SUMIFS(AL:AL,AH:AH,Obrotowka[[#This Row],[GL_Account]],AL:AL,"&gt;=0")-SUMIFS(V:V,S:S,Obrotowka[[#This Row],[GL_Account]])+SUMIFS(V:V,T:T,Obrotowka[[#This Row],[GL_Account]]))/1000,(SUMIFS(AL:AL,AH:AH,Obrotowka[[#This Row],[GL_Account]],AL:AL,"&gt;=0")-SUMIFS(V:V,S:S,Obrotowka[[#This Row],[GL_Account]])+SUMIFS(V:V,T:T,Obrotowka[[#This Row],[GL_Account]])))</f>
        <v>0</v>
      </c>
      <c r="H436" s="18">
        <f>IF($D$5="tak",SUMIFS(AL:AL,AH:AH,Obrotowka[[#This Row],[GL_Account]],AL:AL,"&lt;0")/1000,SUMIFS(AL:AL,AH:AH,Obrotowka[[#This Row],[GL_Account]],AL:AL,"&lt;0"))</f>
        <v>0</v>
      </c>
      <c r="I436" s="18">
        <f>SUM(Obrotowka[[#This Row],[BO]:[MA]])</f>
        <v>0</v>
      </c>
      <c r="J436">
        <f>IF(Obrotowka[[#This Row],[BZ]]=0,0,1)</f>
        <v>0</v>
      </c>
      <c r="AF436" s="18"/>
      <c r="AU436" t="s">
        <v>8509</v>
      </c>
    </row>
    <row r="437" spans="2:47" x14ac:dyDescent="0.3">
      <c r="B437" t="s">
        <v>12276</v>
      </c>
      <c r="C437" t="s">
        <v>12277</v>
      </c>
      <c r="D437" t="s">
        <v>3505</v>
      </c>
      <c r="E437" t="s">
        <v>4326</v>
      </c>
      <c r="F437" s="18">
        <f>IF($D$5="tak",(SUMIFS(AE:AE,AA:AA,Obrotowka[[#This Row],[GL_Account]])-SUMIFS(U:U,S:S,Obrotowka[[#This Row],[GL_Account]])+SUMIFS(U:U,T:T,Obrotowka[[#This Row],[GL_Account]]))/1000,(SUMIFS(AE:AE,AA:AA,Obrotowka[[#This Row],[GL_Account]])-SUMIFS(U:U,S:S,Obrotowka[[#This Row],[GL_Account]])+SUMIFS(U:U,T:T,Obrotowka[[#This Row],[GL_Account]])))</f>
        <v>0</v>
      </c>
      <c r="G437" s="18">
        <f>IF($D$5="tak",(SUMIFS(AL:AL,AH:AH,Obrotowka[[#This Row],[GL_Account]],AL:AL,"&gt;=0")-SUMIFS(V:V,S:S,Obrotowka[[#This Row],[GL_Account]])+SUMIFS(V:V,T:T,Obrotowka[[#This Row],[GL_Account]]))/1000,(SUMIFS(AL:AL,AH:AH,Obrotowka[[#This Row],[GL_Account]],AL:AL,"&gt;=0")-SUMIFS(V:V,S:S,Obrotowka[[#This Row],[GL_Account]])+SUMIFS(V:V,T:T,Obrotowka[[#This Row],[GL_Account]])))</f>
        <v>0</v>
      </c>
      <c r="H437" s="18">
        <f>IF($D$5="tak",SUMIFS(AL:AL,AH:AH,Obrotowka[[#This Row],[GL_Account]],AL:AL,"&lt;0")/1000,SUMIFS(AL:AL,AH:AH,Obrotowka[[#This Row],[GL_Account]],AL:AL,"&lt;0"))</f>
        <v>0</v>
      </c>
      <c r="I437" s="18">
        <f>SUM(Obrotowka[[#This Row],[BO]:[MA]])</f>
        <v>0</v>
      </c>
      <c r="J437">
        <f>IF(Obrotowka[[#This Row],[BZ]]=0,0,1)</f>
        <v>0</v>
      </c>
      <c r="AF437" s="18"/>
      <c r="AU437" t="s">
        <v>8506</v>
      </c>
    </row>
    <row r="438" spans="2:47" x14ac:dyDescent="0.3">
      <c r="B438" t="s">
        <v>12278</v>
      </c>
      <c r="C438" t="s">
        <v>8496</v>
      </c>
      <c r="D438" t="s">
        <v>3505</v>
      </c>
      <c r="E438" t="s">
        <v>4326</v>
      </c>
      <c r="F438" s="18">
        <f>IF($D$5="tak",(SUMIFS(AE:AE,AA:AA,Obrotowka[[#This Row],[GL_Account]])-SUMIFS(U:U,S:S,Obrotowka[[#This Row],[GL_Account]])+SUMIFS(U:U,T:T,Obrotowka[[#This Row],[GL_Account]]))/1000,(SUMIFS(AE:AE,AA:AA,Obrotowka[[#This Row],[GL_Account]])-SUMIFS(U:U,S:S,Obrotowka[[#This Row],[GL_Account]])+SUMIFS(U:U,T:T,Obrotowka[[#This Row],[GL_Account]])))</f>
        <v>0</v>
      </c>
      <c r="G438" s="18">
        <f>IF($D$5="tak",(SUMIFS(AL:AL,AH:AH,Obrotowka[[#This Row],[GL_Account]],AL:AL,"&gt;=0")-SUMIFS(V:V,S:S,Obrotowka[[#This Row],[GL_Account]])+SUMIFS(V:V,T:T,Obrotowka[[#This Row],[GL_Account]]))/1000,(SUMIFS(AL:AL,AH:AH,Obrotowka[[#This Row],[GL_Account]],AL:AL,"&gt;=0")-SUMIFS(V:V,S:S,Obrotowka[[#This Row],[GL_Account]])+SUMIFS(V:V,T:T,Obrotowka[[#This Row],[GL_Account]])))</f>
        <v>0</v>
      </c>
      <c r="H438" s="18">
        <f>IF($D$5="tak",SUMIFS(AL:AL,AH:AH,Obrotowka[[#This Row],[GL_Account]],AL:AL,"&lt;0")/1000,SUMIFS(AL:AL,AH:AH,Obrotowka[[#This Row],[GL_Account]],AL:AL,"&lt;0"))</f>
        <v>0</v>
      </c>
      <c r="I438" s="18">
        <f>SUM(Obrotowka[[#This Row],[BO]:[MA]])</f>
        <v>0</v>
      </c>
      <c r="J438">
        <f>IF(Obrotowka[[#This Row],[BZ]]=0,0,1)</f>
        <v>0</v>
      </c>
      <c r="AF438" s="18"/>
      <c r="AU438" t="s">
        <v>8500</v>
      </c>
    </row>
    <row r="439" spans="2:47" x14ac:dyDescent="0.3">
      <c r="B439" t="s">
        <v>12279</v>
      </c>
      <c r="C439" t="s">
        <v>12280</v>
      </c>
      <c r="D439" t="s">
        <v>3505</v>
      </c>
      <c r="E439" t="s">
        <v>4326</v>
      </c>
      <c r="F439" s="18">
        <f>IF($D$5="tak",(SUMIFS(AE:AE,AA:AA,Obrotowka[[#This Row],[GL_Account]])-SUMIFS(U:U,S:S,Obrotowka[[#This Row],[GL_Account]])+SUMIFS(U:U,T:T,Obrotowka[[#This Row],[GL_Account]]))/1000,(SUMIFS(AE:AE,AA:AA,Obrotowka[[#This Row],[GL_Account]])-SUMIFS(U:U,S:S,Obrotowka[[#This Row],[GL_Account]])+SUMIFS(U:U,T:T,Obrotowka[[#This Row],[GL_Account]])))</f>
        <v>0</v>
      </c>
      <c r="G439" s="18">
        <f>IF($D$5="tak",(SUMIFS(AL:AL,AH:AH,Obrotowka[[#This Row],[GL_Account]],AL:AL,"&gt;=0")-SUMIFS(V:V,S:S,Obrotowka[[#This Row],[GL_Account]])+SUMIFS(V:V,T:T,Obrotowka[[#This Row],[GL_Account]]))/1000,(SUMIFS(AL:AL,AH:AH,Obrotowka[[#This Row],[GL_Account]],AL:AL,"&gt;=0")-SUMIFS(V:V,S:S,Obrotowka[[#This Row],[GL_Account]])+SUMIFS(V:V,T:T,Obrotowka[[#This Row],[GL_Account]])))</f>
        <v>0</v>
      </c>
      <c r="H439" s="18">
        <f>IF($D$5="tak",SUMIFS(AL:AL,AH:AH,Obrotowka[[#This Row],[GL_Account]],AL:AL,"&lt;0")/1000,SUMIFS(AL:AL,AH:AH,Obrotowka[[#This Row],[GL_Account]],AL:AL,"&lt;0"))</f>
        <v>0</v>
      </c>
      <c r="I439" s="18">
        <f>SUM(Obrotowka[[#This Row],[BO]:[MA]])</f>
        <v>0</v>
      </c>
      <c r="J439">
        <f>IF(Obrotowka[[#This Row],[BZ]]=0,0,1)</f>
        <v>0</v>
      </c>
      <c r="AF439" s="18"/>
      <c r="AU439" t="s">
        <v>8491</v>
      </c>
    </row>
    <row r="440" spans="2:47" x14ac:dyDescent="0.3">
      <c r="B440" t="s">
        <v>12281</v>
      </c>
      <c r="C440" t="s">
        <v>7707</v>
      </c>
      <c r="D440" t="s">
        <v>3505</v>
      </c>
      <c r="E440" t="s">
        <v>4326</v>
      </c>
      <c r="F440" s="18">
        <f>IF($D$5="tak",(SUMIFS(AE:AE,AA:AA,Obrotowka[[#This Row],[GL_Account]])-SUMIFS(U:U,S:S,Obrotowka[[#This Row],[GL_Account]])+SUMIFS(U:U,T:T,Obrotowka[[#This Row],[GL_Account]]))/1000,(SUMIFS(AE:AE,AA:AA,Obrotowka[[#This Row],[GL_Account]])-SUMIFS(U:U,S:S,Obrotowka[[#This Row],[GL_Account]])+SUMIFS(U:U,T:T,Obrotowka[[#This Row],[GL_Account]])))</f>
        <v>0</v>
      </c>
      <c r="G440" s="18">
        <f>IF($D$5="tak",(SUMIFS(AL:AL,AH:AH,Obrotowka[[#This Row],[GL_Account]],AL:AL,"&gt;=0")-SUMIFS(V:V,S:S,Obrotowka[[#This Row],[GL_Account]])+SUMIFS(V:V,T:T,Obrotowka[[#This Row],[GL_Account]]))/1000,(SUMIFS(AL:AL,AH:AH,Obrotowka[[#This Row],[GL_Account]],AL:AL,"&gt;=0")-SUMIFS(V:V,S:S,Obrotowka[[#This Row],[GL_Account]])+SUMIFS(V:V,T:T,Obrotowka[[#This Row],[GL_Account]])))</f>
        <v>0</v>
      </c>
      <c r="H440" s="18">
        <f>IF($D$5="tak",SUMIFS(AL:AL,AH:AH,Obrotowka[[#This Row],[GL_Account]],AL:AL,"&lt;0")/1000,SUMIFS(AL:AL,AH:AH,Obrotowka[[#This Row],[GL_Account]],AL:AL,"&lt;0"))</f>
        <v>0</v>
      </c>
      <c r="I440" s="18">
        <f>SUM(Obrotowka[[#This Row],[BO]:[MA]])</f>
        <v>0</v>
      </c>
      <c r="J440">
        <f>IF(Obrotowka[[#This Row],[BZ]]=0,0,1)</f>
        <v>0</v>
      </c>
      <c r="AF440" s="18"/>
      <c r="AU440" t="s">
        <v>8331</v>
      </c>
    </row>
    <row r="441" spans="2:47" x14ac:dyDescent="0.3">
      <c r="B441" t="s">
        <v>12282</v>
      </c>
      <c r="C441" t="s">
        <v>7655</v>
      </c>
      <c r="D441" t="s">
        <v>11918</v>
      </c>
      <c r="E441" t="s">
        <v>4326</v>
      </c>
      <c r="F441" s="18">
        <f>IF($D$5="tak",(SUMIFS(AE:AE,AA:AA,Obrotowka[[#This Row],[GL_Account]])-SUMIFS(U:U,S:S,Obrotowka[[#This Row],[GL_Account]])+SUMIFS(U:U,T:T,Obrotowka[[#This Row],[GL_Account]]))/1000,(SUMIFS(AE:AE,AA:AA,Obrotowka[[#This Row],[GL_Account]])-SUMIFS(U:U,S:S,Obrotowka[[#This Row],[GL_Account]])+SUMIFS(U:U,T:T,Obrotowka[[#This Row],[GL_Account]])))</f>
        <v>0</v>
      </c>
      <c r="G441" s="18">
        <f>IF($D$5="tak",(SUMIFS(AL:AL,AH:AH,Obrotowka[[#This Row],[GL_Account]],AL:AL,"&gt;=0")-SUMIFS(V:V,S:S,Obrotowka[[#This Row],[GL_Account]])+SUMIFS(V:V,T:T,Obrotowka[[#This Row],[GL_Account]]))/1000,(SUMIFS(AL:AL,AH:AH,Obrotowka[[#This Row],[GL_Account]],AL:AL,"&gt;=0")-SUMIFS(V:V,S:S,Obrotowka[[#This Row],[GL_Account]])+SUMIFS(V:V,T:T,Obrotowka[[#This Row],[GL_Account]])))</f>
        <v>0</v>
      </c>
      <c r="H441" s="18">
        <f>IF($D$5="tak",SUMIFS(AL:AL,AH:AH,Obrotowka[[#This Row],[GL_Account]],AL:AL,"&lt;0")/1000,SUMIFS(AL:AL,AH:AH,Obrotowka[[#This Row],[GL_Account]],AL:AL,"&lt;0"))</f>
        <v>0</v>
      </c>
      <c r="I441" s="18">
        <f>SUM(Obrotowka[[#This Row],[BO]:[MA]])</f>
        <v>0</v>
      </c>
      <c r="J441">
        <f>IF(Obrotowka[[#This Row],[BZ]]=0,0,1)</f>
        <v>0</v>
      </c>
      <c r="AF441" s="18"/>
      <c r="AU441" t="s">
        <v>8722</v>
      </c>
    </row>
    <row r="442" spans="2:47" x14ac:dyDescent="0.3">
      <c r="B442" t="s">
        <v>12283</v>
      </c>
      <c r="C442" t="s">
        <v>12284</v>
      </c>
      <c r="D442" t="s">
        <v>11918</v>
      </c>
      <c r="E442" t="s">
        <v>4326</v>
      </c>
      <c r="F442" s="18">
        <f>IF($D$5="tak",(SUMIFS(AE:AE,AA:AA,Obrotowka[[#This Row],[GL_Account]])-SUMIFS(U:U,S:S,Obrotowka[[#This Row],[GL_Account]])+SUMIFS(U:U,T:T,Obrotowka[[#This Row],[GL_Account]]))/1000,(SUMIFS(AE:AE,AA:AA,Obrotowka[[#This Row],[GL_Account]])-SUMIFS(U:U,S:S,Obrotowka[[#This Row],[GL_Account]])+SUMIFS(U:U,T:T,Obrotowka[[#This Row],[GL_Account]])))</f>
        <v>0</v>
      </c>
      <c r="G442" s="18">
        <f>IF($D$5="tak",(SUMIFS(AL:AL,AH:AH,Obrotowka[[#This Row],[GL_Account]],AL:AL,"&gt;=0")-SUMIFS(V:V,S:S,Obrotowka[[#This Row],[GL_Account]])+SUMIFS(V:V,T:T,Obrotowka[[#This Row],[GL_Account]]))/1000,(SUMIFS(AL:AL,AH:AH,Obrotowka[[#This Row],[GL_Account]],AL:AL,"&gt;=0")-SUMIFS(V:V,S:S,Obrotowka[[#This Row],[GL_Account]])+SUMIFS(V:V,T:T,Obrotowka[[#This Row],[GL_Account]])))</f>
        <v>0</v>
      </c>
      <c r="H442" s="18">
        <f>IF($D$5="tak",SUMIFS(AL:AL,AH:AH,Obrotowka[[#This Row],[GL_Account]],AL:AL,"&lt;0")/1000,SUMIFS(AL:AL,AH:AH,Obrotowka[[#This Row],[GL_Account]],AL:AL,"&lt;0"))</f>
        <v>0</v>
      </c>
      <c r="I442" s="18">
        <f>SUM(Obrotowka[[#This Row],[BO]:[MA]])</f>
        <v>0</v>
      </c>
      <c r="J442">
        <f>IF(Obrotowka[[#This Row],[BZ]]=0,0,1)</f>
        <v>0</v>
      </c>
      <c r="AF442" s="18"/>
      <c r="AU442" t="s">
        <v>8722</v>
      </c>
    </row>
    <row r="443" spans="2:47" x14ac:dyDescent="0.3">
      <c r="AF443" s="18"/>
    </row>
    <row r="444" spans="2:47" x14ac:dyDescent="0.3">
      <c r="AF444" s="18"/>
    </row>
    <row r="445" spans="2:47" x14ac:dyDescent="0.3">
      <c r="AF445" s="18"/>
    </row>
    <row r="446" spans="2:47" x14ac:dyDescent="0.3">
      <c r="AF446" s="18"/>
    </row>
    <row r="447" spans="2:47" x14ac:dyDescent="0.3">
      <c r="AF447" s="18"/>
    </row>
    <row r="448" spans="2:47" x14ac:dyDescent="0.3">
      <c r="AF448" s="18"/>
    </row>
    <row r="449" spans="32:32" x14ac:dyDescent="0.3">
      <c r="AF449" s="18"/>
    </row>
    <row r="450" spans="32:32" x14ac:dyDescent="0.3">
      <c r="AF450" s="18"/>
    </row>
    <row r="451" spans="32:32" x14ac:dyDescent="0.3">
      <c r="AF451" s="18"/>
    </row>
    <row r="452" spans="32:32" x14ac:dyDescent="0.3">
      <c r="AF452" s="18"/>
    </row>
    <row r="453" spans="32:32" x14ac:dyDescent="0.3">
      <c r="AF453" s="18"/>
    </row>
    <row r="454" spans="32:32" x14ac:dyDescent="0.3">
      <c r="AF454" s="18"/>
    </row>
    <row r="455" spans="32:32" x14ac:dyDescent="0.3">
      <c r="AF455" s="18"/>
    </row>
    <row r="456" spans="32:32" x14ac:dyDescent="0.3">
      <c r="AF456" s="18"/>
    </row>
    <row r="457" spans="32:32" x14ac:dyDescent="0.3">
      <c r="AF457" s="18"/>
    </row>
    <row r="458" spans="32:32" x14ac:dyDescent="0.3">
      <c r="AF458" s="18"/>
    </row>
    <row r="459" spans="32:32" x14ac:dyDescent="0.3">
      <c r="AF459" s="18"/>
    </row>
    <row r="460" spans="32:32" x14ac:dyDescent="0.3">
      <c r="AF460" s="18"/>
    </row>
    <row r="461" spans="32:32" x14ac:dyDescent="0.3">
      <c r="AF461" s="18"/>
    </row>
    <row r="462" spans="32:32" x14ac:dyDescent="0.3">
      <c r="AF462" s="18"/>
    </row>
    <row r="463" spans="32:32" x14ac:dyDescent="0.3">
      <c r="AF463" s="18"/>
    </row>
    <row r="464" spans="32:32" x14ac:dyDescent="0.3">
      <c r="AF464" s="18"/>
    </row>
    <row r="465" spans="32:32" x14ac:dyDescent="0.3">
      <c r="AF465" s="18"/>
    </row>
    <row r="466" spans="32:32" x14ac:dyDescent="0.3">
      <c r="AF466" s="18"/>
    </row>
    <row r="467" spans="32:32" x14ac:dyDescent="0.3">
      <c r="AF467" s="18"/>
    </row>
    <row r="468" spans="32:32" x14ac:dyDescent="0.3">
      <c r="AF468" s="18"/>
    </row>
    <row r="469" spans="32:32" x14ac:dyDescent="0.3">
      <c r="AF469" s="18"/>
    </row>
    <row r="470" spans="32:32" x14ac:dyDescent="0.3">
      <c r="AF470" s="18"/>
    </row>
    <row r="471" spans="32:32" x14ac:dyDescent="0.3">
      <c r="AF471" s="18"/>
    </row>
    <row r="472" spans="32:32" x14ac:dyDescent="0.3">
      <c r="AF472" s="18"/>
    </row>
    <row r="473" spans="32:32" x14ac:dyDescent="0.3">
      <c r="AF473" s="18"/>
    </row>
    <row r="474" spans="32:32" x14ac:dyDescent="0.3">
      <c r="AF474" s="18"/>
    </row>
    <row r="475" spans="32:32" x14ac:dyDescent="0.3">
      <c r="AF475" s="18"/>
    </row>
  </sheetData>
  <sheetProtection formatCells="0" formatColumns="0" formatRows="0" sort="0" autoFilter="0"/>
  <autoFilter ref="AU8:AU182" xr:uid="{AE12074B-53AF-408E-914C-0C1A7880146B}"/>
  <mergeCells count="1">
    <mergeCell ref="S7:W7"/>
  </mergeCells>
  <phoneticPr fontId="100" type="noConversion"/>
  <pageMargins left="0.7" right="0.7" top="0.75" bottom="0.75" header="0.3" footer="0.3"/>
  <pageSetup paperSize="9" orientation="portrait" blackAndWhite="1" r:id="rId1"/>
  <legacyDrawing r:id="rId2"/>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B1:Z8"/>
  <sheetViews>
    <sheetView workbookViewId="0"/>
  </sheetViews>
  <sheetFormatPr defaultRowHeight="15.05" x14ac:dyDescent="0.3"/>
  <cols>
    <col min="2" max="2" width="11.33203125" bestFit="1" customWidth="1"/>
    <col min="3" max="3" width="61.109375" bestFit="1" customWidth="1"/>
    <col min="4" max="4" width="20.33203125" bestFit="1" customWidth="1"/>
    <col min="5" max="5" width="15" bestFit="1" customWidth="1"/>
    <col min="6" max="6" width="10.33203125" bestFit="1" customWidth="1"/>
    <col min="7" max="7" width="13.88671875" bestFit="1" customWidth="1"/>
    <col min="8" max="8" width="13.33203125" style="18" bestFit="1" customWidth="1"/>
    <col min="22" max="22" width="255.6640625" hidden="1" customWidth="1"/>
  </cols>
  <sheetData>
    <row r="1" spans="2:26" x14ac:dyDescent="0.3">
      <c r="V1" t="s">
        <v>12285</v>
      </c>
      <c r="Y1" s="80"/>
    </row>
    <row r="2" spans="2:26" x14ac:dyDescent="0.3">
      <c r="V2" t="s">
        <v>12286</v>
      </c>
      <c r="Y2" s="80"/>
    </row>
    <row r="3" spans="2:26" x14ac:dyDescent="0.3">
      <c r="V3" t="str">
        <f>"DRIVER=SQL Server;SERVER="&amp;Input!$C$4&amp;";Trusted_Connection=Yes;APP=Microsoft Office 2010;DATABASE="&amp;Input!$C$3</f>
        <v>DRIVER=SQL Server;SERVER=wawsrvsql001;Trusted_Connection=Yes;APP=Microsoft Office 2010;DATABASE=008</v>
      </c>
      <c r="Y3" s="80"/>
      <c r="Z3" s="80"/>
    </row>
    <row r="4" spans="2:26" x14ac:dyDescent="0.3">
      <c r="V4" t="str">
        <f>"SELECT gbkmut.reknr AS GL_Account, "&amp;" MIN(grtbk.oms25_0) AS GL_Description,"&amp;V1&amp;" grtbk.bal_vw AS 'Typ_Konta', grtbk.omzrek As 'PodTyp_Konta', "&amp;"  Round(Sum(gbkmut.bdr_hfl),2) As 'Kwota' "&amp;"
FROM gbkmut WITH (NOLOCK)  LEFT OUTER JOIN grtbk WITH (NOLOCK) ON grtbk.reknr = gbkmut.reknr LEFT OUTER JOIN kstpl WITH (NOLOCK) ON kstpl.kstplcode = gbkmut.kstplcode LEFT OUTER JOIN kstdr WITH (NOLOCK) ON kstdr.kstdrcode = gbkmut.kstdrcode  "&amp;" LEFT OUTER JOIN magaz WITH (NOLOCK) ON magaz.magcode = gbkmut.warehouse LEFT OUTER JOIN prproject WITH (NOLOCK) ON prproject.ProjectNr = gbkmut.project "&amp;"
WHERE transtype IN('N','C','P')   AND gbkmut.reknr &gt;= '    01000' AND gbkmut.reknr &lt;= '    87200'  AND grtbk.bal_vw IN ('B')  AND gbkmut.docdate &lt;= '"&amp;TEXT(DataDo,"rrrr-mm-dd")&amp;"' "&amp;"
GROUP BY gbkmut.reknr, "&amp;V2&amp;" grtbk.bal_vw, grtbk.omzrek "&amp;" 
UNION ALL 
SELECT gbkmut.reknr AS GL_Account, "&amp;" MIN(grtbk.oms25_0) AS GL_Description,"&amp;V1&amp;" grtbk.bal_vw AS 'Typ_Konta', grtbk.omzrek As 'PodTyp_Konta', "&amp;"  Round(Sum(gbkmut.bdr_hfl),2) As 'Kwota' "&amp;"
FROM gbkmut WITH (NOLOCK)  LEFT OUTER JOIN grtbk WITH (NOLOCK) ON grtbk.reknr = gbkmut.reknr LEFT OUTER JOIN kstpl WITH (NOLOCK) ON kstpl.kstplcode = gbkmut.kstplcode LEFT OUTER JOIN kstdr WITH (NOLOCK) ON kstdr.kstdrcode = gbkmut.kstdrcode  "&amp;" LEFT OUTER JOIN magaz WITH (NOLOCK) ON magaz.magcode = gbkmut.warehouse LEFT OUTER JOIN prproject WITH (NOLOCK) ON prproject.ProjectNr = gbkmut.project "&amp;"
WHERE transtype IN('N','C','P')   AND gbkmut.reknr &gt;= '    01000' AND gbkmut.reknr &lt;= '    87200'  AND grtbk.bal_vw IN ('W')  AND gbkmut.docdate between '"&amp;TEXT(DataOd,"rrrr-mm-dd")&amp;"' AND '"&amp;TEXT(DataDo,"rrrr-mm-dd")&amp;"' "&amp;"
GROUP BY gbkmut.reknr, "&amp;V2&amp;" grtbk.bal_vw, grtbk.omzrek "&amp;" 
Order by gbkmut.reknr"</f>
        <v>SELECT gbkmut.reknr AS GL_Account,  MIN(grtbk.oms25_0) AS GL_Description, gbkmut.kstplcode As 'Stanowisko kosztowe', gbkmut.kstdrcode  As 'Nośnik kosztów', grtbk.bal_vw AS 'Typ_Konta', grtbk.omzrek As 'PodTyp_Konta',   Round(Sum(gbkmut.bdr_hfl),2) As 'Kwota' 
FROM gbkmut WITH (NOLOCK)  LEFT OUTER JOIN grtbk WITH (NOLOCK) ON grtbk.reknr = gbkmut.reknr LEFT OUTER JOIN kstpl WITH (NOLOCK) ON kstpl.kstplcode = gbkmut.kstplcode LEFT OUTER JOIN kstdr WITH (NOLOCK) ON kstdr.kstdrcode = gbkmut.kstdrcode   LEFT OUTER JOIN magaz WITH (NOLOCK) ON magaz.magcode = gbkmut.warehouse LEFT OUTER JOIN prproject WITH (NOLOCK) ON prproject.ProjectNr = gbkmut.project 
WHERE transtype IN('N','C','P')   AND gbkmut.reknr &gt;= '    01000' AND gbkmut.reknr &lt;= '    87200'  AND grtbk.bal_vw IN ('B')  AND gbkmut.docdate &lt;= '2020-12-31' 
GROUP BY gbkmut.reknr,  gbkmut.kstplcode, gbkmut.kstdrcode, grtbk.bal_vw, grtbk.omzrek  
UNION ALL 
SELECT gbkmut.reknr AS GL_Account,  MIN(grtbk.oms25_0) AS GL_Description, gbkmut.kstplcode As 'Stanowisko kosztowe', gbkmut.kstdrcode  As 'Nośnik kosztów', grtbk.bal_vw AS 'Typ_Konta', grtbk.omzrek As 'PodTyp_Konta',   Round(Sum(gbkmut.bdr_hfl),2) As 'Kwota' 
FROM gbkmut WITH (NOLOCK)  LEFT OUTER JOIN grtbk WITH (NOLOCK) ON grtbk.reknr = gbkmut.reknr LEFT OUTER JOIN kstpl WITH (NOLOCK) ON kstpl.kstplcode = gbkmut.kstplcode LEFT OUTER JOIN kstdr WITH (NOLOCK) ON kstdr.kstdrcode = gbkmut.kstdrcode   LEFT OUTER JOIN magaz WITH (NOLOCK) ON magaz.magcode = gbkmut.warehouse LEFT OUTER JOIN prproject WITH (NOLOCK) ON prproject.ProjectNr = gbkmut.project 
WHERE transtype IN('N','C','P')   AND gbkmut.reknr &gt;= '    01000' AND gbkmut.reknr &lt;= '    87200'  AND grtbk.bal_vw IN ('W')  AND gbkmut.docdate between '2020-01-01' AND '2020-12-31' 
GROUP BY gbkmut.reknr,  gbkmut.kstplcode, gbkmut.kstdrcode, grtbk.bal_vw, grtbk.omzrek  
Order by gbkmut.reknr</v>
      </c>
      <c r="Y4" s="80"/>
    </row>
    <row r="8" spans="2:26" x14ac:dyDescent="0.3">
      <c r="B8" t="s">
        <v>11431</v>
      </c>
      <c r="C8" t="s">
        <v>11432</v>
      </c>
      <c r="D8" t="s">
        <v>12287</v>
      </c>
      <c r="E8" t="s">
        <v>12288</v>
      </c>
      <c r="F8" t="s">
        <v>11433</v>
      </c>
      <c r="G8" t="s">
        <v>11434</v>
      </c>
      <c r="H8" s="18" t="s">
        <v>10083</v>
      </c>
    </row>
  </sheetData>
  <sheetProtection formatCells="0" formatColumns="0" formatRows="0" sort="0"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3366FF"/>
  </sheetPr>
  <dimension ref="B3:V1000"/>
  <sheetViews>
    <sheetView workbookViewId="0"/>
  </sheetViews>
  <sheetFormatPr defaultRowHeight="15.05" x14ac:dyDescent="0.3"/>
  <cols>
    <col min="2" max="2" width="7.6640625" bestFit="1" customWidth="1"/>
    <col min="3" max="3" width="50.88671875" bestFit="1" customWidth="1"/>
    <col min="4" max="4" width="7.6640625" bestFit="1" customWidth="1"/>
    <col min="5" max="5" width="61.109375" bestFit="1" customWidth="1"/>
    <col min="6" max="6" width="4.109375" bestFit="1" customWidth="1"/>
    <col min="7" max="7" width="7.33203125" style="18" bestFit="1" customWidth="1"/>
    <col min="8" max="8" width="13.33203125" bestFit="1" customWidth="1"/>
    <col min="22" max="22" width="21.44140625" hidden="1" customWidth="1"/>
  </cols>
  <sheetData>
    <row r="3" spans="2:22" x14ac:dyDescent="0.3">
      <c r="V3" t="str">
        <f>"DRIVER=SQL Server;SERVER="&amp;Input!$C$4&amp;";Trusted_Connection=Yes;APP=Microsoft Office 2010;DATABASE="&amp;Input!$C$3</f>
        <v>DRIVER=SQL Server;SERVER=wawsrvsql001;Trusted_Connection=Yes;APP=Microsoft Office 2010;DATABASE=008</v>
      </c>
    </row>
    <row r="4" spans="2:22" x14ac:dyDescent="0.3">
      <c r="B4" t="str">
        <f>Input!R7</f>
        <v>2020-12-31</v>
      </c>
      <c r="V4" t="str">
        <f>"SELECT DebtorNumber AS 'Debtor No', ci.cmp_name AS 'Debtor name',  "&amp;"
(CASE WHEN bt.Type = 'S' THEN bt.ValueDate ELSE bt.InvoiceDate END) AS 'Invoice Date', bt.DueDate AS 'Due Date', bt.ReportingDate AS 'Reporting Date', "&amp;"
bt.SupplierInvoiceNumber As 'Invoice No', "&amp;"
ROUND((CASE WHEN DATEDIFF(dd, bt.DueDate, {d '"&amp;TEXT(B4,"rrrr-mm-dd") &amp;"'} ) &lt; 0 AND bt.Type = 'W'  THEN bt.AmountDC "&amp;"
ELSE (CASE WHEN DATEDIFF(dd, bt.ValueDate, {d '"&amp;TEXT(B4,"rrrr-mm-dd") &amp;"'} ) &lt; 0 AND bt.Type = 'S' THEN -bt.AmountDC ELSE NULL END ) END ) , 2) AS NotDue, "&amp;" 
 ROUND((CASE WHEN DATEDIFF(dd, bt.DueDate, {d  '"&amp;TEXT(B4,"rrrr-mm-dd") &amp;"'} ) BETWEEN 0 AND 30 AND bt.Type = 'W' THEN bt.AmountDC  "&amp;"ELSE (CASE WHEN DATEDIFF(dd, bt.ValueDate, {d  '"&amp;TEXT(B4,"rrrr-mm-dd") &amp;"'} ) BETWEEN 0 AND 30 AND bt.Type = 'S' THEN -bt.AmountDC ELSE NULL END ) END ) , 2) AS '0-30',  "&amp;"
 ROUND((CASE WHEN DATEDIFF(dd, bt.DueDate, {d  '"&amp;TEXT(B4,"rrrr-mm-dd") &amp;"'} ) BETWEEN 31 AND 60 AND bt.Type = 'W' THEN bt.AmountDC  "&amp;"ELSE (CASE WHEN DATEDIFF(dd, bt.ValueDate, {d  '"&amp;TEXT(B4,"rrrr-mm-dd") &amp;"'} ) BETWEEN 31 AND 60 AND bt.Type = 'S' THEN -bt.AmountDC ELSE NULL END ) END ) , 2) AS '31-60',  "&amp;"
ROUND((CASE WHEN DATEDIFF(dd, bt.DueDate, {d  '"&amp;TEXT(B4,"rrrr-mm-dd") &amp;"'} ) BETWEEN 61 AND 90 AND bt.Type = 'W' THEN bt.AmountDC "&amp;" ELSE (CASE WHEN DATEDIFF(dd, bt.ValueDate, {d  '"&amp;TEXT(B4,"rrrr-mm-dd") &amp;"'} ) BETWEEN 61 AND 90 AND bt.Type = 'S' THEN -bt.AmountDC ELSE NULL END ) END ) , 2) AS '61-90',  "&amp;"
ROUND((CASE WHEN DATEDIFF(dd, bt.DueDate, {d  '"&amp;TEXT(B4,"rrrr-mm-dd") &amp;"'} ) BETWEEN 91 AND 180 AND bt.Type = 'W' THEN bt.AmountDC "&amp;" ELSE (CASE WHEN DATEDIFF(dd, bt.ValueDate, {d  '"&amp;TEXT(B4,"rrrr-mm-dd") &amp;"'} ) BETWEEN 91 AND 180 AND bt.Type = 'S' THEN -bt.AmountDC ELSE NULL END ) END ) , 2) AS '91-180',  "&amp;"
ROUND((CASE WHEN DATEDIFF(dd, bt.DueDate, {d  '"&amp;TEXT(B4,"rrrr-mm-dd") &amp;"'} ) BETWEEN 181 AND 360 AND bt.Type = 'W' THEN bt.AmountDC "&amp;" ELSE (CASE WHEN DATEDIFF(dd, bt.ValueDate, {d  '"&amp;TEXT(B4,"rrrr-mm-dd") &amp;"'} ) BETWEEN 181 AND 360 AND bt.Type = 'S' THEN -bt.AmountDC ELSE NULL END ) END ) , 2) AS '181-360',  "&amp;"
ROUND((CASE WHEN DATEDIFF(dd, bt.DueDate, {d  '"&amp;TEXT(B4,"rrrr-mm-dd")&amp;"'} ) &gt; 360 AND bt.Type = 'W' THEN bt.AmountDC  "&amp;"ELSE (CASE WHEN DATEDIFF(dd, bt.ValueDate, {d  '"&amp;TEXT(B4,"rrrr-mm-dd")&amp;"'} ) &gt; 360 AND bt.Type = 'S' THEN -bt.AmountDC ELSE NULL END ) END ) , 2) AS '&gt;360',  "&amp;" (CASE WHEN bt.Type = 'W' THEN bt.AmountDC ELSE -bt.AmountDC END ) AS 'Amount in PLN', "&amp;"
 bt.TCCode As 'Curr.', (CASE WHEN bt.Type = 'W' THEN bt.AmountTC ELSE -bt.AmountTC END ) AS 'Amount in curr.',  "&amp;"
 Replace(bt.ExchangeRate,'.',',') As 'Exchange Rate',  bt.Description, bt.EntryNumber, bt.OffsetLedgerAccountNumber As 'Account', (DATEDIFF(dd, ISNULL(bt.DueDate,bt.ValueDate), {d  '"&amp;TEXT(B4,"rrrr-mm-dd")&amp;"'})) AS Age,  "&amp;"
 ci.vatnumber AS VatNumber, ci.cmp_fctry AS Country "&amp;"
FROM (( 
       -- W Terms  "&amp;"
       SELECT '' AS Empty, bt.ID, DebtorNumber, CreditorNumber, ValueDate, AmountDC, AmountTC,  "&amp;"
               ProcessingDate, InvoiceDate, ReportingDate, Type, OffSetName, PaymentType, SupplierInvoiceNumber,  "&amp;"
               CAST(Description AS VARCHAR(400)) AS Description, TransactionType, OffsetReference,  "&amp;"
               OffSetLedgerAccountNumber, bt.Blocked, DocumentID, OrderNumber, InvoiceNumber,  "&amp;"
               DueDate, TcCode, bt.Status, bt.MatchID, BatchNumber, OwnBankAccount, EntryNumber, bt.LedgerAccount,  "&amp;"
               bt.sysguid, (CASE WHEN ExchangeRate = 0 THEN CONVERT(VARCHAR(20),ROUND(ExchangeRate,6))  "&amp;"ELSE (CASE WHEN 1/ExchangeRate &gt; 10000 THEN '1/' + CONVERT(VARCHAR(20), ROUND(1/ExchangeRate,6)) ELSE CONVERT(VARCHAR(20), ROUND(ExchangeRate,6)) END) END) AS ExchangeRate, "&amp;"
               bt.Approved, bt.Approved2 
       FROM BankTransactions bt  "&amp;"
       LEFT OUTER JOIN (
               SELECT HS.ID, HS.StatementType  "&amp;"
               FROM BankTransactions HS 
               WHERE HS.Type = 'S' AND HS.Status = 'J' 
               AND HS.DebtorNumber IS NOT NULL  "&amp;"
               AND (  
                   (ISNULL(HS.StatementType, '') &lt;&gt; 'F' AND HS.ReportingDate &lt;= {d '"&amp;TEXT(B4,"rrrr-mm-dd")&amp;"'}) 
                   OR HS.StatementType = 'F')
                   ) "&amp;"
       AS HS ON bt.MatchID = HS.ID  "&amp;"
       LEFT OUTER JOIN (
           SELECT MatchID FROM BankTransactions W "&amp;"
               WHERE W.Type = 'W' AND W.Status &lt;&gt; 'V' AND W.MatchID IS NOT NULL "&amp;"
                   AND W.DebtorNumber IS NOT NULL 
               AND ISNULL(W.ReportingDate,W.InvoiceDate) &gt; {d '"&amp;TEXT(B4,"rrrr-mm-dd")&amp;"'} "&amp;"
               GROUP BY MatchID "&amp;"
       ) AS HW ON bt.MatchID = HW.MatchID AND HS.StatementType = 'F' "&amp;"
       INNER JOIN cicmpy ci on bt.DebtorNumber = ci.debnr AND bt.DebtorNumber IS NOT NULL  "&amp;"
       WHERE Type = 'W' AND bt.Status IN ('C','A','P','J')  AND EntryNumber IS NOT NULL  "&amp;"
       AND DebtorNumber IS NOT NULL AND ROUND(AmountDC,2) &lt;&gt; 0  "&amp;"
       AND ISNULL(ReportingDate, InvoiceDate) &lt;= {d '"&amp;TEXT(B4,"rrrr-mm-dd")&amp;"'} "&amp;"
       AND (HS.ID IS NULL OR (HS.ID IS NOT NULL AND HW.MatchID IS NOT NULL)) "&amp;"
  UNION ALL 
       -- S Terms
       SELECT '' AS Empty, s.ID, s.DebtorNumber, s.CreditorNumber, s.ValueDate,        (ISNULL(s.AmountDC,0) - ISNULL(W2.AmountDC,0)) AS AmountDC,        (ISNULL(s.AmountTC,0) - ISNULL(W2.AmountTC,0)) AS AmountTC,  "&amp;"
       s.ProcessingDate, s.InvoiceDate, s.ReportingDate, s.Type, s.OffSetName, s.PaymentType, s.SupplierInvoiceNumber,   "&amp;"
       CAST(s.Description AS VARCHAR(400)) AS Description , s.TransactionType, s.OffsetReference,  "&amp;"
       s.OffSetLedgerAccountNumber, s.Blocked, s.DocumentID, s.OrderNumber,  "&amp;"
       ISNULL(s.InvoiceNumber, '') AS InvoiceNumber 
       , s.DueDate, s.TCCode, s.Status , s.MatchID, s.BatchNumber, s.OwnBankAccount, s.EntryNumber,  s.LedgerAccount,  "&amp;"
       s.sysguid,  (CASE WHEN ExchangeRate = 0 THEN CONVERT(VARCHAR(20),ROUND(ExchangeRate,6))  "&amp;"ELSE (CASE WHEN 1/ExchangeRate &gt; 10000 THEN '1/' + CONVERT(VARCHAR(20), ROUND(1/ExchangeRate,6)) ELSE CONVERT(VARCHAR(20), ROUND(ExchangeRate,6)) END) END) AS ExchangeRate,  "&amp;"
       s.Approved, s.Approved2 
       FROM BankTransactions s 
       INNER JOIN cicmpy ci ON s.DebtorNumber = ci.debnr AND s.DebtorNumber IS NOT NULL         "&amp;"    
       LEFT OUTER JOIN
               (SELECT MatchID, ROUND(SUM(ROUND(ISNULL(AmountDC,0),2)),2) AS AmountDC, 
               ROUND(SUM(ROUND(ISNULL(AmountTC,0),2)),2) AS AmountTC  FROM BankTransactions w  "&amp;"
               WHERE w.Type = 'W' AND w.Status IN ('C','A','P','J') 
               AND ISNULL(w.ReportingDate,w.InvoiceDate) &lt;= {d '"&amp;TEXT(B4,"rrrr-mm-dd")&amp;"'} "&amp;"
               AND w.EntryNumber IS NOT NULL 
               GROUP BY MatchID  "&amp;"
               HAVING MatchID IS NOT NULL ) AS W2 ON W2.MatchID = S.ID  "&amp;"
       WHERE s.Type='S' AND s.Status = 'J'  "&amp;"
       AND s.DebtorNumber IS NOT NULL 
       AND ROUND(s.AmountDC,2) &lt;&gt; 0 
       AND ROUND((ISNULL(s.AmountDC, 0) - ISNULL(W2.AmountDC, 0)),2) &lt;&gt; 0  "&amp;"
 AND s.ReportingDate &lt;= {d '"&amp;TEXT(B4,"rrrr-mm-dd")&amp;"'}
)) bt  "&amp;"
 INNER JOIN cicmpy ci on bt.DebtorNumber= ci.debnr AND bt.DebtorNumber IS NOT NULL  "&amp;"
 LEFT OUTER JOIN addresses addr on ci.cmp_wwn = addr.account AND addr.Type = 'INV' 
 LEFT OUTER JOIN classifications cc ON ci.ClassificationId = cc.ClassificationID "&amp;"
 LEFT OUTER JOIN cicntp cp ON cp.cnt_id=ci.cnt_id  "&amp;"
 WHERE ci.debcode IS NOT NULL "&amp;" 
 AND (ci.cmp_type = 'C') 
 AND ISNULL(ISNULL(bt.ReportingDate,bt.InvoiceDate),bt.Valuedate) &lt;= {d '"&amp;TEXT(B4,"rrrr-mm-dd")&amp;"'} "&amp;"
 AND (bt.CreditorNumber IS NULL OR bt.CreditorNumber NOT IN ('000002')) AND ci.cmp_fctry = 'PL' 
 "&amp;"
 ORDER BY DebtorNumber, ci.cmp_name"</f>
        <v>SELECT DebtorNumber AS 'Debtor No', ci.cmp_name AS 'Debtor name',  
(CASE WHEN bt.Type = 'S' THEN bt.ValueDate ELSE bt.InvoiceDate END) AS 'Invoice Date', bt.DueDate AS 'Due Date', bt.ReportingDate AS 'Reporting Date', 
bt.SupplierInvoiceNumber As 'Invoice No', 
ROUND((CASE WHEN DATEDIFF(dd, bt.DueDate, {d '2020-12-31'} ) &lt; 0 AND bt.Type = 'W'  THEN bt.AmountDC 
ELSE (CASE WHEN DATEDIFF(dd, bt.ValueDate, {d '2020-12-31'} ) &lt; 0 AND bt.Type = 'S' THEN -bt.AmountDC ELSE NULL END ) END ) , 2) AS NotDue,  
 ROUND((CASE WHEN DATEDIFF(dd, bt.DueDate, {d  '2020-12-31'} ) BETWEEN 0 AND 30 AND bt.Type = 'W' THEN bt.AmountDC  ELSE (CASE WHEN DATEDIFF(dd, bt.ValueDate, {d  '2020-12-31'} ) BETWEEN 0 AND 30 AND bt.Type = 'S' THEN -bt.AmountDC ELSE NULL END ) END ) , 2) AS '0-30',  
 ROUND((CASE WHEN DATEDIFF(dd, bt.DueDate, {d  '2020-12-31'} ) BETWEEN 31 AND 60 AND bt.Type = 'W' THEN bt.AmountDC  ELSE (CASE WHEN DATEDIFF(dd, bt.ValueDate, {d  '2020-12-31'} ) BETWEEN 31 AND 60 AND bt.Type = 'S' THEN -bt.AmountDC ELSE NULL END ) END ) , 2) AS '31-60',  
ROUND((CASE WHEN DATEDIFF(dd, bt.DueDate, {d  '2020-12-31'} ) BETWEEN 61 AND 90 AND bt.Type = 'W' THEN bt.AmountDC  ELSE (CASE WHEN DATEDIFF(dd, bt.ValueDate, {d  '2020-12-31'} ) BETWEEN 61 AND 90 AND bt.Type = 'S' THEN -bt.AmountDC ELSE NULL END ) END ) , 2) AS '61-90',  
ROUND((CASE WHEN DATEDIFF(dd, bt.DueDate, {d  '2020-12-31'} ) BETWEEN 91 AND 180 AND bt.Type = 'W' THEN bt.AmountDC  ELSE (CASE WHEN DATEDIFF(dd, bt.ValueDate, {d  '2020-12-31'} ) BETWEEN 91 AND 180 AND bt.Type = 'S' THEN -bt.AmountDC ELSE NULL END ) END ) , 2) AS '91-180',  
ROUND((CASE WHEN DATEDIFF(dd, bt.DueDate, {d  '2020-12-31'} ) BETWEEN 181 AND 360 AND bt.Type = 'W' THEN bt.AmountDC  ELSE (CASE WHEN DATEDIFF(dd, bt.ValueDate, {d  '2020-12-31'} ) BETWEEN 181 AND 360 AND bt.Type = 'S' THEN -bt.AmountDC ELSE NULL END ) END ) , 2) AS '181-360',  
ROUND((CASE WHEN DATEDIFF(dd, bt.DueDate, {d  '2020-12-31'} ) &gt; 360 AND bt.Type = 'W' THEN bt.AmountDC  ELSE (CASE WHEN DATEDIFF(dd, bt.ValueDate, {d  '2020-12-31'} ) &gt; 360 AND bt.Type = 'S' THEN -bt.AmountDC ELSE NULL END ) END ) , 2) AS '&gt;360',   (CASE WHEN bt.Type = 'W' THEN bt.AmountDC ELSE -bt.AmountDC END ) AS 'Amount in PLN', 
 bt.TCCode As 'Curr.', (CASE WHEN bt.Type = 'W' THEN bt.AmountTC ELSE -bt.AmountTC END ) AS 'Amount in curr.',  
 Replace(bt.ExchangeRate,'.',',') As 'Exchange Rate',  bt.Description, bt.EntryNumber, bt.OffsetLedgerAccountNumber As 'Account', (DATEDIFF(dd, ISNULL(bt.DueDate,bt.ValueDate), {d  '2020-12-31'})) AS Age,  
 ci.vatnumber AS VatNumber, ci.cmp_fctry AS Country 
FROM (( 
       -- W Terms  
       SELECT '' AS Empty, bt.ID, DebtorNumber, CreditorNumber, ValueDate, AmountDC, AmountTC,  
               ProcessingDate, InvoiceDate, ReportingDate, Type, OffSetName, PaymentType, SupplierInvoiceNumber,  
               CAST(Description AS VARCHAR(400)) AS Description, TransactionType, OffsetReference,  
               OffSetLedgerAccountNumber, bt.Blocked, DocumentID, OrderNumber, InvoiceNumber,  
               DueDate, TcCode, bt.Status, bt.MatchID, BatchNumber, OwnBankAccount, EntryNumber, bt.LedgerAccount,  
               bt.sysguid, (CASE WHEN ExchangeRate = 0 THEN CONVERT(VARCHAR(20),ROUND(ExchangeRate,6))  ELSE (CASE WHEN 1/ExchangeRate &gt; 10000 THEN '1/' + CONVERT(VARCHAR(20), ROUND(1/ExchangeRate,6)) ELSE CONVERT(VARCHAR(20), ROUND(ExchangeRate,6)) END) END) AS ExchangeRate, 
               bt.Approved, bt.Approved2 
       FROM BankTransactions bt  
       LEFT OUTER JOIN (
               SELECT HS.ID, HS.StatementType  
               FROM BankTransactions HS 
               WHERE HS.Type = 'S' AND HS.Status = 'J' 
               AND HS.DebtorNumber IS NOT NULL  
               AND (  
                   (ISNULL(HS.StatementType, '') &lt;&gt; 'F' AND HS.ReportingDate &lt;= {d '2020-12-31'}) 
                   OR HS.StatementType = 'F')
                   ) 
       AS HS ON bt.MatchID = HS.ID  
       LEFT OUTER JOIN (
           SELECT MatchID FROM BankTransactions W 
               WHERE W.Type = 'W' AND W.Status &lt;&gt; 'V' AND W.MatchID IS NOT NULL 
                   AND W.DebtorNumber IS NOT NULL 
               AND ISNULL(W.ReportingDate,W.InvoiceDate) &gt; {d '2020-12-31'} 
               GROUP BY MatchID 
       ) AS HW ON bt.MatchID = HW.MatchID AND HS.StatementType = 'F' 
       INNER JOIN cicmpy ci on bt.DebtorNumber = ci.debnr AND bt.DebtorNumber IS NOT NULL  
       WHERE Type = 'W' AND bt.Status IN ('C','A','P','J')  AND EntryNumber IS NOT NULL  
       AND DebtorNumber IS NOT NULL AND ROUND(AmountDC,2) &lt;&gt; 0  
       AND ISNULL(ReportingDate, InvoiceDate) &lt;= {d '2020-12-31'} 
       AND (HS.ID IS NULL OR (HS.ID IS NOT NULL AND HW.MatchID IS NOT NULL)) 
  UNION ALL 
       -- S Terms
       SELECT '' AS Empty, s.ID, s.DebtorNumber, s.CreditorNumber, s.ValueDate,        (ISNULL(s.AmountDC,0) - ISNULL(W2.AmountDC,0)) AS AmountDC,        (ISNULL(s.AmountTC,0) - ISNULL(W2.AmountTC,0)) AS AmountTC,  
       s.ProcessingDate, s.InvoiceDate, s.ReportingDate, s.Type, s.OffSetName, s.PaymentType, s.SupplierInvoiceNumber,   
       CAST(s.Description AS VARCHAR(400)) AS Description , s.TransactionType, s.OffsetReference,  
       s.OffSetLedgerAccountNumber, s.Blocked, s.DocumentID, s.OrderNumber,  
       ISNULL(s.InvoiceNumber, '') AS InvoiceNumber 
       , s.DueDate, s.TCCode, s.Status , s.MatchID, s.BatchNumber, s.OwnBankAccount, s.EntryNumber,  s.LedgerAccount,  
       s.sysguid,  (CASE WHEN ExchangeRate = 0 THEN CONVERT(VARCHAR(20),ROUND(ExchangeRate,6))  ELSE (CASE WHEN 1/ExchangeRate &gt; 10000 THEN '1/' + CONVERT(VARCHAR(20), ROUND(1/ExchangeRate,6)) ELSE CONVERT(VARCHAR(20), ROUND(ExchangeRate,6)) END) END) AS ExchangeRate,  
       s.Approved, s.Approved2 
       FROM BankTransactions s 
       INNER JOIN cicmpy ci ON s.DebtorNumber = ci.debnr AND s.DebtorNumber IS NOT NULL             
       LEFT OUTER JOIN
               (SELECT MatchID, ROUND(SUM(ROUND(ISNULL(AmountDC,0),2)),2) AS AmountDC, 
               ROUND(SUM(ROUND(ISNULL(AmountTC,0),2)),2) AS AmountTC  FROM BankTransactions w  
               WHERE w.Type = 'W' AND w.Status IN ('C','A','P','J') 
               AND ISNULL(w.ReportingDate,w.InvoiceDate) &lt;= {d '2020-12-31'} 
               AND w.EntryNumber IS NOT NULL 
               GROUP BY MatchID  
               HAVING MatchID IS NOT NULL ) AS W2 ON W2.MatchID = S.ID  
       WHERE s.Type='S' AND s.Status = 'J'  
       AND s.DebtorNumber IS NOT NULL 
       AND ROUND(s.AmountDC,2) &lt;&gt; 0 
       AND ROUND((ISNULL(s.AmountDC, 0) - ISNULL(W2.AmountDC, 0)),2) &lt;&gt; 0  
 AND s.ReportingDate &lt;= {d '2020-12-31'}
)) bt  
 INNER JOIN cicmpy ci on bt.DebtorNumber= ci.debnr AND bt.DebtorNumber IS NOT NULL  
 LEFT OUTER JOIN addresses addr on ci.cmp_wwn = addr.account AND addr.Type = 'INV' 
 LEFT OUTER JOIN classifications cc ON ci.ClassificationId = cc.ClassificationID 
 LEFT OUTER JOIN cicntp cp ON cp.cnt_id=ci.cnt_id  
 WHERE ci.debcode IS NOT NULL  
 AND (ci.cmp_type = 'C') 
 AND ISNULL(ISNULL(bt.ReportingDate,bt.InvoiceDate),bt.Valuedate) &lt;= {d '2020-12-31'} 
 AND (bt.CreditorNumber IS NULL OR bt.CreditorNumber NOT IN ('000002')) AND ci.cmp_fctry = 'PL' 
 ORDER BY DebtorNumber, ci.cmp_name</v>
      </c>
    </row>
    <row r="5" spans="2:22" x14ac:dyDescent="0.3">
      <c r="V5" t="str">
        <f>"SELECT CreditorNumber AS 'Creditor No', ci.cmp_name AS 'Creditor name',  "&amp;"
(CASE WHEN bt.Type = 'S' THEN bt.ValueDate ELSE bt.InvoiceDate END) AS 'Invoice Date', bt.DueDate AS 'Due Date', bt.ReportingDate AS 'Reporting Date', "&amp;"
bt.SupplierInvoiceNumber As 'Invoice No', 
ROUND((CASE WHEN DATEDIFF(dd, bt.DueDate, {d '"&amp;TEXT(B4,"rrrr-mm-dd")&amp;"'} ) &lt; 0 AND bt.Type = 'W'  THEN -bt.AmountDC "&amp;"
ELSE (CASE WHEN DATEDIFF(dd, bt.ValueDate, {d '"&amp;TEXT(B4,"rrrr-mm-dd")&amp;"'} ) &lt; 0 AND bt.Type = 'S'       THEN bt.AmountDC ELSE NULL END ) END ) , 2) AS NotDue, "&amp;" 
 ROUND((CASE WHEN DATEDIFF(dd, bt.DueDate, {d  '"&amp;TEXT(B4,"rrrr-mm-dd")&amp;"'} ) BETWEEN 0 AND 30 AND bt.Type = 'W' THEN -bt.AmountDC  "&amp;"ELSE (CASE WHEN DATEDIFF(dd, bt.ValueDate, {d  '"&amp;TEXT(B4,"rrrr-mm-dd")&amp;"'} ) BETWEEN 0 AND 30 AND bt.Type = 'S' THEN bt.AmountDC ELSE NULL END ) END ) , 2) AS '0-30',  "&amp;"
 ROUND((CASE WHEN DATEDIFF(dd, bt.DueDate, {d  '"&amp;TEXT(B4,"rrrr-mm-dd")&amp;"'} ) BETWEEN 31 AND 60 AND bt.Type = 'W' THEN -bt.AmountDC  "&amp;"ELSE (CASE WHEN DATEDIFF(dd, bt.ValueDate, {d  '"&amp;TEXT(B4,"rrrr-mm-dd")&amp;"'} ) BETWEEN 31 AND 60 AND bt.Type = 'S' THEN bt.AmountDC ELSE NULL END ) END ) , 2) AS '31-60',  "&amp;"
ROUND((CASE WHEN DATEDIFF(dd, bt.DueDate, {d  '"&amp;TEXT(B4,"rrrr-mm-dd")&amp;"'} ) BETWEEN 61 AND 90 AND bt.Type = 'W' THEN -bt.AmountDC "&amp;" ELSE (CASE WHEN DATEDIFF(dd, bt.ValueDate, {d  '"&amp;TEXT(B4,"rrrr-mm-dd")&amp;"'} ) BETWEEN 61 AND 90 AND bt.Type = 'S' THEN bt.AmountDC ELSE NULL END ) END ) , 2) AS '61-90',  "&amp;"
ROUND((CASE WHEN DATEDIFF(dd, bt.DueDate, {d  '"&amp;TEXT(B4,"rrrr-mm-dd")&amp;"'} ) BETWEEN 91 AND 180 AND bt.Type = 'W' THEN -bt.AmountDC "&amp;" ELSE (CASE WHEN DATEDIFF(dd, bt.ValueDate, {d  '"&amp;TEXT(B4,"rrrr-mm-dd")&amp;"'} ) BETWEEN 91 AND 180 AND bt.Type = 'S' THEN bt.AmountDC ELSE NULL END ) END ) , 2) AS '91-180',  "&amp;"
ROUND((CASE WHEN DATEDIFF(dd, bt.DueDate, {d  '"&amp;TEXT(B4,"rrrr-mm-dd")&amp;"'} ) BETWEEN 181 AND 360 AND bt.Type = 'W' THEN -bt.AmountDC "&amp;" ELSE (CASE WHEN DATEDIFF(dd, bt.ValueDate, {d  '"&amp;TEXT(B4,"rrrr-mm-dd")&amp;"'} ) BETWEEN 181 AND 360 AND bt.Type = 'S' THEN bt.AmountDC ELSE NULL END ) END ) , 2) AS '181-360',  "&amp;"
ROUND((CASE WHEN DATEDIFF(dd, bt.DueDate, {d  '"&amp;TEXT(B4,"rrrr-mm-dd")&amp;"'} ) &gt; 360 AND bt.Type = 'W' THEN -bt.AmountDC  "&amp;"ELSE (CASE WHEN DATEDIFF(dd, bt.ValueDate, {d  '"&amp;TEXT(B4,"rrrr-mm-dd")&amp;"'} ) &gt; 360 AND bt.Type = 'S' THEN bt.AmountDC ELSE NULL END ) END ) , 2) AS '&gt;360',  "&amp;" 
(CASE WHEN bt.Type = 'W' THEN -bt.AmountDC ELSE bt.AmountDC END ) AS 'Amount in PLN', "&amp;"
 bt.TCCode As 'Curr.', (CASE WHEN bt.Type = 'W' THEN -bt.AmountTC ELSE bt.AmountTC END ) AS 'Amount in curr.',  "&amp;"
 bt.ExchangeRate As 'Exchange Rate', bt.Description, bt.EntryNumber, bt.OffsetLedgerAccountNumber As 'Account', (DATEDIFF(dd, ISNULL(bt.DueDate,bt.ValueDate), {d  '"&amp;TEXT(B4,"rrrr-mm-dd")&amp;"'})) AS Age,  "&amp;"
 ci.vatnumber AS VatNumber, ci.cmp_fctry AS Country "&amp;"
FROM (( 
       -- W Terms  "&amp;"
       SELECT '' AS Empty, bt.ID, DebtorNumber, CreditorNumber, ValueDate, AmountDC, AmountTC,  "&amp;"
               ProcessingDate, InvoiceDate, ReportingDate, Type, OffSetName, PaymentType, SupplierInvoiceNumber,  "&amp;"
               CAST(Description AS VARCHAR(400)) AS Description, TransactionType, OffsetReference,  "&amp;"
               OffSetLedgerAccountNumber, bt.Blocked, DocumentID, OrderNumber, InvoiceNumber,  "&amp;"
               DueDate, TcCode, bt.Status, bt.MatchID, BatchNumber, OwnBankAccount, EntryNumber, bt.LedgerAccount,  "&amp;"
               bt.sysguid, (CASE WHEN ExchangeRate = 0 THEN CONVERT(VARCHAR(20),ROUND(ExchangeRate,6))  "&amp;"ELSE (CASE WHEN 1/ExchangeRate &gt; 10000 THEN '1/' + CONVERT(VARCHAR(20), ROUND(1/ExchangeRate,6)) ELSE CONVERT(VARCHAR(20), ROUND(ExchangeRate,6)) END) END) AS ExchangeRate, "&amp;"
               bt.Approved, bt.Approved2 
       FROM BankTransactions bt  "&amp;"
       LEFT OUTER JOIN (
               SELECT HS.ID, HS.StatementType  "&amp;"
               FROM BankTransactions HS 
               WHERE HS.Type = 'S' AND HS.Status = 'J' 
               AND HS.CreditorNumber IS NOT NULL  "&amp;"
               AND (  
                   (ISNULL(HS.StatementType, '') &lt;&gt; 'F' AND HS.ReportingDate &lt;= {d '"&amp;TEXT(B4,"rrrr-mm-dd")&amp;"'}) 
                   OR HS.StatementType = 'F')
                   ) "&amp;"
       AS HS ON bt.MatchID = HS.ID  "&amp;"
       LEFT OUTER JOIN (
           SELECT MatchID FROM BankTransactions W "&amp;"
               WHERE W.Type = 'W' AND W.Status &lt;&gt; 'V' AND W.MatchID IS NOT NULL "&amp;"
                   AND W.CreditorNumber IS NOT NULL 
               AND ISNULL(W.ReportingDate,W.InvoiceDate) &gt; {d '"&amp;TEXT(B4,"rrrr-mm-dd")&amp;"'} "&amp;"
               GROUP BY MatchID "&amp;"
       ) AS HW ON bt.MatchID = HW.MatchID AND HS.StatementType = 'F' "&amp;"
       INNER JOIN cicmpy ci on bt.CreditorNumber = ci.crdnr AND bt.CreditorNumber IS NOT NULL  "&amp;"
       WHERE Type = 'W' AND bt.Status IN ('C','A','P','J')  AND EntryNumber IS NOT NULL  "&amp;"
       AND CreditorNumber IS NOT NULL AND ROUND(AmountDC,2) &lt;&gt; 0  "&amp;"
       AND ISNULL(ReportingDate, InvoiceDate) &lt;= {d '"&amp;TEXT(B4,"rrrr-mm-dd")&amp;"'} "&amp;"
       AND (HS.ID IS NULL OR (HS.ID IS NOT NULL AND HW.MatchID IS NOT NULL)) "&amp;"
  UNION ALL 
       -- S Terms
       SELECT '' AS Empty, s.ID, s.DebtorNumber, s.CreditorNumber, s.ValueDate,        (ISNULL(s.AmountDC,0) - ISNULL(W2.AmountDC,0)) AS AmountDC,        (ISNULL(s.AmountTC,0) - ISNULL(W2.AmountTC,0)) AS AmountTC,  "&amp;"
       s.ProcessingDate, s.InvoiceDate, s.ReportingDate, s.Type, s.OffSetName, s.PaymentType, s.SupplierInvoiceNumber,   "&amp;"
       CAST(s.Description AS VARCHAR(400)) AS Description , s.TransactionType, s.OffsetReference,  "&amp;"
       s.OffSetLedgerAccountNumber, s.Blocked, s.DocumentID, s.OrderNumber,  "&amp;"
       ISNULL(s.InvoiceNumber, '') AS InvoiceNumber 
       , s.DueDate, s.TCCode, s.Status , s.MatchID, s.BatchNumber, s.OwnBankAccount, s.EntryNumber,  s.LedgerAccount,  "&amp;"
       s.sysguid,  (CASE WHEN ExchangeRate = 0 THEN CONVERT(VARCHAR(20),ROUND(ExchangeRate,6))  "&amp;"ELSE (CASE WHEN 1/ExchangeRate &gt; 10000 THEN '1/' + CONVERT(VARCHAR(20), ROUND(1/ExchangeRate,6)) ELSE CONVERT(VARCHAR(20), ROUND(ExchangeRate,6)) END) END) AS ExchangeRate,  "&amp;"
       s.Approved, s.Approved2 
       FROM BankTransactions s 
       INNER JOIN cicmpy ci ON s.CreditorNumber = ci.crdnr AND s.CreditorNumber IS NOT NULL         "&amp;"    
       LEFT OUTER JOIN
               (SELECT MatchID, ROUND(SUM(ROUND(ISNULL(AmountDC,0),2)),2) AS AmountDC, 
               ROUND(SUM(ROUND(ISNULL(AmountTC,0),2)),2) AS AmountTC  FROM BankTransactions w  "&amp;"
               WHERE w.Type = 'W' AND w.Status IN ('C','A','P','J') 
               AND ISNULL(w.ReportingDate,w.InvoiceDate) &lt;= {d '"&amp;TEXT(B4,"rrrr-mm-dd")&amp;"'} "&amp;"
               AND w.EntryNumber IS NOT NULL 
               GROUP BY MatchID  "&amp;"
               HAVING MatchID IS NOT NULL ) AS W2 ON W2.MatchID = S.ID  "&amp;"
       WHERE s.Type='S' AND s.Status = 'J'  "&amp;"
       AND s.CreditorNumber IS NOT NULL 
       AND ROUND(s.AmountDC,2) &lt;&gt; 0 
       AND ROUND((ISNULL(s.AmountDC, 0) - ISNULL(W2.AmountDC, 0)),2) &lt;&gt; 0  "&amp;"
 AND s.ReportingDate &lt;= {d '"&amp;TEXT(B4,"rrrr-mm-dd")&amp;"'}
)) bt  "&amp;"
 INNER JOIN cicmpy ci on bt.CreditorNumber= ci.crdnr AND bt.CreditorNumber IS NOT NULL  "&amp;"
 LEFT OUTER JOIN addresses addr on ci.cmp_wwn = addr.account AND addr.Type = 'INV' 
 LEFT OUTER JOIN classifications cc ON ci.ClassificationId = cc.ClassificationID "&amp;"
 LEFT OUTER JOIN cicntp cp ON cp.cnt_id=ci.cnt_id  "&amp;"
 WHERE ci.crdcode IS NOT NULL "&amp;" 
 AND (ci.cmp_type = 'S') AND ci.cmp_fctry = 'PL' 
 AND ISNULL(ISNULL(bt.ReportingDate,bt.InvoiceDate),bt.Valuedate) &lt;= {d '"&amp;TEXT(B4,"rrrr-mm-dd")&amp;"'} "&amp;"
 AND (bt.CreditorNumber IS NULL OR bt.CreditorNumber NOT IN ('000002')) 
 "&amp;"
 ORDER BY CreditorNumber, ci.cmp_name"</f>
        <v>SELECT CreditorNumber AS 'Creditor No', ci.cmp_name AS 'Creditor name',  
(CASE WHEN bt.Type = 'S' THEN bt.ValueDate ELSE bt.InvoiceDate END) AS 'Invoice Date', bt.DueDate AS 'Due Date', bt.ReportingDate AS 'Reporting Date', 
bt.SupplierInvoiceNumber As 'Invoice No', 
ROUND((CASE WHEN DATEDIFF(dd, bt.DueDate, {d '2020-12-31'} ) &lt; 0 AND bt.Type = 'W'  THEN -bt.AmountDC 
ELSE (CASE WHEN DATEDIFF(dd, bt.ValueDate, {d '2020-12-31'} ) &lt; 0 AND bt.Type = 'S'       THEN bt.AmountDC ELSE NULL END ) END ) , 2) AS NotDue,  
 ROUND((CASE WHEN DATEDIFF(dd, bt.DueDate, {d  '2020-12-31'} ) BETWEEN 0 AND 30 AND bt.Type = 'W' THEN -bt.AmountDC  ELSE (CASE WHEN DATEDIFF(dd, bt.ValueDate, {d  '2020-12-31'} ) BETWEEN 0 AND 30 AND bt.Type = 'S' THEN bt.AmountDC ELSE NULL END ) END ) , 2) AS '0-30',  
 ROUND((CASE WHEN DATEDIFF(dd, bt.DueDate, {d  '2020-12-31'} ) BETWEEN 31 AND 60 AND bt.Type = 'W' THEN -bt.AmountDC  ELSE (CASE WHEN DATEDIFF(dd, bt.ValueDate, {d  '2020-12-31'} ) BETWEEN 31 AND 60 AND bt.Type = 'S' THEN bt.AmountDC ELSE NULL END ) END ) , 2) AS '31-60',  
ROUND((CASE WHEN DATEDIFF(dd, bt.DueDate, {d  '2020-12-31'} ) BETWEEN 61 AND 90 AND bt.Type = 'W' THEN -bt.AmountDC  ELSE (CASE WHEN DATEDIFF(dd, bt.ValueDate, {d  '2020-12-31'} ) BETWEEN 61 AND 90 AND bt.Type = 'S' THEN bt.AmountDC ELSE NULL END ) END ) , 2) AS '61-90',  
ROUND((CASE WHEN DATEDIFF(dd, bt.DueDate, {d  '2020-12-31'} ) BETWEEN 91 AND 180 AND bt.Type = 'W' THEN -bt.AmountDC  ELSE (CASE WHEN DATEDIFF(dd, bt.ValueDate, {d  '2020-12-31'} ) BETWEEN 91 AND 180 AND bt.Type = 'S' THEN bt.AmountDC ELSE NULL END ) END ) , 2) AS '91-180',  
ROUND((CASE WHEN DATEDIFF(dd, bt.DueDate, {d  '2020-12-31'} ) BETWEEN 181 AND 360 AND bt.Type = 'W' THEN -bt.AmountDC  ELSE (CASE WHEN DATEDIFF(dd, bt.ValueDate, {d  '2020-12-31'} ) BETWEEN 181 AND 360 AND bt.Type = 'S' THEN bt.AmountDC ELSE NULL END ) END ) , 2) AS '181-360',  
ROUND((CASE WHEN DATEDIFF(dd, bt.DueDate, {d  '2020-12-31'} ) &gt; 360 AND bt.Type = 'W' THEN -bt.AmountDC  ELSE (CASE WHEN DATEDIFF(dd, bt.ValueDate, {d  '2020-12-31'} ) &gt; 360 AND bt.Type = 'S' THEN bt.AmountDC ELSE NULL END ) END ) , 2) AS '&gt;360',   
(CASE WHEN bt.Type = 'W' THEN -bt.AmountDC ELSE bt.AmountDC END ) AS 'Amount in PLN', 
 bt.TCCode As 'Curr.', (CASE WHEN bt.Type = 'W' THEN -bt.AmountTC ELSE bt.AmountTC END ) AS 'Amount in curr.',  
 bt.ExchangeRate As 'Exchange Rate', bt.Description, bt.EntryNumber, bt.OffsetLedgerAccountNumber As 'Account', (DATEDIFF(dd, ISNULL(bt.DueDate,bt.ValueDate), {d  '2020-12-31'})) AS Age,  
 ci.vatnumber AS VatNumber, ci.cmp_fctry AS Country 
FROM (( 
       -- W Terms  
       SELECT '' AS Empty, bt.ID, DebtorNumber, CreditorNumber, ValueDate, AmountDC, AmountTC,  
               ProcessingDate, InvoiceDate, ReportingDate, Type, OffSetName, PaymentType, SupplierInvoiceNumber,  
               CAST(Description AS VARCHAR(400)) AS Description, TransactionType, OffsetReference,  
               OffSetLedgerAccountNumber, bt.Blocked, DocumentID, OrderNumber, InvoiceNumber,  
               DueDate, TcCode, bt.Status, bt.MatchID, BatchNumber, OwnBankAccount, EntryNumber, bt.LedgerAccount,  
               bt.sysguid, (CASE WHEN ExchangeRate = 0 THEN CONVERT(VARCHAR(20),ROUND(ExchangeRate,6))  ELSE (CASE WHEN 1/ExchangeRate &gt; 10000 THEN '1/' + CONVERT(VARCHAR(20), ROUND(1/ExchangeRate,6)) ELSE CONVERT(VARCHAR(20), ROUND(ExchangeRate,6)) END) END) AS ExchangeRate, 
               bt.Approved, bt.Approved2 
       FROM BankTransactions bt  
       LEFT OUTER JOIN (
               SELECT HS.ID, HS.StatementType  
               FROM BankTransactions HS 
               WHERE HS.Type = 'S' AND HS.Status = 'J' 
               AND HS.CreditorNumber IS NOT NULL  
               AND (  
                   (ISNULL(HS.StatementType, '') &lt;&gt; 'F' AND HS.ReportingDate &lt;= {d '2020-12-31'}) 
                   OR HS.StatementType = 'F')
                   ) 
       AS HS ON bt.MatchID = HS.ID  
       LEFT OUTER JOIN (
           SELECT MatchID FROM BankTransactions W 
               WHERE W.Type = 'W' AND W.Status &lt;&gt; 'V' AND W.MatchID IS NOT NULL 
                   AND W.CreditorNumber IS NOT NULL 
               AND ISNULL(W.ReportingDate,W.InvoiceDate) &gt; {d '2020-12-31'} 
               GROUP BY MatchID 
       ) AS HW ON bt.MatchID = HW.MatchID AND HS.StatementType = 'F' 
       INNER JOIN cicmpy ci on bt.CreditorNumber = ci.crdnr AND bt.CreditorNumber IS NOT NULL  
       WHERE Type = 'W' AND bt.Status IN ('C','A','P','J')  AND EntryNumber IS NOT NULL  
       AND CreditorNumber IS NOT NULL AND ROUND(AmountDC,2) &lt;&gt; 0  
       AND ISNULL(ReportingDate, InvoiceDate) &lt;= {d '2020-12-31'} 
       AND (HS.ID IS NULL OR (HS.ID IS NOT NULL AND HW.MatchID IS NOT NULL)) 
  UNION ALL 
       -- S Terms
       SELECT '' AS Empty, s.ID, s.DebtorNumber, s.CreditorNumber, s.ValueDate,        (ISNULL(s.AmountDC,0) - ISNULL(W2.AmountDC,0)) AS AmountDC,        (ISNULL(s.AmountTC,0) - ISNULL(W2.AmountTC,0)) AS AmountTC,  
       s.ProcessingDate, s.InvoiceDate, s.ReportingDate, s.Type, s.OffSetName, s.PaymentType, s.SupplierInvoiceNumber,   
       CAST(s.Description AS VARCHAR(400)) AS Description , s.TransactionType, s.OffsetReference,  
       s.OffSetLedgerAccountNumber, s.Blocked, s.DocumentID, s.OrderNumber,  
       ISNULL(s.InvoiceNumber, '') AS InvoiceNumber 
       , s.DueDate, s.TCCode, s.Status , s.MatchID, s.BatchNumber, s.OwnBankAccount, s.EntryNumber,  s.LedgerAccount,  
       s.sysguid,  (CASE WHEN ExchangeRate = 0 THEN CONVERT(VARCHAR(20),ROUND(ExchangeRate,6))  ELSE (CASE WHEN 1/ExchangeRate &gt; 10000 THEN '1/' + CONVERT(VARCHAR(20), ROUND(1/ExchangeRate,6)) ELSE CONVERT(VARCHAR(20), ROUND(ExchangeRate,6)) END) END) AS ExchangeRate,  
       s.Approved, s.Approved2 
       FROM BankTransactions s 
       INNER JOIN cicmpy ci ON s.CreditorNumber = ci.crdnr AND s.CreditorNumber IS NOT NULL             
       LEFT OUTER JOIN
               (SELECT MatchID, ROUND(SUM(ROUND(ISNULL(AmountDC,0),2)),2) AS AmountDC, 
               ROUND(SUM(ROUND(ISNULL(AmountTC,0),2)),2) AS AmountTC  FROM BankTransactions w  
               WHERE w.Type = 'W' AND w.Status IN ('C','A','P','J') 
               AND ISNULL(w.ReportingDate,w.InvoiceDate) &lt;= {d '2020-12-31'} 
               AND w.EntryNumber IS NOT NULL 
               GROUP BY MatchID  
               HAVING MatchID IS NOT NULL ) AS W2 ON W2.MatchID = S.ID  
       WHERE s.Type='S' AND s.Status = 'J'  
       AND s.CreditorNumber IS NOT NULL 
       AND ROUND(s.AmountDC,2) &lt;&gt; 0 
       AND ROUND((ISNULL(s.AmountDC, 0) - ISNULL(W2.AmountDC, 0)),2) &lt;&gt; 0  
 AND s.ReportingDate &lt;= {d '2020-12-31'}
)) bt  
 INNER JOIN cicmpy ci on bt.CreditorNumber= ci.crdnr AND bt.CreditorNumber IS NOT NULL  
 LEFT OUTER JOIN addresses addr on ci.cmp_wwn = addr.account AND addr.Type = 'INV' 
 LEFT OUTER JOIN classifications cc ON ci.ClassificationId = cc.ClassificationID 
 LEFT OUTER JOIN cicntp cp ON cp.cnt_id=ci.cnt_id  
 WHERE ci.crdcode IS NOT NULL  
 AND (ci.cmp_type = 'S') AND ci.cmp_fctry = 'PL' 
 AND ISNULL(ISNULL(bt.ReportingDate,bt.InvoiceDate),bt.Valuedate) &lt;= {d '2020-12-31'} 
 AND (bt.CreditorNumber IS NULL OR bt.CreditorNumber NOT IN ('000002')) 
 ORDER BY CreditorNumber, ci.cmp_name</v>
      </c>
    </row>
    <row r="8" spans="2:22" x14ac:dyDescent="0.3">
      <c r="B8" t="s">
        <v>12289</v>
      </c>
      <c r="C8" t="s">
        <v>12290</v>
      </c>
      <c r="D8" t="s">
        <v>12291</v>
      </c>
      <c r="E8" t="s">
        <v>1</v>
      </c>
      <c r="F8" t="s">
        <v>12292</v>
      </c>
      <c r="G8" s="18" t="s">
        <v>12293</v>
      </c>
      <c r="H8" t="s">
        <v>10083</v>
      </c>
    </row>
    <row r="9" spans="2:22" x14ac:dyDescent="0.3">
      <c r="G9"/>
      <c r="H9" s="18"/>
    </row>
    <row r="10" spans="2:22" x14ac:dyDescent="0.3">
      <c r="G10"/>
      <c r="H10" s="18"/>
    </row>
    <row r="11" spans="2:22" x14ac:dyDescent="0.3">
      <c r="G11"/>
      <c r="H11" s="18"/>
    </row>
    <row r="12" spans="2:22" x14ac:dyDescent="0.3">
      <c r="G12"/>
      <c r="H12" s="18"/>
    </row>
    <row r="13" spans="2:22" x14ac:dyDescent="0.3">
      <c r="G13"/>
      <c r="H13" s="18"/>
    </row>
    <row r="14" spans="2:22" x14ac:dyDescent="0.3">
      <c r="G14"/>
      <c r="H14" s="18"/>
    </row>
    <row r="15" spans="2:22" x14ac:dyDescent="0.3">
      <c r="G15"/>
      <c r="H15" s="18"/>
    </row>
    <row r="16" spans="2:22" x14ac:dyDescent="0.3">
      <c r="G16"/>
      <c r="H16" s="18"/>
    </row>
    <row r="17" spans="7:8" x14ac:dyDescent="0.3">
      <c r="G17"/>
      <c r="H17" s="18"/>
    </row>
    <row r="18" spans="7:8" x14ac:dyDescent="0.3">
      <c r="G18"/>
      <c r="H18" s="18"/>
    </row>
    <row r="19" spans="7:8" x14ac:dyDescent="0.3">
      <c r="G19"/>
      <c r="H19" s="18"/>
    </row>
    <row r="20" spans="7:8" x14ac:dyDescent="0.3">
      <c r="G20"/>
      <c r="H20" s="18"/>
    </row>
    <row r="21" spans="7:8" x14ac:dyDescent="0.3">
      <c r="G21"/>
      <c r="H21" s="18"/>
    </row>
    <row r="22" spans="7:8" x14ac:dyDescent="0.3">
      <c r="G22"/>
      <c r="H22" s="18"/>
    </row>
    <row r="23" spans="7:8" x14ac:dyDescent="0.3">
      <c r="G23"/>
      <c r="H23" s="18"/>
    </row>
    <row r="24" spans="7:8" x14ac:dyDescent="0.3">
      <c r="G24"/>
      <c r="H24" s="18"/>
    </row>
    <row r="25" spans="7:8" x14ac:dyDescent="0.3">
      <c r="G25"/>
      <c r="H25" s="18"/>
    </row>
    <row r="26" spans="7:8" x14ac:dyDescent="0.3">
      <c r="G26"/>
      <c r="H26" s="18"/>
    </row>
    <row r="27" spans="7:8" x14ac:dyDescent="0.3">
      <c r="G27"/>
      <c r="H27" s="18"/>
    </row>
    <row r="28" spans="7:8" x14ac:dyDescent="0.3">
      <c r="G28"/>
      <c r="H28" s="18"/>
    </row>
    <row r="29" spans="7:8" x14ac:dyDescent="0.3">
      <c r="G29"/>
      <c r="H29" s="18"/>
    </row>
    <row r="30" spans="7:8" x14ac:dyDescent="0.3">
      <c r="G30"/>
      <c r="H30" s="18"/>
    </row>
    <row r="31" spans="7:8" x14ac:dyDescent="0.3">
      <c r="G31"/>
      <c r="H31" s="18"/>
    </row>
    <row r="32" spans="7:8" x14ac:dyDescent="0.3">
      <c r="G32"/>
      <c r="H32" s="18"/>
    </row>
    <row r="33" spans="7:8" x14ac:dyDescent="0.3">
      <c r="G33"/>
      <c r="H33" s="18"/>
    </row>
    <row r="34" spans="7:8" x14ac:dyDescent="0.3">
      <c r="G34"/>
      <c r="H34" s="18"/>
    </row>
    <row r="35" spans="7:8" x14ac:dyDescent="0.3">
      <c r="G35"/>
      <c r="H35" s="18"/>
    </row>
    <row r="36" spans="7:8" x14ac:dyDescent="0.3">
      <c r="G36"/>
      <c r="H36" s="18"/>
    </row>
    <row r="37" spans="7:8" x14ac:dyDescent="0.3">
      <c r="G37"/>
      <c r="H37" s="18"/>
    </row>
    <row r="38" spans="7:8" x14ac:dyDescent="0.3">
      <c r="G38"/>
      <c r="H38" s="18"/>
    </row>
    <row r="39" spans="7:8" x14ac:dyDescent="0.3">
      <c r="G39"/>
      <c r="H39" s="18"/>
    </row>
    <row r="40" spans="7:8" x14ac:dyDescent="0.3">
      <c r="G40"/>
      <c r="H40" s="18"/>
    </row>
    <row r="41" spans="7:8" x14ac:dyDescent="0.3">
      <c r="G41"/>
      <c r="H41" s="18"/>
    </row>
    <row r="42" spans="7:8" x14ac:dyDescent="0.3">
      <c r="G42"/>
      <c r="H42" s="18"/>
    </row>
    <row r="43" spans="7:8" x14ac:dyDescent="0.3">
      <c r="G43"/>
      <c r="H43" s="18"/>
    </row>
    <row r="44" spans="7:8" x14ac:dyDescent="0.3">
      <c r="G44"/>
      <c r="H44" s="18"/>
    </row>
    <row r="45" spans="7:8" x14ac:dyDescent="0.3">
      <c r="G45"/>
      <c r="H45" s="18"/>
    </row>
    <row r="46" spans="7:8" x14ac:dyDescent="0.3">
      <c r="G46"/>
      <c r="H46" s="18"/>
    </row>
    <row r="47" spans="7:8" x14ac:dyDescent="0.3">
      <c r="G47"/>
      <c r="H47" s="18"/>
    </row>
    <row r="48" spans="7:8" x14ac:dyDescent="0.3">
      <c r="G48"/>
      <c r="H48" s="18"/>
    </row>
    <row r="49" spans="7:8" x14ac:dyDescent="0.3">
      <c r="G49"/>
      <c r="H49" s="18"/>
    </row>
    <row r="50" spans="7:8" x14ac:dyDescent="0.3">
      <c r="G50"/>
      <c r="H50" s="18"/>
    </row>
    <row r="51" spans="7:8" x14ac:dyDescent="0.3">
      <c r="G51"/>
      <c r="H51" s="18"/>
    </row>
    <row r="52" spans="7:8" x14ac:dyDescent="0.3">
      <c r="G52"/>
      <c r="H52" s="18"/>
    </row>
    <row r="53" spans="7:8" x14ac:dyDescent="0.3">
      <c r="G53"/>
      <c r="H53" s="18"/>
    </row>
    <row r="54" spans="7:8" x14ac:dyDescent="0.3">
      <c r="G54"/>
      <c r="H54" s="18"/>
    </row>
    <row r="55" spans="7:8" x14ac:dyDescent="0.3">
      <c r="G55"/>
      <c r="H55" s="18"/>
    </row>
    <row r="56" spans="7:8" x14ac:dyDescent="0.3">
      <c r="G56"/>
      <c r="H56" s="18"/>
    </row>
    <row r="57" spans="7:8" x14ac:dyDescent="0.3">
      <c r="G57"/>
      <c r="H57" s="18"/>
    </row>
    <row r="58" spans="7:8" x14ac:dyDescent="0.3">
      <c r="G58"/>
      <c r="H58" s="18"/>
    </row>
    <row r="59" spans="7:8" x14ac:dyDescent="0.3">
      <c r="G59"/>
      <c r="H59" s="18"/>
    </row>
    <row r="60" spans="7:8" x14ac:dyDescent="0.3">
      <c r="G60"/>
      <c r="H60" s="18"/>
    </row>
    <row r="61" spans="7:8" x14ac:dyDescent="0.3">
      <c r="G61"/>
      <c r="H61" s="18"/>
    </row>
    <row r="62" spans="7:8" x14ac:dyDescent="0.3">
      <c r="G62"/>
      <c r="H62" s="18"/>
    </row>
    <row r="63" spans="7:8" x14ac:dyDescent="0.3">
      <c r="G63"/>
      <c r="H63" s="18"/>
    </row>
    <row r="64" spans="7:8" x14ac:dyDescent="0.3">
      <c r="G64"/>
      <c r="H64" s="18"/>
    </row>
    <row r="65" spans="7:8" x14ac:dyDescent="0.3">
      <c r="G65"/>
      <c r="H65" s="18"/>
    </row>
    <row r="66" spans="7:8" x14ac:dyDescent="0.3">
      <c r="G66"/>
      <c r="H66" s="18"/>
    </row>
    <row r="67" spans="7:8" x14ac:dyDescent="0.3">
      <c r="G67"/>
      <c r="H67" s="18"/>
    </row>
    <row r="68" spans="7:8" x14ac:dyDescent="0.3">
      <c r="G68"/>
      <c r="H68" s="18"/>
    </row>
    <row r="69" spans="7:8" x14ac:dyDescent="0.3">
      <c r="G69"/>
      <c r="H69" s="18"/>
    </row>
    <row r="70" spans="7:8" x14ac:dyDescent="0.3">
      <c r="G70"/>
      <c r="H70" s="18"/>
    </row>
    <row r="71" spans="7:8" x14ac:dyDescent="0.3">
      <c r="G71"/>
      <c r="H71" s="18"/>
    </row>
    <row r="72" spans="7:8" x14ac:dyDescent="0.3">
      <c r="G72"/>
      <c r="H72" s="18"/>
    </row>
    <row r="73" spans="7:8" x14ac:dyDescent="0.3">
      <c r="G73"/>
      <c r="H73" s="18"/>
    </row>
    <row r="74" spans="7:8" x14ac:dyDescent="0.3">
      <c r="G74"/>
      <c r="H74" s="18"/>
    </row>
    <row r="75" spans="7:8" x14ac:dyDescent="0.3">
      <c r="G75"/>
      <c r="H75" s="18"/>
    </row>
    <row r="76" spans="7:8" x14ac:dyDescent="0.3">
      <c r="G76"/>
      <c r="H76" s="18"/>
    </row>
    <row r="77" spans="7:8" x14ac:dyDescent="0.3">
      <c r="G77"/>
      <c r="H77" s="18"/>
    </row>
    <row r="78" spans="7:8" x14ac:dyDescent="0.3">
      <c r="G78"/>
      <c r="H78" s="18"/>
    </row>
    <row r="79" spans="7:8" x14ac:dyDescent="0.3">
      <c r="G79"/>
      <c r="H79" s="18"/>
    </row>
    <row r="80" spans="7:8" x14ac:dyDescent="0.3">
      <c r="G80"/>
      <c r="H80" s="18"/>
    </row>
    <row r="81" spans="7:8" x14ac:dyDescent="0.3">
      <c r="G81"/>
      <c r="H81" s="18"/>
    </row>
    <row r="82" spans="7:8" x14ac:dyDescent="0.3">
      <c r="G82"/>
      <c r="H82" s="18"/>
    </row>
    <row r="83" spans="7:8" x14ac:dyDescent="0.3">
      <c r="G83"/>
      <c r="H83" s="18"/>
    </row>
    <row r="84" spans="7:8" x14ac:dyDescent="0.3">
      <c r="G84"/>
      <c r="H84" s="18"/>
    </row>
    <row r="85" spans="7:8" x14ac:dyDescent="0.3">
      <c r="G85"/>
      <c r="H85" s="18"/>
    </row>
    <row r="86" spans="7:8" x14ac:dyDescent="0.3">
      <c r="G86"/>
      <c r="H86" s="18"/>
    </row>
    <row r="87" spans="7:8" x14ac:dyDescent="0.3">
      <c r="G87"/>
      <c r="H87" s="18"/>
    </row>
    <row r="88" spans="7:8" x14ac:dyDescent="0.3">
      <c r="G88"/>
      <c r="H88" s="18"/>
    </row>
    <row r="89" spans="7:8" x14ac:dyDescent="0.3">
      <c r="G89"/>
      <c r="H89" s="18"/>
    </row>
    <row r="90" spans="7:8" x14ac:dyDescent="0.3">
      <c r="G90"/>
      <c r="H90" s="18"/>
    </row>
    <row r="91" spans="7:8" x14ac:dyDescent="0.3">
      <c r="G91"/>
      <c r="H91" s="18"/>
    </row>
    <row r="92" spans="7:8" x14ac:dyDescent="0.3">
      <c r="G92"/>
      <c r="H92" s="18"/>
    </row>
    <row r="93" spans="7:8" x14ac:dyDescent="0.3">
      <c r="G93"/>
      <c r="H93" s="18"/>
    </row>
    <row r="94" spans="7:8" x14ac:dyDescent="0.3">
      <c r="G94"/>
      <c r="H94" s="18"/>
    </row>
    <row r="95" spans="7:8" x14ac:dyDescent="0.3">
      <c r="G95"/>
      <c r="H95" s="18"/>
    </row>
    <row r="96" spans="7:8" x14ac:dyDescent="0.3">
      <c r="G96"/>
      <c r="H96" s="18"/>
    </row>
    <row r="97" spans="7:8" x14ac:dyDescent="0.3">
      <c r="G97"/>
      <c r="H97" s="18"/>
    </row>
    <row r="98" spans="7:8" x14ac:dyDescent="0.3">
      <c r="G98"/>
      <c r="H98" s="18"/>
    </row>
    <row r="99" spans="7:8" x14ac:dyDescent="0.3">
      <c r="G99"/>
      <c r="H99" s="18"/>
    </row>
    <row r="100" spans="7:8" x14ac:dyDescent="0.3">
      <c r="G100"/>
      <c r="H100" s="18"/>
    </row>
    <row r="101" spans="7:8" x14ac:dyDescent="0.3">
      <c r="G101"/>
      <c r="H101" s="18"/>
    </row>
    <row r="102" spans="7:8" x14ac:dyDescent="0.3">
      <c r="G102"/>
      <c r="H102" s="18"/>
    </row>
    <row r="103" spans="7:8" x14ac:dyDescent="0.3">
      <c r="G103"/>
      <c r="H103" s="18"/>
    </row>
    <row r="104" spans="7:8" x14ac:dyDescent="0.3">
      <c r="G104"/>
      <c r="H104" s="18"/>
    </row>
    <row r="105" spans="7:8" x14ac:dyDescent="0.3">
      <c r="G105"/>
      <c r="H105" s="18"/>
    </row>
    <row r="106" spans="7:8" x14ac:dyDescent="0.3">
      <c r="G106"/>
      <c r="H106" s="18"/>
    </row>
    <row r="107" spans="7:8" x14ac:dyDescent="0.3">
      <c r="G107"/>
      <c r="H107" s="18"/>
    </row>
    <row r="108" spans="7:8" x14ac:dyDescent="0.3">
      <c r="G108"/>
      <c r="H108" s="18"/>
    </row>
    <row r="109" spans="7:8" x14ac:dyDescent="0.3">
      <c r="G109"/>
      <c r="H109" s="18"/>
    </row>
    <row r="110" spans="7:8" x14ac:dyDescent="0.3">
      <c r="G110"/>
      <c r="H110" s="18"/>
    </row>
    <row r="111" spans="7:8" x14ac:dyDescent="0.3">
      <c r="G111"/>
      <c r="H111" s="18"/>
    </row>
    <row r="112" spans="7:8" x14ac:dyDescent="0.3">
      <c r="G112"/>
      <c r="H112" s="18"/>
    </row>
    <row r="113" spans="7:8" x14ac:dyDescent="0.3">
      <c r="G113"/>
      <c r="H113" s="18"/>
    </row>
    <row r="114" spans="7:8" x14ac:dyDescent="0.3">
      <c r="G114"/>
      <c r="H114" s="18"/>
    </row>
    <row r="115" spans="7:8" x14ac:dyDescent="0.3">
      <c r="G115"/>
      <c r="H115" s="18"/>
    </row>
    <row r="116" spans="7:8" x14ac:dyDescent="0.3">
      <c r="G116"/>
      <c r="H116" s="18"/>
    </row>
    <row r="117" spans="7:8" x14ac:dyDescent="0.3">
      <c r="G117"/>
      <c r="H117" s="18"/>
    </row>
    <row r="118" spans="7:8" x14ac:dyDescent="0.3">
      <c r="G118"/>
      <c r="H118" s="18"/>
    </row>
    <row r="119" spans="7:8" x14ac:dyDescent="0.3">
      <c r="G119"/>
      <c r="H119" s="18"/>
    </row>
    <row r="120" spans="7:8" x14ac:dyDescent="0.3">
      <c r="G120"/>
      <c r="H120" s="18"/>
    </row>
    <row r="121" spans="7:8" x14ac:dyDescent="0.3">
      <c r="G121"/>
      <c r="H121" s="18"/>
    </row>
    <row r="122" spans="7:8" x14ac:dyDescent="0.3">
      <c r="G122"/>
      <c r="H122" s="18"/>
    </row>
    <row r="123" spans="7:8" x14ac:dyDescent="0.3">
      <c r="G123"/>
      <c r="H123" s="18"/>
    </row>
    <row r="124" spans="7:8" x14ac:dyDescent="0.3">
      <c r="G124"/>
      <c r="H124" s="18"/>
    </row>
    <row r="125" spans="7:8" x14ac:dyDescent="0.3">
      <c r="G125"/>
      <c r="H125" s="18"/>
    </row>
    <row r="126" spans="7:8" x14ac:dyDescent="0.3">
      <c r="G126"/>
      <c r="H126" s="18"/>
    </row>
    <row r="127" spans="7:8" x14ac:dyDescent="0.3">
      <c r="G127"/>
      <c r="H127" s="18"/>
    </row>
    <row r="128" spans="7:8" x14ac:dyDescent="0.3">
      <c r="G128"/>
      <c r="H128" s="18"/>
    </row>
    <row r="129" spans="7:8" x14ac:dyDescent="0.3">
      <c r="G129"/>
      <c r="H129" s="18"/>
    </row>
    <row r="130" spans="7:8" x14ac:dyDescent="0.3">
      <c r="G130"/>
      <c r="H130" s="18"/>
    </row>
    <row r="131" spans="7:8" x14ac:dyDescent="0.3">
      <c r="G131"/>
      <c r="H131" s="18"/>
    </row>
    <row r="132" spans="7:8" x14ac:dyDescent="0.3">
      <c r="G132"/>
      <c r="H132" s="18"/>
    </row>
    <row r="133" spans="7:8" x14ac:dyDescent="0.3">
      <c r="G133"/>
      <c r="H133" s="18"/>
    </row>
    <row r="134" spans="7:8" x14ac:dyDescent="0.3">
      <c r="G134"/>
      <c r="H134" s="18"/>
    </row>
    <row r="135" spans="7:8" x14ac:dyDescent="0.3">
      <c r="G135"/>
      <c r="H135" s="18"/>
    </row>
    <row r="136" spans="7:8" x14ac:dyDescent="0.3">
      <c r="G136"/>
      <c r="H136" s="18"/>
    </row>
    <row r="137" spans="7:8" x14ac:dyDescent="0.3">
      <c r="G137"/>
      <c r="H137" s="18"/>
    </row>
    <row r="138" spans="7:8" x14ac:dyDescent="0.3">
      <c r="G138"/>
      <c r="H138" s="18"/>
    </row>
    <row r="139" spans="7:8" x14ac:dyDescent="0.3">
      <c r="G139"/>
      <c r="H139" s="18"/>
    </row>
    <row r="140" spans="7:8" x14ac:dyDescent="0.3">
      <c r="G140"/>
      <c r="H140" s="18"/>
    </row>
    <row r="141" spans="7:8" x14ac:dyDescent="0.3">
      <c r="G141"/>
      <c r="H141" s="18"/>
    </row>
    <row r="142" spans="7:8" x14ac:dyDescent="0.3">
      <c r="G142"/>
      <c r="H142" s="18"/>
    </row>
    <row r="143" spans="7:8" x14ac:dyDescent="0.3">
      <c r="G143"/>
      <c r="H143" s="18"/>
    </row>
    <row r="144" spans="7:8" x14ac:dyDescent="0.3">
      <c r="G144"/>
      <c r="H144" s="18"/>
    </row>
    <row r="145" spans="7:8" x14ac:dyDescent="0.3">
      <c r="G145"/>
      <c r="H145" s="18"/>
    </row>
    <row r="146" spans="7:8" x14ac:dyDescent="0.3">
      <c r="G146"/>
      <c r="H146" s="18"/>
    </row>
    <row r="147" spans="7:8" x14ac:dyDescent="0.3">
      <c r="G147"/>
      <c r="H147" s="18"/>
    </row>
    <row r="148" spans="7:8" x14ac:dyDescent="0.3">
      <c r="G148"/>
      <c r="H148" s="18"/>
    </row>
    <row r="149" spans="7:8" x14ac:dyDescent="0.3">
      <c r="G149"/>
      <c r="H149" s="18"/>
    </row>
    <row r="150" spans="7:8" x14ac:dyDescent="0.3">
      <c r="G150"/>
      <c r="H150" s="18"/>
    </row>
    <row r="151" spans="7:8" x14ac:dyDescent="0.3">
      <c r="G151"/>
      <c r="H151" s="18"/>
    </row>
    <row r="152" spans="7:8" x14ac:dyDescent="0.3">
      <c r="G152"/>
      <c r="H152" s="18"/>
    </row>
    <row r="153" spans="7:8" x14ac:dyDescent="0.3">
      <c r="G153"/>
      <c r="H153" s="18"/>
    </row>
    <row r="154" spans="7:8" x14ac:dyDescent="0.3">
      <c r="G154"/>
      <c r="H154" s="18"/>
    </row>
    <row r="155" spans="7:8" x14ac:dyDescent="0.3">
      <c r="G155"/>
      <c r="H155" s="18"/>
    </row>
    <row r="156" spans="7:8" x14ac:dyDescent="0.3">
      <c r="G156"/>
      <c r="H156" s="18"/>
    </row>
    <row r="157" spans="7:8" x14ac:dyDescent="0.3">
      <c r="G157"/>
      <c r="H157" s="18"/>
    </row>
    <row r="158" spans="7:8" x14ac:dyDescent="0.3">
      <c r="G158"/>
      <c r="H158" s="18"/>
    </row>
    <row r="159" spans="7:8" x14ac:dyDescent="0.3">
      <c r="G159"/>
      <c r="H159" s="18"/>
    </row>
    <row r="160" spans="7:8" x14ac:dyDescent="0.3">
      <c r="G160"/>
      <c r="H160" s="18"/>
    </row>
    <row r="161" spans="7:8" x14ac:dyDescent="0.3">
      <c r="G161"/>
      <c r="H161" s="18"/>
    </row>
    <row r="162" spans="7:8" x14ac:dyDescent="0.3">
      <c r="G162"/>
      <c r="H162" s="18"/>
    </row>
    <row r="163" spans="7:8" x14ac:dyDescent="0.3">
      <c r="G163"/>
      <c r="H163" s="18"/>
    </row>
    <row r="164" spans="7:8" x14ac:dyDescent="0.3">
      <c r="G164"/>
      <c r="H164" s="18"/>
    </row>
    <row r="165" spans="7:8" x14ac:dyDescent="0.3">
      <c r="G165"/>
      <c r="H165" s="18"/>
    </row>
    <row r="166" spans="7:8" x14ac:dyDescent="0.3">
      <c r="G166"/>
      <c r="H166" s="18"/>
    </row>
    <row r="167" spans="7:8" x14ac:dyDescent="0.3">
      <c r="G167"/>
      <c r="H167" s="18"/>
    </row>
    <row r="168" spans="7:8" x14ac:dyDescent="0.3">
      <c r="G168"/>
      <c r="H168" s="18"/>
    </row>
    <row r="169" spans="7:8" x14ac:dyDescent="0.3">
      <c r="G169"/>
      <c r="H169" s="18"/>
    </row>
    <row r="170" spans="7:8" x14ac:dyDescent="0.3">
      <c r="G170"/>
      <c r="H170" s="18"/>
    </row>
    <row r="171" spans="7:8" x14ac:dyDescent="0.3">
      <c r="G171"/>
      <c r="H171" s="18"/>
    </row>
    <row r="172" spans="7:8" x14ac:dyDescent="0.3">
      <c r="G172"/>
      <c r="H172" s="18"/>
    </row>
    <row r="173" spans="7:8" x14ac:dyDescent="0.3">
      <c r="G173"/>
      <c r="H173" s="18"/>
    </row>
    <row r="174" spans="7:8" x14ac:dyDescent="0.3">
      <c r="G174"/>
      <c r="H174" s="18"/>
    </row>
    <row r="175" spans="7:8" x14ac:dyDescent="0.3">
      <c r="G175"/>
      <c r="H175" s="18"/>
    </row>
    <row r="176" spans="7:8" x14ac:dyDescent="0.3">
      <c r="G176"/>
      <c r="H176" s="18"/>
    </row>
    <row r="177" spans="7:8" x14ac:dyDescent="0.3">
      <c r="G177"/>
      <c r="H177" s="18"/>
    </row>
    <row r="178" spans="7:8" x14ac:dyDescent="0.3">
      <c r="G178"/>
      <c r="H178" s="18"/>
    </row>
    <row r="179" spans="7:8" x14ac:dyDescent="0.3">
      <c r="G179"/>
      <c r="H179" s="18"/>
    </row>
    <row r="180" spans="7:8" x14ac:dyDescent="0.3">
      <c r="G180"/>
      <c r="H180" s="18"/>
    </row>
    <row r="181" spans="7:8" x14ac:dyDescent="0.3">
      <c r="G181"/>
      <c r="H181" s="18"/>
    </row>
    <row r="182" spans="7:8" x14ac:dyDescent="0.3">
      <c r="G182"/>
      <c r="H182" s="18"/>
    </row>
    <row r="183" spans="7:8" x14ac:dyDescent="0.3">
      <c r="G183"/>
      <c r="H183" s="18"/>
    </row>
    <row r="184" spans="7:8" x14ac:dyDescent="0.3">
      <c r="G184"/>
      <c r="H184" s="18"/>
    </row>
    <row r="185" spans="7:8" x14ac:dyDescent="0.3">
      <c r="G185"/>
      <c r="H185" s="18"/>
    </row>
    <row r="186" spans="7:8" x14ac:dyDescent="0.3">
      <c r="G186"/>
      <c r="H186" s="18"/>
    </row>
    <row r="187" spans="7:8" x14ac:dyDescent="0.3">
      <c r="G187"/>
      <c r="H187" s="18"/>
    </row>
    <row r="188" spans="7:8" x14ac:dyDescent="0.3">
      <c r="G188"/>
      <c r="H188" s="18"/>
    </row>
    <row r="189" spans="7:8" x14ac:dyDescent="0.3">
      <c r="G189"/>
      <c r="H189" s="18"/>
    </row>
    <row r="190" spans="7:8" x14ac:dyDescent="0.3">
      <c r="G190"/>
      <c r="H190" s="18"/>
    </row>
    <row r="191" spans="7:8" x14ac:dyDescent="0.3">
      <c r="G191"/>
      <c r="H191" s="18"/>
    </row>
    <row r="192" spans="7:8" x14ac:dyDescent="0.3">
      <c r="G192"/>
      <c r="H192" s="18"/>
    </row>
    <row r="193" spans="7:8" x14ac:dyDescent="0.3">
      <c r="G193"/>
      <c r="H193" s="18"/>
    </row>
    <row r="194" spans="7:8" x14ac:dyDescent="0.3">
      <c r="G194"/>
      <c r="H194" s="18"/>
    </row>
    <row r="195" spans="7:8" x14ac:dyDescent="0.3">
      <c r="G195"/>
      <c r="H195" s="18"/>
    </row>
    <row r="196" spans="7:8" x14ac:dyDescent="0.3">
      <c r="G196"/>
      <c r="H196" s="18"/>
    </row>
    <row r="197" spans="7:8" x14ac:dyDescent="0.3">
      <c r="G197"/>
      <c r="H197" s="18"/>
    </row>
    <row r="198" spans="7:8" x14ac:dyDescent="0.3">
      <c r="G198"/>
      <c r="H198" s="18"/>
    </row>
    <row r="199" spans="7:8" x14ac:dyDescent="0.3">
      <c r="G199"/>
      <c r="H199" s="18"/>
    </row>
    <row r="200" spans="7:8" x14ac:dyDescent="0.3">
      <c r="G200"/>
      <c r="H200" s="18"/>
    </row>
    <row r="201" spans="7:8" x14ac:dyDescent="0.3">
      <c r="G201"/>
      <c r="H201" s="18"/>
    </row>
    <row r="202" spans="7:8" x14ac:dyDescent="0.3">
      <c r="G202"/>
      <c r="H202" s="18"/>
    </row>
    <row r="203" spans="7:8" x14ac:dyDescent="0.3">
      <c r="G203"/>
      <c r="H203" s="18"/>
    </row>
    <row r="204" spans="7:8" x14ac:dyDescent="0.3">
      <c r="G204"/>
      <c r="H204" s="18"/>
    </row>
    <row r="205" spans="7:8" x14ac:dyDescent="0.3">
      <c r="G205"/>
      <c r="H205" s="18"/>
    </row>
    <row r="206" spans="7:8" x14ac:dyDescent="0.3">
      <c r="G206"/>
      <c r="H206" s="18"/>
    </row>
    <row r="207" spans="7:8" x14ac:dyDescent="0.3">
      <c r="G207"/>
      <c r="H207" s="18"/>
    </row>
    <row r="208" spans="7:8" x14ac:dyDescent="0.3">
      <c r="G208"/>
      <c r="H208" s="18"/>
    </row>
    <row r="209" spans="7:8" x14ac:dyDescent="0.3">
      <c r="G209"/>
      <c r="H209" s="18"/>
    </row>
    <row r="210" spans="7:8" x14ac:dyDescent="0.3">
      <c r="G210"/>
      <c r="H210" s="18"/>
    </row>
    <row r="211" spans="7:8" x14ac:dyDescent="0.3">
      <c r="G211"/>
      <c r="H211" s="18"/>
    </row>
    <row r="212" spans="7:8" x14ac:dyDescent="0.3">
      <c r="G212"/>
      <c r="H212" s="18"/>
    </row>
    <row r="213" spans="7:8" x14ac:dyDescent="0.3">
      <c r="G213"/>
      <c r="H213" s="18"/>
    </row>
    <row r="214" spans="7:8" x14ac:dyDescent="0.3">
      <c r="G214"/>
      <c r="H214" s="18"/>
    </row>
    <row r="215" spans="7:8" x14ac:dyDescent="0.3">
      <c r="G215"/>
      <c r="H215" s="18"/>
    </row>
    <row r="216" spans="7:8" x14ac:dyDescent="0.3">
      <c r="G216"/>
      <c r="H216" s="18"/>
    </row>
    <row r="217" spans="7:8" x14ac:dyDescent="0.3">
      <c r="G217"/>
      <c r="H217" s="18"/>
    </row>
    <row r="218" spans="7:8" x14ac:dyDescent="0.3">
      <c r="G218"/>
      <c r="H218" s="18"/>
    </row>
    <row r="219" spans="7:8" x14ac:dyDescent="0.3">
      <c r="G219"/>
      <c r="H219" s="18"/>
    </row>
    <row r="220" spans="7:8" x14ac:dyDescent="0.3">
      <c r="G220"/>
      <c r="H220" s="18"/>
    </row>
    <row r="221" spans="7:8" x14ac:dyDescent="0.3">
      <c r="G221"/>
      <c r="H221" s="18"/>
    </row>
    <row r="222" spans="7:8" x14ac:dyDescent="0.3">
      <c r="G222"/>
      <c r="H222" s="18"/>
    </row>
    <row r="223" spans="7:8" x14ac:dyDescent="0.3">
      <c r="G223"/>
      <c r="H223" s="18"/>
    </row>
    <row r="224" spans="7:8" x14ac:dyDescent="0.3">
      <c r="G224"/>
      <c r="H224" s="18"/>
    </row>
    <row r="225" spans="7:8" x14ac:dyDescent="0.3">
      <c r="G225"/>
      <c r="H225" s="18"/>
    </row>
    <row r="226" spans="7:8" x14ac:dyDescent="0.3">
      <c r="G226"/>
      <c r="H226" s="18"/>
    </row>
    <row r="227" spans="7:8" x14ac:dyDescent="0.3">
      <c r="G227"/>
      <c r="H227" s="18"/>
    </row>
    <row r="228" spans="7:8" x14ac:dyDescent="0.3">
      <c r="G228"/>
      <c r="H228" s="18"/>
    </row>
    <row r="229" spans="7:8" x14ac:dyDescent="0.3">
      <c r="G229"/>
      <c r="H229" s="18"/>
    </row>
    <row r="230" spans="7:8" x14ac:dyDescent="0.3">
      <c r="G230"/>
      <c r="H230" s="18"/>
    </row>
    <row r="231" spans="7:8" x14ac:dyDescent="0.3">
      <c r="G231"/>
      <c r="H231" s="18"/>
    </row>
    <row r="232" spans="7:8" x14ac:dyDescent="0.3">
      <c r="G232"/>
      <c r="H232" s="18"/>
    </row>
    <row r="233" spans="7:8" x14ac:dyDescent="0.3">
      <c r="G233"/>
      <c r="H233" s="18"/>
    </row>
    <row r="234" spans="7:8" x14ac:dyDescent="0.3">
      <c r="G234"/>
      <c r="H234" s="18"/>
    </row>
    <row r="235" spans="7:8" x14ac:dyDescent="0.3">
      <c r="G235"/>
      <c r="H235" s="18"/>
    </row>
    <row r="236" spans="7:8" x14ac:dyDescent="0.3">
      <c r="G236"/>
      <c r="H236" s="18"/>
    </row>
    <row r="237" spans="7:8" x14ac:dyDescent="0.3">
      <c r="G237"/>
      <c r="H237" s="18"/>
    </row>
    <row r="238" spans="7:8" x14ac:dyDescent="0.3">
      <c r="G238"/>
      <c r="H238" s="18"/>
    </row>
    <row r="239" spans="7:8" x14ac:dyDescent="0.3">
      <c r="G239"/>
      <c r="H239" s="18"/>
    </row>
    <row r="240" spans="7:8" x14ac:dyDescent="0.3">
      <c r="G240"/>
      <c r="H240" s="18"/>
    </row>
    <row r="241" spans="7:8" x14ac:dyDescent="0.3">
      <c r="G241"/>
      <c r="H241" s="18"/>
    </row>
    <row r="242" spans="7:8" x14ac:dyDescent="0.3">
      <c r="G242"/>
      <c r="H242" s="18"/>
    </row>
    <row r="243" spans="7:8" x14ac:dyDescent="0.3">
      <c r="G243"/>
      <c r="H243" s="18"/>
    </row>
    <row r="244" spans="7:8" x14ac:dyDescent="0.3">
      <c r="G244"/>
      <c r="H244" s="18"/>
    </row>
    <row r="245" spans="7:8" x14ac:dyDescent="0.3">
      <c r="G245"/>
      <c r="H245" s="18"/>
    </row>
    <row r="246" spans="7:8" x14ac:dyDescent="0.3">
      <c r="G246"/>
      <c r="H246" s="18"/>
    </row>
    <row r="247" spans="7:8" x14ac:dyDescent="0.3">
      <c r="G247"/>
      <c r="H247" s="18"/>
    </row>
    <row r="248" spans="7:8" x14ac:dyDescent="0.3">
      <c r="G248"/>
      <c r="H248" s="18"/>
    </row>
    <row r="249" spans="7:8" x14ac:dyDescent="0.3">
      <c r="G249"/>
      <c r="H249" s="18"/>
    </row>
    <row r="250" spans="7:8" x14ac:dyDescent="0.3">
      <c r="G250"/>
      <c r="H250" s="18"/>
    </row>
    <row r="251" spans="7:8" x14ac:dyDescent="0.3">
      <c r="G251"/>
      <c r="H251" s="18"/>
    </row>
    <row r="252" spans="7:8" x14ac:dyDescent="0.3">
      <c r="G252"/>
      <c r="H252" s="18"/>
    </row>
    <row r="253" spans="7:8" x14ac:dyDescent="0.3">
      <c r="G253"/>
      <c r="H253" s="18"/>
    </row>
    <row r="254" spans="7:8" x14ac:dyDescent="0.3">
      <c r="G254"/>
      <c r="H254" s="18"/>
    </row>
    <row r="255" spans="7:8" x14ac:dyDescent="0.3">
      <c r="G255"/>
      <c r="H255" s="18"/>
    </row>
    <row r="256" spans="7:8" x14ac:dyDescent="0.3">
      <c r="G256"/>
      <c r="H256" s="18"/>
    </row>
    <row r="257" spans="7:8" x14ac:dyDescent="0.3">
      <c r="G257"/>
      <c r="H257" s="18"/>
    </row>
    <row r="258" spans="7:8" x14ac:dyDescent="0.3">
      <c r="G258"/>
      <c r="H258" s="18"/>
    </row>
    <row r="259" spans="7:8" x14ac:dyDescent="0.3">
      <c r="G259"/>
      <c r="H259" s="18"/>
    </row>
    <row r="260" spans="7:8" x14ac:dyDescent="0.3">
      <c r="G260"/>
      <c r="H260" s="18"/>
    </row>
    <row r="261" spans="7:8" x14ac:dyDescent="0.3">
      <c r="G261"/>
      <c r="H261" s="18"/>
    </row>
    <row r="262" spans="7:8" x14ac:dyDescent="0.3">
      <c r="G262"/>
      <c r="H262" s="18"/>
    </row>
    <row r="263" spans="7:8" x14ac:dyDescent="0.3">
      <c r="G263"/>
      <c r="H263" s="18"/>
    </row>
    <row r="264" spans="7:8" x14ac:dyDescent="0.3">
      <c r="G264"/>
      <c r="H264" s="18"/>
    </row>
    <row r="265" spans="7:8" x14ac:dyDescent="0.3">
      <c r="G265"/>
      <c r="H265" s="18"/>
    </row>
    <row r="266" spans="7:8" x14ac:dyDescent="0.3">
      <c r="G266"/>
      <c r="H266" s="18"/>
    </row>
    <row r="267" spans="7:8" x14ac:dyDescent="0.3">
      <c r="G267"/>
      <c r="H267" s="18"/>
    </row>
    <row r="268" spans="7:8" x14ac:dyDescent="0.3">
      <c r="G268"/>
      <c r="H268" s="18"/>
    </row>
    <row r="269" spans="7:8" x14ac:dyDescent="0.3">
      <c r="G269"/>
      <c r="H269" s="18"/>
    </row>
    <row r="270" spans="7:8" x14ac:dyDescent="0.3">
      <c r="G270"/>
      <c r="H270" s="18"/>
    </row>
    <row r="271" spans="7:8" x14ac:dyDescent="0.3">
      <c r="G271"/>
      <c r="H271" s="18"/>
    </row>
    <row r="272" spans="7:8" x14ac:dyDescent="0.3">
      <c r="G272"/>
      <c r="H272" s="18"/>
    </row>
    <row r="273" spans="7:8" x14ac:dyDescent="0.3">
      <c r="G273"/>
      <c r="H273" s="18"/>
    </row>
    <row r="274" spans="7:8" x14ac:dyDescent="0.3">
      <c r="G274"/>
      <c r="H274" s="18"/>
    </row>
    <row r="275" spans="7:8" x14ac:dyDescent="0.3">
      <c r="G275"/>
      <c r="H275" s="18"/>
    </row>
    <row r="276" spans="7:8" x14ac:dyDescent="0.3">
      <c r="G276"/>
      <c r="H276" s="18"/>
    </row>
    <row r="277" spans="7:8" x14ac:dyDescent="0.3">
      <c r="G277"/>
      <c r="H277" s="18"/>
    </row>
    <row r="278" spans="7:8" x14ac:dyDescent="0.3">
      <c r="G278"/>
      <c r="H278" s="18"/>
    </row>
    <row r="279" spans="7:8" x14ac:dyDescent="0.3">
      <c r="G279"/>
      <c r="H279" s="18"/>
    </row>
    <row r="280" spans="7:8" x14ac:dyDescent="0.3">
      <c r="G280"/>
      <c r="H280" s="18"/>
    </row>
    <row r="281" spans="7:8" x14ac:dyDescent="0.3">
      <c r="G281"/>
      <c r="H281" s="18"/>
    </row>
    <row r="282" spans="7:8" x14ac:dyDescent="0.3">
      <c r="G282"/>
      <c r="H282" s="18"/>
    </row>
    <row r="283" spans="7:8" x14ac:dyDescent="0.3">
      <c r="G283"/>
      <c r="H283" s="18"/>
    </row>
    <row r="284" spans="7:8" x14ac:dyDescent="0.3">
      <c r="G284"/>
      <c r="H284" s="18"/>
    </row>
    <row r="285" spans="7:8" x14ac:dyDescent="0.3">
      <c r="G285"/>
      <c r="H285" s="18"/>
    </row>
    <row r="286" spans="7:8" x14ac:dyDescent="0.3">
      <c r="G286"/>
      <c r="H286" s="18"/>
    </row>
    <row r="287" spans="7:8" x14ac:dyDescent="0.3">
      <c r="G287"/>
      <c r="H287" s="18"/>
    </row>
    <row r="288" spans="7:8" x14ac:dyDescent="0.3">
      <c r="G288"/>
      <c r="H288" s="18"/>
    </row>
    <row r="289" spans="7:8" x14ac:dyDescent="0.3">
      <c r="G289"/>
      <c r="H289" s="18"/>
    </row>
    <row r="290" spans="7:8" x14ac:dyDescent="0.3">
      <c r="G290"/>
      <c r="H290" s="18"/>
    </row>
    <row r="291" spans="7:8" x14ac:dyDescent="0.3">
      <c r="G291"/>
      <c r="H291" s="18"/>
    </row>
    <row r="292" spans="7:8" x14ac:dyDescent="0.3">
      <c r="G292"/>
      <c r="H292" s="18"/>
    </row>
    <row r="293" spans="7:8" x14ac:dyDescent="0.3">
      <c r="G293"/>
      <c r="H293" s="18"/>
    </row>
    <row r="294" spans="7:8" x14ac:dyDescent="0.3">
      <c r="G294"/>
      <c r="H294" s="18"/>
    </row>
    <row r="295" spans="7:8" x14ac:dyDescent="0.3">
      <c r="G295"/>
      <c r="H295" s="18"/>
    </row>
    <row r="296" spans="7:8" x14ac:dyDescent="0.3">
      <c r="G296"/>
      <c r="H296" s="18"/>
    </row>
    <row r="297" spans="7:8" x14ac:dyDescent="0.3">
      <c r="G297"/>
      <c r="H297" s="18"/>
    </row>
    <row r="298" spans="7:8" x14ac:dyDescent="0.3">
      <c r="G298"/>
      <c r="H298" s="18"/>
    </row>
    <row r="299" spans="7:8" x14ac:dyDescent="0.3">
      <c r="G299"/>
      <c r="H299" s="18"/>
    </row>
    <row r="300" spans="7:8" x14ac:dyDescent="0.3">
      <c r="G300"/>
      <c r="H300" s="18"/>
    </row>
    <row r="301" spans="7:8" x14ac:dyDescent="0.3">
      <c r="G301"/>
      <c r="H301" s="18"/>
    </row>
    <row r="302" spans="7:8" x14ac:dyDescent="0.3">
      <c r="G302"/>
      <c r="H302" s="18"/>
    </row>
    <row r="303" spans="7:8" x14ac:dyDescent="0.3">
      <c r="G303"/>
      <c r="H303" s="18"/>
    </row>
    <row r="304" spans="7:8" x14ac:dyDescent="0.3">
      <c r="G304"/>
      <c r="H304" s="18"/>
    </row>
    <row r="305" spans="7:8" x14ac:dyDescent="0.3">
      <c r="G305"/>
      <c r="H305" s="18"/>
    </row>
    <row r="306" spans="7:8" x14ac:dyDescent="0.3">
      <c r="G306"/>
      <c r="H306" s="18"/>
    </row>
    <row r="307" spans="7:8" x14ac:dyDescent="0.3">
      <c r="G307"/>
      <c r="H307" s="18"/>
    </row>
    <row r="308" spans="7:8" x14ac:dyDescent="0.3">
      <c r="G308"/>
      <c r="H308" s="18"/>
    </row>
    <row r="309" spans="7:8" x14ac:dyDescent="0.3">
      <c r="G309"/>
      <c r="H309" s="18"/>
    </row>
    <row r="310" spans="7:8" x14ac:dyDescent="0.3">
      <c r="G310"/>
      <c r="H310" s="18"/>
    </row>
    <row r="311" spans="7:8" x14ac:dyDescent="0.3">
      <c r="G311"/>
      <c r="H311" s="18"/>
    </row>
    <row r="312" spans="7:8" x14ac:dyDescent="0.3">
      <c r="G312"/>
      <c r="H312" s="18"/>
    </row>
    <row r="313" spans="7:8" x14ac:dyDescent="0.3">
      <c r="G313"/>
      <c r="H313" s="18"/>
    </row>
    <row r="314" spans="7:8" x14ac:dyDescent="0.3">
      <c r="G314"/>
      <c r="H314" s="18"/>
    </row>
    <row r="315" spans="7:8" x14ac:dyDescent="0.3">
      <c r="G315"/>
      <c r="H315" s="18"/>
    </row>
    <row r="316" spans="7:8" x14ac:dyDescent="0.3">
      <c r="G316"/>
      <c r="H316" s="18"/>
    </row>
    <row r="317" spans="7:8" x14ac:dyDescent="0.3">
      <c r="G317"/>
      <c r="H317" s="18"/>
    </row>
    <row r="318" spans="7:8" x14ac:dyDescent="0.3">
      <c r="G318"/>
      <c r="H318" s="18"/>
    </row>
    <row r="319" spans="7:8" x14ac:dyDescent="0.3">
      <c r="G319"/>
      <c r="H319" s="18"/>
    </row>
    <row r="320" spans="7:8" x14ac:dyDescent="0.3">
      <c r="G320"/>
      <c r="H320" s="18"/>
    </row>
    <row r="321" spans="7:8" x14ac:dyDescent="0.3">
      <c r="G321"/>
      <c r="H321" s="18"/>
    </row>
    <row r="322" spans="7:8" x14ac:dyDescent="0.3">
      <c r="G322"/>
      <c r="H322" s="18"/>
    </row>
    <row r="323" spans="7:8" x14ac:dyDescent="0.3">
      <c r="G323"/>
      <c r="H323" s="18"/>
    </row>
    <row r="324" spans="7:8" x14ac:dyDescent="0.3">
      <c r="G324"/>
      <c r="H324" s="18"/>
    </row>
    <row r="325" spans="7:8" x14ac:dyDescent="0.3">
      <c r="G325"/>
      <c r="H325" s="18"/>
    </row>
    <row r="326" spans="7:8" x14ac:dyDescent="0.3">
      <c r="G326"/>
      <c r="H326" s="18"/>
    </row>
    <row r="327" spans="7:8" x14ac:dyDescent="0.3">
      <c r="G327"/>
      <c r="H327" s="18"/>
    </row>
    <row r="328" spans="7:8" x14ac:dyDescent="0.3">
      <c r="G328"/>
      <c r="H328" s="18"/>
    </row>
    <row r="329" spans="7:8" x14ac:dyDescent="0.3">
      <c r="G329"/>
      <c r="H329" s="18"/>
    </row>
    <row r="330" spans="7:8" x14ac:dyDescent="0.3">
      <c r="G330"/>
      <c r="H330" s="18"/>
    </row>
    <row r="331" spans="7:8" x14ac:dyDescent="0.3">
      <c r="G331"/>
      <c r="H331" s="18"/>
    </row>
    <row r="332" spans="7:8" x14ac:dyDescent="0.3">
      <c r="G332"/>
      <c r="H332" s="18"/>
    </row>
    <row r="333" spans="7:8" x14ac:dyDescent="0.3">
      <c r="G333"/>
      <c r="H333" s="18"/>
    </row>
    <row r="334" spans="7:8" x14ac:dyDescent="0.3">
      <c r="G334"/>
      <c r="H334" s="18"/>
    </row>
    <row r="335" spans="7:8" x14ac:dyDescent="0.3">
      <c r="G335"/>
      <c r="H335" s="18"/>
    </row>
    <row r="336" spans="7:8" x14ac:dyDescent="0.3">
      <c r="G336"/>
      <c r="H336" s="18"/>
    </row>
    <row r="337" spans="7:8" x14ac:dyDescent="0.3">
      <c r="G337"/>
      <c r="H337" s="18"/>
    </row>
    <row r="338" spans="7:8" x14ac:dyDescent="0.3">
      <c r="G338"/>
      <c r="H338" s="18"/>
    </row>
    <row r="339" spans="7:8" x14ac:dyDescent="0.3">
      <c r="G339"/>
      <c r="H339" s="18"/>
    </row>
    <row r="340" spans="7:8" x14ac:dyDescent="0.3">
      <c r="G340"/>
      <c r="H340" s="18"/>
    </row>
    <row r="341" spans="7:8" x14ac:dyDescent="0.3">
      <c r="G341"/>
      <c r="H341" s="18"/>
    </row>
    <row r="342" spans="7:8" x14ac:dyDescent="0.3">
      <c r="G342"/>
      <c r="H342" s="18"/>
    </row>
    <row r="343" spans="7:8" x14ac:dyDescent="0.3">
      <c r="G343"/>
      <c r="H343" s="18"/>
    </row>
    <row r="344" spans="7:8" x14ac:dyDescent="0.3">
      <c r="G344"/>
      <c r="H344" s="18"/>
    </row>
    <row r="345" spans="7:8" x14ac:dyDescent="0.3">
      <c r="G345"/>
      <c r="H345" s="18"/>
    </row>
    <row r="346" spans="7:8" x14ac:dyDescent="0.3">
      <c r="G346"/>
      <c r="H346" s="18"/>
    </row>
    <row r="347" spans="7:8" x14ac:dyDescent="0.3">
      <c r="G347"/>
      <c r="H347" s="18"/>
    </row>
    <row r="348" spans="7:8" x14ac:dyDescent="0.3">
      <c r="G348"/>
      <c r="H348" s="18"/>
    </row>
    <row r="349" spans="7:8" x14ac:dyDescent="0.3">
      <c r="G349"/>
      <c r="H349" s="18"/>
    </row>
    <row r="350" spans="7:8" x14ac:dyDescent="0.3">
      <c r="G350"/>
      <c r="H350" s="18"/>
    </row>
    <row r="351" spans="7:8" x14ac:dyDescent="0.3">
      <c r="G351"/>
      <c r="H351" s="18"/>
    </row>
    <row r="352" spans="7:8" x14ac:dyDescent="0.3">
      <c r="G352"/>
      <c r="H352" s="18"/>
    </row>
    <row r="353" spans="7:8" x14ac:dyDescent="0.3">
      <c r="G353"/>
      <c r="H353" s="18"/>
    </row>
    <row r="354" spans="7:8" x14ac:dyDescent="0.3">
      <c r="G354"/>
      <c r="H354" s="18"/>
    </row>
    <row r="355" spans="7:8" x14ac:dyDescent="0.3">
      <c r="G355"/>
      <c r="H355" s="18"/>
    </row>
    <row r="356" spans="7:8" x14ac:dyDescent="0.3">
      <c r="G356"/>
      <c r="H356" s="18"/>
    </row>
    <row r="357" spans="7:8" x14ac:dyDescent="0.3">
      <c r="G357"/>
      <c r="H357" s="18"/>
    </row>
    <row r="358" spans="7:8" x14ac:dyDescent="0.3">
      <c r="G358"/>
      <c r="H358" s="18"/>
    </row>
    <row r="359" spans="7:8" x14ac:dyDescent="0.3">
      <c r="G359"/>
      <c r="H359" s="18"/>
    </row>
    <row r="360" spans="7:8" x14ac:dyDescent="0.3">
      <c r="G360"/>
      <c r="H360" s="18"/>
    </row>
    <row r="361" spans="7:8" x14ac:dyDescent="0.3">
      <c r="G361"/>
      <c r="H361" s="18"/>
    </row>
    <row r="362" spans="7:8" x14ac:dyDescent="0.3">
      <c r="G362"/>
      <c r="H362" s="18"/>
    </row>
    <row r="363" spans="7:8" x14ac:dyDescent="0.3">
      <c r="G363"/>
      <c r="H363" s="18"/>
    </row>
    <row r="364" spans="7:8" x14ac:dyDescent="0.3">
      <c r="G364"/>
      <c r="H364" s="18"/>
    </row>
    <row r="365" spans="7:8" x14ac:dyDescent="0.3">
      <c r="G365"/>
      <c r="H365" s="18"/>
    </row>
    <row r="366" spans="7:8" x14ac:dyDescent="0.3">
      <c r="G366"/>
      <c r="H366" s="18"/>
    </row>
    <row r="367" spans="7:8" x14ac:dyDescent="0.3">
      <c r="G367"/>
      <c r="H367" s="18"/>
    </row>
    <row r="368" spans="7:8" x14ac:dyDescent="0.3">
      <c r="G368"/>
      <c r="H368" s="18"/>
    </row>
    <row r="369" spans="7:8" x14ac:dyDescent="0.3">
      <c r="G369"/>
      <c r="H369" s="18"/>
    </row>
    <row r="370" spans="7:8" x14ac:dyDescent="0.3">
      <c r="G370"/>
      <c r="H370" s="18"/>
    </row>
    <row r="371" spans="7:8" x14ac:dyDescent="0.3">
      <c r="G371"/>
      <c r="H371" s="18"/>
    </row>
    <row r="372" spans="7:8" x14ac:dyDescent="0.3">
      <c r="G372"/>
      <c r="H372" s="18"/>
    </row>
    <row r="373" spans="7:8" x14ac:dyDescent="0.3">
      <c r="G373"/>
      <c r="H373" s="18"/>
    </row>
    <row r="374" spans="7:8" x14ac:dyDescent="0.3">
      <c r="G374"/>
      <c r="H374" s="18"/>
    </row>
    <row r="375" spans="7:8" x14ac:dyDescent="0.3">
      <c r="G375"/>
      <c r="H375" s="18"/>
    </row>
    <row r="376" spans="7:8" x14ac:dyDescent="0.3">
      <c r="G376"/>
      <c r="H376" s="18"/>
    </row>
    <row r="377" spans="7:8" x14ac:dyDescent="0.3">
      <c r="G377"/>
      <c r="H377" s="18"/>
    </row>
    <row r="378" spans="7:8" x14ac:dyDescent="0.3">
      <c r="G378"/>
      <c r="H378" s="18"/>
    </row>
    <row r="379" spans="7:8" x14ac:dyDescent="0.3">
      <c r="G379"/>
      <c r="H379" s="18"/>
    </row>
    <row r="380" spans="7:8" x14ac:dyDescent="0.3">
      <c r="G380"/>
      <c r="H380" s="18"/>
    </row>
    <row r="381" spans="7:8" x14ac:dyDescent="0.3">
      <c r="G381"/>
      <c r="H381" s="18"/>
    </row>
    <row r="382" spans="7:8" x14ac:dyDescent="0.3">
      <c r="G382"/>
      <c r="H382" s="18"/>
    </row>
    <row r="383" spans="7:8" x14ac:dyDescent="0.3">
      <c r="G383"/>
      <c r="H383" s="18"/>
    </row>
    <row r="384" spans="7:8" x14ac:dyDescent="0.3">
      <c r="G384"/>
      <c r="H384" s="18"/>
    </row>
    <row r="385" spans="7:8" x14ac:dyDescent="0.3">
      <c r="G385"/>
      <c r="H385" s="18"/>
    </row>
    <row r="386" spans="7:8" x14ac:dyDescent="0.3">
      <c r="G386"/>
      <c r="H386" s="18"/>
    </row>
    <row r="387" spans="7:8" x14ac:dyDescent="0.3">
      <c r="G387"/>
      <c r="H387" s="18"/>
    </row>
    <row r="388" spans="7:8" x14ac:dyDescent="0.3">
      <c r="G388"/>
      <c r="H388" s="18"/>
    </row>
    <row r="389" spans="7:8" x14ac:dyDescent="0.3">
      <c r="G389"/>
      <c r="H389" s="18"/>
    </row>
    <row r="390" spans="7:8" x14ac:dyDescent="0.3">
      <c r="G390"/>
      <c r="H390" s="18"/>
    </row>
    <row r="391" spans="7:8" x14ac:dyDescent="0.3">
      <c r="G391"/>
      <c r="H391" s="18"/>
    </row>
    <row r="392" spans="7:8" x14ac:dyDescent="0.3">
      <c r="G392"/>
      <c r="H392" s="18"/>
    </row>
    <row r="393" spans="7:8" x14ac:dyDescent="0.3">
      <c r="G393"/>
      <c r="H393" s="18"/>
    </row>
    <row r="394" spans="7:8" x14ac:dyDescent="0.3">
      <c r="G394"/>
      <c r="H394" s="18"/>
    </row>
    <row r="395" spans="7:8" x14ac:dyDescent="0.3">
      <c r="G395"/>
      <c r="H395" s="18"/>
    </row>
    <row r="396" spans="7:8" x14ac:dyDescent="0.3">
      <c r="G396"/>
      <c r="H396" s="18"/>
    </row>
    <row r="397" spans="7:8" x14ac:dyDescent="0.3">
      <c r="G397"/>
      <c r="H397" s="18"/>
    </row>
    <row r="398" spans="7:8" x14ac:dyDescent="0.3">
      <c r="G398"/>
      <c r="H398" s="18"/>
    </row>
    <row r="399" spans="7:8" x14ac:dyDescent="0.3">
      <c r="G399"/>
      <c r="H399" s="18"/>
    </row>
    <row r="400" spans="7:8" x14ac:dyDescent="0.3">
      <c r="G400"/>
      <c r="H400" s="18"/>
    </row>
    <row r="401" spans="7:8" x14ac:dyDescent="0.3">
      <c r="G401"/>
      <c r="H401" s="18"/>
    </row>
    <row r="402" spans="7:8" x14ac:dyDescent="0.3">
      <c r="G402"/>
      <c r="H402" s="18"/>
    </row>
    <row r="403" spans="7:8" x14ac:dyDescent="0.3">
      <c r="G403"/>
      <c r="H403" s="18"/>
    </row>
    <row r="404" spans="7:8" x14ac:dyDescent="0.3">
      <c r="G404"/>
      <c r="H404" s="18"/>
    </row>
    <row r="405" spans="7:8" x14ac:dyDescent="0.3">
      <c r="G405"/>
      <c r="H405" s="18"/>
    </row>
    <row r="406" spans="7:8" x14ac:dyDescent="0.3">
      <c r="G406"/>
      <c r="H406" s="18"/>
    </row>
    <row r="407" spans="7:8" x14ac:dyDescent="0.3">
      <c r="G407"/>
      <c r="H407" s="18"/>
    </row>
    <row r="408" spans="7:8" x14ac:dyDescent="0.3">
      <c r="G408"/>
      <c r="H408" s="18"/>
    </row>
    <row r="409" spans="7:8" x14ac:dyDescent="0.3">
      <c r="G409"/>
      <c r="H409" s="18"/>
    </row>
    <row r="410" spans="7:8" x14ac:dyDescent="0.3">
      <c r="G410"/>
      <c r="H410" s="18"/>
    </row>
    <row r="411" spans="7:8" x14ac:dyDescent="0.3">
      <c r="G411"/>
      <c r="H411" s="18"/>
    </row>
    <row r="412" spans="7:8" x14ac:dyDescent="0.3">
      <c r="G412"/>
      <c r="H412" s="18"/>
    </row>
    <row r="413" spans="7:8" x14ac:dyDescent="0.3">
      <c r="G413"/>
      <c r="H413" s="18"/>
    </row>
    <row r="414" spans="7:8" x14ac:dyDescent="0.3">
      <c r="G414"/>
      <c r="H414" s="18"/>
    </row>
    <row r="415" spans="7:8" x14ac:dyDescent="0.3">
      <c r="G415"/>
      <c r="H415" s="18"/>
    </row>
    <row r="416" spans="7:8" x14ac:dyDescent="0.3">
      <c r="G416"/>
      <c r="H416" s="18"/>
    </row>
    <row r="417" spans="7:8" x14ac:dyDescent="0.3">
      <c r="G417"/>
      <c r="H417" s="18"/>
    </row>
    <row r="418" spans="7:8" x14ac:dyDescent="0.3">
      <c r="G418"/>
      <c r="H418" s="18"/>
    </row>
    <row r="419" spans="7:8" x14ac:dyDescent="0.3">
      <c r="G419"/>
      <c r="H419" s="18"/>
    </row>
    <row r="420" spans="7:8" x14ac:dyDescent="0.3">
      <c r="G420"/>
      <c r="H420" s="18"/>
    </row>
    <row r="421" spans="7:8" x14ac:dyDescent="0.3">
      <c r="G421"/>
      <c r="H421" s="18"/>
    </row>
    <row r="422" spans="7:8" x14ac:dyDescent="0.3">
      <c r="G422"/>
      <c r="H422" s="18"/>
    </row>
    <row r="423" spans="7:8" x14ac:dyDescent="0.3">
      <c r="G423"/>
      <c r="H423" s="18"/>
    </row>
    <row r="424" spans="7:8" x14ac:dyDescent="0.3">
      <c r="G424"/>
      <c r="H424" s="18"/>
    </row>
    <row r="425" spans="7:8" x14ac:dyDescent="0.3">
      <c r="G425"/>
      <c r="H425" s="18"/>
    </row>
    <row r="426" spans="7:8" x14ac:dyDescent="0.3">
      <c r="G426"/>
      <c r="H426" s="18"/>
    </row>
    <row r="427" spans="7:8" x14ac:dyDescent="0.3">
      <c r="G427"/>
      <c r="H427" s="18"/>
    </row>
    <row r="428" spans="7:8" x14ac:dyDescent="0.3">
      <c r="G428"/>
      <c r="H428" s="18"/>
    </row>
    <row r="429" spans="7:8" x14ac:dyDescent="0.3">
      <c r="G429"/>
      <c r="H429" s="18"/>
    </row>
    <row r="430" spans="7:8" x14ac:dyDescent="0.3">
      <c r="G430"/>
      <c r="H430" s="18"/>
    </row>
    <row r="431" spans="7:8" x14ac:dyDescent="0.3">
      <c r="G431"/>
      <c r="H431" s="18"/>
    </row>
    <row r="432" spans="7:8" x14ac:dyDescent="0.3">
      <c r="G432"/>
      <c r="H432" s="18"/>
    </row>
    <row r="433" spans="7:8" x14ac:dyDescent="0.3">
      <c r="G433"/>
      <c r="H433" s="18"/>
    </row>
    <row r="434" spans="7:8" x14ac:dyDescent="0.3">
      <c r="G434"/>
      <c r="H434" s="18"/>
    </row>
    <row r="435" spans="7:8" x14ac:dyDescent="0.3">
      <c r="G435"/>
      <c r="H435" s="18"/>
    </row>
    <row r="436" spans="7:8" x14ac:dyDescent="0.3">
      <c r="G436"/>
      <c r="H436" s="18"/>
    </row>
    <row r="437" spans="7:8" x14ac:dyDescent="0.3">
      <c r="G437"/>
      <c r="H437" s="18"/>
    </row>
    <row r="438" spans="7:8" x14ac:dyDescent="0.3">
      <c r="G438"/>
      <c r="H438" s="18"/>
    </row>
    <row r="439" spans="7:8" x14ac:dyDescent="0.3">
      <c r="G439"/>
      <c r="H439" s="18"/>
    </row>
    <row r="440" spans="7:8" x14ac:dyDescent="0.3">
      <c r="G440"/>
      <c r="H440" s="18"/>
    </row>
    <row r="441" spans="7:8" x14ac:dyDescent="0.3">
      <c r="G441"/>
      <c r="H441" s="18"/>
    </row>
    <row r="442" spans="7:8" x14ac:dyDescent="0.3">
      <c r="G442"/>
      <c r="H442" s="18"/>
    </row>
    <row r="443" spans="7:8" x14ac:dyDescent="0.3">
      <c r="G443"/>
      <c r="H443" s="18"/>
    </row>
    <row r="444" spans="7:8" x14ac:dyDescent="0.3">
      <c r="G444"/>
      <c r="H444" s="18"/>
    </row>
    <row r="445" spans="7:8" x14ac:dyDescent="0.3">
      <c r="G445"/>
      <c r="H445" s="18"/>
    </row>
    <row r="446" spans="7:8" x14ac:dyDescent="0.3">
      <c r="G446"/>
      <c r="H446" s="18"/>
    </row>
    <row r="447" spans="7:8" x14ac:dyDescent="0.3">
      <c r="G447"/>
      <c r="H447" s="18"/>
    </row>
    <row r="448" spans="7:8" x14ac:dyDescent="0.3">
      <c r="G448"/>
      <c r="H448" s="18"/>
    </row>
    <row r="449" spans="7:8" x14ac:dyDescent="0.3">
      <c r="G449"/>
      <c r="H449" s="18"/>
    </row>
    <row r="450" spans="7:8" x14ac:dyDescent="0.3">
      <c r="G450"/>
      <c r="H450" s="18"/>
    </row>
    <row r="451" spans="7:8" x14ac:dyDescent="0.3">
      <c r="G451"/>
      <c r="H451" s="18"/>
    </row>
    <row r="452" spans="7:8" x14ac:dyDescent="0.3">
      <c r="G452"/>
      <c r="H452" s="18"/>
    </row>
    <row r="453" spans="7:8" x14ac:dyDescent="0.3">
      <c r="G453"/>
      <c r="H453" s="18"/>
    </row>
    <row r="454" spans="7:8" x14ac:dyDescent="0.3">
      <c r="G454"/>
      <c r="H454" s="18"/>
    </row>
    <row r="455" spans="7:8" x14ac:dyDescent="0.3">
      <c r="G455"/>
      <c r="H455" s="18"/>
    </row>
    <row r="456" spans="7:8" x14ac:dyDescent="0.3">
      <c r="G456"/>
      <c r="H456" s="18"/>
    </row>
    <row r="457" spans="7:8" x14ac:dyDescent="0.3">
      <c r="G457"/>
      <c r="H457" s="18"/>
    </row>
    <row r="458" spans="7:8" x14ac:dyDescent="0.3">
      <c r="G458"/>
      <c r="H458" s="18"/>
    </row>
    <row r="459" spans="7:8" x14ac:dyDescent="0.3">
      <c r="G459"/>
      <c r="H459" s="18"/>
    </row>
    <row r="460" spans="7:8" x14ac:dyDescent="0.3">
      <c r="G460"/>
      <c r="H460" s="18"/>
    </row>
    <row r="461" spans="7:8" x14ac:dyDescent="0.3">
      <c r="G461"/>
      <c r="H461" s="18"/>
    </row>
    <row r="462" spans="7:8" x14ac:dyDescent="0.3">
      <c r="G462"/>
      <c r="H462" s="18"/>
    </row>
    <row r="463" spans="7:8" x14ac:dyDescent="0.3">
      <c r="G463"/>
      <c r="H463" s="18"/>
    </row>
    <row r="464" spans="7:8" x14ac:dyDescent="0.3">
      <c r="G464"/>
      <c r="H464" s="18"/>
    </row>
    <row r="465" spans="7:8" x14ac:dyDescent="0.3">
      <c r="G465"/>
      <c r="H465" s="18"/>
    </row>
    <row r="466" spans="7:8" x14ac:dyDescent="0.3">
      <c r="G466"/>
      <c r="H466" s="18"/>
    </row>
    <row r="467" spans="7:8" x14ac:dyDescent="0.3">
      <c r="G467"/>
      <c r="H467" s="18"/>
    </row>
    <row r="468" spans="7:8" x14ac:dyDescent="0.3">
      <c r="G468"/>
      <c r="H468" s="18"/>
    </row>
    <row r="469" spans="7:8" x14ac:dyDescent="0.3">
      <c r="G469"/>
      <c r="H469" s="18"/>
    </row>
    <row r="470" spans="7:8" x14ac:dyDescent="0.3">
      <c r="G470"/>
      <c r="H470" s="18"/>
    </row>
    <row r="471" spans="7:8" x14ac:dyDescent="0.3">
      <c r="G471"/>
      <c r="H471" s="18"/>
    </row>
    <row r="472" spans="7:8" x14ac:dyDescent="0.3">
      <c r="G472"/>
      <c r="H472" s="18"/>
    </row>
    <row r="473" spans="7:8" x14ac:dyDescent="0.3">
      <c r="G473"/>
      <c r="H473" s="18"/>
    </row>
    <row r="474" spans="7:8" x14ac:dyDescent="0.3">
      <c r="G474"/>
      <c r="H474" s="18"/>
    </row>
    <row r="475" spans="7:8" x14ac:dyDescent="0.3">
      <c r="G475"/>
      <c r="H475" s="18"/>
    </row>
    <row r="476" spans="7:8" x14ac:dyDescent="0.3">
      <c r="G476"/>
      <c r="H476" s="18"/>
    </row>
    <row r="477" spans="7:8" x14ac:dyDescent="0.3">
      <c r="G477"/>
      <c r="H477" s="18"/>
    </row>
    <row r="478" spans="7:8" x14ac:dyDescent="0.3">
      <c r="G478"/>
      <c r="H478" s="18"/>
    </row>
    <row r="479" spans="7:8" x14ac:dyDescent="0.3">
      <c r="G479"/>
      <c r="H479" s="18"/>
    </row>
    <row r="480" spans="7:8" x14ac:dyDescent="0.3">
      <c r="G480"/>
      <c r="H480" s="18"/>
    </row>
    <row r="481" spans="7:8" x14ac:dyDescent="0.3">
      <c r="G481"/>
      <c r="H481" s="18"/>
    </row>
    <row r="482" spans="7:8" x14ac:dyDescent="0.3">
      <c r="G482"/>
      <c r="H482" s="18"/>
    </row>
    <row r="483" spans="7:8" x14ac:dyDescent="0.3">
      <c r="G483"/>
      <c r="H483" s="18"/>
    </row>
    <row r="484" spans="7:8" x14ac:dyDescent="0.3">
      <c r="G484"/>
      <c r="H484" s="18"/>
    </row>
    <row r="485" spans="7:8" x14ac:dyDescent="0.3">
      <c r="G485"/>
      <c r="H485" s="18"/>
    </row>
    <row r="486" spans="7:8" x14ac:dyDescent="0.3">
      <c r="G486"/>
      <c r="H486" s="18"/>
    </row>
    <row r="487" spans="7:8" x14ac:dyDescent="0.3">
      <c r="G487"/>
      <c r="H487" s="18"/>
    </row>
    <row r="488" spans="7:8" x14ac:dyDescent="0.3">
      <c r="G488"/>
      <c r="H488" s="18"/>
    </row>
    <row r="489" spans="7:8" x14ac:dyDescent="0.3">
      <c r="G489"/>
      <c r="H489" s="18"/>
    </row>
    <row r="490" spans="7:8" x14ac:dyDescent="0.3">
      <c r="G490"/>
      <c r="H490" s="18"/>
    </row>
    <row r="491" spans="7:8" x14ac:dyDescent="0.3">
      <c r="G491"/>
      <c r="H491" s="18"/>
    </row>
    <row r="492" spans="7:8" x14ac:dyDescent="0.3">
      <c r="G492"/>
      <c r="H492" s="18"/>
    </row>
    <row r="493" spans="7:8" x14ac:dyDescent="0.3">
      <c r="G493"/>
      <c r="H493" s="18"/>
    </row>
    <row r="494" spans="7:8" x14ac:dyDescent="0.3">
      <c r="G494"/>
      <c r="H494" s="18"/>
    </row>
    <row r="495" spans="7:8" x14ac:dyDescent="0.3">
      <c r="G495"/>
      <c r="H495" s="18"/>
    </row>
    <row r="496" spans="7:8" x14ac:dyDescent="0.3">
      <c r="G496"/>
      <c r="H496" s="18"/>
    </row>
    <row r="497" spans="7:8" x14ac:dyDescent="0.3">
      <c r="G497"/>
      <c r="H497" s="18"/>
    </row>
    <row r="498" spans="7:8" x14ac:dyDescent="0.3">
      <c r="G498"/>
      <c r="H498" s="18"/>
    </row>
    <row r="499" spans="7:8" x14ac:dyDescent="0.3">
      <c r="G499"/>
      <c r="H499" s="18"/>
    </row>
    <row r="500" spans="7:8" x14ac:dyDescent="0.3">
      <c r="G500"/>
      <c r="H500" s="18"/>
    </row>
    <row r="501" spans="7:8" x14ac:dyDescent="0.3">
      <c r="G501"/>
      <c r="H501" s="18"/>
    </row>
    <row r="502" spans="7:8" x14ac:dyDescent="0.3">
      <c r="G502"/>
      <c r="H502" s="18"/>
    </row>
    <row r="503" spans="7:8" x14ac:dyDescent="0.3">
      <c r="G503"/>
      <c r="H503" s="18"/>
    </row>
    <row r="504" spans="7:8" x14ac:dyDescent="0.3">
      <c r="G504"/>
      <c r="H504" s="18"/>
    </row>
    <row r="505" spans="7:8" x14ac:dyDescent="0.3">
      <c r="G505"/>
      <c r="H505" s="18"/>
    </row>
    <row r="506" spans="7:8" x14ac:dyDescent="0.3">
      <c r="G506"/>
      <c r="H506" s="18"/>
    </row>
    <row r="507" spans="7:8" x14ac:dyDescent="0.3">
      <c r="G507"/>
      <c r="H507" s="18"/>
    </row>
    <row r="508" spans="7:8" x14ac:dyDescent="0.3">
      <c r="G508"/>
      <c r="H508" s="18"/>
    </row>
    <row r="509" spans="7:8" x14ac:dyDescent="0.3">
      <c r="G509"/>
      <c r="H509" s="18"/>
    </row>
    <row r="510" spans="7:8" x14ac:dyDescent="0.3">
      <c r="G510"/>
      <c r="H510" s="18"/>
    </row>
    <row r="511" spans="7:8" x14ac:dyDescent="0.3">
      <c r="G511"/>
      <c r="H511" s="18"/>
    </row>
    <row r="512" spans="7:8" x14ac:dyDescent="0.3">
      <c r="G512"/>
      <c r="H512" s="18"/>
    </row>
    <row r="513" spans="7:8" x14ac:dyDescent="0.3">
      <c r="G513"/>
      <c r="H513" s="18"/>
    </row>
    <row r="514" spans="7:8" x14ac:dyDescent="0.3">
      <c r="G514"/>
      <c r="H514" s="18"/>
    </row>
    <row r="515" spans="7:8" x14ac:dyDescent="0.3">
      <c r="G515"/>
      <c r="H515" s="18"/>
    </row>
    <row r="516" spans="7:8" x14ac:dyDescent="0.3">
      <c r="G516"/>
      <c r="H516" s="18"/>
    </row>
    <row r="517" spans="7:8" x14ac:dyDescent="0.3">
      <c r="G517"/>
      <c r="H517" s="18"/>
    </row>
    <row r="518" spans="7:8" x14ac:dyDescent="0.3">
      <c r="G518"/>
      <c r="H518" s="18"/>
    </row>
    <row r="519" spans="7:8" x14ac:dyDescent="0.3">
      <c r="G519"/>
      <c r="H519" s="18"/>
    </row>
    <row r="520" spans="7:8" x14ac:dyDescent="0.3">
      <c r="G520"/>
      <c r="H520" s="18"/>
    </row>
    <row r="521" spans="7:8" x14ac:dyDescent="0.3">
      <c r="G521"/>
      <c r="H521" s="18"/>
    </row>
    <row r="522" spans="7:8" x14ac:dyDescent="0.3">
      <c r="G522"/>
      <c r="H522" s="18"/>
    </row>
    <row r="523" spans="7:8" x14ac:dyDescent="0.3">
      <c r="G523"/>
      <c r="H523" s="18"/>
    </row>
    <row r="524" spans="7:8" x14ac:dyDescent="0.3">
      <c r="G524"/>
      <c r="H524" s="18"/>
    </row>
    <row r="525" spans="7:8" x14ac:dyDescent="0.3">
      <c r="G525"/>
      <c r="H525" s="18"/>
    </row>
    <row r="526" spans="7:8" x14ac:dyDescent="0.3">
      <c r="G526"/>
      <c r="H526" s="18"/>
    </row>
    <row r="527" spans="7:8" x14ac:dyDescent="0.3">
      <c r="G527"/>
      <c r="H527" s="18"/>
    </row>
    <row r="528" spans="7:8" x14ac:dyDescent="0.3">
      <c r="G528"/>
      <c r="H528" s="18"/>
    </row>
    <row r="529" spans="7:8" x14ac:dyDescent="0.3">
      <c r="G529"/>
      <c r="H529" s="18"/>
    </row>
    <row r="530" spans="7:8" x14ac:dyDescent="0.3">
      <c r="G530"/>
      <c r="H530" s="18"/>
    </row>
    <row r="531" spans="7:8" x14ac:dyDescent="0.3">
      <c r="G531"/>
      <c r="H531" s="18"/>
    </row>
    <row r="532" spans="7:8" x14ac:dyDescent="0.3">
      <c r="G532"/>
      <c r="H532" s="18"/>
    </row>
    <row r="533" spans="7:8" x14ac:dyDescent="0.3">
      <c r="G533"/>
      <c r="H533" s="18"/>
    </row>
    <row r="534" spans="7:8" x14ac:dyDescent="0.3">
      <c r="G534"/>
      <c r="H534" s="18"/>
    </row>
    <row r="535" spans="7:8" x14ac:dyDescent="0.3">
      <c r="G535"/>
      <c r="H535" s="18"/>
    </row>
    <row r="536" spans="7:8" x14ac:dyDescent="0.3">
      <c r="G536"/>
      <c r="H536" s="18"/>
    </row>
    <row r="537" spans="7:8" x14ac:dyDescent="0.3">
      <c r="G537"/>
      <c r="H537" s="18"/>
    </row>
    <row r="538" spans="7:8" x14ac:dyDescent="0.3">
      <c r="G538"/>
      <c r="H538" s="18"/>
    </row>
    <row r="539" spans="7:8" x14ac:dyDescent="0.3">
      <c r="G539"/>
      <c r="H539" s="18"/>
    </row>
    <row r="540" spans="7:8" x14ac:dyDescent="0.3">
      <c r="G540"/>
      <c r="H540" s="18"/>
    </row>
    <row r="541" spans="7:8" x14ac:dyDescent="0.3">
      <c r="G541"/>
      <c r="H541" s="18"/>
    </row>
    <row r="542" spans="7:8" x14ac:dyDescent="0.3">
      <c r="G542"/>
      <c r="H542" s="18"/>
    </row>
    <row r="543" spans="7:8" x14ac:dyDescent="0.3">
      <c r="G543"/>
      <c r="H543" s="18"/>
    </row>
    <row r="544" spans="7:8" x14ac:dyDescent="0.3">
      <c r="G544"/>
      <c r="H544" s="18"/>
    </row>
    <row r="545" spans="7:8" x14ac:dyDescent="0.3">
      <c r="G545"/>
      <c r="H545" s="18"/>
    </row>
    <row r="546" spans="7:8" x14ac:dyDescent="0.3">
      <c r="G546"/>
      <c r="H546" s="18"/>
    </row>
    <row r="547" spans="7:8" x14ac:dyDescent="0.3">
      <c r="G547"/>
      <c r="H547" s="18"/>
    </row>
    <row r="548" spans="7:8" x14ac:dyDescent="0.3">
      <c r="G548"/>
      <c r="H548" s="18"/>
    </row>
    <row r="549" spans="7:8" x14ac:dyDescent="0.3">
      <c r="G549"/>
      <c r="H549" s="18"/>
    </row>
    <row r="550" spans="7:8" x14ac:dyDescent="0.3">
      <c r="G550"/>
      <c r="H550" s="18"/>
    </row>
    <row r="551" spans="7:8" x14ac:dyDescent="0.3">
      <c r="G551"/>
      <c r="H551" s="18"/>
    </row>
    <row r="552" spans="7:8" x14ac:dyDescent="0.3">
      <c r="G552"/>
      <c r="H552" s="18"/>
    </row>
    <row r="553" spans="7:8" x14ac:dyDescent="0.3">
      <c r="G553"/>
      <c r="H553" s="18"/>
    </row>
    <row r="554" spans="7:8" x14ac:dyDescent="0.3">
      <c r="G554"/>
      <c r="H554" s="18"/>
    </row>
    <row r="555" spans="7:8" x14ac:dyDescent="0.3">
      <c r="G555"/>
      <c r="H555" s="18"/>
    </row>
    <row r="556" spans="7:8" x14ac:dyDescent="0.3">
      <c r="G556"/>
      <c r="H556" s="18"/>
    </row>
    <row r="557" spans="7:8" x14ac:dyDescent="0.3">
      <c r="G557"/>
      <c r="H557" s="18"/>
    </row>
    <row r="558" spans="7:8" x14ac:dyDescent="0.3">
      <c r="G558"/>
      <c r="H558" s="18"/>
    </row>
    <row r="559" spans="7:8" x14ac:dyDescent="0.3">
      <c r="G559"/>
      <c r="H559" s="18"/>
    </row>
    <row r="560" spans="7:8" x14ac:dyDescent="0.3">
      <c r="G560"/>
      <c r="H560" s="18"/>
    </row>
    <row r="561" spans="7:8" x14ac:dyDescent="0.3">
      <c r="G561"/>
      <c r="H561" s="18"/>
    </row>
    <row r="562" spans="7:8" x14ac:dyDescent="0.3">
      <c r="G562"/>
      <c r="H562" s="18"/>
    </row>
    <row r="563" spans="7:8" x14ac:dyDescent="0.3">
      <c r="G563"/>
      <c r="H563" s="18"/>
    </row>
    <row r="564" spans="7:8" x14ac:dyDescent="0.3">
      <c r="G564"/>
      <c r="H564" s="18"/>
    </row>
    <row r="565" spans="7:8" x14ac:dyDescent="0.3">
      <c r="G565"/>
      <c r="H565" s="18"/>
    </row>
    <row r="566" spans="7:8" x14ac:dyDescent="0.3">
      <c r="G566"/>
      <c r="H566" s="18"/>
    </row>
    <row r="567" spans="7:8" x14ac:dyDescent="0.3">
      <c r="G567"/>
      <c r="H567" s="18"/>
    </row>
    <row r="568" spans="7:8" x14ac:dyDescent="0.3">
      <c r="G568"/>
      <c r="H568" s="18"/>
    </row>
    <row r="569" spans="7:8" x14ac:dyDescent="0.3">
      <c r="G569"/>
      <c r="H569" s="18"/>
    </row>
    <row r="570" spans="7:8" x14ac:dyDescent="0.3">
      <c r="G570"/>
      <c r="H570" s="18"/>
    </row>
    <row r="571" spans="7:8" x14ac:dyDescent="0.3">
      <c r="G571"/>
      <c r="H571" s="18"/>
    </row>
    <row r="572" spans="7:8" x14ac:dyDescent="0.3">
      <c r="G572"/>
      <c r="H572" s="18"/>
    </row>
    <row r="573" spans="7:8" x14ac:dyDescent="0.3">
      <c r="G573"/>
      <c r="H573" s="18"/>
    </row>
    <row r="574" spans="7:8" x14ac:dyDescent="0.3">
      <c r="G574"/>
      <c r="H574" s="18"/>
    </row>
    <row r="575" spans="7:8" x14ac:dyDescent="0.3">
      <c r="G575"/>
      <c r="H575" s="18"/>
    </row>
    <row r="576" spans="7:8" x14ac:dyDescent="0.3">
      <c r="G576"/>
      <c r="H576" s="18"/>
    </row>
    <row r="577" spans="7:8" x14ac:dyDescent="0.3">
      <c r="G577"/>
      <c r="H577" s="18"/>
    </row>
    <row r="578" spans="7:8" x14ac:dyDescent="0.3">
      <c r="G578"/>
      <c r="H578" s="18"/>
    </row>
    <row r="579" spans="7:8" x14ac:dyDescent="0.3">
      <c r="G579"/>
      <c r="H579" s="18"/>
    </row>
    <row r="580" spans="7:8" x14ac:dyDescent="0.3">
      <c r="G580"/>
      <c r="H580" s="18"/>
    </row>
    <row r="581" spans="7:8" x14ac:dyDescent="0.3">
      <c r="G581"/>
      <c r="H581" s="18"/>
    </row>
    <row r="582" spans="7:8" x14ac:dyDescent="0.3">
      <c r="G582"/>
      <c r="H582" s="18"/>
    </row>
    <row r="583" spans="7:8" x14ac:dyDescent="0.3">
      <c r="G583"/>
      <c r="H583" s="18"/>
    </row>
    <row r="584" spans="7:8" x14ac:dyDescent="0.3">
      <c r="G584"/>
      <c r="H584" s="18"/>
    </row>
    <row r="585" spans="7:8" x14ac:dyDescent="0.3">
      <c r="G585"/>
      <c r="H585" s="18"/>
    </row>
    <row r="586" spans="7:8" x14ac:dyDescent="0.3">
      <c r="G586"/>
      <c r="H586" s="18"/>
    </row>
    <row r="587" spans="7:8" x14ac:dyDescent="0.3">
      <c r="G587"/>
      <c r="H587" s="18"/>
    </row>
    <row r="588" spans="7:8" x14ac:dyDescent="0.3">
      <c r="G588"/>
      <c r="H588" s="18"/>
    </row>
    <row r="589" spans="7:8" x14ac:dyDescent="0.3">
      <c r="G589"/>
      <c r="H589" s="18"/>
    </row>
    <row r="590" spans="7:8" x14ac:dyDescent="0.3">
      <c r="G590"/>
      <c r="H590" s="18"/>
    </row>
    <row r="591" spans="7:8" x14ac:dyDescent="0.3">
      <c r="G591"/>
      <c r="H591" s="18"/>
    </row>
    <row r="592" spans="7:8" x14ac:dyDescent="0.3">
      <c r="G592"/>
      <c r="H592" s="18"/>
    </row>
    <row r="593" spans="7:8" x14ac:dyDescent="0.3">
      <c r="G593"/>
      <c r="H593" s="18"/>
    </row>
    <row r="594" spans="7:8" x14ac:dyDescent="0.3">
      <c r="G594"/>
      <c r="H594" s="18"/>
    </row>
    <row r="595" spans="7:8" x14ac:dyDescent="0.3">
      <c r="G595"/>
      <c r="H595" s="18"/>
    </row>
    <row r="596" spans="7:8" x14ac:dyDescent="0.3">
      <c r="G596"/>
      <c r="H596" s="18"/>
    </row>
    <row r="597" spans="7:8" x14ac:dyDescent="0.3">
      <c r="G597"/>
      <c r="H597" s="18"/>
    </row>
    <row r="598" spans="7:8" x14ac:dyDescent="0.3">
      <c r="G598"/>
      <c r="H598" s="18"/>
    </row>
    <row r="599" spans="7:8" x14ac:dyDescent="0.3">
      <c r="G599"/>
      <c r="H599" s="18"/>
    </row>
    <row r="600" spans="7:8" x14ac:dyDescent="0.3">
      <c r="G600"/>
      <c r="H600" s="18"/>
    </row>
    <row r="601" spans="7:8" x14ac:dyDescent="0.3">
      <c r="G601"/>
      <c r="H601" s="18"/>
    </row>
    <row r="602" spans="7:8" x14ac:dyDescent="0.3">
      <c r="G602"/>
      <c r="H602" s="18"/>
    </row>
    <row r="603" spans="7:8" x14ac:dyDescent="0.3">
      <c r="G603"/>
      <c r="H603" s="18"/>
    </row>
    <row r="604" spans="7:8" x14ac:dyDescent="0.3">
      <c r="G604"/>
      <c r="H604" s="18"/>
    </row>
    <row r="605" spans="7:8" x14ac:dyDescent="0.3">
      <c r="G605"/>
      <c r="H605" s="18"/>
    </row>
    <row r="606" spans="7:8" x14ac:dyDescent="0.3">
      <c r="G606"/>
      <c r="H606" s="18"/>
    </row>
    <row r="607" spans="7:8" x14ac:dyDescent="0.3">
      <c r="G607"/>
      <c r="H607" s="18"/>
    </row>
    <row r="608" spans="7:8" x14ac:dyDescent="0.3">
      <c r="G608"/>
      <c r="H608" s="18"/>
    </row>
    <row r="609" spans="7:8" x14ac:dyDescent="0.3">
      <c r="G609"/>
      <c r="H609" s="18"/>
    </row>
    <row r="610" spans="7:8" x14ac:dyDescent="0.3">
      <c r="G610"/>
      <c r="H610" s="18"/>
    </row>
    <row r="611" spans="7:8" x14ac:dyDescent="0.3">
      <c r="G611"/>
      <c r="H611" s="18"/>
    </row>
    <row r="612" spans="7:8" x14ac:dyDescent="0.3">
      <c r="G612"/>
      <c r="H612" s="18"/>
    </row>
    <row r="613" spans="7:8" x14ac:dyDescent="0.3">
      <c r="G613"/>
      <c r="H613" s="18"/>
    </row>
    <row r="614" spans="7:8" x14ac:dyDescent="0.3">
      <c r="G614"/>
      <c r="H614" s="18"/>
    </row>
    <row r="615" spans="7:8" x14ac:dyDescent="0.3">
      <c r="G615"/>
      <c r="H615" s="18"/>
    </row>
    <row r="616" spans="7:8" x14ac:dyDescent="0.3">
      <c r="G616"/>
      <c r="H616" s="18"/>
    </row>
    <row r="617" spans="7:8" x14ac:dyDescent="0.3">
      <c r="G617"/>
      <c r="H617" s="18"/>
    </row>
    <row r="618" spans="7:8" x14ac:dyDescent="0.3">
      <c r="G618"/>
      <c r="H618" s="18"/>
    </row>
    <row r="619" spans="7:8" x14ac:dyDescent="0.3">
      <c r="G619"/>
      <c r="H619" s="18"/>
    </row>
    <row r="620" spans="7:8" x14ac:dyDescent="0.3">
      <c r="G620"/>
      <c r="H620" s="18"/>
    </row>
    <row r="621" spans="7:8" x14ac:dyDescent="0.3">
      <c r="G621"/>
      <c r="H621" s="18"/>
    </row>
    <row r="622" spans="7:8" x14ac:dyDescent="0.3">
      <c r="G622"/>
      <c r="H622" s="18"/>
    </row>
    <row r="623" spans="7:8" x14ac:dyDescent="0.3">
      <c r="G623"/>
      <c r="H623" s="18"/>
    </row>
    <row r="624" spans="7:8" x14ac:dyDescent="0.3">
      <c r="G624"/>
      <c r="H624" s="18"/>
    </row>
    <row r="625" spans="7:8" x14ac:dyDescent="0.3">
      <c r="G625"/>
      <c r="H625" s="18"/>
    </row>
    <row r="626" spans="7:8" x14ac:dyDescent="0.3">
      <c r="G626"/>
      <c r="H626" s="18"/>
    </row>
    <row r="627" spans="7:8" x14ac:dyDescent="0.3">
      <c r="G627"/>
      <c r="H627" s="18"/>
    </row>
    <row r="628" spans="7:8" x14ac:dyDescent="0.3">
      <c r="G628"/>
      <c r="H628" s="18"/>
    </row>
    <row r="629" spans="7:8" x14ac:dyDescent="0.3">
      <c r="G629"/>
      <c r="H629" s="18"/>
    </row>
    <row r="630" spans="7:8" x14ac:dyDescent="0.3">
      <c r="G630"/>
      <c r="H630" s="18"/>
    </row>
    <row r="631" spans="7:8" x14ac:dyDescent="0.3">
      <c r="G631"/>
      <c r="H631" s="18"/>
    </row>
    <row r="632" spans="7:8" x14ac:dyDescent="0.3">
      <c r="G632"/>
      <c r="H632" s="18"/>
    </row>
    <row r="633" spans="7:8" x14ac:dyDescent="0.3">
      <c r="G633"/>
      <c r="H633" s="18"/>
    </row>
    <row r="634" spans="7:8" x14ac:dyDescent="0.3">
      <c r="G634"/>
      <c r="H634" s="18"/>
    </row>
    <row r="635" spans="7:8" x14ac:dyDescent="0.3">
      <c r="G635"/>
      <c r="H635" s="18"/>
    </row>
    <row r="636" spans="7:8" x14ac:dyDescent="0.3">
      <c r="G636"/>
      <c r="H636" s="18"/>
    </row>
    <row r="637" spans="7:8" x14ac:dyDescent="0.3">
      <c r="G637"/>
      <c r="H637" s="18"/>
    </row>
    <row r="638" spans="7:8" x14ac:dyDescent="0.3">
      <c r="G638"/>
      <c r="H638" s="18"/>
    </row>
    <row r="639" spans="7:8" x14ac:dyDescent="0.3">
      <c r="G639"/>
      <c r="H639" s="18"/>
    </row>
    <row r="640" spans="7:8" x14ac:dyDescent="0.3">
      <c r="G640"/>
      <c r="H640" s="18"/>
    </row>
    <row r="641" spans="7:8" x14ac:dyDescent="0.3">
      <c r="G641"/>
      <c r="H641" s="18"/>
    </row>
    <row r="642" spans="7:8" x14ac:dyDescent="0.3">
      <c r="G642"/>
      <c r="H642" s="18"/>
    </row>
    <row r="643" spans="7:8" x14ac:dyDescent="0.3">
      <c r="G643"/>
      <c r="H643" s="18"/>
    </row>
    <row r="644" spans="7:8" x14ac:dyDescent="0.3">
      <c r="G644"/>
      <c r="H644" s="18"/>
    </row>
    <row r="645" spans="7:8" x14ac:dyDescent="0.3">
      <c r="G645"/>
      <c r="H645" s="18"/>
    </row>
    <row r="646" spans="7:8" x14ac:dyDescent="0.3">
      <c r="G646"/>
      <c r="H646" s="18"/>
    </row>
    <row r="647" spans="7:8" x14ac:dyDescent="0.3">
      <c r="G647"/>
      <c r="H647" s="18"/>
    </row>
    <row r="648" spans="7:8" x14ac:dyDescent="0.3">
      <c r="G648"/>
      <c r="H648" s="18"/>
    </row>
    <row r="649" spans="7:8" x14ac:dyDescent="0.3">
      <c r="G649"/>
      <c r="H649" s="18"/>
    </row>
    <row r="650" spans="7:8" x14ac:dyDescent="0.3">
      <c r="G650"/>
      <c r="H650" s="18"/>
    </row>
    <row r="651" spans="7:8" x14ac:dyDescent="0.3">
      <c r="G651"/>
      <c r="H651" s="18"/>
    </row>
    <row r="652" spans="7:8" x14ac:dyDescent="0.3">
      <c r="G652"/>
      <c r="H652" s="18"/>
    </row>
    <row r="653" spans="7:8" x14ac:dyDescent="0.3">
      <c r="G653"/>
      <c r="H653" s="18"/>
    </row>
    <row r="654" spans="7:8" x14ac:dyDescent="0.3">
      <c r="G654"/>
      <c r="H654" s="18"/>
    </row>
    <row r="655" spans="7:8" x14ac:dyDescent="0.3">
      <c r="G655"/>
      <c r="H655" s="18"/>
    </row>
    <row r="656" spans="7:8" x14ac:dyDescent="0.3">
      <c r="G656"/>
      <c r="H656" s="18"/>
    </row>
    <row r="657" spans="7:8" x14ac:dyDescent="0.3">
      <c r="G657"/>
      <c r="H657" s="18"/>
    </row>
    <row r="658" spans="7:8" x14ac:dyDescent="0.3">
      <c r="G658"/>
      <c r="H658" s="18"/>
    </row>
    <row r="659" spans="7:8" x14ac:dyDescent="0.3">
      <c r="G659"/>
      <c r="H659" s="18"/>
    </row>
    <row r="660" spans="7:8" x14ac:dyDescent="0.3">
      <c r="G660"/>
      <c r="H660" s="18"/>
    </row>
    <row r="661" spans="7:8" x14ac:dyDescent="0.3">
      <c r="G661"/>
      <c r="H661" s="18"/>
    </row>
    <row r="662" spans="7:8" x14ac:dyDescent="0.3">
      <c r="G662"/>
      <c r="H662" s="18"/>
    </row>
    <row r="663" spans="7:8" x14ac:dyDescent="0.3">
      <c r="G663"/>
      <c r="H663" s="18"/>
    </row>
    <row r="664" spans="7:8" x14ac:dyDescent="0.3">
      <c r="G664"/>
      <c r="H664" s="18"/>
    </row>
    <row r="665" spans="7:8" x14ac:dyDescent="0.3">
      <c r="G665"/>
      <c r="H665" s="18"/>
    </row>
    <row r="666" spans="7:8" x14ac:dyDescent="0.3">
      <c r="G666"/>
      <c r="H666" s="18"/>
    </row>
    <row r="667" spans="7:8" x14ac:dyDescent="0.3">
      <c r="G667"/>
      <c r="H667" s="18"/>
    </row>
    <row r="668" spans="7:8" x14ac:dyDescent="0.3">
      <c r="G668"/>
      <c r="H668" s="18"/>
    </row>
    <row r="669" spans="7:8" x14ac:dyDescent="0.3">
      <c r="G669"/>
      <c r="H669" s="18"/>
    </row>
    <row r="670" spans="7:8" x14ac:dyDescent="0.3">
      <c r="G670"/>
      <c r="H670" s="18"/>
    </row>
    <row r="671" spans="7:8" x14ac:dyDescent="0.3">
      <c r="G671"/>
      <c r="H671" s="18"/>
    </row>
    <row r="672" spans="7:8" x14ac:dyDescent="0.3">
      <c r="G672"/>
      <c r="H672" s="18"/>
    </row>
    <row r="673" spans="7:8" x14ac:dyDescent="0.3">
      <c r="G673"/>
      <c r="H673" s="18"/>
    </row>
    <row r="674" spans="7:8" x14ac:dyDescent="0.3">
      <c r="G674"/>
      <c r="H674" s="18"/>
    </row>
    <row r="675" spans="7:8" x14ac:dyDescent="0.3">
      <c r="G675"/>
      <c r="H675" s="18"/>
    </row>
    <row r="676" spans="7:8" x14ac:dyDescent="0.3">
      <c r="G676"/>
      <c r="H676" s="18"/>
    </row>
    <row r="677" spans="7:8" x14ac:dyDescent="0.3">
      <c r="G677"/>
      <c r="H677" s="18"/>
    </row>
    <row r="678" spans="7:8" x14ac:dyDescent="0.3">
      <c r="G678"/>
      <c r="H678" s="18"/>
    </row>
    <row r="679" spans="7:8" x14ac:dyDescent="0.3">
      <c r="G679"/>
      <c r="H679" s="18"/>
    </row>
    <row r="680" spans="7:8" x14ac:dyDescent="0.3">
      <c r="G680"/>
      <c r="H680" s="18"/>
    </row>
    <row r="681" spans="7:8" x14ac:dyDescent="0.3">
      <c r="G681"/>
      <c r="H681" s="18"/>
    </row>
    <row r="682" spans="7:8" x14ac:dyDescent="0.3">
      <c r="G682"/>
      <c r="H682" s="18"/>
    </row>
    <row r="683" spans="7:8" x14ac:dyDescent="0.3">
      <c r="G683"/>
      <c r="H683" s="18"/>
    </row>
    <row r="684" spans="7:8" x14ac:dyDescent="0.3">
      <c r="G684"/>
      <c r="H684" s="18"/>
    </row>
    <row r="685" spans="7:8" x14ac:dyDescent="0.3">
      <c r="G685"/>
      <c r="H685" s="18"/>
    </row>
    <row r="686" spans="7:8" x14ac:dyDescent="0.3">
      <c r="G686"/>
      <c r="H686" s="18"/>
    </row>
    <row r="687" spans="7:8" x14ac:dyDescent="0.3">
      <c r="G687"/>
      <c r="H687" s="18"/>
    </row>
    <row r="688" spans="7:8" x14ac:dyDescent="0.3">
      <c r="G688"/>
      <c r="H688" s="18"/>
    </row>
    <row r="689" spans="7:8" x14ac:dyDescent="0.3">
      <c r="G689"/>
      <c r="H689" s="18"/>
    </row>
    <row r="690" spans="7:8" x14ac:dyDescent="0.3">
      <c r="G690"/>
      <c r="H690" s="18"/>
    </row>
    <row r="691" spans="7:8" x14ac:dyDescent="0.3">
      <c r="G691"/>
      <c r="H691" s="18"/>
    </row>
    <row r="692" spans="7:8" x14ac:dyDescent="0.3">
      <c r="G692"/>
      <c r="H692" s="18"/>
    </row>
    <row r="693" spans="7:8" x14ac:dyDescent="0.3">
      <c r="G693"/>
      <c r="H693" s="18"/>
    </row>
    <row r="694" spans="7:8" x14ac:dyDescent="0.3">
      <c r="G694"/>
      <c r="H694" s="18"/>
    </row>
    <row r="695" spans="7:8" x14ac:dyDescent="0.3">
      <c r="G695"/>
      <c r="H695" s="18"/>
    </row>
    <row r="696" spans="7:8" x14ac:dyDescent="0.3">
      <c r="G696"/>
      <c r="H696" s="18"/>
    </row>
    <row r="697" spans="7:8" x14ac:dyDescent="0.3">
      <c r="G697"/>
      <c r="H697" s="18"/>
    </row>
    <row r="698" spans="7:8" x14ac:dyDescent="0.3">
      <c r="G698"/>
      <c r="H698" s="18"/>
    </row>
    <row r="699" spans="7:8" x14ac:dyDescent="0.3">
      <c r="G699"/>
      <c r="H699" s="18"/>
    </row>
    <row r="700" spans="7:8" x14ac:dyDescent="0.3">
      <c r="G700"/>
      <c r="H700" s="18"/>
    </row>
    <row r="701" spans="7:8" x14ac:dyDescent="0.3">
      <c r="G701"/>
      <c r="H701" s="18"/>
    </row>
    <row r="702" spans="7:8" x14ac:dyDescent="0.3">
      <c r="G702"/>
      <c r="H702" s="18"/>
    </row>
    <row r="703" spans="7:8" x14ac:dyDescent="0.3">
      <c r="G703"/>
      <c r="H703" s="18"/>
    </row>
    <row r="704" spans="7:8" x14ac:dyDescent="0.3">
      <c r="G704"/>
      <c r="H704" s="18"/>
    </row>
    <row r="705" spans="7:8" x14ac:dyDescent="0.3">
      <c r="G705"/>
      <c r="H705" s="18"/>
    </row>
    <row r="706" spans="7:8" x14ac:dyDescent="0.3">
      <c r="G706"/>
      <c r="H706" s="18"/>
    </row>
    <row r="707" spans="7:8" x14ac:dyDescent="0.3">
      <c r="G707"/>
      <c r="H707" s="18"/>
    </row>
    <row r="708" spans="7:8" x14ac:dyDescent="0.3">
      <c r="G708"/>
      <c r="H708" s="18"/>
    </row>
    <row r="709" spans="7:8" x14ac:dyDescent="0.3">
      <c r="G709"/>
      <c r="H709" s="18"/>
    </row>
    <row r="710" spans="7:8" x14ac:dyDescent="0.3">
      <c r="G710"/>
      <c r="H710" s="18"/>
    </row>
    <row r="711" spans="7:8" x14ac:dyDescent="0.3">
      <c r="G711"/>
      <c r="H711" s="18"/>
    </row>
    <row r="712" spans="7:8" x14ac:dyDescent="0.3">
      <c r="G712"/>
      <c r="H712" s="18"/>
    </row>
    <row r="713" spans="7:8" x14ac:dyDescent="0.3">
      <c r="G713"/>
      <c r="H713" s="18"/>
    </row>
    <row r="714" spans="7:8" x14ac:dyDescent="0.3">
      <c r="G714"/>
      <c r="H714" s="18"/>
    </row>
    <row r="715" spans="7:8" x14ac:dyDescent="0.3">
      <c r="G715"/>
      <c r="H715" s="18"/>
    </row>
    <row r="716" spans="7:8" x14ac:dyDescent="0.3">
      <c r="G716"/>
      <c r="H716" s="18"/>
    </row>
    <row r="717" spans="7:8" x14ac:dyDescent="0.3">
      <c r="G717"/>
      <c r="H717" s="18"/>
    </row>
    <row r="718" spans="7:8" x14ac:dyDescent="0.3">
      <c r="G718"/>
      <c r="H718" s="18"/>
    </row>
    <row r="719" spans="7:8" x14ac:dyDescent="0.3">
      <c r="G719"/>
      <c r="H719" s="18"/>
    </row>
    <row r="720" spans="7:8" x14ac:dyDescent="0.3">
      <c r="G720"/>
      <c r="H720" s="18"/>
    </row>
    <row r="721" spans="7:8" x14ac:dyDescent="0.3">
      <c r="G721"/>
      <c r="H721" s="18"/>
    </row>
    <row r="722" spans="7:8" x14ac:dyDescent="0.3">
      <c r="G722"/>
      <c r="H722" s="18"/>
    </row>
    <row r="723" spans="7:8" x14ac:dyDescent="0.3">
      <c r="G723"/>
      <c r="H723" s="18"/>
    </row>
    <row r="724" spans="7:8" x14ac:dyDescent="0.3">
      <c r="G724"/>
      <c r="H724" s="18"/>
    </row>
    <row r="725" spans="7:8" x14ac:dyDescent="0.3">
      <c r="G725"/>
      <c r="H725" s="18"/>
    </row>
    <row r="726" spans="7:8" x14ac:dyDescent="0.3">
      <c r="G726"/>
      <c r="H726" s="18"/>
    </row>
    <row r="727" spans="7:8" x14ac:dyDescent="0.3">
      <c r="G727"/>
      <c r="H727" s="18"/>
    </row>
    <row r="728" spans="7:8" x14ac:dyDescent="0.3">
      <c r="G728"/>
      <c r="H728" s="18"/>
    </row>
    <row r="729" spans="7:8" x14ac:dyDescent="0.3">
      <c r="G729"/>
      <c r="H729" s="18"/>
    </row>
    <row r="730" spans="7:8" x14ac:dyDescent="0.3">
      <c r="G730"/>
      <c r="H730" s="18"/>
    </row>
    <row r="731" spans="7:8" x14ac:dyDescent="0.3">
      <c r="G731"/>
      <c r="H731" s="18"/>
    </row>
    <row r="732" spans="7:8" x14ac:dyDescent="0.3">
      <c r="G732"/>
      <c r="H732" s="18"/>
    </row>
    <row r="733" spans="7:8" x14ac:dyDescent="0.3">
      <c r="G733"/>
      <c r="H733" s="18"/>
    </row>
    <row r="734" spans="7:8" x14ac:dyDescent="0.3">
      <c r="G734"/>
      <c r="H734" s="18"/>
    </row>
    <row r="735" spans="7:8" x14ac:dyDescent="0.3">
      <c r="G735"/>
      <c r="H735" s="18"/>
    </row>
    <row r="736" spans="7:8" x14ac:dyDescent="0.3">
      <c r="G736"/>
      <c r="H736" s="18"/>
    </row>
    <row r="737" spans="7:8" x14ac:dyDescent="0.3">
      <c r="G737"/>
      <c r="H737" s="18"/>
    </row>
    <row r="738" spans="7:8" x14ac:dyDescent="0.3">
      <c r="G738"/>
      <c r="H738" s="18"/>
    </row>
    <row r="739" spans="7:8" x14ac:dyDescent="0.3">
      <c r="G739"/>
      <c r="H739" s="18"/>
    </row>
    <row r="740" spans="7:8" x14ac:dyDescent="0.3">
      <c r="G740"/>
      <c r="H740" s="18"/>
    </row>
    <row r="741" spans="7:8" x14ac:dyDescent="0.3">
      <c r="G741"/>
      <c r="H741" s="18"/>
    </row>
    <row r="742" spans="7:8" x14ac:dyDescent="0.3">
      <c r="G742"/>
      <c r="H742" s="18"/>
    </row>
    <row r="743" spans="7:8" x14ac:dyDescent="0.3">
      <c r="G743"/>
      <c r="H743" s="18"/>
    </row>
    <row r="744" spans="7:8" x14ac:dyDescent="0.3">
      <c r="G744"/>
      <c r="H744" s="18"/>
    </row>
    <row r="745" spans="7:8" x14ac:dyDescent="0.3">
      <c r="G745"/>
      <c r="H745" s="18"/>
    </row>
    <row r="746" spans="7:8" x14ac:dyDescent="0.3">
      <c r="G746"/>
      <c r="H746" s="18"/>
    </row>
    <row r="747" spans="7:8" x14ac:dyDescent="0.3">
      <c r="G747"/>
      <c r="H747" s="18"/>
    </row>
    <row r="748" spans="7:8" x14ac:dyDescent="0.3">
      <c r="G748"/>
      <c r="H748" s="18"/>
    </row>
    <row r="749" spans="7:8" x14ac:dyDescent="0.3">
      <c r="G749"/>
      <c r="H749" s="18"/>
    </row>
    <row r="750" spans="7:8" x14ac:dyDescent="0.3">
      <c r="G750"/>
      <c r="H750" s="18"/>
    </row>
    <row r="751" spans="7:8" x14ac:dyDescent="0.3">
      <c r="G751"/>
      <c r="H751" s="18"/>
    </row>
    <row r="752" spans="7:8" x14ac:dyDescent="0.3">
      <c r="G752"/>
      <c r="H752" s="18"/>
    </row>
    <row r="753" spans="7:8" x14ac:dyDescent="0.3">
      <c r="G753"/>
      <c r="H753" s="18"/>
    </row>
    <row r="754" spans="7:8" x14ac:dyDescent="0.3">
      <c r="G754"/>
      <c r="H754" s="18"/>
    </row>
    <row r="755" spans="7:8" x14ac:dyDescent="0.3">
      <c r="G755"/>
      <c r="H755" s="18"/>
    </row>
    <row r="756" spans="7:8" x14ac:dyDescent="0.3">
      <c r="G756"/>
      <c r="H756" s="18"/>
    </row>
    <row r="757" spans="7:8" x14ac:dyDescent="0.3">
      <c r="G757"/>
      <c r="H757" s="18"/>
    </row>
    <row r="758" spans="7:8" x14ac:dyDescent="0.3">
      <c r="G758"/>
      <c r="H758" s="18"/>
    </row>
    <row r="759" spans="7:8" x14ac:dyDescent="0.3">
      <c r="G759"/>
      <c r="H759" s="18"/>
    </row>
    <row r="760" spans="7:8" x14ac:dyDescent="0.3">
      <c r="G760"/>
      <c r="H760" s="18"/>
    </row>
    <row r="761" spans="7:8" x14ac:dyDescent="0.3">
      <c r="G761"/>
      <c r="H761" s="18"/>
    </row>
    <row r="762" spans="7:8" x14ac:dyDescent="0.3">
      <c r="G762"/>
      <c r="H762" s="18"/>
    </row>
    <row r="763" spans="7:8" x14ac:dyDescent="0.3">
      <c r="G763"/>
      <c r="H763" s="18"/>
    </row>
    <row r="764" spans="7:8" x14ac:dyDescent="0.3">
      <c r="G764"/>
      <c r="H764" s="18"/>
    </row>
    <row r="765" spans="7:8" x14ac:dyDescent="0.3">
      <c r="G765"/>
      <c r="H765" s="18"/>
    </row>
    <row r="766" spans="7:8" x14ac:dyDescent="0.3">
      <c r="G766"/>
      <c r="H766" s="18"/>
    </row>
    <row r="767" spans="7:8" x14ac:dyDescent="0.3">
      <c r="G767"/>
      <c r="H767" s="18"/>
    </row>
    <row r="768" spans="7:8" x14ac:dyDescent="0.3">
      <c r="G768"/>
      <c r="H768" s="18"/>
    </row>
    <row r="769" spans="7:8" x14ac:dyDescent="0.3">
      <c r="G769"/>
      <c r="H769" s="18"/>
    </row>
    <row r="770" spans="7:8" x14ac:dyDescent="0.3">
      <c r="G770"/>
      <c r="H770" s="18"/>
    </row>
    <row r="771" spans="7:8" x14ac:dyDescent="0.3">
      <c r="G771"/>
      <c r="H771" s="18"/>
    </row>
    <row r="772" spans="7:8" x14ac:dyDescent="0.3">
      <c r="G772"/>
      <c r="H772" s="18"/>
    </row>
    <row r="773" spans="7:8" x14ac:dyDescent="0.3">
      <c r="G773"/>
      <c r="H773" s="18"/>
    </row>
    <row r="774" spans="7:8" x14ac:dyDescent="0.3">
      <c r="G774"/>
      <c r="H774" s="18"/>
    </row>
    <row r="775" spans="7:8" x14ac:dyDescent="0.3">
      <c r="G775"/>
      <c r="H775" s="18"/>
    </row>
    <row r="776" spans="7:8" x14ac:dyDescent="0.3">
      <c r="G776"/>
      <c r="H776" s="18"/>
    </row>
    <row r="777" spans="7:8" x14ac:dyDescent="0.3">
      <c r="G777"/>
      <c r="H777" s="18"/>
    </row>
    <row r="778" spans="7:8" x14ac:dyDescent="0.3">
      <c r="G778"/>
      <c r="H778" s="18"/>
    </row>
    <row r="779" spans="7:8" x14ac:dyDescent="0.3">
      <c r="G779"/>
      <c r="H779" s="18"/>
    </row>
    <row r="780" spans="7:8" x14ac:dyDescent="0.3">
      <c r="G780"/>
      <c r="H780" s="18"/>
    </row>
    <row r="781" spans="7:8" x14ac:dyDescent="0.3">
      <c r="G781"/>
      <c r="H781" s="18"/>
    </row>
    <row r="782" spans="7:8" x14ac:dyDescent="0.3">
      <c r="G782"/>
      <c r="H782" s="18"/>
    </row>
    <row r="783" spans="7:8" x14ac:dyDescent="0.3">
      <c r="G783"/>
      <c r="H783" s="18"/>
    </row>
    <row r="784" spans="7:8" x14ac:dyDescent="0.3">
      <c r="G784"/>
      <c r="H784" s="18"/>
    </row>
    <row r="785" spans="7:8" x14ac:dyDescent="0.3">
      <c r="G785"/>
      <c r="H785" s="18"/>
    </row>
    <row r="786" spans="7:8" x14ac:dyDescent="0.3">
      <c r="G786"/>
      <c r="H786" s="18"/>
    </row>
    <row r="787" spans="7:8" x14ac:dyDescent="0.3">
      <c r="G787"/>
      <c r="H787" s="18"/>
    </row>
    <row r="788" spans="7:8" x14ac:dyDescent="0.3">
      <c r="G788"/>
      <c r="H788" s="18"/>
    </row>
    <row r="789" spans="7:8" x14ac:dyDescent="0.3">
      <c r="G789"/>
      <c r="H789" s="18"/>
    </row>
    <row r="790" spans="7:8" x14ac:dyDescent="0.3">
      <c r="G790"/>
      <c r="H790" s="18"/>
    </row>
    <row r="791" spans="7:8" x14ac:dyDescent="0.3">
      <c r="G791"/>
      <c r="H791" s="18"/>
    </row>
    <row r="792" spans="7:8" x14ac:dyDescent="0.3">
      <c r="G792"/>
      <c r="H792" s="18"/>
    </row>
    <row r="793" spans="7:8" x14ac:dyDescent="0.3">
      <c r="G793"/>
      <c r="H793" s="18"/>
    </row>
    <row r="794" spans="7:8" x14ac:dyDescent="0.3">
      <c r="G794"/>
      <c r="H794" s="18"/>
    </row>
    <row r="795" spans="7:8" x14ac:dyDescent="0.3">
      <c r="G795"/>
      <c r="H795" s="18"/>
    </row>
    <row r="796" spans="7:8" x14ac:dyDescent="0.3">
      <c r="G796"/>
      <c r="H796" s="18"/>
    </row>
    <row r="797" spans="7:8" x14ac:dyDescent="0.3">
      <c r="G797"/>
      <c r="H797" s="18"/>
    </row>
    <row r="798" spans="7:8" x14ac:dyDescent="0.3">
      <c r="G798"/>
      <c r="H798" s="18"/>
    </row>
    <row r="799" spans="7:8" x14ac:dyDescent="0.3">
      <c r="G799"/>
      <c r="H799" s="18"/>
    </row>
    <row r="800" spans="7:8" x14ac:dyDescent="0.3">
      <c r="G800"/>
      <c r="H800" s="18"/>
    </row>
    <row r="801" spans="7:8" x14ac:dyDescent="0.3">
      <c r="G801"/>
      <c r="H801" s="18"/>
    </row>
    <row r="802" spans="7:8" x14ac:dyDescent="0.3">
      <c r="G802"/>
      <c r="H802" s="18"/>
    </row>
    <row r="803" spans="7:8" x14ac:dyDescent="0.3">
      <c r="G803"/>
      <c r="H803" s="18"/>
    </row>
    <row r="804" spans="7:8" x14ac:dyDescent="0.3">
      <c r="G804"/>
      <c r="H804" s="18"/>
    </row>
    <row r="805" spans="7:8" x14ac:dyDescent="0.3">
      <c r="G805"/>
      <c r="H805" s="18"/>
    </row>
    <row r="806" spans="7:8" x14ac:dyDescent="0.3">
      <c r="G806"/>
      <c r="H806" s="18"/>
    </row>
    <row r="807" spans="7:8" x14ac:dyDescent="0.3">
      <c r="G807"/>
      <c r="H807" s="18"/>
    </row>
    <row r="808" spans="7:8" x14ac:dyDescent="0.3">
      <c r="G808"/>
      <c r="H808" s="18"/>
    </row>
    <row r="809" spans="7:8" x14ac:dyDescent="0.3">
      <c r="G809"/>
      <c r="H809" s="18"/>
    </row>
    <row r="810" spans="7:8" x14ac:dyDescent="0.3">
      <c r="G810"/>
      <c r="H810" s="18"/>
    </row>
    <row r="811" spans="7:8" x14ac:dyDescent="0.3">
      <c r="G811"/>
      <c r="H811" s="18"/>
    </row>
    <row r="812" spans="7:8" x14ac:dyDescent="0.3">
      <c r="G812"/>
      <c r="H812" s="18"/>
    </row>
    <row r="813" spans="7:8" x14ac:dyDescent="0.3">
      <c r="G813"/>
      <c r="H813" s="18"/>
    </row>
    <row r="814" spans="7:8" x14ac:dyDescent="0.3">
      <c r="G814"/>
      <c r="H814" s="18"/>
    </row>
    <row r="815" spans="7:8" x14ac:dyDescent="0.3">
      <c r="G815"/>
      <c r="H815" s="18"/>
    </row>
    <row r="816" spans="7:8" x14ac:dyDescent="0.3">
      <c r="G816"/>
      <c r="H816" s="18"/>
    </row>
    <row r="817" spans="7:8" x14ac:dyDescent="0.3">
      <c r="G817"/>
      <c r="H817" s="18"/>
    </row>
    <row r="818" spans="7:8" x14ac:dyDescent="0.3">
      <c r="G818"/>
      <c r="H818" s="18"/>
    </row>
    <row r="819" spans="7:8" x14ac:dyDescent="0.3">
      <c r="G819"/>
      <c r="H819" s="18"/>
    </row>
    <row r="820" spans="7:8" x14ac:dyDescent="0.3">
      <c r="G820"/>
      <c r="H820" s="18"/>
    </row>
    <row r="821" spans="7:8" x14ac:dyDescent="0.3">
      <c r="G821"/>
      <c r="H821" s="18"/>
    </row>
    <row r="822" spans="7:8" x14ac:dyDescent="0.3">
      <c r="G822"/>
      <c r="H822" s="18"/>
    </row>
    <row r="823" spans="7:8" x14ac:dyDescent="0.3">
      <c r="G823"/>
      <c r="H823" s="18"/>
    </row>
    <row r="824" spans="7:8" x14ac:dyDescent="0.3">
      <c r="G824"/>
      <c r="H824" s="18"/>
    </row>
    <row r="825" spans="7:8" x14ac:dyDescent="0.3">
      <c r="G825"/>
      <c r="H825" s="18"/>
    </row>
    <row r="826" spans="7:8" x14ac:dyDescent="0.3">
      <c r="G826"/>
      <c r="H826" s="18"/>
    </row>
    <row r="827" spans="7:8" x14ac:dyDescent="0.3">
      <c r="G827"/>
      <c r="H827" s="18"/>
    </row>
    <row r="828" spans="7:8" x14ac:dyDescent="0.3">
      <c r="G828"/>
      <c r="H828" s="18"/>
    </row>
    <row r="829" spans="7:8" x14ac:dyDescent="0.3">
      <c r="G829"/>
      <c r="H829" s="18"/>
    </row>
    <row r="830" spans="7:8" x14ac:dyDescent="0.3">
      <c r="G830"/>
      <c r="H830" s="18"/>
    </row>
    <row r="831" spans="7:8" x14ac:dyDescent="0.3">
      <c r="G831"/>
      <c r="H831" s="18"/>
    </row>
    <row r="832" spans="7:8" x14ac:dyDescent="0.3">
      <c r="G832"/>
      <c r="H832" s="18"/>
    </row>
    <row r="833" spans="7:8" x14ac:dyDescent="0.3">
      <c r="G833"/>
      <c r="H833" s="18"/>
    </row>
    <row r="834" spans="7:8" x14ac:dyDescent="0.3">
      <c r="G834"/>
      <c r="H834" s="18"/>
    </row>
    <row r="835" spans="7:8" x14ac:dyDescent="0.3">
      <c r="G835"/>
      <c r="H835" s="18"/>
    </row>
    <row r="836" spans="7:8" x14ac:dyDescent="0.3">
      <c r="G836"/>
      <c r="H836" s="18"/>
    </row>
    <row r="837" spans="7:8" x14ac:dyDescent="0.3">
      <c r="G837"/>
      <c r="H837" s="18"/>
    </row>
    <row r="838" spans="7:8" x14ac:dyDescent="0.3">
      <c r="G838"/>
      <c r="H838" s="18"/>
    </row>
    <row r="839" spans="7:8" x14ac:dyDescent="0.3">
      <c r="G839"/>
      <c r="H839" s="18"/>
    </row>
    <row r="840" spans="7:8" x14ac:dyDescent="0.3">
      <c r="G840"/>
      <c r="H840" s="18"/>
    </row>
    <row r="841" spans="7:8" x14ac:dyDescent="0.3">
      <c r="G841"/>
      <c r="H841" s="18"/>
    </row>
    <row r="842" spans="7:8" x14ac:dyDescent="0.3">
      <c r="G842"/>
      <c r="H842" s="18"/>
    </row>
    <row r="843" spans="7:8" x14ac:dyDescent="0.3">
      <c r="G843"/>
      <c r="H843" s="18"/>
    </row>
    <row r="844" spans="7:8" x14ac:dyDescent="0.3">
      <c r="G844"/>
      <c r="H844" s="18"/>
    </row>
    <row r="845" spans="7:8" x14ac:dyDescent="0.3">
      <c r="G845"/>
      <c r="H845" s="18"/>
    </row>
    <row r="846" spans="7:8" x14ac:dyDescent="0.3">
      <c r="G846"/>
      <c r="H846" s="18"/>
    </row>
    <row r="847" spans="7:8" x14ac:dyDescent="0.3">
      <c r="G847"/>
      <c r="H847" s="18"/>
    </row>
    <row r="848" spans="7:8" x14ac:dyDescent="0.3">
      <c r="G848"/>
      <c r="H848" s="18"/>
    </row>
    <row r="849" spans="7:8" x14ac:dyDescent="0.3">
      <c r="G849"/>
      <c r="H849" s="18"/>
    </row>
    <row r="850" spans="7:8" x14ac:dyDescent="0.3">
      <c r="G850"/>
      <c r="H850" s="18"/>
    </row>
    <row r="851" spans="7:8" x14ac:dyDescent="0.3">
      <c r="G851"/>
      <c r="H851" s="18"/>
    </row>
    <row r="852" spans="7:8" x14ac:dyDescent="0.3">
      <c r="G852"/>
      <c r="H852" s="18"/>
    </row>
    <row r="853" spans="7:8" x14ac:dyDescent="0.3">
      <c r="G853"/>
      <c r="H853" s="18"/>
    </row>
    <row r="854" spans="7:8" x14ac:dyDescent="0.3">
      <c r="G854"/>
      <c r="H854" s="18"/>
    </row>
    <row r="855" spans="7:8" x14ac:dyDescent="0.3">
      <c r="G855"/>
      <c r="H855" s="18"/>
    </row>
    <row r="856" spans="7:8" x14ac:dyDescent="0.3">
      <c r="G856"/>
      <c r="H856" s="18"/>
    </row>
    <row r="857" spans="7:8" x14ac:dyDescent="0.3">
      <c r="G857"/>
      <c r="H857" s="18"/>
    </row>
    <row r="858" spans="7:8" x14ac:dyDescent="0.3">
      <c r="G858"/>
      <c r="H858" s="18"/>
    </row>
    <row r="859" spans="7:8" x14ac:dyDescent="0.3">
      <c r="G859"/>
      <c r="H859" s="18"/>
    </row>
    <row r="860" spans="7:8" x14ac:dyDescent="0.3">
      <c r="G860"/>
      <c r="H860" s="18"/>
    </row>
    <row r="861" spans="7:8" x14ac:dyDescent="0.3">
      <c r="G861"/>
      <c r="H861" s="18"/>
    </row>
    <row r="862" spans="7:8" x14ac:dyDescent="0.3">
      <c r="G862"/>
      <c r="H862" s="18"/>
    </row>
    <row r="863" spans="7:8" x14ac:dyDescent="0.3">
      <c r="G863"/>
      <c r="H863" s="18"/>
    </row>
    <row r="864" spans="7:8" x14ac:dyDescent="0.3">
      <c r="G864"/>
      <c r="H864" s="18"/>
    </row>
    <row r="865" spans="7:8" x14ac:dyDescent="0.3">
      <c r="G865"/>
      <c r="H865" s="18"/>
    </row>
    <row r="866" spans="7:8" x14ac:dyDescent="0.3">
      <c r="G866"/>
      <c r="H866" s="18"/>
    </row>
    <row r="867" spans="7:8" x14ac:dyDescent="0.3">
      <c r="G867"/>
      <c r="H867" s="18"/>
    </row>
    <row r="868" spans="7:8" x14ac:dyDescent="0.3">
      <c r="G868"/>
      <c r="H868" s="18"/>
    </row>
    <row r="869" spans="7:8" x14ac:dyDescent="0.3">
      <c r="G869"/>
      <c r="H869" s="18"/>
    </row>
    <row r="870" spans="7:8" x14ac:dyDescent="0.3">
      <c r="G870"/>
      <c r="H870" s="18"/>
    </row>
    <row r="871" spans="7:8" x14ac:dyDescent="0.3">
      <c r="G871"/>
      <c r="H871" s="18"/>
    </row>
    <row r="872" spans="7:8" x14ac:dyDescent="0.3">
      <c r="G872"/>
      <c r="H872" s="18"/>
    </row>
    <row r="873" spans="7:8" x14ac:dyDescent="0.3">
      <c r="G873"/>
      <c r="H873" s="18"/>
    </row>
    <row r="874" spans="7:8" x14ac:dyDescent="0.3">
      <c r="G874"/>
      <c r="H874" s="18"/>
    </row>
    <row r="875" spans="7:8" x14ac:dyDescent="0.3">
      <c r="G875"/>
      <c r="H875" s="18"/>
    </row>
    <row r="876" spans="7:8" x14ac:dyDescent="0.3">
      <c r="G876"/>
      <c r="H876" s="18"/>
    </row>
    <row r="877" spans="7:8" x14ac:dyDescent="0.3">
      <c r="G877"/>
      <c r="H877" s="18"/>
    </row>
    <row r="878" spans="7:8" x14ac:dyDescent="0.3">
      <c r="G878"/>
      <c r="H878" s="18"/>
    </row>
    <row r="879" spans="7:8" x14ac:dyDescent="0.3">
      <c r="G879"/>
      <c r="H879" s="18"/>
    </row>
    <row r="880" spans="7:8" x14ac:dyDescent="0.3">
      <c r="G880"/>
      <c r="H880" s="18"/>
    </row>
    <row r="881" spans="7:8" x14ac:dyDescent="0.3">
      <c r="G881"/>
      <c r="H881" s="18"/>
    </row>
    <row r="882" spans="7:8" x14ac:dyDescent="0.3">
      <c r="G882"/>
      <c r="H882" s="18"/>
    </row>
    <row r="883" spans="7:8" x14ac:dyDescent="0.3">
      <c r="G883"/>
      <c r="H883" s="18"/>
    </row>
    <row r="884" spans="7:8" x14ac:dyDescent="0.3">
      <c r="G884"/>
      <c r="H884" s="18"/>
    </row>
    <row r="885" spans="7:8" x14ac:dyDescent="0.3">
      <c r="G885"/>
      <c r="H885" s="18"/>
    </row>
    <row r="886" spans="7:8" x14ac:dyDescent="0.3">
      <c r="G886"/>
      <c r="H886" s="18"/>
    </row>
    <row r="887" spans="7:8" x14ac:dyDescent="0.3">
      <c r="G887"/>
      <c r="H887" s="18"/>
    </row>
    <row r="888" spans="7:8" x14ac:dyDescent="0.3">
      <c r="G888"/>
      <c r="H888" s="18"/>
    </row>
    <row r="889" spans="7:8" x14ac:dyDescent="0.3">
      <c r="G889"/>
      <c r="H889" s="18"/>
    </row>
    <row r="890" spans="7:8" x14ac:dyDescent="0.3">
      <c r="G890"/>
      <c r="H890" s="18"/>
    </row>
    <row r="891" spans="7:8" x14ac:dyDescent="0.3">
      <c r="G891"/>
      <c r="H891" s="18"/>
    </row>
    <row r="892" spans="7:8" x14ac:dyDescent="0.3">
      <c r="G892"/>
      <c r="H892" s="18"/>
    </row>
    <row r="893" spans="7:8" x14ac:dyDescent="0.3">
      <c r="G893"/>
      <c r="H893" s="18"/>
    </row>
    <row r="894" spans="7:8" x14ac:dyDescent="0.3">
      <c r="G894"/>
      <c r="H894" s="18"/>
    </row>
    <row r="895" spans="7:8" x14ac:dyDescent="0.3">
      <c r="G895"/>
      <c r="H895" s="18"/>
    </row>
    <row r="896" spans="7:8" x14ac:dyDescent="0.3">
      <c r="G896"/>
      <c r="H896" s="18"/>
    </row>
    <row r="897" spans="7:8" x14ac:dyDescent="0.3">
      <c r="G897"/>
      <c r="H897" s="18"/>
    </row>
    <row r="898" spans="7:8" x14ac:dyDescent="0.3">
      <c r="G898"/>
      <c r="H898" s="18"/>
    </row>
    <row r="899" spans="7:8" x14ac:dyDescent="0.3">
      <c r="G899"/>
      <c r="H899" s="18"/>
    </row>
    <row r="900" spans="7:8" x14ac:dyDescent="0.3">
      <c r="G900"/>
      <c r="H900" s="18"/>
    </row>
    <row r="901" spans="7:8" x14ac:dyDescent="0.3">
      <c r="G901"/>
      <c r="H901" s="18"/>
    </row>
    <row r="902" spans="7:8" x14ac:dyDescent="0.3">
      <c r="G902"/>
      <c r="H902" s="18"/>
    </row>
    <row r="903" spans="7:8" x14ac:dyDescent="0.3">
      <c r="G903"/>
      <c r="H903" s="18"/>
    </row>
    <row r="904" spans="7:8" x14ac:dyDescent="0.3">
      <c r="G904"/>
      <c r="H904" s="18"/>
    </row>
    <row r="905" spans="7:8" x14ac:dyDescent="0.3">
      <c r="G905"/>
      <c r="H905" s="18"/>
    </row>
    <row r="906" spans="7:8" x14ac:dyDescent="0.3">
      <c r="G906"/>
      <c r="H906" s="18"/>
    </row>
    <row r="907" spans="7:8" x14ac:dyDescent="0.3">
      <c r="G907"/>
      <c r="H907" s="18"/>
    </row>
    <row r="908" spans="7:8" x14ac:dyDescent="0.3">
      <c r="G908"/>
      <c r="H908" s="18"/>
    </row>
    <row r="909" spans="7:8" x14ac:dyDescent="0.3">
      <c r="G909"/>
      <c r="H909" s="18"/>
    </row>
    <row r="910" spans="7:8" x14ac:dyDescent="0.3">
      <c r="G910"/>
      <c r="H910" s="18"/>
    </row>
    <row r="911" spans="7:8" x14ac:dyDescent="0.3">
      <c r="G911"/>
      <c r="H911" s="18"/>
    </row>
    <row r="912" spans="7:8" x14ac:dyDescent="0.3">
      <c r="G912"/>
      <c r="H912" s="18"/>
    </row>
    <row r="913" spans="7:8" x14ac:dyDescent="0.3">
      <c r="G913"/>
      <c r="H913" s="18"/>
    </row>
    <row r="914" spans="7:8" x14ac:dyDescent="0.3">
      <c r="G914"/>
      <c r="H914" s="18"/>
    </row>
    <row r="915" spans="7:8" x14ac:dyDescent="0.3">
      <c r="G915"/>
      <c r="H915" s="18"/>
    </row>
    <row r="916" spans="7:8" x14ac:dyDescent="0.3">
      <c r="G916"/>
      <c r="H916" s="18"/>
    </row>
    <row r="917" spans="7:8" x14ac:dyDescent="0.3">
      <c r="G917"/>
      <c r="H917" s="18"/>
    </row>
    <row r="918" spans="7:8" x14ac:dyDescent="0.3">
      <c r="G918"/>
      <c r="H918" s="18"/>
    </row>
    <row r="919" spans="7:8" x14ac:dyDescent="0.3">
      <c r="G919"/>
      <c r="H919" s="18"/>
    </row>
    <row r="920" spans="7:8" x14ac:dyDescent="0.3">
      <c r="G920"/>
      <c r="H920" s="18"/>
    </row>
    <row r="921" spans="7:8" x14ac:dyDescent="0.3">
      <c r="G921"/>
      <c r="H921" s="18"/>
    </row>
    <row r="922" spans="7:8" x14ac:dyDescent="0.3">
      <c r="G922"/>
      <c r="H922" s="18"/>
    </row>
    <row r="923" spans="7:8" x14ac:dyDescent="0.3">
      <c r="G923"/>
      <c r="H923" s="18"/>
    </row>
    <row r="924" spans="7:8" x14ac:dyDescent="0.3">
      <c r="G924"/>
      <c r="H924" s="18"/>
    </row>
    <row r="925" spans="7:8" x14ac:dyDescent="0.3">
      <c r="G925"/>
      <c r="H925" s="18"/>
    </row>
    <row r="926" spans="7:8" x14ac:dyDescent="0.3">
      <c r="G926"/>
      <c r="H926" s="18"/>
    </row>
    <row r="927" spans="7:8" x14ac:dyDescent="0.3">
      <c r="G927"/>
      <c r="H927" s="18"/>
    </row>
    <row r="928" spans="7:8" x14ac:dyDescent="0.3">
      <c r="G928"/>
      <c r="H928" s="18"/>
    </row>
    <row r="929" spans="7:8" x14ac:dyDescent="0.3">
      <c r="G929"/>
      <c r="H929" s="18"/>
    </row>
    <row r="930" spans="7:8" x14ac:dyDescent="0.3">
      <c r="G930"/>
      <c r="H930" s="18"/>
    </row>
    <row r="931" spans="7:8" x14ac:dyDescent="0.3">
      <c r="G931"/>
      <c r="H931" s="18"/>
    </row>
    <row r="932" spans="7:8" x14ac:dyDescent="0.3">
      <c r="G932"/>
      <c r="H932" s="18"/>
    </row>
    <row r="933" spans="7:8" x14ac:dyDescent="0.3">
      <c r="G933"/>
      <c r="H933" s="18"/>
    </row>
    <row r="934" spans="7:8" x14ac:dyDescent="0.3">
      <c r="G934"/>
      <c r="H934" s="18"/>
    </row>
    <row r="935" spans="7:8" x14ac:dyDescent="0.3">
      <c r="G935"/>
      <c r="H935" s="18"/>
    </row>
    <row r="936" spans="7:8" x14ac:dyDescent="0.3">
      <c r="G936"/>
      <c r="H936" s="18"/>
    </row>
    <row r="937" spans="7:8" x14ac:dyDescent="0.3">
      <c r="G937"/>
      <c r="H937" s="18"/>
    </row>
    <row r="938" spans="7:8" x14ac:dyDescent="0.3">
      <c r="G938"/>
      <c r="H938" s="18"/>
    </row>
    <row r="939" spans="7:8" x14ac:dyDescent="0.3">
      <c r="G939"/>
      <c r="H939" s="18"/>
    </row>
    <row r="940" spans="7:8" x14ac:dyDescent="0.3">
      <c r="G940"/>
      <c r="H940" s="18"/>
    </row>
    <row r="941" spans="7:8" x14ac:dyDescent="0.3">
      <c r="G941"/>
      <c r="H941" s="18"/>
    </row>
    <row r="942" spans="7:8" x14ac:dyDescent="0.3">
      <c r="G942"/>
      <c r="H942" s="18"/>
    </row>
    <row r="943" spans="7:8" x14ac:dyDescent="0.3">
      <c r="G943"/>
      <c r="H943" s="18"/>
    </row>
    <row r="944" spans="7:8" x14ac:dyDescent="0.3">
      <c r="G944"/>
      <c r="H944" s="18"/>
    </row>
    <row r="945" spans="7:8" x14ac:dyDescent="0.3">
      <c r="G945"/>
      <c r="H945" s="18"/>
    </row>
    <row r="946" spans="7:8" x14ac:dyDescent="0.3">
      <c r="G946"/>
      <c r="H946" s="18"/>
    </row>
    <row r="947" spans="7:8" x14ac:dyDescent="0.3">
      <c r="G947"/>
      <c r="H947" s="18"/>
    </row>
    <row r="948" spans="7:8" x14ac:dyDescent="0.3">
      <c r="G948"/>
      <c r="H948" s="18"/>
    </row>
    <row r="949" spans="7:8" x14ac:dyDescent="0.3">
      <c r="G949"/>
      <c r="H949" s="18"/>
    </row>
    <row r="950" spans="7:8" x14ac:dyDescent="0.3">
      <c r="G950"/>
      <c r="H950" s="18"/>
    </row>
    <row r="951" spans="7:8" x14ac:dyDescent="0.3">
      <c r="G951"/>
      <c r="H951" s="18"/>
    </row>
    <row r="952" spans="7:8" x14ac:dyDescent="0.3">
      <c r="G952"/>
      <c r="H952" s="18"/>
    </row>
    <row r="953" spans="7:8" x14ac:dyDescent="0.3">
      <c r="G953"/>
      <c r="H953" s="18"/>
    </row>
    <row r="954" spans="7:8" x14ac:dyDescent="0.3">
      <c r="G954"/>
      <c r="H954" s="18"/>
    </row>
    <row r="955" spans="7:8" x14ac:dyDescent="0.3">
      <c r="G955"/>
      <c r="H955" s="18"/>
    </row>
    <row r="956" spans="7:8" x14ac:dyDescent="0.3">
      <c r="G956"/>
      <c r="H956" s="18"/>
    </row>
    <row r="957" spans="7:8" x14ac:dyDescent="0.3">
      <c r="G957"/>
      <c r="H957" s="18"/>
    </row>
    <row r="958" spans="7:8" x14ac:dyDescent="0.3">
      <c r="G958"/>
      <c r="H958" s="18"/>
    </row>
    <row r="959" spans="7:8" x14ac:dyDescent="0.3">
      <c r="G959"/>
      <c r="H959" s="18"/>
    </row>
    <row r="960" spans="7:8" x14ac:dyDescent="0.3">
      <c r="G960"/>
      <c r="H960" s="18"/>
    </row>
    <row r="961" spans="7:8" x14ac:dyDescent="0.3">
      <c r="G961"/>
      <c r="H961" s="18"/>
    </row>
    <row r="962" spans="7:8" x14ac:dyDescent="0.3">
      <c r="G962"/>
      <c r="H962" s="18"/>
    </row>
    <row r="963" spans="7:8" x14ac:dyDescent="0.3">
      <c r="G963"/>
      <c r="H963" s="18"/>
    </row>
    <row r="964" spans="7:8" x14ac:dyDescent="0.3">
      <c r="G964"/>
      <c r="H964" s="18"/>
    </row>
    <row r="965" spans="7:8" x14ac:dyDescent="0.3">
      <c r="G965"/>
      <c r="H965" s="18"/>
    </row>
    <row r="966" spans="7:8" x14ac:dyDescent="0.3">
      <c r="G966"/>
      <c r="H966" s="18"/>
    </row>
    <row r="967" spans="7:8" x14ac:dyDescent="0.3">
      <c r="G967"/>
      <c r="H967" s="18"/>
    </row>
    <row r="968" spans="7:8" x14ac:dyDescent="0.3">
      <c r="G968"/>
      <c r="H968" s="18"/>
    </row>
    <row r="969" spans="7:8" x14ac:dyDescent="0.3">
      <c r="G969"/>
      <c r="H969" s="18"/>
    </row>
    <row r="970" spans="7:8" x14ac:dyDescent="0.3">
      <c r="G970"/>
      <c r="H970" s="18"/>
    </row>
    <row r="971" spans="7:8" x14ac:dyDescent="0.3">
      <c r="G971"/>
      <c r="H971" s="18"/>
    </row>
    <row r="972" spans="7:8" x14ac:dyDescent="0.3">
      <c r="G972"/>
      <c r="H972" s="18"/>
    </row>
    <row r="973" spans="7:8" x14ac:dyDescent="0.3">
      <c r="G973"/>
      <c r="H973" s="18"/>
    </row>
    <row r="974" spans="7:8" x14ac:dyDescent="0.3">
      <c r="G974"/>
      <c r="H974" s="18"/>
    </row>
    <row r="975" spans="7:8" x14ac:dyDescent="0.3">
      <c r="G975"/>
      <c r="H975" s="18"/>
    </row>
    <row r="976" spans="7:8" x14ac:dyDescent="0.3">
      <c r="G976"/>
      <c r="H976" s="18"/>
    </row>
    <row r="977" spans="7:8" x14ac:dyDescent="0.3">
      <c r="G977"/>
      <c r="H977" s="18"/>
    </row>
    <row r="978" spans="7:8" x14ac:dyDescent="0.3">
      <c r="G978"/>
      <c r="H978" s="18"/>
    </row>
    <row r="979" spans="7:8" x14ac:dyDescent="0.3">
      <c r="G979"/>
      <c r="H979" s="18"/>
    </row>
    <row r="980" spans="7:8" x14ac:dyDescent="0.3">
      <c r="G980"/>
      <c r="H980" s="18"/>
    </row>
    <row r="981" spans="7:8" x14ac:dyDescent="0.3">
      <c r="G981"/>
      <c r="H981" s="18"/>
    </row>
    <row r="982" spans="7:8" x14ac:dyDescent="0.3">
      <c r="G982"/>
      <c r="H982" s="18"/>
    </row>
    <row r="983" spans="7:8" x14ac:dyDescent="0.3">
      <c r="G983"/>
      <c r="H983" s="18"/>
    </row>
    <row r="984" spans="7:8" x14ac:dyDescent="0.3">
      <c r="G984"/>
      <c r="H984" s="18"/>
    </row>
    <row r="985" spans="7:8" x14ac:dyDescent="0.3">
      <c r="G985"/>
      <c r="H985" s="18"/>
    </row>
    <row r="986" spans="7:8" x14ac:dyDescent="0.3">
      <c r="G986"/>
      <c r="H986" s="18"/>
    </row>
    <row r="987" spans="7:8" x14ac:dyDescent="0.3">
      <c r="G987"/>
      <c r="H987" s="18"/>
    </row>
    <row r="988" spans="7:8" x14ac:dyDescent="0.3">
      <c r="G988"/>
      <c r="H988" s="18"/>
    </row>
    <row r="989" spans="7:8" x14ac:dyDescent="0.3">
      <c r="G989"/>
      <c r="H989" s="18"/>
    </row>
    <row r="990" spans="7:8" x14ac:dyDescent="0.3">
      <c r="G990"/>
      <c r="H990" s="18"/>
    </row>
    <row r="991" spans="7:8" x14ac:dyDescent="0.3">
      <c r="G991"/>
      <c r="H991" s="18"/>
    </row>
    <row r="992" spans="7:8" x14ac:dyDescent="0.3">
      <c r="G992"/>
      <c r="H992" s="18"/>
    </row>
    <row r="993" spans="7:8" x14ac:dyDescent="0.3">
      <c r="G993"/>
      <c r="H993" s="18"/>
    </row>
    <row r="994" spans="7:8" x14ac:dyDescent="0.3">
      <c r="G994"/>
      <c r="H994" s="18"/>
    </row>
    <row r="995" spans="7:8" x14ac:dyDescent="0.3">
      <c r="G995"/>
      <c r="H995" s="18"/>
    </row>
    <row r="996" spans="7:8" x14ac:dyDescent="0.3">
      <c r="G996"/>
      <c r="H996" s="18"/>
    </row>
    <row r="997" spans="7:8" x14ac:dyDescent="0.3">
      <c r="G997"/>
      <c r="H997" s="18"/>
    </row>
    <row r="998" spans="7:8" x14ac:dyDescent="0.3">
      <c r="G998"/>
      <c r="H998" s="18"/>
    </row>
    <row r="999" spans="7:8" x14ac:dyDescent="0.3">
      <c r="G999"/>
    </row>
    <row r="1000" spans="7:8" x14ac:dyDescent="0.3">
      <c r="G1000"/>
    </row>
  </sheetData>
  <sheetProtection formatCells="0" formatColumns="0" format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24</vt:i4>
      </vt:variant>
      <vt:variant>
        <vt:lpstr>Nazwane zakresy</vt:lpstr>
      </vt:variant>
      <vt:variant>
        <vt:i4>1274</vt:i4>
      </vt:variant>
    </vt:vector>
  </HeadingPairs>
  <TitlesOfParts>
    <vt:vector size="1298" baseType="lpstr">
      <vt:lpstr>Kody PKD</vt:lpstr>
      <vt:lpstr>ReMap</vt:lpstr>
      <vt:lpstr>NODE_NAMES</vt:lpstr>
      <vt:lpstr>definicje</vt:lpstr>
      <vt:lpstr>dane</vt:lpstr>
      <vt:lpstr>Formuły</vt:lpstr>
      <vt:lpstr>Check wartości</vt:lpstr>
      <vt:lpstr>Input</vt:lpstr>
      <vt:lpstr>Strona tytułowa</vt:lpstr>
      <vt:lpstr>Spis tresci</vt:lpstr>
      <vt:lpstr>oświadczenie</vt:lpstr>
      <vt:lpstr>wstęp</vt:lpstr>
      <vt:lpstr>introduction</vt:lpstr>
      <vt:lpstr>_aktywa</vt:lpstr>
      <vt:lpstr>_pasywa</vt:lpstr>
      <vt:lpstr>rzis</vt:lpstr>
      <vt:lpstr>kapitał</vt:lpstr>
      <vt:lpstr>przepływy</vt:lpstr>
      <vt:lpstr>NotaPodatkowa</vt:lpstr>
      <vt:lpstr>Noty</vt:lpstr>
      <vt:lpstr>Notes</vt:lpstr>
      <vt:lpstr>TB_Exact</vt:lpstr>
      <vt:lpstr>TB_wymiary_Exact</vt:lpstr>
      <vt:lpstr>Salda</vt:lpstr>
      <vt:lpstr>Aktywa_A_1_1_KwotaA</vt:lpstr>
      <vt:lpstr>Aktywa_A_1_1_KwotaB</vt:lpstr>
      <vt:lpstr>Aktywa_A_1_1_KwotaC</vt:lpstr>
      <vt:lpstr>Aktywa_A_1_2_KwotaA</vt:lpstr>
      <vt:lpstr>Aktywa_A_1_2_KwotaB</vt:lpstr>
      <vt:lpstr>Aktywa_A_1_2_KwotaC</vt:lpstr>
      <vt:lpstr>Aktywa_A_1_3_KwotaA</vt:lpstr>
      <vt:lpstr>Aktywa_A_1_3_KwotaB</vt:lpstr>
      <vt:lpstr>Aktywa_A_1_3_KwotaC</vt:lpstr>
      <vt:lpstr>Aktywa_A_1_4_KwotaA</vt:lpstr>
      <vt:lpstr>Aktywa_A_1_4_KwotaB</vt:lpstr>
      <vt:lpstr>Aktywa_A_1_4_KwotaC</vt:lpstr>
      <vt:lpstr>Aktywa_A_1_KwotaA</vt:lpstr>
      <vt:lpstr>Aktywa_A_1_KwotaB</vt:lpstr>
      <vt:lpstr>Aktywa_A_1_KwotaC</vt:lpstr>
      <vt:lpstr>Aktywa_A_2_1_A_KwotaA</vt:lpstr>
      <vt:lpstr>Aktywa_A_2_1_A_KwotaB</vt:lpstr>
      <vt:lpstr>Aktywa_A_2_1_A_KwotaC</vt:lpstr>
      <vt:lpstr>Aktywa_A_2_1_B_KwotaA</vt:lpstr>
      <vt:lpstr>Aktywa_A_2_1_B_KwotaB</vt:lpstr>
      <vt:lpstr>Aktywa_A_2_1_B_KwotaC</vt:lpstr>
      <vt:lpstr>Aktywa_A_2_1_C_KwotaA</vt:lpstr>
      <vt:lpstr>Aktywa_A_2_1_C_KwotaB</vt:lpstr>
      <vt:lpstr>Aktywa_A_2_1_C_KwotaC</vt:lpstr>
      <vt:lpstr>Aktywa_A_2_1_D_KwotaA</vt:lpstr>
      <vt:lpstr>Aktywa_A_2_1_D_KwotaB</vt:lpstr>
      <vt:lpstr>Aktywa_A_2_1_D_KwotaC</vt:lpstr>
      <vt:lpstr>Aktywa_A_2_1_E_KwotaA</vt:lpstr>
      <vt:lpstr>Aktywa_A_2_1_E_KwotaB</vt:lpstr>
      <vt:lpstr>Aktywa_A_2_1_E_KwotaC</vt:lpstr>
      <vt:lpstr>Aktywa_A_2_1_KwotaA</vt:lpstr>
      <vt:lpstr>Aktywa_A_2_1_KwotaB</vt:lpstr>
      <vt:lpstr>Aktywa_A_2_1_KwotaC</vt:lpstr>
      <vt:lpstr>Aktywa_A_2_2_KwotaA</vt:lpstr>
      <vt:lpstr>Aktywa_A_2_2_KwotaB</vt:lpstr>
      <vt:lpstr>Aktywa_A_2_2_KwotaC</vt:lpstr>
      <vt:lpstr>Aktywa_A_2_3_KwotaA</vt:lpstr>
      <vt:lpstr>Aktywa_A_2_3_KwotaB</vt:lpstr>
      <vt:lpstr>Aktywa_A_2_3_KwotaC</vt:lpstr>
      <vt:lpstr>Aktywa_A_2_KwotaA</vt:lpstr>
      <vt:lpstr>Aktywa_A_2_KwotaB</vt:lpstr>
      <vt:lpstr>Aktywa_A_2_KwotaC</vt:lpstr>
      <vt:lpstr>Aktywa_A_3_1_KwotaA</vt:lpstr>
      <vt:lpstr>Aktywa_A_3_1_KwotaB</vt:lpstr>
      <vt:lpstr>Aktywa_A_3_1_KwotaC</vt:lpstr>
      <vt:lpstr>Aktywa_A_3_2_KwotaA</vt:lpstr>
      <vt:lpstr>Aktywa_A_3_2_KwotaB</vt:lpstr>
      <vt:lpstr>Aktywa_A_3_2_KwotaC</vt:lpstr>
      <vt:lpstr>Aktywa_A_3_3_KwotaA</vt:lpstr>
      <vt:lpstr>Aktywa_A_3_3_KwotaB</vt:lpstr>
      <vt:lpstr>Aktywa_A_3_3_KwotaC</vt:lpstr>
      <vt:lpstr>Aktywa_A_3_KwotaA</vt:lpstr>
      <vt:lpstr>Aktywa_A_3_KwotaB</vt:lpstr>
      <vt:lpstr>Aktywa_A_3_KwotaC</vt:lpstr>
      <vt:lpstr>Aktywa_A_4_1_KwotaA</vt:lpstr>
      <vt:lpstr>Aktywa_A_4_1_KwotaB</vt:lpstr>
      <vt:lpstr>Aktywa_A_4_1_KwotaC</vt:lpstr>
      <vt:lpstr>Aktywa_A_4_2_KwotaA</vt:lpstr>
      <vt:lpstr>Aktywa_A_4_2_KwotaB</vt:lpstr>
      <vt:lpstr>Aktywa_A_4_2_KwotaC</vt:lpstr>
      <vt:lpstr>Aktywa_A_4_3_A_1_KwotaA</vt:lpstr>
      <vt:lpstr>Aktywa_A_4_3_A_1_KwotaB</vt:lpstr>
      <vt:lpstr>Aktywa_A_4_3_A_1_KwotaC</vt:lpstr>
      <vt:lpstr>Aktywa_A_4_3_A_2_KwotaA</vt:lpstr>
      <vt:lpstr>Aktywa_A_4_3_A_2_KwotaB</vt:lpstr>
      <vt:lpstr>Aktywa_A_4_3_A_2_KwotaC</vt:lpstr>
      <vt:lpstr>Aktywa_A_4_3_A_3_KwotaA</vt:lpstr>
      <vt:lpstr>Aktywa_A_4_3_A_3_KwotaB</vt:lpstr>
      <vt:lpstr>Aktywa_A_4_3_A_3_KwotaC</vt:lpstr>
      <vt:lpstr>Aktywa_A_4_3_A_4_KwotaA</vt:lpstr>
      <vt:lpstr>Aktywa_A_4_3_A_4_KwotaB</vt:lpstr>
      <vt:lpstr>Aktywa_A_4_3_A_4_KwotaC</vt:lpstr>
      <vt:lpstr>Aktywa_A_4_3_A_KwotaA</vt:lpstr>
      <vt:lpstr>Aktywa_A_4_3_A_KwotaB</vt:lpstr>
      <vt:lpstr>Aktywa_A_4_3_A_KwotaC</vt:lpstr>
      <vt:lpstr>Aktywa_A_4_3_B_1_KwotaA</vt:lpstr>
      <vt:lpstr>Aktywa_A_4_3_B_1_KwotaB</vt:lpstr>
      <vt:lpstr>Aktywa_A_4_3_B_1_KwotaC</vt:lpstr>
      <vt:lpstr>Aktywa_A_4_3_B_2_KwotaA</vt:lpstr>
      <vt:lpstr>Aktywa_A_4_3_B_2_KwotaB</vt:lpstr>
      <vt:lpstr>Aktywa_A_4_3_B_2_KwotaC</vt:lpstr>
      <vt:lpstr>Aktywa_A_4_3_B_3_KwotaA</vt:lpstr>
      <vt:lpstr>Aktywa_A_4_3_B_3_KwotaB</vt:lpstr>
      <vt:lpstr>Aktywa_A_4_3_B_3_KwotaC</vt:lpstr>
      <vt:lpstr>Aktywa_A_4_3_B_4_KwotaA</vt:lpstr>
      <vt:lpstr>Aktywa_A_4_3_B_4_KwotaB</vt:lpstr>
      <vt:lpstr>Aktywa_A_4_3_B_4_KwotaC</vt:lpstr>
      <vt:lpstr>Aktywa_A_4_3_B_KwotaA</vt:lpstr>
      <vt:lpstr>Aktywa_A_4_3_B_KwotaB</vt:lpstr>
      <vt:lpstr>Aktywa_A_4_3_B_KwotaC</vt:lpstr>
      <vt:lpstr>Aktywa_A_4_3_C_1_KwotaA</vt:lpstr>
      <vt:lpstr>Aktywa_A_4_3_C_1_KwotaB</vt:lpstr>
      <vt:lpstr>Aktywa_A_4_3_C_1_KwotaC</vt:lpstr>
      <vt:lpstr>Aktywa_A_4_3_C_2_KwotaA</vt:lpstr>
      <vt:lpstr>Aktywa_A_4_3_C_2_KwotaB</vt:lpstr>
      <vt:lpstr>Aktywa_A_4_3_C_2_KwotaC</vt:lpstr>
      <vt:lpstr>Aktywa_A_4_3_C_3_KwotaA</vt:lpstr>
      <vt:lpstr>Aktywa_A_4_3_C_3_KwotaB</vt:lpstr>
      <vt:lpstr>Aktywa_A_4_3_C_3_KwotaC</vt:lpstr>
      <vt:lpstr>Aktywa_A_4_3_C_4_KwotaA</vt:lpstr>
      <vt:lpstr>Aktywa_A_4_3_C_4_KwotaB</vt:lpstr>
      <vt:lpstr>Aktywa_A_4_3_C_4_KwotaC</vt:lpstr>
      <vt:lpstr>Aktywa_A_4_3_C_KwotaA</vt:lpstr>
      <vt:lpstr>Aktywa_A_4_3_C_KwotaB</vt:lpstr>
      <vt:lpstr>Aktywa_A_4_3_C_KwotaC</vt:lpstr>
      <vt:lpstr>Aktywa_A_4_3_KwotaA</vt:lpstr>
      <vt:lpstr>Aktywa_A_4_3_KwotaB</vt:lpstr>
      <vt:lpstr>Aktywa_A_4_3_KwotaC</vt:lpstr>
      <vt:lpstr>Aktywa_A_4_4_KwotaA</vt:lpstr>
      <vt:lpstr>Aktywa_A_4_4_KwotaB</vt:lpstr>
      <vt:lpstr>Aktywa_A_4_4_KwotaC</vt:lpstr>
      <vt:lpstr>Aktywa_A_4_KwotaA</vt:lpstr>
      <vt:lpstr>Aktywa_A_4_KwotaB</vt:lpstr>
      <vt:lpstr>Aktywa_A_4_KwotaC</vt:lpstr>
      <vt:lpstr>Aktywa_A_5_1_KwotaA</vt:lpstr>
      <vt:lpstr>Aktywa_A_5_1_KwotaB</vt:lpstr>
      <vt:lpstr>Aktywa_A_5_1_KwotaC</vt:lpstr>
      <vt:lpstr>Aktywa_A_5_2_KwotaA</vt:lpstr>
      <vt:lpstr>Aktywa_A_5_2_KwotaB</vt:lpstr>
      <vt:lpstr>Aktywa_A_5_2_KwotaC</vt:lpstr>
      <vt:lpstr>Aktywa_A_5_KwotaA</vt:lpstr>
      <vt:lpstr>Aktywa_A_5_KwotaB</vt:lpstr>
      <vt:lpstr>Aktywa_A_5_KwotaC</vt:lpstr>
      <vt:lpstr>Aktywa_A_KwotaA</vt:lpstr>
      <vt:lpstr>Aktywa_A_KwotaB</vt:lpstr>
      <vt:lpstr>Aktywa_A_KwotaC</vt:lpstr>
      <vt:lpstr>Aktywa_B_1_1_KwotaA</vt:lpstr>
      <vt:lpstr>Aktywa_B_1_1_KwotaB</vt:lpstr>
      <vt:lpstr>Aktywa_B_1_1_KwotaC</vt:lpstr>
      <vt:lpstr>Aktywa_B_1_2_KwotaA</vt:lpstr>
      <vt:lpstr>Aktywa_B_1_2_KwotaB</vt:lpstr>
      <vt:lpstr>Aktywa_B_1_2_KwotaC</vt:lpstr>
      <vt:lpstr>Aktywa_B_1_3_KwotaA</vt:lpstr>
      <vt:lpstr>Aktywa_B_1_3_KwotaB</vt:lpstr>
      <vt:lpstr>Aktywa_B_1_3_KwotaC</vt:lpstr>
      <vt:lpstr>Aktywa_B_1_4_KwotaA</vt:lpstr>
      <vt:lpstr>Aktywa_B_1_4_KwotaB</vt:lpstr>
      <vt:lpstr>Aktywa_B_1_4_KwotaC</vt:lpstr>
      <vt:lpstr>Aktywa_B_1_5_KwotaA</vt:lpstr>
      <vt:lpstr>Aktywa_B_1_5_KwotaB</vt:lpstr>
      <vt:lpstr>Aktywa_B_1_5_KwotaC</vt:lpstr>
      <vt:lpstr>Aktywa_B_1_KwotaA</vt:lpstr>
      <vt:lpstr>Aktywa_B_1_KwotaB</vt:lpstr>
      <vt:lpstr>Aktywa_B_1_KwotaC</vt:lpstr>
      <vt:lpstr>Aktywa_B_2_1_A_1_KwotaA</vt:lpstr>
      <vt:lpstr>Aktywa_B_2_1_A_1_KwotaB</vt:lpstr>
      <vt:lpstr>Aktywa_B_2_1_A_1_KwotaC</vt:lpstr>
      <vt:lpstr>Aktywa_B_2_1_A_2_KwotaA</vt:lpstr>
      <vt:lpstr>Aktywa_B_2_1_A_2_KwotaB</vt:lpstr>
      <vt:lpstr>Aktywa_B_2_1_A_2_KwotaC</vt:lpstr>
      <vt:lpstr>Aktywa_B_2_1_A_KwotaA</vt:lpstr>
      <vt:lpstr>Aktywa_B_2_1_A_KwotaB</vt:lpstr>
      <vt:lpstr>Aktywa_B_2_1_A_KwotaC</vt:lpstr>
      <vt:lpstr>Aktywa_B_2_1_B_KwotaA</vt:lpstr>
      <vt:lpstr>Aktywa_B_2_1_B_KwotaB</vt:lpstr>
      <vt:lpstr>Aktywa_B_2_1_B_KwotaC</vt:lpstr>
      <vt:lpstr>Aktywa_B_2_1_KwotaA</vt:lpstr>
      <vt:lpstr>Aktywa_B_2_1_KwotaB</vt:lpstr>
      <vt:lpstr>Aktywa_B_2_1_KwotaC</vt:lpstr>
      <vt:lpstr>Aktywa_B_2_2_A_1_KwotaA</vt:lpstr>
      <vt:lpstr>Aktywa_B_2_2_A_1_KwotaB</vt:lpstr>
      <vt:lpstr>Aktywa_B_2_2_A_1_KwotaC</vt:lpstr>
      <vt:lpstr>Aktywa_B_2_2_A_2_KwotaA</vt:lpstr>
      <vt:lpstr>Aktywa_B_2_2_A_2_KwotaB</vt:lpstr>
      <vt:lpstr>Aktywa_B_2_2_A_2_KwotaC</vt:lpstr>
      <vt:lpstr>Aktywa_B_2_2_A_KwotaA</vt:lpstr>
      <vt:lpstr>Aktywa_B_2_2_A_KwotaB</vt:lpstr>
      <vt:lpstr>Aktywa_B_2_2_A_KwotaC</vt:lpstr>
      <vt:lpstr>Aktywa_B_2_2_B_KwotaA</vt:lpstr>
      <vt:lpstr>Aktywa_B_2_2_B_KwotaB</vt:lpstr>
      <vt:lpstr>Aktywa_B_2_2_B_KwotaC</vt:lpstr>
      <vt:lpstr>Aktywa_B_2_2_KwotaA</vt:lpstr>
      <vt:lpstr>Aktywa_B_2_2_KwotaB</vt:lpstr>
      <vt:lpstr>Aktywa_B_2_2_KwotaC</vt:lpstr>
      <vt:lpstr>Aktywa_B_2_3_A_1_KwotaA</vt:lpstr>
      <vt:lpstr>Aktywa_B_2_3_A_1_KwotaB</vt:lpstr>
      <vt:lpstr>Aktywa_B_2_3_A_1_KwotaC</vt:lpstr>
      <vt:lpstr>Aktywa_B_2_3_A_2_KwotaA</vt:lpstr>
      <vt:lpstr>Aktywa_B_2_3_A_2_KwotaB</vt:lpstr>
      <vt:lpstr>Aktywa_B_2_3_A_2_KwotaC</vt:lpstr>
      <vt:lpstr>Aktywa_B_2_3_A_KwotaA</vt:lpstr>
      <vt:lpstr>Aktywa_B_2_3_A_KwotaB</vt:lpstr>
      <vt:lpstr>Aktywa_B_2_3_A_KwotaC</vt:lpstr>
      <vt:lpstr>Aktywa_B_2_3_B_KwotaA</vt:lpstr>
      <vt:lpstr>Aktywa_B_2_3_B_KwotaB</vt:lpstr>
      <vt:lpstr>Aktywa_B_2_3_B_KwotaC</vt:lpstr>
      <vt:lpstr>Aktywa_B_2_3_C_KwotaA</vt:lpstr>
      <vt:lpstr>Aktywa_B_2_3_C_KwotaB</vt:lpstr>
      <vt:lpstr>Aktywa_B_2_3_C_KwotaC</vt:lpstr>
      <vt:lpstr>Aktywa_B_2_3_D_KwotaA</vt:lpstr>
      <vt:lpstr>Aktywa_B_2_3_D_KwotaB</vt:lpstr>
      <vt:lpstr>Aktywa_B_2_3_D_KwotaC</vt:lpstr>
      <vt:lpstr>Aktywa_B_2_3_KwotaA</vt:lpstr>
      <vt:lpstr>Aktywa_B_2_3_KwotaB</vt:lpstr>
      <vt:lpstr>Aktywa_B_2_3_KwotaC</vt:lpstr>
      <vt:lpstr>Aktywa_B_2_KwotaA</vt:lpstr>
      <vt:lpstr>Aktywa_B_2_KwotaB</vt:lpstr>
      <vt:lpstr>Aktywa_B_2_KwotaC</vt:lpstr>
      <vt:lpstr>Aktywa_B_3_1_A_1_KwotaA</vt:lpstr>
      <vt:lpstr>Aktywa_B_3_1_A_1_KwotaB</vt:lpstr>
      <vt:lpstr>Aktywa_B_3_1_A_1_KwotaC</vt:lpstr>
      <vt:lpstr>Aktywa_B_3_1_A_2_KwotaA</vt:lpstr>
      <vt:lpstr>Aktywa_B_3_1_A_2_KwotaB</vt:lpstr>
      <vt:lpstr>Aktywa_B_3_1_A_2_KwotaC</vt:lpstr>
      <vt:lpstr>Aktywa_B_3_1_A_3_KwotaA</vt:lpstr>
      <vt:lpstr>Aktywa_B_3_1_A_3_KwotaB</vt:lpstr>
      <vt:lpstr>Aktywa_B_3_1_A_3_KwotaC</vt:lpstr>
      <vt:lpstr>Aktywa_B_3_1_A_4_KwotaA</vt:lpstr>
      <vt:lpstr>Aktywa_B_3_1_A_4_KwotaB</vt:lpstr>
      <vt:lpstr>Aktywa_B_3_1_A_4_KwotaC</vt:lpstr>
      <vt:lpstr>Aktywa_B_3_1_A_KwotaA</vt:lpstr>
      <vt:lpstr>Aktywa_B_3_1_A_KwotaB</vt:lpstr>
      <vt:lpstr>Aktywa_B_3_1_A_KwotaC</vt:lpstr>
      <vt:lpstr>Aktywa_B_3_1_B_1_KwotaA</vt:lpstr>
      <vt:lpstr>Aktywa_B_3_1_B_1_KwotaB</vt:lpstr>
      <vt:lpstr>Aktywa_B_3_1_B_1_KwotaC</vt:lpstr>
      <vt:lpstr>Aktywa_B_3_1_B_2_KwotaA</vt:lpstr>
      <vt:lpstr>Aktywa_B_3_1_B_2_KwotaB</vt:lpstr>
      <vt:lpstr>Aktywa_B_3_1_B_2_KwotaC</vt:lpstr>
      <vt:lpstr>Aktywa_B_3_1_B_3_KwotaA</vt:lpstr>
      <vt:lpstr>Aktywa_B_3_1_B_3_KwotaB</vt:lpstr>
      <vt:lpstr>Aktywa_B_3_1_B_3_KwotaC</vt:lpstr>
      <vt:lpstr>Aktywa_B_3_1_B_4_KwotaA</vt:lpstr>
      <vt:lpstr>Aktywa_B_3_1_B_4_KwotaB</vt:lpstr>
      <vt:lpstr>Aktywa_B_3_1_B_4_KwotaC</vt:lpstr>
      <vt:lpstr>Aktywa_B_3_1_B_KwotaA</vt:lpstr>
      <vt:lpstr>Aktywa_B_3_1_B_KwotaB</vt:lpstr>
      <vt:lpstr>Aktywa_B_3_1_B_KwotaC</vt:lpstr>
      <vt:lpstr>Aktywa_B_3_1_C_1_KwotaA</vt:lpstr>
      <vt:lpstr>Aktywa_B_3_1_C_1_KwotaB</vt:lpstr>
      <vt:lpstr>Aktywa_B_3_1_C_1_KwotaC</vt:lpstr>
      <vt:lpstr>Aktywa_B_3_1_C_2_KwotaA</vt:lpstr>
      <vt:lpstr>Aktywa_B_3_1_C_2_KwotaB</vt:lpstr>
      <vt:lpstr>Aktywa_B_3_1_C_2_KwotaC</vt:lpstr>
      <vt:lpstr>Aktywa_B_3_1_C_3_KwotaA</vt:lpstr>
      <vt:lpstr>Aktywa_B_3_1_C_3_KwotaB</vt:lpstr>
      <vt:lpstr>Aktywa_B_3_1_C_3_KwotaC</vt:lpstr>
      <vt:lpstr>Aktywa_B_3_1_C_KwotaA</vt:lpstr>
      <vt:lpstr>Aktywa_B_3_1_C_KwotaB</vt:lpstr>
      <vt:lpstr>Aktywa_B_3_1_C_KwotaC</vt:lpstr>
      <vt:lpstr>Aktywa_B_3_1_KwotaA</vt:lpstr>
      <vt:lpstr>Aktywa_B_3_1_KwotaB</vt:lpstr>
      <vt:lpstr>Aktywa_B_3_1_KwotaC</vt:lpstr>
      <vt:lpstr>Aktywa_B_3_2_KwotaA</vt:lpstr>
      <vt:lpstr>Aktywa_B_3_2_KwotaB</vt:lpstr>
      <vt:lpstr>Aktywa_B_3_2_KwotaC</vt:lpstr>
      <vt:lpstr>Aktywa_B_3_KwotaA</vt:lpstr>
      <vt:lpstr>Aktywa_B_3_KwotaB</vt:lpstr>
      <vt:lpstr>Aktywa_B_3_KwotaC</vt:lpstr>
      <vt:lpstr>Aktywa_B_4_KwotaA</vt:lpstr>
      <vt:lpstr>Aktywa_B_4_KwotaB</vt:lpstr>
      <vt:lpstr>Aktywa_B_4_KwotaC</vt:lpstr>
      <vt:lpstr>Aktywa_B_KwotaA</vt:lpstr>
      <vt:lpstr>Aktywa_B_KwotaB</vt:lpstr>
      <vt:lpstr>Aktywa_B_KwotaC</vt:lpstr>
      <vt:lpstr>Aktywa_C_KwotaA</vt:lpstr>
      <vt:lpstr>Aktywa_C_KwotaB</vt:lpstr>
      <vt:lpstr>Aktywa_C_KwotaC</vt:lpstr>
      <vt:lpstr>Aktywa_D_KwotaA</vt:lpstr>
      <vt:lpstr>Aktywa_D_KwotaB</vt:lpstr>
      <vt:lpstr>Aktywa_D_KwotaC</vt:lpstr>
      <vt:lpstr>Aktywa_KwotaA</vt:lpstr>
      <vt:lpstr>Aktywa_KwotaB</vt:lpstr>
      <vt:lpstr>Aktywa_KwotaC</vt:lpstr>
      <vt:lpstr>CFPosr_A_1_KwotaA</vt:lpstr>
      <vt:lpstr>CFPosr_A_1_KwotaB</vt:lpstr>
      <vt:lpstr>CFPosr_A_1_KwotaC</vt:lpstr>
      <vt:lpstr>CFPosr_A_2_1_KwotaA</vt:lpstr>
      <vt:lpstr>CFPosr_A_2_1_KwotaB</vt:lpstr>
      <vt:lpstr>CFPosr_A_2_1_KwotaC</vt:lpstr>
      <vt:lpstr>CFPosr_A_2_10_KwotaA</vt:lpstr>
      <vt:lpstr>CFPosr_A_2_10_KwotaB</vt:lpstr>
      <vt:lpstr>CFPosr_A_2_10_KwotaC</vt:lpstr>
      <vt:lpstr>CFPosr_A_2_2_KwotaA</vt:lpstr>
      <vt:lpstr>CFPosr_A_2_2_KwotaB</vt:lpstr>
      <vt:lpstr>CFPosr_A_2_2_KwotaC</vt:lpstr>
      <vt:lpstr>CFPosr_A_2_3_KwotaA</vt:lpstr>
      <vt:lpstr>CFPosr_A_2_3_KwotaB</vt:lpstr>
      <vt:lpstr>CFPosr_A_2_3_KwotaC</vt:lpstr>
      <vt:lpstr>CFPosr_A_2_4_KwotaA</vt:lpstr>
      <vt:lpstr>CFPosr_A_2_4_KwotaB</vt:lpstr>
      <vt:lpstr>CFPosr_A_2_4_KwotaC</vt:lpstr>
      <vt:lpstr>CFPosr_A_2_5_KwotaA</vt:lpstr>
      <vt:lpstr>CFPosr_A_2_5_KwotaB</vt:lpstr>
      <vt:lpstr>CFPosr_A_2_5_KwotaC</vt:lpstr>
      <vt:lpstr>CFPosr_A_2_6_KwotaA</vt:lpstr>
      <vt:lpstr>CFPosr_A_2_6_KwotaB</vt:lpstr>
      <vt:lpstr>CFPosr_A_2_6_KwotaC</vt:lpstr>
      <vt:lpstr>CFPosr_A_2_7_KwotaA</vt:lpstr>
      <vt:lpstr>CFPosr_A_2_7_KwotaB</vt:lpstr>
      <vt:lpstr>CFPosr_A_2_7_KwotaC</vt:lpstr>
      <vt:lpstr>CFPosr_A_2_8_KwotaA</vt:lpstr>
      <vt:lpstr>CFPosr_A_2_8_KwotaB</vt:lpstr>
      <vt:lpstr>CFPosr_A_2_8_KwotaC</vt:lpstr>
      <vt:lpstr>CFPosr_A_2_9_KwotaA</vt:lpstr>
      <vt:lpstr>CFPosr_A_2_9_KwotaB</vt:lpstr>
      <vt:lpstr>CFPosr_A_2_9_KwotaC</vt:lpstr>
      <vt:lpstr>CFPosr_A_2_KwotaA</vt:lpstr>
      <vt:lpstr>CFPosr_A_2_KwotaB</vt:lpstr>
      <vt:lpstr>CFPosr_A_2_KwotaC</vt:lpstr>
      <vt:lpstr>CFPosr_A_3_KwotaA</vt:lpstr>
      <vt:lpstr>CFPosr_A_3_KwotaB</vt:lpstr>
      <vt:lpstr>CFPosr_A_3_KwotaC</vt:lpstr>
      <vt:lpstr>CFPosr_A_KwotaA</vt:lpstr>
      <vt:lpstr>CFPosr_A_KwotaB</vt:lpstr>
      <vt:lpstr>CFPosr_A_KwotaC</vt:lpstr>
      <vt:lpstr>CFPosr_B_1_1_KwotaA</vt:lpstr>
      <vt:lpstr>CFPosr_B_1_1_KwotaB</vt:lpstr>
      <vt:lpstr>CFPosr_B_1_1_KwotaC</vt:lpstr>
      <vt:lpstr>CFPosr_B_1_2_KwotaA</vt:lpstr>
      <vt:lpstr>CFPosr_B_1_2_KwotaB</vt:lpstr>
      <vt:lpstr>CFPosr_B_1_2_KwotaC</vt:lpstr>
      <vt:lpstr>CFPosr_B_1_3_A_KwotaA</vt:lpstr>
      <vt:lpstr>CFPosr_B_1_3_A_KwotaB</vt:lpstr>
      <vt:lpstr>CFPosr_B_1_3_A_KwotaC</vt:lpstr>
      <vt:lpstr>CFPosr_B_1_3_B_1_KwotaA</vt:lpstr>
      <vt:lpstr>CFPosr_B_1_3_B_1_KwotaB</vt:lpstr>
      <vt:lpstr>CFPosr_B_1_3_B_1_KwotaC</vt:lpstr>
      <vt:lpstr>CFPosr_B_1_3_B_2_KwotaA</vt:lpstr>
      <vt:lpstr>CFPosr_B_1_3_B_2_KwotaB</vt:lpstr>
      <vt:lpstr>CFPosr_B_1_3_B_2_KwotaC</vt:lpstr>
      <vt:lpstr>CFPosr_B_1_3_B_3_KwotaA</vt:lpstr>
      <vt:lpstr>CFPosr_B_1_3_B_3_KwotaB</vt:lpstr>
      <vt:lpstr>CFPosr_B_1_3_B_3_KwotaC</vt:lpstr>
      <vt:lpstr>CFPosr_B_1_3_B_4_KwotaA</vt:lpstr>
      <vt:lpstr>CFPosr_B_1_3_B_4_KwotaB</vt:lpstr>
      <vt:lpstr>CFPosr_B_1_3_B_4_KwotaC</vt:lpstr>
      <vt:lpstr>CFPosr_B_1_3_B_5_KwotaA</vt:lpstr>
      <vt:lpstr>CFPosr_B_1_3_B_5_KwotaB</vt:lpstr>
      <vt:lpstr>CFPosr_B_1_3_B_5_KwotaC</vt:lpstr>
      <vt:lpstr>CFPosr_B_1_3_B_KwotaA</vt:lpstr>
      <vt:lpstr>CFPosr_B_1_3_B_KwotaB</vt:lpstr>
      <vt:lpstr>CFPosr_B_1_3_B_KwotaC</vt:lpstr>
      <vt:lpstr>CFPosr_B_1_3_KwotaA</vt:lpstr>
      <vt:lpstr>CFPosr_B_1_3_KwotaB</vt:lpstr>
      <vt:lpstr>CFPosr_B_1_3_KwotaC</vt:lpstr>
      <vt:lpstr>CFPosr_B_1_4_KwotaA</vt:lpstr>
      <vt:lpstr>CFPosr_B_1_4_KwotaB</vt:lpstr>
      <vt:lpstr>CFPosr_B_1_4_KwotaC</vt:lpstr>
      <vt:lpstr>CFPosr_B_1_KwotaA</vt:lpstr>
      <vt:lpstr>CFPosr_B_1_KwotaB</vt:lpstr>
      <vt:lpstr>CFPosr_B_1_KwotaC</vt:lpstr>
      <vt:lpstr>CFPosr_B_2_1_KwotaA</vt:lpstr>
      <vt:lpstr>CFPosr_B_2_1_KwotaB</vt:lpstr>
      <vt:lpstr>CFPosr_B_2_1_KwotaC</vt:lpstr>
      <vt:lpstr>CFPosr_B_2_2_KwotaA</vt:lpstr>
      <vt:lpstr>CFPosr_B_2_2_KwotaB</vt:lpstr>
      <vt:lpstr>CFPosr_B_2_2_KwotaC</vt:lpstr>
      <vt:lpstr>CFPosr_B_2_3_A_KwotaA</vt:lpstr>
      <vt:lpstr>CFPosr_B_2_3_A_KwotaB</vt:lpstr>
      <vt:lpstr>CFPosr_B_2_3_A_KwotaC</vt:lpstr>
      <vt:lpstr>CFPosr_B_2_3_B_1_KwotaA</vt:lpstr>
      <vt:lpstr>CFPosr_B_2_3_B_1_KwotaB</vt:lpstr>
      <vt:lpstr>CFPosr_B_2_3_B_1_KwotaC</vt:lpstr>
      <vt:lpstr>CFPosr_B_2_3_B_2_KwotaA</vt:lpstr>
      <vt:lpstr>CFPosr_B_2_3_B_2_KwotaB</vt:lpstr>
      <vt:lpstr>CFPosr_B_2_3_B_2_KwotaC</vt:lpstr>
      <vt:lpstr>CFPosr_B_2_3_B_KwotaA</vt:lpstr>
      <vt:lpstr>CFPosr_B_2_3_B_KwotaB</vt:lpstr>
      <vt:lpstr>CFPosr_B_2_3_B_KwotaC</vt:lpstr>
      <vt:lpstr>CFPosr_B_2_3_KwotaA</vt:lpstr>
      <vt:lpstr>CFPosr_B_2_3_KwotaB</vt:lpstr>
      <vt:lpstr>CFPosr_B_2_3_KwotaC</vt:lpstr>
      <vt:lpstr>CFPosr_B_2_4_KwotaA</vt:lpstr>
      <vt:lpstr>CFPosr_B_2_4_KwotaB</vt:lpstr>
      <vt:lpstr>CFPosr_B_2_4_KwotaC</vt:lpstr>
      <vt:lpstr>CFPosr_B_2_KwotaA</vt:lpstr>
      <vt:lpstr>CFPosr_B_2_KwotaB</vt:lpstr>
      <vt:lpstr>CFPosr_B_2_KwotaC</vt:lpstr>
      <vt:lpstr>CFPosr_B_3_KwotaA</vt:lpstr>
      <vt:lpstr>CFPosr_B_3_KwotaB</vt:lpstr>
      <vt:lpstr>CFPosr_B_3_KwotaC</vt:lpstr>
      <vt:lpstr>CFPosr_B_KwotaA</vt:lpstr>
      <vt:lpstr>CFPosr_B_KwotaB</vt:lpstr>
      <vt:lpstr>CFPosr_B_KwotaC</vt:lpstr>
      <vt:lpstr>CFPosr_C_1_1_KwotaA</vt:lpstr>
      <vt:lpstr>CFPosr_C_1_1_KwotaB</vt:lpstr>
      <vt:lpstr>CFPosr_C_1_1_KwotaC</vt:lpstr>
      <vt:lpstr>CFPosr_C_1_2_KwotaA</vt:lpstr>
      <vt:lpstr>CFPosr_C_1_2_KwotaB</vt:lpstr>
      <vt:lpstr>CFPosr_C_1_2_KwotaC</vt:lpstr>
      <vt:lpstr>CFPosr_C_1_3_KwotaA</vt:lpstr>
      <vt:lpstr>CFPosr_C_1_3_KwotaB</vt:lpstr>
      <vt:lpstr>CFPosr_C_1_3_KwotaC</vt:lpstr>
      <vt:lpstr>CFPosr_C_1_4_KwotaA</vt:lpstr>
      <vt:lpstr>CFPosr_C_1_4_KwotaB</vt:lpstr>
      <vt:lpstr>CFPosr_C_1_4_KwotaC</vt:lpstr>
      <vt:lpstr>CFPosr_C_1_KwotaA</vt:lpstr>
      <vt:lpstr>CFPosr_C_1_KwotaB</vt:lpstr>
      <vt:lpstr>CFPosr_C_1_KwotaC</vt:lpstr>
      <vt:lpstr>CFPosr_C_2_1_KwotaA</vt:lpstr>
      <vt:lpstr>CFPosr_C_2_1_KwotaB</vt:lpstr>
      <vt:lpstr>CFPosr_C_2_1_KwotaC</vt:lpstr>
      <vt:lpstr>CFPosr_C_2_2_KwotaA</vt:lpstr>
      <vt:lpstr>CFPosr_C_2_2_KwotaB</vt:lpstr>
      <vt:lpstr>CFPosr_C_2_2_KwotaC</vt:lpstr>
      <vt:lpstr>CFPosr_C_2_3_KwotaA</vt:lpstr>
      <vt:lpstr>CFPosr_C_2_3_KwotaB</vt:lpstr>
      <vt:lpstr>CFPosr_C_2_3_KwotaC</vt:lpstr>
      <vt:lpstr>CFPosr_C_2_4_KwotaA</vt:lpstr>
      <vt:lpstr>CFPosr_C_2_4_KwotaB</vt:lpstr>
      <vt:lpstr>CFPosr_C_2_4_KwotaC</vt:lpstr>
      <vt:lpstr>CFPosr_C_2_5_KwotaA</vt:lpstr>
      <vt:lpstr>CFPosr_C_2_5_KwotaB</vt:lpstr>
      <vt:lpstr>CFPosr_C_2_5_KwotaC</vt:lpstr>
      <vt:lpstr>CFPosr_C_2_6_KwotaA</vt:lpstr>
      <vt:lpstr>CFPosr_C_2_6_KwotaB</vt:lpstr>
      <vt:lpstr>CFPosr_C_2_6_KwotaC</vt:lpstr>
      <vt:lpstr>CFPosr_C_2_7_KwotaA</vt:lpstr>
      <vt:lpstr>CFPosr_C_2_7_KwotaB</vt:lpstr>
      <vt:lpstr>CFPosr_C_2_7_KwotaC</vt:lpstr>
      <vt:lpstr>CFPosr_C_2_8_KwotaA</vt:lpstr>
      <vt:lpstr>CFPosr_C_2_8_KwotaB</vt:lpstr>
      <vt:lpstr>CFPosr_C_2_8_KwotaC</vt:lpstr>
      <vt:lpstr>CFPosr_C_2_9_KwotaA</vt:lpstr>
      <vt:lpstr>CFPosr_C_2_9_KwotaB</vt:lpstr>
      <vt:lpstr>CFPosr_C_2_9_KwotaC</vt:lpstr>
      <vt:lpstr>CFPosr_C_2_KwotaA</vt:lpstr>
      <vt:lpstr>CFPosr_C_2_KwotaB</vt:lpstr>
      <vt:lpstr>CFPosr_C_2_KwotaC</vt:lpstr>
      <vt:lpstr>CFPosr_C_3_KwotaA</vt:lpstr>
      <vt:lpstr>CFPosr_C_3_KwotaB</vt:lpstr>
      <vt:lpstr>CFPosr_C_3_KwotaC</vt:lpstr>
      <vt:lpstr>CFPosr_C_KwotaA</vt:lpstr>
      <vt:lpstr>CFPosr_C_KwotaB</vt:lpstr>
      <vt:lpstr>CFPosr_C_KwotaC</vt:lpstr>
      <vt:lpstr>CFPosr_D_KwotaA</vt:lpstr>
      <vt:lpstr>CFPosr_D_KwotaB</vt:lpstr>
      <vt:lpstr>CFPosr_D_KwotaC</vt:lpstr>
      <vt:lpstr>CFPosr_E_1_KwotaA</vt:lpstr>
      <vt:lpstr>CFPosr_E_1_KwotaB</vt:lpstr>
      <vt:lpstr>CFPosr_E_1_KwotaC</vt:lpstr>
      <vt:lpstr>CFPosr_E_KwotaA</vt:lpstr>
      <vt:lpstr>CFPosr_E_KwotaB</vt:lpstr>
      <vt:lpstr>CFPosr_E_KwotaC</vt:lpstr>
      <vt:lpstr>CFPosr_F_KwotaA</vt:lpstr>
      <vt:lpstr>CFPosr_F_KwotaB</vt:lpstr>
      <vt:lpstr>CFPosr_F_KwotaC</vt:lpstr>
      <vt:lpstr>CFPosr_G_1_KwotaA</vt:lpstr>
      <vt:lpstr>CFPosr_G_1_KwotaB</vt:lpstr>
      <vt:lpstr>CFPosr_G_1_KwotaC</vt:lpstr>
      <vt:lpstr>CFPosr_G_KwotaA</vt:lpstr>
      <vt:lpstr>CFPosr_G_KwotaB</vt:lpstr>
      <vt:lpstr>CFPosr_G_KwotaC</vt:lpstr>
      <vt:lpstr>DaneLaczne</vt:lpstr>
      <vt:lpstr>DanePrzeksztalcone</vt:lpstr>
      <vt:lpstr>DataDo</vt:lpstr>
      <vt:lpstr>DataDoZakonczenie</vt:lpstr>
      <vt:lpstr>DataOd</vt:lpstr>
      <vt:lpstr>DataOdZakonczenie</vt:lpstr>
      <vt:lpstr>DataSporzadzenia</vt:lpstr>
      <vt:lpstr>Gmina</vt:lpstr>
      <vt:lpstr>Gmina_eng</vt:lpstr>
      <vt:lpstr>Jezyk</vt:lpstr>
      <vt:lpstr>Kapital_1_1_KwotaA</vt:lpstr>
      <vt:lpstr>Kapital_1_1_KwotaB</vt:lpstr>
      <vt:lpstr>Kapital_1_1_KwotaC</vt:lpstr>
      <vt:lpstr>Kapital_1_2_KwotaA</vt:lpstr>
      <vt:lpstr>Kapital_1_2_KwotaB</vt:lpstr>
      <vt:lpstr>Kapital_1_2_KwotaC</vt:lpstr>
      <vt:lpstr>Kapital_1_KwotaA</vt:lpstr>
      <vt:lpstr>Kapital_1_KwotaB</vt:lpstr>
      <vt:lpstr>Kapital_1_KwotaC</vt:lpstr>
      <vt:lpstr>Kapital_1A_1_1_A_1_KwotaA</vt:lpstr>
      <vt:lpstr>Kapital_1A_1_1_A_1_KwotaB</vt:lpstr>
      <vt:lpstr>Kapital_1A_1_1_A_1_KwotaC</vt:lpstr>
      <vt:lpstr>Kapital_1A_1_1_A_KwotaA</vt:lpstr>
      <vt:lpstr>Kapital_1A_1_1_A_KwotaB</vt:lpstr>
      <vt:lpstr>Kapital_1A_1_1_A_KwotaC</vt:lpstr>
      <vt:lpstr>Kapital_1A_1_1_B_1_KwotaA</vt:lpstr>
      <vt:lpstr>Kapital_1A_1_1_B_1_KwotaB</vt:lpstr>
      <vt:lpstr>Kapital_1A_1_1_B_1_KwotaC</vt:lpstr>
      <vt:lpstr>Kapital_1A_1_1_B_KwotaA</vt:lpstr>
      <vt:lpstr>Kapital_1A_1_1_B_KwotaB</vt:lpstr>
      <vt:lpstr>Kapital_1A_1_1_B_KwotaC</vt:lpstr>
      <vt:lpstr>Kapital_1A_1_1_KwotaA</vt:lpstr>
      <vt:lpstr>Kapital_1A_1_1_KwotaB</vt:lpstr>
      <vt:lpstr>Kapital_1A_1_1_KwotaC</vt:lpstr>
      <vt:lpstr>Kapital_1A_1_2_KwotaA</vt:lpstr>
      <vt:lpstr>Kapital_1A_1_2_KwotaB</vt:lpstr>
      <vt:lpstr>Kapital_1A_1_2_KwotaC</vt:lpstr>
      <vt:lpstr>Kapital_1A_1_KwotaA</vt:lpstr>
      <vt:lpstr>Kapital_1A_1_KwotaB</vt:lpstr>
      <vt:lpstr>Kapital_1A_1_KwotaC</vt:lpstr>
      <vt:lpstr>Kapital_1A_2_1_A_1_KwotaA</vt:lpstr>
      <vt:lpstr>Kapital_1A_2_1_A_1_KwotaB</vt:lpstr>
      <vt:lpstr>Kapital_1A_2_1_A_1_KwotaC</vt:lpstr>
      <vt:lpstr>Kapital_1A_2_1_A_2_KwotaA</vt:lpstr>
      <vt:lpstr>Kapital_1A_2_1_A_2_KwotaB</vt:lpstr>
      <vt:lpstr>Kapital_1A_2_1_A_2_KwotaC</vt:lpstr>
      <vt:lpstr>Kapital_1A_2_1_A_3_KwotaA</vt:lpstr>
      <vt:lpstr>Kapital_1A_2_1_A_3_KwotaB</vt:lpstr>
      <vt:lpstr>Kapital_1A_2_1_A_3_KwotaC</vt:lpstr>
      <vt:lpstr>Kapital_1A_2_1_A_KwotaA</vt:lpstr>
      <vt:lpstr>Kapital_1A_2_1_A_KwotaB</vt:lpstr>
      <vt:lpstr>Kapital_1A_2_1_A_KwotaC</vt:lpstr>
      <vt:lpstr>Kapital_1A_2_1_B_1_KwotaA</vt:lpstr>
      <vt:lpstr>Kapital_1A_2_1_B_1_KwotaB</vt:lpstr>
      <vt:lpstr>Kapital_1A_2_1_B_1_KwotaC</vt:lpstr>
      <vt:lpstr>Kapital_1A_2_1_B_KwotaA</vt:lpstr>
      <vt:lpstr>Kapital_1A_2_1_B_KwotaB</vt:lpstr>
      <vt:lpstr>Kapital_1A_2_1_B_KwotaC</vt:lpstr>
      <vt:lpstr>Kapital_1A_2_1_KwotaA</vt:lpstr>
      <vt:lpstr>Kapital_1A_2_1_KwotaB</vt:lpstr>
      <vt:lpstr>Kapital_1A_2_1_KwotaC</vt:lpstr>
      <vt:lpstr>Kapital_1A_2_2_KwotaA</vt:lpstr>
      <vt:lpstr>Kapital_1A_2_2_KwotaB</vt:lpstr>
      <vt:lpstr>Kapital_1A_2_2_KwotaC</vt:lpstr>
      <vt:lpstr>Kapital_1A_2_KwotaA</vt:lpstr>
      <vt:lpstr>Kapital_1A_2_KwotaB</vt:lpstr>
      <vt:lpstr>Kapital_1A_2_KwotaC</vt:lpstr>
      <vt:lpstr>Kapital_1A_3_1_A_KwotaA</vt:lpstr>
      <vt:lpstr>Kapital_1A_3_1_A_KwotaB</vt:lpstr>
      <vt:lpstr>Kapital_1A_3_1_A_KwotaC</vt:lpstr>
      <vt:lpstr>Kapital_1A_3_1_B_1_KwotaA</vt:lpstr>
      <vt:lpstr>Kapital_1A_3_1_B_1_KwotaB</vt:lpstr>
      <vt:lpstr>Kapital_1A_3_1_B_1_KwotaC</vt:lpstr>
      <vt:lpstr>Kapital_1A_3_1_B_KwotaA</vt:lpstr>
      <vt:lpstr>Kapital_1A_3_1_B_KwotaB</vt:lpstr>
      <vt:lpstr>Kapital_1A_3_1_B_KwotaC</vt:lpstr>
      <vt:lpstr>Kapital_1A_3_1_KwotaA</vt:lpstr>
      <vt:lpstr>Kapital_1A_3_1_KwotaB</vt:lpstr>
      <vt:lpstr>Kapital_1A_3_1_KwotaC</vt:lpstr>
      <vt:lpstr>Kapital_1A_3_2_KwotaA</vt:lpstr>
      <vt:lpstr>Kapital_1A_3_2_KwotaB</vt:lpstr>
      <vt:lpstr>Kapital_1A_3_2_KwotaC</vt:lpstr>
      <vt:lpstr>Kapital_1A_3_KwotaA</vt:lpstr>
      <vt:lpstr>Kapital_1A_3_KwotaB</vt:lpstr>
      <vt:lpstr>Kapital_1A_3_KwotaC</vt:lpstr>
      <vt:lpstr>Kapital_1A_4_1_A_KwotaA</vt:lpstr>
      <vt:lpstr>Kapital_1A_4_1_A_KwotaB</vt:lpstr>
      <vt:lpstr>Kapital_1A_4_1_A_KwotaC</vt:lpstr>
      <vt:lpstr>Kapital_1A_4_1_B_KwotaA</vt:lpstr>
      <vt:lpstr>Kapital_1A_4_1_B_KwotaB</vt:lpstr>
      <vt:lpstr>Kapital_1A_4_1_B_KwotaC</vt:lpstr>
      <vt:lpstr>Kapital_1A_4_1_KwotaA</vt:lpstr>
      <vt:lpstr>Kapital_1A_4_1_KwotaB</vt:lpstr>
      <vt:lpstr>Kapital_1A_4_1_KwotaC</vt:lpstr>
      <vt:lpstr>Kapital_1A_4_2_KwotaA</vt:lpstr>
      <vt:lpstr>Kapital_1A_4_2_KwotaB</vt:lpstr>
      <vt:lpstr>Kapital_1A_4_2_KwotaC</vt:lpstr>
      <vt:lpstr>Kapital_1A_4_KwotaA</vt:lpstr>
      <vt:lpstr>Kapital_1A_4_KwotaB</vt:lpstr>
      <vt:lpstr>Kapital_1A_4_KwotaC</vt:lpstr>
      <vt:lpstr>Kapital_1A_5_1_1_KwotaA</vt:lpstr>
      <vt:lpstr>Kapital_1A_5_1_1_KwotaB</vt:lpstr>
      <vt:lpstr>Kapital_1A_5_1_1_KwotaC</vt:lpstr>
      <vt:lpstr>Kapital_1A_5_1_2_KwotaA</vt:lpstr>
      <vt:lpstr>Kapital_1A_5_1_2_KwotaB</vt:lpstr>
      <vt:lpstr>Kapital_1A_5_1_2_KwotaC</vt:lpstr>
      <vt:lpstr>Kapital_1A_5_1_KwotaA</vt:lpstr>
      <vt:lpstr>Kapital_1A_5_1_KwotaB</vt:lpstr>
      <vt:lpstr>Kapital_1A_5_1_KwotaC</vt:lpstr>
      <vt:lpstr>Kapital_1A_5_2_A_1_KwotaA</vt:lpstr>
      <vt:lpstr>Kapital_1A_5_2_A_1_KwotaB</vt:lpstr>
      <vt:lpstr>Kapital_1A_5_2_A_1_KwotaC</vt:lpstr>
      <vt:lpstr>Kapital_1A_5_2_A_KwotaA</vt:lpstr>
      <vt:lpstr>Kapital_1A_5_2_A_KwotaB</vt:lpstr>
      <vt:lpstr>Kapital_1A_5_2_A_KwotaC</vt:lpstr>
      <vt:lpstr>Kapital_1A_5_2_B_KwotaA</vt:lpstr>
      <vt:lpstr>Kapital_1A_5_2_B_KwotaB</vt:lpstr>
      <vt:lpstr>Kapital_1A_5_2_B_KwotaC</vt:lpstr>
      <vt:lpstr>Kapital_1A_5_2_KwotaA</vt:lpstr>
      <vt:lpstr>Kapital_1A_5_2_KwotaB</vt:lpstr>
      <vt:lpstr>Kapital_1A_5_2_KwotaC</vt:lpstr>
      <vt:lpstr>Kapital_1A_5_3_KwotaA</vt:lpstr>
      <vt:lpstr>Kapital_1A_5_3_KwotaB</vt:lpstr>
      <vt:lpstr>Kapital_1A_5_3_KwotaC</vt:lpstr>
      <vt:lpstr>Kapital_1A_5_4_1_KwotaA</vt:lpstr>
      <vt:lpstr>Kapital_1A_5_4_1_KwotaB</vt:lpstr>
      <vt:lpstr>Kapital_1A_5_4_1_KwotaC</vt:lpstr>
      <vt:lpstr>Kapital_1A_5_4_2_KwotaA</vt:lpstr>
      <vt:lpstr>Kapital_1A_5_4_2_KwotaB</vt:lpstr>
      <vt:lpstr>Kapital_1A_5_4_2_KwotaC</vt:lpstr>
      <vt:lpstr>Kapital_1A_5_4_KwotaA</vt:lpstr>
      <vt:lpstr>Kapital_1A_5_4_KwotaB</vt:lpstr>
      <vt:lpstr>Kapital_1A_5_4_KwotaC</vt:lpstr>
      <vt:lpstr>Kapital_1A_5_5_A_1_KwotaA</vt:lpstr>
      <vt:lpstr>Kapital_1A_5_5_A_1_KwotaB</vt:lpstr>
      <vt:lpstr>Kapital_1A_5_5_A_1_KwotaC</vt:lpstr>
      <vt:lpstr>Kapital_1A_5_5_A_KwotaA</vt:lpstr>
      <vt:lpstr>Kapital_1A_5_5_A_KwotaB</vt:lpstr>
      <vt:lpstr>Kapital_1A_5_5_A_KwotaC</vt:lpstr>
      <vt:lpstr>Kapital_1A_5_5_B_KwotaA</vt:lpstr>
      <vt:lpstr>Kapital_1A_5_5_B_KwotaB</vt:lpstr>
      <vt:lpstr>Kapital_1A_5_5_B_KwotaC</vt:lpstr>
      <vt:lpstr>Kapital_1A_5_5_KwotaA</vt:lpstr>
      <vt:lpstr>Kapital_1A_5_5_KwotaB</vt:lpstr>
      <vt:lpstr>Kapital_1A_5_5_KwotaC</vt:lpstr>
      <vt:lpstr>Kapital_1A_5_6_KwotaA</vt:lpstr>
      <vt:lpstr>Kapital_1A_5_6_KwotaB</vt:lpstr>
      <vt:lpstr>Kapital_1A_5_6_KwotaC</vt:lpstr>
      <vt:lpstr>Kapital_1A_5_7_KwotaA</vt:lpstr>
      <vt:lpstr>Kapital_1A_5_7_KwotaB</vt:lpstr>
      <vt:lpstr>Kapital_1A_5_7_KwotaC</vt:lpstr>
      <vt:lpstr>Kapital_1A_5_KwotaA</vt:lpstr>
      <vt:lpstr>Kapital_1A_5_KwotaB</vt:lpstr>
      <vt:lpstr>Kapital_1A_5_KwotaC</vt:lpstr>
      <vt:lpstr>Kapital_1A_6_A_KwotaA</vt:lpstr>
      <vt:lpstr>Kapital_1A_6_A_KwotaB</vt:lpstr>
      <vt:lpstr>Kapital_1A_6_A_KwotaC</vt:lpstr>
      <vt:lpstr>Kapital_1A_6_B_KwotaA</vt:lpstr>
      <vt:lpstr>Kapital_1A_6_B_KwotaB</vt:lpstr>
      <vt:lpstr>Kapital_1A_6_B_KwotaC</vt:lpstr>
      <vt:lpstr>Kapital_1A_6_C_KwotaA</vt:lpstr>
      <vt:lpstr>Kapital_1A_6_C_KwotaB</vt:lpstr>
      <vt:lpstr>Kapital_1A_6_C_KwotaC</vt:lpstr>
      <vt:lpstr>Kapital_1A_6_KwotaA</vt:lpstr>
      <vt:lpstr>Kapital_1A_6_KwotaB</vt:lpstr>
      <vt:lpstr>Kapital_1A_6_KwotaC</vt:lpstr>
      <vt:lpstr>Kapital_1A_KwotaA</vt:lpstr>
      <vt:lpstr>Kapital_1A_KwotaB</vt:lpstr>
      <vt:lpstr>Kapital_1A_KwotaC</vt:lpstr>
      <vt:lpstr>Kapital_2_KwotaA</vt:lpstr>
      <vt:lpstr>Kapital_2_KwotaB</vt:lpstr>
      <vt:lpstr>Kapital_2_KwotaC</vt:lpstr>
      <vt:lpstr>Kapital_3_KwotaA</vt:lpstr>
      <vt:lpstr>Kapital_3_KwotaB</vt:lpstr>
      <vt:lpstr>Kapital_3_KwotaC</vt:lpstr>
      <vt:lpstr>Kapital_ZK_1_KwotaA</vt:lpstr>
      <vt:lpstr>Kapital_ZK_1_KwotaB</vt:lpstr>
      <vt:lpstr>Kapital_ZK_1_KwotaC</vt:lpstr>
      <vt:lpstr>KodKraju</vt:lpstr>
      <vt:lpstr>KodKraju_eng</vt:lpstr>
      <vt:lpstr>KodKrajuZagr</vt:lpstr>
      <vt:lpstr>KodPKD1</vt:lpstr>
      <vt:lpstr>KodPKD10</vt:lpstr>
      <vt:lpstr>KodPKD2</vt:lpstr>
      <vt:lpstr>KodPKD3</vt:lpstr>
      <vt:lpstr>KodPKD4</vt:lpstr>
      <vt:lpstr>KodPKD5</vt:lpstr>
      <vt:lpstr>KodPKD6</vt:lpstr>
      <vt:lpstr>KodPKD7</vt:lpstr>
      <vt:lpstr>KodPKD8</vt:lpstr>
      <vt:lpstr>KodPKD9</vt:lpstr>
      <vt:lpstr>KodPocztowy</vt:lpstr>
      <vt:lpstr>KodPocztowy_eng</vt:lpstr>
      <vt:lpstr>KodPocztowyZagr</vt:lpstr>
      <vt:lpstr>KodSprawozdania</vt:lpstr>
      <vt:lpstr>KRS</vt:lpstr>
      <vt:lpstr>MetodaRozliczeniaPolaczenia</vt:lpstr>
      <vt:lpstr>Miejscowosc</vt:lpstr>
      <vt:lpstr>Miejscowosc_eng</vt:lpstr>
      <vt:lpstr>MiejscowoscZagr</vt:lpstr>
      <vt:lpstr>NazwaFirmy</vt:lpstr>
      <vt:lpstr>NazwaPDF1</vt:lpstr>
      <vt:lpstr>NazwaPDF10</vt:lpstr>
      <vt:lpstr>NazwaPDF11</vt:lpstr>
      <vt:lpstr>NazwaPDF2</vt:lpstr>
      <vt:lpstr>NazwaPDF3</vt:lpstr>
      <vt:lpstr>NazwaPDF4</vt:lpstr>
      <vt:lpstr>NazwaPDF5</vt:lpstr>
      <vt:lpstr>NazwaPDF6</vt:lpstr>
      <vt:lpstr>NazwaPDF7</vt:lpstr>
      <vt:lpstr>NazwaPDF8</vt:lpstr>
      <vt:lpstr>NazwaPDF9</vt:lpstr>
      <vt:lpstr>NazwaSkrocona</vt:lpstr>
      <vt:lpstr>NIP</vt:lpstr>
      <vt:lpstr>NotaPodatkowa</vt:lpstr>
      <vt:lpstr>NrDomu</vt:lpstr>
      <vt:lpstr>NrDomu_eng</vt:lpstr>
      <vt:lpstr>NrDomuZagr</vt:lpstr>
      <vt:lpstr>NrLokalu</vt:lpstr>
      <vt:lpstr>NrLokalu_eng</vt:lpstr>
      <vt:lpstr>NrLokaluZagr</vt:lpstr>
      <vt:lpstr>_aktywa!Obszar_wydruku</vt:lpstr>
      <vt:lpstr>_pasywa!Obszar_wydruku</vt:lpstr>
      <vt:lpstr>introduction!Obszar_wydruku</vt:lpstr>
      <vt:lpstr>kapitał!Obszar_wydruku</vt:lpstr>
      <vt:lpstr>NotaPodatkowa!Obszar_wydruku</vt:lpstr>
      <vt:lpstr>Notes!Obszar_wydruku</vt:lpstr>
      <vt:lpstr>Noty!Obszar_wydruku</vt:lpstr>
      <vt:lpstr>oświadczenie!Obszar_wydruku</vt:lpstr>
      <vt:lpstr>przepływy!Obszar_wydruku</vt:lpstr>
      <vt:lpstr>rzis!Obszar_wydruku</vt:lpstr>
      <vt:lpstr>'Spis tresci'!Obszar_wydruku</vt:lpstr>
      <vt:lpstr>'Strona tytułowa'!Obszar_wydruku</vt:lpstr>
      <vt:lpstr>wstęp!Obszar_wydruku</vt:lpstr>
      <vt:lpstr>OkresDo</vt:lpstr>
      <vt:lpstr>OkresOd</vt:lpstr>
      <vt:lpstr>Opis1</vt:lpstr>
      <vt:lpstr>Opis10</vt:lpstr>
      <vt:lpstr>Opis11</vt:lpstr>
      <vt:lpstr>Opis2</vt:lpstr>
      <vt:lpstr>Opis3</vt:lpstr>
      <vt:lpstr>Opis4</vt:lpstr>
      <vt:lpstr>Opis5</vt:lpstr>
      <vt:lpstr>Opis6</vt:lpstr>
      <vt:lpstr>Opis7</vt:lpstr>
      <vt:lpstr>Opis8</vt:lpstr>
      <vt:lpstr>Opis9</vt:lpstr>
      <vt:lpstr>P_4</vt:lpstr>
      <vt:lpstr>P_7A</vt:lpstr>
      <vt:lpstr>P_7B</vt:lpstr>
      <vt:lpstr>P_7C</vt:lpstr>
      <vt:lpstr>P_7D</vt:lpstr>
      <vt:lpstr>P_8_Opis</vt:lpstr>
      <vt:lpstr>P_8_Tekst</vt:lpstr>
      <vt:lpstr>P_ID_1_RB_KwotaA</vt:lpstr>
      <vt:lpstr>P_ID_1_RB_KwotaB</vt:lpstr>
      <vt:lpstr>P_ID_1_RB_KwotaC</vt:lpstr>
      <vt:lpstr>P_ID_1_RP_KwotaA</vt:lpstr>
      <vt:lpstr>P_ID_1_RP_KwotaB</vt:lpstr>
      <vt:lpstr>P_ID_1_RP_KwotaC</vt:lpstr>
      <vt:lpstr>P_ID_10_RB_KwotaA</vt:lpstr>
      <vt:lpstr>P_ID_10_RB_KwotaB</vt:lpstr>
      <vt:lpstr>P_ID_10_RB_KwotaC</vt:lpstr>
      <vt:lpstr>P_ID_10_RP_KwotaA</vt:lpstr>
      <vt:lpstr>P_ID_10_RP_KwotaB</vt:lpstr>
      <vt:lpstr>P_ID_10_RP_KwotaC</vt:lpstr>
      <vt:lpstr>P_ID_11_RB_KwotaA</vt:lpstr>
      <vt:lpstr>P_ID_11_RB_KwotaB</vt:lpstr>
      <vt:lpstr>P_ID_11_RB_KwotaC</vt:lpstr>
      <vt:lpstr>P_ID_11_RP_KwotaA</vt:lpstr>
      <vt:lpstr>P_ID_11_RP_KwotaB</vt:lpstr>
      <vt:lpstr>P_ID_11_RP_KwotaC</vt:lpstr>
      <vt:lpstr>P_ID_2</vt:lpstr>
      <vt:lpstr>P_ID_2_RB_KwotaA</vt:lpstr>
      <vt:lpstr>P_ID_2_RB_KwotaB</vt:lpstr>
      <vt:lpstr>P_ID_2_RB_KwotaC</vt:lpstr>
      <vt:lpstr>P_ID_2_RP_KwotaA</vt:lpstr>
      <vt:lpstr>P_ID_2_RP_KwotaB</vt:lpstr>
      <vt:lpstr>P_ID_2_RP_KwotaC</vt:lpstr>
      <vt:lpstr>P_ID_3</vt:lpstr>
      <vt:lpstr>P_ID_3_RB_KwotaA</vt:lpstr>
      <vt:lpstr>P_ID_3_RB_KwotaB</vt:lpstr>
      <vt:lpstr>P_ID_3_RB_KwotaC</vt:lpstr>
      <vt:lpstr>P_ID_3_RP_KwotaA</vt:lpstr>
      <vt:lpstr>P_ID_3_RP_KwotaB</vt:lpstr>
      <vt:lpstr>P_ID_3_RP_KwotaC</vt:lpstr>
      <vt:lpstr>P_ID_4</vt:lpstr>
      <vt:lpstr>P_ID_4_RB_KwotaA</vt:lpstr>
      <vt:lpstr>P_ID_4_RB_KwotaB</vt:lpstr>
      <vt:lpstr>P_ID_4_RB_KwotaC</vt:lpstr>
      <vt:lpstr>P_ID_4_RP_KwotaA</vt:lpstr>
      <vt:lpstr>P_ID_4_RP_KwotaB</vt:lpstr>
      <vt:lpstr>P_ID_4_RP_KwotaC</vt:lpstr>
      <vt:lpstr>P_ID_5</vt:lpstr>
      <vt:lpstr>P_ID_5_RB_KwotaA</vt:lpstr>
      <vt:lpstr>P_ID_5_RB_KwotaB</vt:lpstr>
      <vt:lpstr>P_ID_5_RB_KwotaC</vt:lpstr>
      <vt:lpstr>P_ID_5_RP_KwotaA</vt:lpstr>
      <vt:lpstr>P_ID_5_RP_KwotaB</vt:lpstr>
      <vt:lpstr>P_ID_5_RP_KwotaC</vt:lpstr>
      <vt:lpstr>P_ID_6</vt:lpstr>
      <vt:lpstr>P_ID_6_RB_KwotaA</vt:lpstr>
      <vt:lpstr>P_ID_6_RB_KwotaB</vt:lpstr>
      <vt:lpstr>P_ID_6_RB_KwotaC</vt:lpstr>
      <vt:lpstr>P_ID_6_RP_KwotaA</vt:lpstr>
      <vt:lpstr>P_ID_6_RP_KwotaB</vt:lpstr>
      <vt:lpstr>P_ID_6_RP_KwotaC</vt:lpstr>
      <vt:lpstr>P_ID_7</vt:lpstr>
      <vt:lpstr>P_ID_7_RB_KwotaA</vt:lpstr>
      <vt:lpstr>P_ID_7_RB_KwotaB</vt:lpstr>
      <vt:lpstr>P_ID_7_RB_KwotaC</vt:lpstr>
      <vt:lpstr>P_ID_7_RP_KwotaA</vt:lpstr>
      <vt:lpstr>P_ID_7_RP_KwotaB</vt:lpstr>
      <vt:lpstr>P_ID_7_RP_KwotaC</vt:lpstr>
      <vt:lpstr>P_ID_8</vt:lpstr>
      <vt:lpstr>P_ID_8_RB_KwotaA</vt:lpstr>
      <vt:lpstr>P_ID_8_RB_KwotaB</vt:lpstr>
      <vt:lpstr>P_ID_8_RB_KwotaC</vt:lpstr>
      <vt:lpstr>P_ID_8_RP_KwotaA</vt:lpstr>
      <vt:lpstr>P_ID_8_RP_KwotaB</vt:lpstr>
      <vt:lpstr>P_ID_8_RP_KwotaC</vt:lpstr>
      <vt:lpstr>P_ID_9</vt:lpstr>
      <vt:lpstr>P_ID_9_RB_KwotaA</vt:lpstr>
      <vt:lpstr>P_ID_9_RB_KwotaB</vt:lpstr>
      <vt:lpstr>P_ID_9_RB_KwotaC</vt:lpstr>
      <vt:lpstr>P_ID_9_RP_KwotaA</vt:lpstr>
      <vt:lpstr>P_ID_9_RP_KwotaB</vt:lpstr>
      <vt:lpstr>P_ID_9_RP_KwotaC</vt:lpstr>
      <vt:lpstr>Pasywa_A_1_KwotaA</vt:lpstr>
      <vt:lpstr>Pasywa_A_1_KwotaB</vt:lpstr>
      <vt:lpstr>Pasywa_A_1_KwotaC</vt:lpstr>
      <vt:lpstr>Pasywa_A_2_1_KwotaA</vt:lpstr>
      <vt:lpstr>Pasywa_A_2_1_KwotaB</vt:lpstr>
      <vt:lpstr>Pasywa_A_2_1_KwotaC</vt:lpstr>
      <vt:lpstr>Pasywa_A_2_KwotaA</vt:lpstr>
      <vt:lpstr>Pasywa_A_2_KwotaB</vt:lpstr>
      <vt:lpstr>Pasywa_A_2_KwotaC</vt:lpstr>
      <vt:lpstr>Pasywa_A_3_1_KwotaA</vt:lpstr>
      <vt:lpstr>Pasywa_A_3_1_KwotaB</vt:lpstr>
      <vt:lpstr>Pasywa_A_3_1_KwotaC</vt:lpstr>
      <vt:lpstr>Pasywa_A_3_KwotaA</vt:lpstr>
      <vt:lpstr>Pasywa_A_3_KwotaB</vt:lpstr>
      <vt:lpstr>Pasywa_A_3_KwotaC</vt:lpstr>
      <vt:lpstr>Pasywa_A_4_1_KwotaA</vt:lpstr>
      <vt:lpstr>Pasywa_A_4_1_KwotaB</vt:lpstr>
      <vt:lpstr>Pasywa_A_4_1_KwotaC</vt:lpstr>
      <vt:lpstr>Pasywa_A_4_2_KwotaA</vt:lpstr>
      <vt:lpstr>Pasywa_A_4_2_KwotaB</vt:lpstr>
      <vt:lpstr>Pasywa_A_4_2_KwotaC</vt:lpstr>
      <vt:lpstr>Pasywa_A_4_KwotaA</vt:lpstr>
      <vt:lpstr>Pasywa_A_4_KwotaB</vt:lpstr>
      <vt:lpstr>Pasywa_A_4_KwotaC</vt:lpstr>
      <vt:lpstr>Pasywa_A_5_KwotaA</vt:lpstr>
      <vt:lpstr>Pasywa_A_5_KwotaB</vt:lpstr>
      <vt:lpstr>Pasywa_A_5_KwotaC</vt:lpstr>
      <vt:lpstr>Pasywa_A_6_KwotaA</vt:lpstr>
      <vt:lpstr>Pasywa_A_6_KwotaB</vt:lpstr>
      <vt:lpstr>Pasywa_A_6_KwotaC</vt:lpstr>
      <vt:lpstr>Pasywa_A_7_KwotaA</vt:lpstr>
      <vt:lpstr>Pasywa_A_7_KwotaB</vt:lpstr>
      <vt:lpstr>Pasywa_A_7_KwotaC</vt:lpstr>
      <vt:lpstr>Pasywa_A_KwotaA</vt:lpstr>
      <vt:lpstr>Pasywa_A_KwotaB</vt:lpstr>
      <vt:lpstr>Pasywa_A_KwotaC</vt:lpstr>
      <vt:lpstr>Pasywa_B_1_1_KwotaA</vt:lpstr>
      <vt:lpstr>Pasywa_B_1_1_KwotaB</vt:lpstr>
      <vt:lpstr>Pasywa_B_1_1_KwotaC</vt:lpstr>
      <vt:lpstr>Pasywa_B_1_2_1_KwotaA</vt:lpstr>
      <vt:lpstr>Pasywa_B_1_2_1_KwotaB</vt:lpstr>
      <vt:lpstr>Pasywa_B_1_2_1_KwotaC</vt:lpstr>
      <vt:lpstr>Pasywa_B_1_2_2_KwotaA</vt:lpstr>
      <vt:lpstr>Pasywa_B_1_2_2_KwotaB</vt:lpstr>
      <vt:lpstr>Pasywa_B_1_2_2_KwotaC</vt:lpstr>
      <vt:lpstr>Pasywa_B_1_2_KwotaA</vt:lpstr>
      <vt:lpstr>Pasywa_B_1_2_KwotaB</vt:lpstr>
      <vt:lpstr>Pasywa_B_1_2_KwotaC</vt:lpstr>
      <vt:lpstr>Pasywa_B_1_3_1_KwotaA</vt:lpstr>
      <vt:lpstr>Pasywa_B_1_3_1_KwotaB</vt:lpstr>
      <vt:lpstr>Pasywa_B_1_3_1_KwotaC</vt:lpstr>
      <vt:lpstr>Pasywa_B_1_3_2_KwotaA</vt:lpstr>
      <vt:lpstr>Pasywa_B_1_3_2_KwotaB</vt:lpstr>
      <vt:lpstr>Pasywa_B_1_3_2_KwotaC</vt:lpstr>
      <vt:lpstr>Pasywa_B_1_3_KwotaA</vt:lpstr>
      <vt:lpstr>Pasywa_B_1_3_KwotaB</vt:lpstr>
      <vt:lpstr>Pasywa_B_1_3_KwotaC</vt:lpstr>
      <vt:lpstr>Pasywa_B_1_KwotaA</vt:lpstr>
      <vt:lpstr>Pasywa_B_1_KwotaB</vt:lpstr>
      <vt:lpstr>Pasywa_B_1_KwotaC</vt:lpstr>
      <vt:lpstr>Pasywa_B_2_1_KwotaA</vt:lpstr>
      <vt:lpstr>Pasywa_B_2_1_KwotaB</vt:lpstr>
      <vt:lpstr>Pasywa_B_2_1_KwotaC</vt:lpstr>
      <vt:lpstr>Pasywa_B_2_2_KwotaA</vt:lpstr>
      <vt:lpstr>Pasywa_B_2_2_KwotaB</vt:lpstr>
      <vt:lpstr>Pasywa_B_2_2_KwotaC</vt:lpstr>
      <vt:lpstr>Pasywa_B_2_3_A_KwotaA</vt:lpstr>
      <vt:lpstr>Pasywa_B_2_3_A_KwotaB</vt:lpstr>
      <vt:lpstr>Pasywa_B_2_3_A_KwotaC</vt:lpstr>
      <vt:lpstr>Pasywa_B_2_3_B_KwotaA</vt:lpstr>
      <vt:lpstr>Pasywa_B_2_3_B_KwotaB</vt:lpstr>
      <vt:lpstr>Pasywa_B_2_3_B_KwotaC</vt:lpstr>
      <vt:lpstr>Pasywa_B_2_3_C_KwotaA</vt:lpstr>
      <vt:lpstr>Pasywa_B_2_3_C_KwotaB</vt:lpstr>
      <vt:lpstr>Pasywa_B_2_3_C_KwotaC</vt:lpstr>
      <vt:lpstr>Pasywa_B_2_3_D_KwotaA</vt:lpstr>
      <vt:lpstr>Pasywa_B_2_3_D_KwotaB</vt:lpstr>
      <vt:lpstr>Pasywa_B_2_3_D_KwotaC</vt:lpstr>
      <vt:lpstr>Pasywa_B_2_3_E_KwotaA</vt:lpstr>
      <vt:lpstr>Pasywa_B_2_3_E_KwotaB</vt:lpstr>
      <vt:lpstr>Pasywa_B_2_3_E_KwotaC</vt:lpstr>
      <vt:lpstr>Pasywa_B_2_3_KwotaA</vt:lpstr>
      <vt:lpstr>Pasywa_B_2_3_KwotaB</vt:lpstr>
      <vt:lpstr>Pasywa_B_2_3_KwotaC</vt:lpstr>
      <vt:lpstr>Pasywa_B_2_KwotaA</vt:lpstr>
      <vt:lpstr>Pasywa_B_2_KwotaB</vt:lpstr>
      <vt:lpstr>Pasywa_B_2_KwotaC</vt:lpstr>
      <vt:lpstr>Pasywa_B_3_1_A_1_KwotaA</vt:lpstr>
      <vt:lpstr>Pasywa_B_3_1_A_1_KwotaB</vt:lpstr>
      <vt:lpstr>Pasywa_B_3_1_A_1_KwotaC</vt:lpstr>
      <vt:lpstr>Pasywa_B_3_1_A_2_KwotaA</vt:lpstr>
      <vt:lpstr>Pasywa_B_3_1_A_2_KwotaB</vt:lpstr>
      <vt:lpstr>Pasywa_B_3_1_A_2_KwotaC</vt:lpstr>
      <vt:lpstr>Pasywa_B_3_1_A_KwotaA</vt:lpstr>
      <vt:lpstr>Pasywa_B_3_1_A_KwotaB</vt:lpstr>
      <vt:lpstr>Pasywa_B_3_1_A_KwotaC</vt:lpstr>
      <vt:lpstr>Pasywa_B_3_1_B_KwotaA</vt:lpstr>
      <vt:lpstr>Pasywa_B_3_1_B_KwotaB</vt:lpstr>
      <vt:lpstr>Pasywa_B_3_1_B_KwotaC</vt:lpstr>
      <vt:lpstr>Pasywa_B_3_1_KwotaA</vt:lpstr>
      <vt:lpstr>Pasywa_B_3_1_KwotaB</vt:lpstr>
      <vt:lpstr>Pasywa_B_3_1_KwotaC</vt:lpstr>
      <vt:lpstr>Pasywa_B_3_2_A_1_KwotaA</vt:lpstr>
      <vt:lpstr>Pasywa_B_3_2_A_1_KwotaB</vt:lpstr>
      <vt:lpstr>Pasywa_B_3_2_A_1_KwotaC</vt:lpstr>
      <vt:lpstr>Pasywa_B_3_2_A_2_KwotaA</vt:lpstr>
      <vt:lpstr>Pasywa_B_3_2_A_2_KwotaB</vt:lpstr>
      <vt:lpstr>Pasywa_B_3_2_A_2_KwotaC</vt:lpstr>
      <vt:lpstr>Pasywa_B_3_2_A_KwotaA</vt:lpstr>
      <vt:lpstr>Pasywa_B_3_2_A_KwotaB</vt:lpstr>
      <vt:lpstr>Pasywa_B_3_2_A_KwotaC</vt:lpstr>
      <vt:lpstr>Pasywa_B_3_2_B_KwotaA</vt:lpstr>
      <vt:lpstr>Pasywa_B_3_2_B_KwotaB</vt:lpstr>
      <vt:lpstr>Pasywa_B_3_2_B_KwotaC</vt:lpstr>
      <vt:lpstr>Pasywa_B_3_2_KwotaA</vt:lpstr>
      <vt:lpstr>Pasywa_B_3_2_KwotaB</vt:lpstr>
      <vt:lpstr>Pasywa_B_3_2_KwotaC</vt:lpstr>
      <vt:lpstr>Pasywa_B_3_3_A_KwotaA</vt:lpstr>
      <vt:lpstr>Pasywa_B_3_3_A_KwotaB</vt:lpstr>
      <vt:lpstr>Pasywa_B_3_3_A_KwotaC</vt:lpstr>
      <vt:lpstr>Pasywa_B_3_3_B_KwotaA</vt:lpstr>
      <vt:lpstr>Pasywa_B_3_3_B_KwotaB</vt:lpstr>
      <vt:lpstr>Pasywa_B_3_3_B_KwotaC</vt:lpstr>
      <vt:lpstr>Pasywa_B_3_3_C_KwotaA</vt:lpstr>
      <vt:lpstr>Pasywa_B_3_3_C_KwotaB</vt:lpstr>
      <vt:lpstr>Pasywa_B_3_3_C_KwotaC</vt:lpstr>
      <vt:lpstr>Pasywa_B_3_3_D_1_KwotaA</vt:lpstr>
      <vt:lpstr>Pasywa_B_3_3_D_1_KwotaB</vt:lpstr>
      <vt:lpstr>Pasywa_B_3_3_D_1_KwotaC</vt:lpstr>
      <vt:lpstr>Pasywa_B_3_3_D_2_KwotaA</vt:lpstr>
      <vt:lpstr>Pasywa_B_3_3_D_2_KwotaB</vt:lpstr>
      <vt:lpstr>Pasywa_B_3_3_D_2_KwotaC</vt:lpstr>
      <vt:lpstr>Pasywa_B_3_3_D_KwotaA</vt:lpstr>
      <vt:lpstr>Pasywa_B_3_3_D_KwotaB</vt:lpstr>
      <vt:lpstr>Pasywa_B_3_3_D_KwotaC</vt:lpstr>
      <vt:lpstr>Pasywa_B_3_3_E_KwotaA</vt:lpstr>
      <vt:lpstr>Pasywa_B_3_3_E_KwotaB</vt:lpstr>
      <vt:lpstr>Pasywa_B_3_3_E_KwotaC</vt:lpstr>
      <vt:lpstr>Pasywa_B_3_3_F_KwotaA</vt:lpstr>
      <vt:lpstr>Pasywa_B_3_3_F_KwotaB</vt:lpstr>
      <vt:lpstr>Pasywa_B_3_3_F_KwotaC</vt:lpstr>
      <vt:lpstr>Pasywa_B_3_3_G_KwotaA</vt:lpstr>
      <vt:lpstr>Pasywa_B_3_3_G_KwotaB</vt:lpstr>
      <vt:lpstr>Pasywa_B_3_3_G_KwotaC</vt:lpstr>
      <vt:lpstr>Pasywa_B_3_3_H_KwotaA</vt:lpstr>
      <vt:lpstr>Pasywa_B_3_3_H_KwotaB</vt:lpstr>
      <vt:lpstr>Pasywa_B_3_3_H_KwotaC</vt:lpstr>
      <vt:lpstr>Pasywa_B_3_3_I_KwotaA</vt:lpstr>
      <vt:lpstr>Pasywa_B_3_3_I_KwotaB</vt:lpstr>
      <vt:lpstr>Pasywa_B_3_3_I_KwotaC</vt:lpstr>
      <vt:lpstr>Pasywa_B_3_3_KwotaA</vt:lpstr>
      <vt:lpstr>Pasywa_B_3_3_KwotaB</vt:lpstr>
      <vt:lpstr>Pasywa_B_3_3_KwotaC</vt:lpstr>
      <vt:lpstr>Pasywa_B_3_4_KwotaA</vt:lpstr>
      <vt:lpstr>Pasywa_B_3_4_KwotaB</vt:lpstr>
      <vt:lpstr>Pasywa_B_3_4_KwotaC</vt:lpstr>
      <vt:lpstr>Pasywa_B_3_KwotaA</vt:lpstr>
      <vt:lpstr>Pasywa_B_3_KwotaB</vt:lpstr>
      <vt:lpstr>Pasywa_B_3_KwotaC</vt:lpstr>
      <vt:lpstr>Pasywa_B_4_1_KwotaA</vt:lpstr>
      <vt:lpstr>Pasywa_B_4_1_KwotaB</vt:lpstr>
      <vt:lpstr>Pasywa_B_4_1_KwotaC</vt:lpstr>
      <vt:lpstr>Pasywa_B_4_2_1_KwotaA</vt:lpstr>
      <vt:lpstr>Pasywa_B_4_2_1_KwotaB</vt:lpstr>
      <vt:lpstr>Pasywa_B_4_2_1_KwotaC</vt:lpstr>
      <vt:lpstr>Pasywa_B_4_2_2_KwotaA</vt:lpstr>
      <vt:lpstr>Pasywa_B_4_2_2_KwotaB</vt:lpstr>
      <vt:lpstr>Pasywa_B_4_2_2_KwotaC</vt:lpstr>
      <vt:lpstr>Pasywa_B_4_2_KwotaA</vt:lpstr>
      <vt:lpstr>Pasywa_B_4_2_KwotaB</vt:lpstr>
      <vt:lpstr>Pasywa_B_4_2_KwotaC</vt:lpstr>
      <vt:lpstr>Pasywa_B_4_KwotaA</vt:lpstr>
      <vt:lpstr>Pasywa_B_4_KwotaB</vt:lpstr>
      <vt:lpstr>Pasywa_B_4_KwotaC</vt:lpstr>
      <vt:lpstr>Pasywa_B_KwotaA</vt:lpstr>
      <vt:lpstr>Pasywa_B_KwotaB</vt:lpstr>
      <vt:lpstr>Pasywa_B_KwotaC</vt:lpstr>
      <vt:lpstr>Pasywa_KwotaA</vt:lpstr>
      <vt:lpstr>Pasywa_KwotaB</vt:lpstr>
      <vt:lpstr>Pasywa_KwotaC</vt:lpstr>
      <vt:lpstr>Poczta</vt:lpstr>
      <vt:lpstr>Poczta_eng</vt:lpstr>
      <vt:lpstr>Polaczenie</vt:lpstr>
      <vt:lpstr>PolaczenieTermin</vt:lpstr>
      <vt:lpstr>Powiat</vt:lpstr>
      <vt:lpstr>Powiat_eng</vt:lpstr>
      <vt:lpstr>Przeplyw</vt:lpstr>
      <vt:lpstr>RokDoXML</vt:lpstr>
      <vt:lpstr>RokObr</vt:lpstr>
      <vt:lpstr>RzisKalkA_1_KwotaA</vt:lpstr>
      <vt:lpstr>RzisKalkA_1_KwotaB</vt:lpstr>
      <vt:lpstr>RzisKalkA_1_KwotaC</vt:lpstr>
      <vt:lpstr>RzisKalkA_2_KwotaA</vt:lpstr>
      <vt:lpstr>RzisKalkA_2_KwotaB</vt:lpstr>
      <vt:lpstr>RzisKalkA_2_KwotaC</vt:lpstr>
      <vt:lpstr>RzisKalkA_J_KwotaA</vt:lpstr>
      <vt:lpstr>RzisKalkA_J_KwotaB</vt:lpstr>
      <vt:lpstr>RzisKalkA_J_KwotaC</vt:lpstr>
      <vt:lpstr>RzisKalkA_KwotaA</vt:lpstr>
      <vt:lpstr>RzisKalkA_KwotaB</vt:lpstr>
      <vt:lpstr>RzisKalkA_KwotaC</vt:lpstr>
      <vt:lpstr>RzisKalkB_1_KwotaA</vt:lpstr>
      <vt:lpstr>RzisKalkB_1_KwotaB</vt:lpstr>
      <vt:lpstr>RzisKalkB_1_KwotaC</vt:lpstr>
      <vt:lpstr>RzisKalkB_2_KwotaA</vt:lpstr>
      <vt:lpstr>RzisKalkB_2_KwotaB</vt:lpstr>
      <vt:lpstr>RzisKalkB_2_KwotaC</vt:lpstr>
      <vt:lpstr>RzisKalkB_J_KwotaA</vt:lpstr>
      <vt:lpstr>RzisKalkB_J_KwotaB</vt:lpstr>
      <vt:lpstr>RzisKalkB_J_KwotaC</vt:lpstr>
      <vt:lpstr>RzisKalkB_KwotaA</vt:lpstr>
      <vt:lpstr>RzisKalkB_KwotaB</vt:lpstr>
      <vt:lpstr>RzisKalkB_KwotaC</vt:lpstr>
      <vt:lpstr>RzisKalkC_KwotaA</vt:lpstr>
      <vt:lpstr>RzisKalkC_KwotaB</vt:lpstr>
      <vt:lpstr>RzisKalkC_KwotaC</vt:lpstr>
      <vt:lpstr>RzisKalkD_KwotaA</vt:lpstr>
      <vt:lpstr>RzisKalkD_KwotaB</vt:lpstr>
      <vt:lpstr>RzisKalkD_KwotaC</vt:lpstr>
      <vt:lpstr>RzisKalkE_KwotaA</vt:lpstr>
      <vt:lpstr>RzisKalkE_KwotaB</vt:lpstr>
      <vt:lpstr>RzisKalkE_KwotaC</vt:lpstr>
      <vt:lpstr>RzisKalkF_KwotaA</vt:lpstr>
      <vt:lpstr>RzisKalkF_KwotaB</vt:lpstr>
      <vt:lpstr>RzisKalkF_KwotaC</vt:lpstr>
      <vt:lpstr>RzisKalkG_1_KwotaA</vt:lpstr>
      <vt:lpstr>RzisKalkG_1_KwotaB</vt:lpstr>
      <vt:lpstr>RzisKalkG_1_KwotaC</vt:lpstr>
      <vt:lpstr>RzisKalkG_2_KwotaA</vt:lpstr>
      <vt:lpstr>RzisKalkG_2_KwotaB</vt:lpstr>
      <vt:lpstr>RzisKalkG_2_KwotaC</vt:lpstr>
      <vt:lpstr>RzisKalkG_3_KwotaA</vt:lpstr>
      <vt:lpstr>RzisKalkG_3_KwotaB</vt:lpstr>
      <vt:lpstr>RzisKalkG_3_KwotaC</vt:lpstr>
      <vt:lpstr>RzisKalkG_4_KwotaA</vt:lpstr>
      <vt:lpstr>RzisKalkG_4_KwotaB</vt:lpstr>
      <vt:lpstr>RzisKalkG_4_KwotaC</vt:lpstr>
      <vt:lpstr>RzisKalkG_KwotaA</vt:lpstr>
      <vt:lpstr>RzisKalkG_KwotaB</vt:lpstr>
      <vt:lpstr>RzisKalkG_KwotaC</vt:lpstr>
      <vt:lpstr>RzisKalkH_1_KwotaA</vt:lpstr>
      <vt:lpstr>RzisKalkH_1_KwotaB</vt:lpstr>
      <vt:lpstr>RzisKalkH_1_KwotaC</vt:lpstr>
      <vt:lpstr>RzisKalkH_2_KwotaA</vt:lpstr>
      <vt:lpstr>RzisKalkH_2_KwotaB</vt:lpstr>
      <vt:lpstr>RzisKalkH_2_KwotaC</vt:lpstr>
      <vt:lpstr>RzisKalkH_3_KwotaA</vt:lpstr>
      <vt:lpstr>RzisKalkH_3_KwotaB</vt:lpstr>
      <vt:lpstr>RzisKalkH_3_KwotaC</vt:lpstr>
      <vt:lpstr>RzisKalkH_KwotaA</vt:lpstr>
      <vt:lpstr>RzisKalkH_KwotaB</vt:lpstr>
      <vt:lpstr>RzisKalkH_KwotaC</vt:lpstr>
      <vt:lpstr>RzisKalkI_KwotaA</vt:lpstr>
      <vt:lpstr>RzisKalkI_KwotaB</vt:lpstr>
      <vt:lpstr>RzisKalkI_KwotaC</vt:lpstr>
      <vt:lpstr>RzisKalkJ_1_1_1_KwotaA</vt:lpstr>
      <vt:lpstr>RzisKalkJ_1_1_1_KwotaB</vt:lpstr>
      <vt:lpstr>RzisKalkJ_1_1_1_KwotaC</vt:lpstr>
      <vt:lpstr>RzisKalkJ_1_1_KwotaA</vt:lpstr>
      <vt:lpstr>RzisKalkJ_1_1_KwotaB</vt:lpstr>
      <vt:lpstr>RzisKalkJ_1_1_KwotaC</vt:lpstr>
      <vt:lpstr>RzisKalkJ_1_2_1_KwotaA</vt:lpstr>
      <vt:lpstr>RzisKalkJ_1_2_1_KwotaB</vt:lpstr>
      <vt:lpstr>RzisKalkJ_1_2_1_KwotaC</vt:lpstr>
      <vt:lpstr>RzisKalkJ_1_2_KwotaA</vt:lpstr>
      <vt:lpstr>RzisKalkJ_1_2_KwotaB</vt:lpstr>
      <vt:lpstr>RzisKalkJ_1_2_KwotaC</vt:lpstr>
      <vt:lpstr>RzisKalkJ_1_KwotaA</vt:lpstr>
      <vt:lpstr>RzisKalkJ_1_KwotaB</vt:lpstr>
      <vt:lpstr>RzisKalkJ_1_KwotaC</vt:lpstr>
      <vt:lpstr>RzisKalkJ_2_J_KwotaA</vt:lpstr>
      <vt:lpstr>RzisKalkJ_2_J_KwotaB</vt:lpstr>
      <vt:lpstr>RzisKalkJ_2_J_KwotaC</vt:lpstr>
      <vt:lpstr>RzisKalkJ_2_KwotaA</vt:lpstr>
      <vt:lpstr>RzisKalkJ_2_KwotaB</vt:lpstr>
      <vt:lpstr>RzisKalkJ_2_KwotaC</vt:lpstr>
      <vt:lpstr>RzisKalkJ_3_J_KwotaA</vt:lpstr>
      <vt:lpstr>RzisKalkJ_3_J_KwotaB</vt:lpstr>
      <vt:lpstr>RzisKalkJ_3_J_KwotaC</vt:lpstr>
      <vt:lpstr>RzisKalkJ_3_KwotaA</vt:lpstr>
      <vt:lpstr>RzisKalkJ_3_KwotaB</vt:lpstr>
      <vt:lpstr>RzisKalkJ_3_KwotaC</vt:lpstr>
      <vt:lpstr>RzisKalkJ_4_KwotaA</vt:lpstr>
      <vt:lpstr>RzisKalkJ_4_KwotaB</vt:lpstr>
      <vt:lpstr>RzisKalkJ_4_KwotaC</vt:lpstr>
      <vt:lpstr>RzisKalkJ_5_KwotaA</vt:lpstr>
      <vt:lpstr>RzisKalkJ_5_KwotaB</vt:lpstr>
      <vt:lpstr>RzisKalkJ_5_KwotaC</vt:lpstr>
      <vt:lpstr>RzisKalkJ_KwotaA</vt:lpstr>
      <vt:lpstr>RzisKalkJ_KwotaB</vt:lpstr>
      <vt:lpstr>RzisKalkJ_KwotaC</vt:lpstr>
      <vt:lpstr>RzisKalkK_1_J_KwotaA</vt:lpstr>
      <vt:lpstr>RzisKalkK_1_J_KwotaB</vt:lpstr>
      <vt:lpstr>RzisKalkK_1_J_KwotaC</vt:lpstr>
      <vt:lpstr>RzisKalkK_1_KwotaA</vt:lpstr>
      <vt:lpstr>RzisKalkK_1_KwotaB</vt:lpstr>
      <vt:lpstr>RzisKalkK_1_KwotaC</vt:lpstr>
      <vt:lpstr>RzisKalkK_2_J_KwotaA</vt:lpstr>
      <vt:lpstr>RzisKalkK_2_J_KwotaB</vt:lpstr>
      <vt:lpstr>RzisKalkK_2_J_KwotaC</vt:lpstr>
      <vt:lpstr>RzisKalkK_2_KwotaA</vt:lpstr>
      <vt:lpstr>RzisKalkK_2_KwotaB</vt:lpstr>
      <vt:lpstr>RzisKalkK_2_KwotaC</vt:lpstr>
      <vt:lpstr>RzisKalkK_3_KwotaA</vt:lpstr>
      <vt:lpstr>RzisKalkK_3_KwotaB</vt:lpstr>
      <vt:lpstr>RzisKalkK_3_KwotaC</vt:lpstr>
      <vt:lpstr>RzisKalkK_4_KwotaA</vt:lpstr>
      <vt:lpstr>RzisKalkK_4_KwotaB</vt:lpstr>
      <vt:lpstr>RzisKalkK_4_KwotaC</vt:lpstr>
      <vt:lpstr>RzisKalkK_KwotaA</vt:lpstr>
      <vt:lpstr>RzisKalkK_KwotaB</vt:lpstr>
      <vt:lpstr>RzisKalkK_KwotaC</vt:lpstr>
      <vt:lpstr>RzisKalkL_KwotaA</vt:lpstr>
      <vt:lpstr>RzisKalkL_KwotaB</vt:lpstr>
      <vt:lpstr>RzisKalkL_KwotaC</vt:lpstr>
      <vt:lpstr>RzisKalkM_KwotaA</vt:lpstr>
      <vt:lpstr>RzisKalkM_KwotaB</vt:lpstr>
      <vt:lpstr>RzisKalkM_KwotaC</vt:lpstr>
      <vt:lpstr>RzisKalkN_KwotaA</vt:lpstr>
      <vt:lpstr>RzisKalkN_KwotaB</vt:lpstr>
      <vt:lpstr>RzisKalkN_KwotaC</vt:lpstr>
      <vt:lpstr>RzisKalkO_KwotaA</vt:lpstr>
      <vt:lpstr>RzisKalkO_KwotaB</vt:lpstr>
      <vt:lpstr>RzisKalkO_KwotaC</vt:lpstr>
      <vt:lpstr>RZISPorA_1_KwotaA</vt:lpstr>
      <vt:lpstr>RZISPorA_1_KwotaB</vt:lpstr>
      <vt:lpstr>RZISPorA_1_KwotaC</vt:lpstr>
      <vt:lpstr>RZISPorA_2_KwotaA</vt:lpstr>
      <vt:lpstr>RZISPorA_2_KwotaB</vt:lpstr>
      <vt:lpstr>RZISPorA_2_KwotaC</vt:lpstr>
      <vt:lpstr>RZISPorA_3_KwotaA</vt:lpstr>
      <vt:lpstr>RZISPorA_3_KwotaB</vt:lpstr>
      <vt:lpstr>RZISPorA_3_KwotaC</vt:lpstr>
      <vt:lpstr>RZISPorA_4_KwotaA</vt:lpstr>
      <vt:lpstr>RZISPorA_4_KwotaB</vt:lpstr>
      <vt:lpstr>RZISPorA_4_KwotaC</vt:lpstr>
      <vt:lpstr>RZISPorA_J_KwotaA</vt:lpstr>
      <vt:lpstr>RZISPorA_J_KwotaB</vt:lpstr>
      <vt:lpstr>RZISPorA_J_KwotaC</vt:lpstr>
      <vt:lpstr>RZISPorA_KwotaA</vt:lpstr>
      <vt:lpstr>RZISPorA_KwotaB</vt:lpstr>
      <vt:lpstr>RZISPorA_KwotaC</vt:lpstr>
      <vt:lpstr>RZISPorB_1_KwotaA</vt:lpstr>
      <vt:lpstr>RZISPorB_1_KwotaB</vt:lpstr>
      <vt:lpstr>RZISPorB_1_KwotaC</vt:lpstr>
      <vt:lpstr>RZISPorB_2_KwotaA</vt:lpstr>
      <vt:lpstr>RZISPorB_2_KwotaB</vt:lpstr>
      <vt:lpstr>RZISPorB_2_KwotaC</vt:lpstr>
      <vt:lpstr>RZISPorB_3_KwotaA</vt:lpstr>
      <vt:lpstr>RZISPorB_3_KwotaB</vt:lpstr>
      <vt:lpstr>RZISPorB_3_KwotaC</vt:lpstr>
      <vt:lpstr>RZISPorB_4_1_KwotaA</vt:lpstr>
      <vt:lpstr>RZISPorB_4_1_KwotaB</vt:lpstr>
      <vt:lpstr>RZISPorB_4_1_KwotaC</vt:lpstr>
      <vt:lpstr>RZISPorB_4_KwotaA</vt:lpstr>
      <vt:lpstr>RZISPorB_4_KwotaB</vt:lpstr>
      <vt:lpstr>RZISPorB_4_KwotaC</vt:lpstr>
      <vt:lpstr>RZISPorB_5_KwotaA</vt:lpstr>
      <vt:lpstr>RZISPorB_5_KwotaB</vt:lpstr>
      <vt:lpstr>RZISPorB_5_KwotaC</vt:lpstr>
      <vt:lpstr>RZISPorB_6_1_KwotaA</vt:lpstr>
      <vt:lpstr>RZISPorB_6_1_KwotaB</vt:lpstr>
      <vt:lpstr>RZISPorB_6_1_KwotaC</vt:lpstr>
      <vt:lpstr>RZISPorB_6_KwotaA</vt:lpstr>
      <vt:lpstr>RZISPorB_6_KwotaB</vt:lpstr>
      <vt:lpstr>RZISPorB_6_KwotaC</vt:lpstr>
      <vt:lpstr>RZISPorB_7_KwotaA</vt:lpstr>
      <vt:lpstr>RZISPorB_7_KwotaB</vt:lpstr>
      <vt:lpstr>RZISPorB_7_KwotaC</vt:lpstr>
      <vt:lpstr>RZISPorB_8_KwotaA</vt:lpstr>
      <vt:lpstr>RZISPorB_8_KwotaB</vt:lpstr>
      <vt:lpstr>RZISPorB_8_KwotaC</vt:lpstr>
      <vt:lpstr>RZISPorB_KwotaA</vt:lpstr>
      <vt:lpstr>RZISPorB_KwotaB</vt:lpstr>
      <vt:lpstr>RZISPorB_KwotaC</vt:lpstr>
      <vt:lpstr>RZISPorC_KwotaA</vt:lpstr>
      <vt:lpstr>RZISPorC_KwotaB</vt:lpstr>
      <vt:lpstr>RZISPorC_KwotaC</vt:lpstr>
      <vt:lpstr>RZISPorD_1_KwotaA</vt:lpstr>
      <vt:lpstr>RZISPorD_1_KwotaB</vt:lpstr>
      <vt:lpstr>RZISPorD_1_KwotaC</vt:lpstr>
      <vt:lpstr>RZISPorD_2_KwotaA</vt:lpstr>
      <vt:lpstr>RZISPorD_2_KwotaB</vt:lpstr>
      <vt:lpstr>RZISPorD_2_KwotaC</vt:lpstr>
      <vt:lpstr>RZISPorD_3_KwotaA</vt:lpstr>
      <vt:lpstr>RZISPorD_3_KwotaB</vt:lpstr>
      <vt:lpstr>RZISPorD_3_KwotaC</vt:lpstr>
      <vt:lpstr>RZISPorD_4_KwotaA</vt:lpstr>
      <vt:lpstr>RZISPorD_4_KwotaB</vt:lpstr>
      <vt:lpstr>RZISPorD_4_KwotaC</vt:lpstr>
      <vt:lpstr>RZISPorD_KwotaA</vt:lpstr>
      <vt:lpstr>RZISPorD_KwotaB</vt:lpstr>
      <vt:lpstr>RZISPorD_KwotaC</vt:lpstr>
      <vt:lpstr>RZISPorE_1_KwotaA</vt:lpstr>
      <vt:lpstr>RZISPorE_1_KwotaB</vt:lpstr>
      <vt:lpstr>RZISPorE_1_KwotaC</vt:lpstr>
      <vt:lpstr>RZISPorE_2_KwotaA</vt:lpstr>
      <vt:lpstr>RZISPorE_2_KwotaB</vt:lpstr>
      <vt:lpstr>RZISPorE_2_KwotaC</vt:lpstr>
      <vt:lpstr>RZISPorE_3_KwotaA</vt:lpstr>
      <vt:lpstr>RZISPorE_3_KwotaB</vt:lpstr>
      <vt:lpstr>RZISPorE_3_KwotaC</vt:lpstr>
      <vt:lpstr>RZISPorE_KwotaA</vt:lpstr>
      <vt:lpstr>RZISPorE_KwotaB</vt:lpstr>
      <vt:lpstr>RZISPorE_KwotaC</vt:lpstr>
      <vt:lpstr>RZISPorF_KwotaA</vt:lpstr>
      <vt:lpstr>RZISPorF_KwotaB</vt:lpstr>
      <vt:lpstr>RZISPorF_KwotaC</vt:lpstr>
      <vt:lpstr>RZISPorG_1_A_1_KwotaA</vt:lpstr>
      <vt:lpstr>RZISPorG_1_A_1_KwotaB</vt:lpstr>
      <vt:lpstr>RZISPorG_1_A_1_KwotaC</vt:lpstr>
      <vt:lpstr>RZISPorG_1_A_KwotaA</vt:lpstr>
      <vt:lpstr>RZISPorG_1_A_KwotaB</vt:lpstr>
      <vt:lpstr>RZISPorG_1_A_KwotaC</vt:lpstr>
      <vt:lpstr>RZISPorG_1_B_1_KwotaA</vt:lpstr>
      <vt:lpstr>RZISPorG_1_B_1_KwotaB</vt:lpstr>
      <vt:lpstr>RZISPorG_1_B_1_KwotaC</vt:lpstr>
      <vt:lpstr>RZISPorG_1_B_KwotaA</vt:lpstr>
      <vt:lpstr>RZISPorG_1_B_KwotaB</vt:lpstr>
      <vt:lpstr>RZISPorG_1_B_KwotaC</vt:lpstr>
      <vt:lpstr>RZISPorG_1_KwotaA</vt:lpstr>
      <vt:lpstr>RZISPorG_1_KwotaB</vt:lpstr>
      <vt:lpstr>RZISPorG_1_KwotaC</vt:lpstr>
      <vt:lpstr>RZISPorG_2_J_KwotaA</vt:lpstr>
      <vt:lpstr>RZISPorG_2_J_KwotaB</vt:lpstr>
      <vt:lpstr>RZISPorG_2_J_KwotaC</vt:lpstr>
      <vt:lpstr>RZISPorG_2_KwotaA</vt:lpstr>
      <vt:lpstr>RZISPorG_2_KwotaB</vt:lpstr>
      <vt:lpstr>RZISPorG_2_KwotaC</vt:lpstr>
      <vt:lpstr>RZISPorG_3_J_KwotaA</vt:lpstr>
      <vt:lpstr>RZISPorG_3_J_KwotaB</vt:lpstr>
      <vt:lpstr>RZISPorG_3_J_KwotaC</vt:lpstr>
      <vt:lpstr>RZISPorG_3_KwotaA</vt:lpstr>
      <vt:lpstr>RZISPorG_3_KwotaB</vt:lpstr>
      <vt:lpstr>RZISPorG_3_KwotaC</vt:lpstr>
      <vt:lpstr>RZISPorG_4_KwotaA</vt:lpstr>
      <vt:lpstr>RZISPorG_4_KwotaB</vt:lpstr>
      <vt:lpstr>RZISPorG_4_KwotaC</vt:lpstr>
      <vt:lpstr>RZISPorG_5_KwotaA</vt:lpstr>
      <vt:lpstr>RZISPorG_5_KwotaB</vt:lpstr>
      <vt:lpstr>RZISPorG_5_KwotaC</vt:lpstr>
      <vt:lpstr>RZISPorG_KwotaA</vt:lpstr>
      <vt:lpstr>RZISPorG_KwotaB</vt:lpstr>
      <vt:lpstr>RZISPorG_KwotaC</vt:lpstr>
      <vt:lpstr>RZISPorH_1_J_KwotaA</vt:lpstr>
      <vt:lpstr>RZISPorH_1_J_KwotaB</vt:lpstr>
      <vt:lpstr>RZISPorH_1_J_KwotaC</vt:lpstr>
      <vt:lpstr>RZISPorH_1_KwotaA</vt:lpstr>
      <vt:lpstr>RZISPorH_1_KwotaB</vt:lpstr>
      <vt:lpstr>RZISPorH_1_KwotaC</vt:lpstr>
      <vt:lpstr>RZISPorH_2_J_KwotaA</vt:lpstr>
      <vt:lpstr>RZISPorH_2_J_KwotaB</vt:lpstr>
      <vt:lpstr>RZISPorH_2_J_KwotaC</vt:lpstr>
      <vt:lpstr>RZISPorH_2_KwotaA</vt:lpstr>
      <vt:lpstr>RZISPorH_2_KwotaB</vt:lpstr>
      <vt:lpstr>RZISPorH_2_KwotaC</vt:lpstr>
      <vt:lpstr>RZISPorH_3_KwotaA</vt:lpstr>
      <vt:lpstr>RZISPorH_3_KwotaB</vt:lpstr>
      <vt:lpstr>RZISPorH_3_KwotaC</vt:lpstr>
      <vt:lpstr>RZISPorH_4_KwotaA</vt:lpstr>
      <vt:lpstr>RZISPorH_4_KwotaB</vt:lpstr>
      <vt:lpstr>RZISPorH_4_KwotaC</vt:lpstr>
      <vt:lpstr>RZISPorH_KwotaA</vt:lpstr>
      <vt:lpstr>RZISPorH_KwotaB</vt:lpstr>
      <vt:lpstr>RZISPorH_KwotaC</vt:lpstr>
      <vt:lpstr>RZISPorI_KwotaA</vt:lpstr>
      <vt:lpstr>RZISPorI_KwotaB</vt:lpstr>
      <vt:lpstr>RZISPorI_KwotaC</vt:lpstr>
      <vt:lpstr>RZISPorJ_KwotaA</vt:lpstr>
      <vt:lpstr>RZISPorJ_KwotaB</vt:lpstr>
      <vt:lpstr>RZISPorJ_KwotaC</vt:lpstr>
      <vt:lpstr>RZISPorK_KwotaA</vt:lpstr>
      <vt:lpstr>RZISPorK_KwotaB</vt:lpstr>
      <vt:lpstr>RZISPorK_KwotaC</vt:lpstr>
      <vt:lpstr>RZISPorL_KwotaA</vt:lpstr>
      <vt:lpstr>RZISPorL_KwotaB</vt:lpstr>
      <vt:lpstr>RZISPorL_KwotaC</vt:lpstr>
      <vt:lpstr>_aktywa!Tytuły_wydruku</vt:lpstr>
      <vt:lpstr>_pasywa!Tytuły_wydruku</vt:lpstr>
      <vt:lpstr>introduction!Tytuły_wydruku</vt:lpstr>
      <vt:lpstr>kapitał!Tytuły_wydruku</vt:lpstr>
      <vt:lpstr>NotaPodatkowa!Tytuły_wydruku</vt:lpstr>
      <vt:lpstr>Notes!Tytuły_wydruku</vt:lpstr>
      <vt:lpstr>Noty!Tytuły_wydruku</vt:lpstr>
      <vt:lpstr>oświadczenie!Tytuły_wydruku</vt:lpstr>
      <vt:lpstr>przepływy!Tytuły_wydruku</vt:lpstr>
      <vt:lpstr>rzis!Tytuły_wydruku</vt:lpstr>
      <vt:lpstr>'Spis tresci'!Tytuły_wydruku</vt:lpstr>
      <vt:lpstr>wstęp!Tytuły_wydruku</vt:lpstr>
      <vt:lpstr>Ulica</vt:lpstr>
      <vt:lpstr>Ulica_eng</vt:lpstr>
      <vt:lpstr>UlicaZagr</vt:lpstr>
      <vt:lpstr>WariantRZiS</vt:lpstr>
      <vt:lpstr>WariantSprawozdania</vt:lpstr>
      <vt:lpstr>Wojewodztwo</vt:lpstr>
      <vt:lpstr>Wojewodztwo_eng</vt:lpstr>
      <vt:lpstr>ZagrozenieKontynuacji</vt:lpstr>
      <vt:lpstr>ZagrozenieKontynuacjiOkolicznosci</vt:lpstr>
      <vt:lpstr>ZalozenieKontynuacji</vt:lpstr>
      <vt:lpstr>ZasadyRachunkowosci</vt:lpstr>
      <vt:lpstr>ZestKapital</vt:lpstr>
      <vt:lpstr>Zlote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Dzmitry Binkevich</dc:creator>
  <cp:keywords/>
  <dc:description/>
  <cp:lastModifiedBy>Dima Chain</cp:lastModifiedBy>
  <cp:revision/>
  <dcterms:created xsi:type="dcterms:W3CDTF">2019-06-06T12:53:45Z</dcterms:created>
  <dcterms:modified xsi:type="dcterms:W3CDTF">2022-10-24T09:30:35Z</dcterms:modified>
  <cp:category/>
  <cp:contentStatus/>
</cp:coreProperties>
</file>